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vnbiski/Documents - Biskfush/GitHub/phd_chapters/pristid1_morpho/"/>
    </mc:Choice>
  </mc:AlternateContent>
  <xr:revisionPtr revIDLastSave="0" documentId="13_ncr:1_{C27DCE15-577A-F346-9AA2-E26EC14BCECB}" xr6:coauthVersionLast="47" xr6:coauthVersionMax="47" xr10:uidLastSave="{00000000-0000-0000-0000-000000000000}"/>
  <bookViews>
    <workbookView xWindow="0" yWindow="760" windowWidth="34560" windowHeight="20240" firstSheet="1" activeTab="15" xr2:uid="{00000000-000D-0000-FFFF-FFFF00000000}"/>
  </bookViews>
  <sheets>
    <sheet name="AllSpec" sheetId="12" r:id="rId1"/>
    <sheet name="Image J Comp" sheetId="32" r:id="rId2"/>
    <sheet name="IJ1" sheetId="34" r:id="rId3"/>
    <sheet name="IJ2" sheetId="33" r:id="rId4"/>
    <sheet name="AC" sheetId="2" r:id="rId5"/>
    <sheet name="PC" sheetId="9" r:id="rId6"/>
    <sheet name="PP" sheetId="10" r:id="rId7"/>
    <sheet name="PZ" sheetId="11" r:id="rId8"/>
    <sheet name="AnoxyTest - ALL" sheetId="17" r:id="rId9"/>
    <sheet name="Anoxy Resid" sheetId="21" r:id="rId10"/>
    <sheet name="ClavataTest - ALL" sheetId="18" r:id="rId11"/>
    <sheet name="Clavata Resid" sheetId="24" r:id="rId12"/>
    <sheet name="PristisTest - ALL" sheetId="19" r:id="rId13"/>
    <sheet name="Pristis Resid" sheetId="25" r:id="rId14"/>
    <sheet name="ZijsronTest - ALL" sheetId="20" r:id="rId15"/>
    <sheet name="Zijsron Resid" sheetId="23" r:id="rId16"/>
    <sheet name="AllRes" sheetId="31" r:id="rId17"/>
    <sheet name="Field Morpho" sheetId="8" r:id="rId18"/>
    <sheet name="SF Heads" sheetId="1" r:id="rId19"/>
    <sheet name="SUBS Morpho" sheetId="7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21" roundtripDataSignature="AMtx7miiEjY8j/DRoJ/I4yC1pI/u4b/tcQ=="/>
    </ext>
  </extLst>
</workbook>
</file>

<file path=xl/calcChain.xml><?xml version="1.0" encoding="utf-8"?>
<calcChain xmlns="http://schemas.openxmlformats.org/spreadsheetml/2006/main">
  <c r="O3" i="25" l="1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379" i="25"/>
  <c r="O380" i="25"/>
  <c r="O381" i="25"/>
  <c r="O382" i="25"/>
  <c r="O383" i="25"/>
  <c r="O384" i="25"/>
  <c r="O385" i="25"/>
  <c r="O386" i="25"/>
  <c r="O387" i="25"/>
  <c r="O388" i="25"/>
  <c r="O389" i="25"/>
  <c r="O390" i="25"/>
  <c r="O391" i="25"/>
  <c r="O392" i="25"/>
  <c r="O393" i="25"/>
  <c r="O394" i="25"/>
  <c r="O395" i="25"/>
  <c r="O396" i="25"/>
  <c r="O397" i="25"/>
  <c r="O398" i="25"/>
  <c r="O399" i="25"/>
  <c r="O400" i="25"/>
  <c r="O401" i="25"/>
  <c r="O402" i="25"/>
  <c r="O403" i="25"/>
  <c r="O404" i="25"/>
  <c r="O405" i="25"/>
  <c r="O406" i="25"/>
  <c r="O407" i="25"/>
  <c r="O408" i="25"/>
  <c r="O409" i="25"/>
  <c r="O410" i="25"/>
  <c r="O411" i="25"/>
  <c r="O412" i="25"/>
  <c r="O413" i="25"/>
  <c r="O414" i="25"/>
  <c r="O415" i="25"/>
  <c r="O416" i="25"/>
  <c r="O417" i="25"/>
  <c r="O418" i="25"/>
  <c r="O419" i="25"/>
  <c r="O420" i="25"/>
  <c r="O421" i="25"/>
  <c r="O422" i="25"/>
  <c r="O423" i="25"/>
  <c r="O424" i="25"/>
  <c r="O425" i="25"/>
  <c r="O426" i="25"/>
  <c r="O427" i="25"/>
  <c r="O428" i="25"/>
  <c r="O429" i="25"/>
  <c r="O430" i="25"/>
  <c r="O431" i="25"/>
  <c r="O432" i="25"/>
  <c r="O433" i="25"/>
  <c r="O434" i="25"/>
  <c r="O435" i="25"/>
  <c r="O436" i="25"/>
  <c r="O437" i="25"/>
  <c r="O438" i="25"/>
  <c r="O439" i="25"/>
  <c r="O440" i="25"/>
  <c r="O441" i="25"/>
  <c r="O442" i="25"/>
  <c r="O443" i="25"/>
  <c r="O444" i="25"/>
  <c r="O445" i="25"/>
  <c r="O446" i="25"/>
  <c r="O447" i="25"/>
  <c r="O448" i="25"/>
  <c r="O449" i="25"/>
  <c r="O450" i="25"/>
  <c r="O451" i="25"/>
  <c r="O452" i="25"/>
  <c r="O453" i="25"/>
  <c r="O454" i="25"/>
  <c r="O455" i="25"/>
  <c r="O456" i="25"/>
  <c r="O457" i="25"/>
  <c r="O458" i="25"/>
  <c r="O459" i="25"/>
  <c r="O460" i="25"/>
  <c r="O461" i="25"/>
  <c r="O462" i="25"/>
  <c r="O463" i="25"/>
  <c r="O464" i="25"/>
  <c r="O465" i="25"/>
  <c r="O466" i="25"/>
  <c r="O467" i="25"/>
  <c r="O468" i="25"/>
  <c r="O469" i="25"/>
  <c r="O470" i="25"/>
  <c r="O471" i="25"/>
  <c r="O472" i="25"/>
  <c r="O473" i="25"/>
  <c r="O474" i="25"/>
  <c r="O475" i="25"/>
  <c r="O476" i="25"/>
  <c r="O477" i="25"/>
  <c r="O478" i="25"/>
  <c r="O479" i="25"/>
  <c r="O480" i="25"/>
  <c r="O481" i="25"/>
  <c r="O482" i="25"/>
  <c r="O483" i="25"/>
  <c r="O484" i="25"/>
  <c r="O485" i="25"/>
  <c r="O486" i="25"/>
  <c r="O487" i="25"/>
  <c r="O488" i="25"/>
  <c r="O489" i="25"/>
  <c r="O490" i="25"/>
  <c r="O491" i="25"/>
  <c r="O492" i="25"/>
  <c r="O493" i="25"/>
  <c r="O494" i="25"/>
  <c r="O495" i="25"/>
  <c r="O496" i="25"/>
  <c r="O497" i="25"/>
  <c r="O498" i="25"/>
  <c r="O499" i="25"/>
  <c r="O500" i="25"/>
  <c r="O501" i="25"/>
  <c r="O502" i="25"/>
  <c r="O503" i="25"/>
  <c r="O504" i="25"/>
  <c r="O505" i="25"/>
  <c r="O506" i="25"/>
  <c r="O507" i="25"/>
  <c r="O508" i="25"/>
  <c r="O509" i="25"/>
  <c r="O510" i="25"/>
  <c r="O511" i="25"/>
  <c r="O512" i="25"/>
  <c r="O513" i="25"/>
  <c r="O514" i="25"/>
  <c r="O515" i="25"/>
  <c r="O516" i="25"/>
  <c r="O517" i="25"/>
  <c r="O518" i="25"/>
  <c r="O519" i="25"/>
  <c r="O520" i="25"/>
  <c r="O521" i="25"/>
  <c r="O522" i="25"/>
  <c r="O523" i="25"/>
  <c r="O524" i="25"/>
  <c r="O525" i="25"/>
  <c r="O526" i="25"/>
  <c r="O527" i="25"/>
  <c r="O528" i="25"/>
  <c r="O529" i="25"/>
  <c r="O530" i="25"/>
  <c r="O531" i="25"/>
  <c r="O532" i="25"/>
  <c r="O533" i="25"/>
  <c r="O534" i="25"/>
  <c r="O535" i="25"/>
  <c r="O536" i="25"/>
  <c r="O537" i="25"/>
  <c r="O538" i="25"/>
  <c r="O539" i="25"/>
  <c r="O540" i="25"/>
  <c r="O541" i="25"/>
  <c r="O542" i="25"/>
  <c r="O543" i="25"/>
  <c r="O544" i="25"/>
  <c r="O545" i="25"/>
  <c r="O546" i="25"/>
  <c r="O547" i="25"/>
  <c r="O548" i="25"/>
  <c r="O549" i="25"/>
  <c r="O550" i="25"/>
  <c r="O551" i="25"/>
  <c r="O552" i="25"/>
  <c r="O553" i="25"/>
  <c r="O554" i="25"/>
  <c r="O555" i="25"/>
  <c r="O556" i="25"/>
  <c r="O557" i="25"/>
  <c r="O558" i="25"/>
  <c r="O559" i="25"/>
  <c r="O560" i="25"/>
  <c r="O561" i="25"/>
  <c r="O562" i="25"/>
  <c r="O563" i="25"/>
  <c r="O564" i="25"/>
  <c r="O565" i="25"/>
  <c r="O566" i="25"/>
  <c r="O567" i="25"/>
  <c r="O568" i="25"/>
  <c r="O569" i="25"/>
  <c r="O570" i="25"/>
  <c r="O571" i="25"/>
  <c r="O572" i="25"/>
  <c r="O573" i="25"/>
  <c r="O574" i="25"/>
  <c r="O575" i="25"/>
  <c r="O576" i="25"/>
  <c r="O577" i="25"/>
  <c r="O578" i="25"/>
  <c r="O579" i="25"/>
  <c r="O580" i="25"/>
  <c r="O581" i="25"/>
  <c r="O582" i="25"/>
  <c r="O583" i="25"/>
  <c r="O584" i="25"/>
  <c r="O585" i="25"/>
  <c r="O586" i="25"/>
  <c r="O587" i="25"/>
  <c r="O588" i="25"/>
  <c r="O589" i="25"/>
  <c r="O590" i="25"/>
  <c r="O591" i="25"/>
  <c r="O592" i="25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O683" i="25"/>
  <c r="O684" i="25"/>
  <c r="O685" i="25"/>
  <c r="O686" i="25"/>
  <c r="O687" i="25"/>
  <c r="O688" i="25"/>
  <c r="O689" i="25"/>
  <c r="O690" i="25"/>
  <c r="O691" i="25"/>
  <c r="O692" i="25"/>
  <c r="O693" i="25"/>
  <c r="O694" i="25"/>
  <c r="O695" i="25"/>
  <c r="O696" i="25"/>
  <c r="O697" i="25"/>
  <c r="O698" i="25"/>
  <c r="O699" i="25"/>
  <c r="O700" i="25"/>
  <c r="O701" i="25"/>
  <c r="O702" i="25"/>
  <c r="O703" i="25"/>
  <c r="O704" i="25"/>
  <c r="O705" i="25"/>
  <c r="O706" i="25"/>
  <c r="O707" i="25"/>
  <c r="O708" i="25"/>
  <c r="O709" i="25"/>
  <c r="O710" i="25"/>
  <c r="O711" i="25"/>
  <c r="O712" i="25"/>
  <c r="O713" i="25"/>
  <c r="O714" i="25"/>
  <c r="O715" i="25"/>
  <c r="O716" i="25"/>
  <c r="O717" i="25"/>
  <c r="O718" i="25"/>
  <c r="O719" i="25"/>
  <c r="O720" i="25"/>
  <c r="O721" i="25"/>
  <c r="O722" i="25"/>
  <c r="O723" i="25"/>
  <c r="O724" i="25"/>
  <c r="O725" i="25"/>
  <c r="O726" i="25"/>
  <c r="O727" i="25"/>
  <c r="O728" i="25"/>
  <c r="O729" i="25"/>
  <c r="O730" i="25"/>
  <c r="O731" i="25"/>
  <c r="O732" i="25"/>
  <c r="O733" i="25"/>
  <c r="O734" i="25"/>
  <c r="O735" i="25"/>
  <c r="O736" i="25"/>
  <c r="O737" i="25"/>
  <c r="O738" i="25"/>
  <c r="O739" i="25"/>
  <c r="O740" i="25"/>
  <c r="O741" i="25"/>
  <c r="O742" i="25"/>
  <c r="O743" i="25"/>
  <c r="O744" i="25"/>
  <c r="O745" i="25"/>
  <c r="O746" i="25"/>
  <c r="O747" i="25"/>
  <c r="O748" i="25"/>
  <c r="O749" i="25"/>
  <c r="O750" i="25"/>
  <c r="O751" i="25"/>
  <c r="O752" i="25"/>
  <c r="O753" i="25"/>
  <c r="O754" i="25"/>
  <c r="O755" i="25"/>
  <c r="O756" i="25"/>
  <c r="O757" i="25"/>
  <c r="O758" i="25"/>
  <c r="O759" i="25"/>
  <c r="O760" i="25"/>
  <c r="O761" i="25"/>
  <c r="O762" i="25"/>
  <c r="O763" i="25"/>
  <c r="O764" i="25"/>
  <c r="O765" i="25"/>
  <c r="O766" i="25"/>
  <c r="O767" i="25"/>
  <c r="O768" i="25"/>
  <c r="O769" i="25"/>
  <c r="O770" i="25"/>
  <c r="O771" i="25"/>
  <c r="O772" i="25"/>
  <c r="O773" i="25"/>
  <c r="O774" i="25"/>
  <c r="O775" i="25"/>
  <c r="O776" i="25"/>
  <c r="O777" i="25"/>
  <c r="O778" i="25"/>
  <c r="O779" i="25"/>
  <c r="O780" i="25"/>
  <c r="O781" i="25"/>
  <c r="O782" i="25"/>
  <c r="O783" i="25"/>
  <c r="O784" i="25"/>
  <c r="O785" i="25"/>
  <c r="O786" i="25"/>
  <c r="O787" i="25"/>
  <c r="O788" i="25"/>
  <c r="O789" i="25"/>
  <c r="O790" i="25"/>
  <c r="O791" i="25"/>
  <c r="O792" i="25"/>
  <c r="O793" i="25"/>
  <c r="O2" i="25"/>
  <c r="O69" i="31"/>
  <c r="O65" i="31"/>
  <c r="O17" i="31"/>
  <c r="O40" i="31"/>
  <c r="O52" i="31"/>
  <c r="O21" i="31"/>
  <c r="O45" i="31"/>
  <c r="O33" i="31"/>
  <c r="O26" i="31"/>
  <c r="O37" i="31"/>
  <c r="O23" i="31"/>
  <c r="O60" i="31"/>
  <c r="O53" i="31"/>
  <c r="O39" i="31"/>
  <c r="O58" i="31"/>
  <c r="O78" i="31"/>
  <c r="O12" i="31"/>
  <c r="O14" i="31"/>
  <c r="O80" i="31"/>
  <c r="O72" i="31"/>
  <c r="O20" i="31"/>
  <c r="O43" i="31"/>
  <c r="O54" i="31"/>
  <c r="O18" i="31"/>
  <c r="O49" i="31"/>
  <c r="O35" i="31"/>
  <c r="O30" i="31"/>
  <c r="O38" i="31"/>
  <c r="O29" i="31"/>
  <c r="O61" i="31"/>
  <c r="O55" i="31"/>
  <c r="O46" i="31"/>
  <c r="O59" i="31"/>
  <c r="O86" i="31"/>
  <c r="O9" i="31"/>
  <c r="O32" i="31"/>
  <c r="O83" i="31"/>
  <c r="O76" i="31"/>
  <c r="O22" i="31"/>
  <c r="O11" i="31"/>
  <c r="O31" i="31"/>
  <c r="O50" i="31"/>
  <c r="O19" i="31"/>
  <c r="O7" i="31"/>
  <c r="O10" i="31"/>
  <c r="O3" i="31"/>
  <c r="O8" i="31"/>
  <c r="O42" i="31"/>
  <c r="O28" i="31"/>
  <c r="O66" i="31"/>
  <c r="O47" i="31"/>
  <c r="O87" i="31"/>
  <c r="O36" i="31"/>
  <c r="O2" i="31"/>
  <c r="O77" i="31"/>
  <c r="O71" i="31"/>
  <c r="O24" i="31"/>
  <c r="O6" i="31"/>
  <c r="O25" i="31"/>
  <c r="O51" i="31"/>
  <c r="O13" i="31"/>
  <c r="O5" i="31"/>
  <c r="O15" i="31"/>
  <c r="O4" i="31"/>
  <c r="O16" i="31"/>
  <c r="O41" i="31"/>
  <c r="O27" i="31"/>
  <c r="O64" i="31"/>
  <c r="O34" i="31"/>
  <c r="O85" i="31"/>
  <c r="O44" i="31"/>
  <c r="O67" i="31"/>
  <c r="O73" i="31"/>
  <c r="O81" i="31"/>
  <c r="O75" i="31"/>
  <c r="O68" i="31"/>
  <c r="O62" i="31"/>
  <c r="O82" i="31"/>
  <c r="O63" i="31"/>
  <c r="O57" i="31"/>
  <c r="O79" i="31"/>
  <c r="O70" i="31"/>
  <c r="O74" i="31"/>
  <c r="O88" i="31"/>
  <c r="O84" i="31"/>
  <c r="O56" i="31"/>
  <c r="O110" i="31"/>
  <c r="O141" i="31"/>
  <c r="O107" i="31"/>
  <c r="O120" i="31"/>
  <c r="O161" i="31"/>
  <c r="O98" i="31"/>
  <c r="O137" i="31"/>
  <c r="O133" i="31"/>
  <c r="O160" i="31"/>
  <c r="O146" i="31"/>
  <c r="O130" i="31"/>
  <c r="O154" i="31"/>
  <c r="O216" i="31"/>
  <c r="O129" i="31"/>
  <c r="O192" i="31"/>
  <c r="O103" i="31"/>
  <c r="O189" i="31"/>
  <c r="O95" i="31"/>
  <c r="O270" i="31"/>
  <c r="O241" i="31"/>
  <c r="O242" i="31"/>
  <c r="O266" i="31"/>
  <c r="O249" i="31"/>
  <c r="O126" i="31"/>
  <c r="O187" i="31"/>
  <c r="O264" i="31"/>
  <c r="O238" i="31"/>
  <c r="O218" i="31"/>
  <c r="O119" i="31"/>
  <c r="O237" i="31"/>
  <c r="O178" i="31"/>
  <c r="O123" i="31"/>
  <c r="O166" i="31"/>
  <c r="O181" i="31"/>
  <c r="O283" i="31"/>
  <c r="O239" i="31"/>
  <c r="O117" i="31"/>
  <c r="O170" i="31"/>
  <c r="O176" i="31"/>
  <c r="O212" i="31"/>
  <c r="O243" i="31"/>
  <c r="O139" i="31"/>
  <c r="O171" i="31"/>
  <c r="O132" i="31"/>
  <c r="O210" i="31"/>
  <c r="O200" i="31"/>
  <c r="O158" i="31"/>
  <c r="O233" i="31"/>
  <c r="O232" i="31"/>
  <c r="O198" i="31"/>
  <c r="O115" i="31"/>
  <c r="O180" i="31"/>
  <c r="O191" i="31"/>
  <c r="O100" i="31"/>
  <c r="O184" i="31"/>
  <c r="O205" i="31"/>
  <c r="O201" i="31"/>
  <c r="O97" i="31"/>
  <c r="O258" i="31"/>
  <c r="O122" i="31"/>
  <c r="O286" i="31"/>
  <c r="O265" i="31"/>
  <c r="O174" i="31"/>
  <c r="O214" i="31"/>
  <c r="O116" i="31"/>
  <c r="O247" i="31"/>
  <c r="O193" i="31"/>
  <c r="O104" i="31"/>
  <c r="O182" i="31"/>
  <c r="O173" i="31"/>
  <c r="O269" i="31"/>
  <c r="O169" i="31"/>
  <c r="O279" i="31"/>
  <c r="O282" i="31"/>
  <c r="O296" i="31"/>
  <c r="O301" i="31"/>
  <c r="O306" i="31"/>
  <c r="O280" i="31"/>
  <c r="O287" i="31"/>
  <c r="O291" i="31"/>
  <c r="O295" i="31"/>
  <c r="O293" i="31"/>
  <c r="O281" i="31"/>
  <c r="O304" i="31"/>
  <c r="O297" i="31"/>
  <c r="O303" i="31"/>
  <c r="O285" i="31"/>
  <c r="O298" i="31"/>
  <c r="O92" i="31"/>
  <c r="O190" i="31"/>
  <c r="O299" i="31"/>
  <c r="O274" i="31"/>
  <c r="O278" i="31"/>
  <c r="O305" i="31"/>
  <c r="O300" i="31"/>
  <c r="O113" i="31"/>
  <c r="O307" i="31"/>
  <c r="O188" i="31"/>
  <c r="O284" i="31"/>
  <c r="O234" i="31"/>
  <c r="O202" i="31"/>
  <c r="O302" i="31"/>
  <c r="O276" i="31"/>
  <c r="O275" i="31"/>
  <c r="O277" i="31"/>
  <c r="O248" i="31"/>
  <c r="O250" i="31"/>
  <c r="O289" i="31"/>
  <c r="O211" i="31"/>
  <c r="O152" i="31"/>
  <c r="O183" i="31"/>
  <c r="O167" i="31"/>
  <c r="O109" i="31"/>
  <c r="O194" i="31"/>
  <c r="O157" i="31"/>
  <c r="O225" i="31"/>
  <c r="O135" i="31"/>
  <c r="O147" i="31"/>
  <c r="O164" i="31"/>
  <c r="O128" i="31"/>
  <c r="O118" i="31"/>
  <c r="O209" i="31"/>
  <c r="O240" i="31"/>
  <c r="O203" i="31"/>
  <c r="O229" i="31"/>
  <c r="O155" i="31"/>
  <c r="O272" i="31"/>
  <c r="O261" i="31"/>
  <c r="O262" i="31"/>
  <c r="O267" i="31"/>
  <c r="O226" i="31"/>
  <c r="O163" i="31"/>
  <c r="O215" i="31"/>
  <c r="O271" i="31"/>
  <c r="O260" i="31"/>
  <c r="O246" i="31"/>
  <c r="O124" i="31"/>
  <c r="O177" i="31"/>
  <c r="O111" i="31"/>
  <c r="O221" i="31"/>
  <c r="O125" i="31"/>
  <c r="O236" i="31"/>
  <c r="O294" i="31"/>
  <c r="O259" i="31"/>
  <c r="O114" i="31"/>
  <c r="O149" i="31"/>
  <c r="O108" i="31"/>
  <c r="O127" i="31"/>
  <c r="O101" i="31"/>
  <c r="O99" i="31"/>
  <c r="O136" i="31"/>
  <c r="O156" i="31"/>
  <c r="O148" i="31"/>
  <c r="O134" i="31"/>
  <c r="O138" i="31"/>
  <c r="O96" i="31"/>
  <c r="O208" i="31"/>
  <c r="O204" i="31"/>
  <c r="O222" i="31"/>
  <c r="O153" i="31"/>
  <c r="O106" i="31"/>
  <c r="O197" i="31"/>
  <c r="O290" i="31"/>
  <c r="O251" i="31"/>
  <c r="O255" i="31"/>
  <c r="O288" i="31"/>
  <c r="O252" i="31"/>
  <c r="O186" i="31"/>
  <c r="O220" i="31"/>
  <c r="O253" i="31"/>
  <c r="O254" i="31"/>
  <c r="O172" i="31"/>
  <c r="O223" i="31"/>
  <c r="O235" i="31"/>
  <c r="O206" i="31"/>
  <c r="O121" i="31"/>
  <c r="O195" i="31"/>
  <c r="O140" i="31"/>
  <c r="O292" i="31"/>
  <c r="O256" i="31"/>
  <c r="O105" i="31"/>
  <c r="O162" i="31"/>
  <c r="O150" i="31"/>
  <c r="O175" i="31"/>
  <c r="O230" i="31"/>
  <c r="O131" i="31"/>
  <c r="O159" i="31"/>
  <c r="O102" i="31"/>
  <c r="O199" i="31"/>
  <c r="O179" i="31"/>
  <c r="O151" i="31"/>
  <c r="O219" i="31"/>
  <c r="O231" i="31"/>
  <c r="O142" i="31"/>
  <c r="O145" i="31"/>
  <c r="O144" i="31"/>
  <c r="O165" i="31"/>
  <c r="O112" i="31"/>
  <c r="O244" i="31"/>
  <c r="O228" i="31"/>
  <c r="O227" i="31"/>
  <c r="O224" i="31"/>
  <c r="O257" i="31"/>
  <c r="O93" i="31"/>
  <c r="O268" i="31"/>
  <c r="O263" i="31"/>
  <c r="O217" i="31"/>
  <c r="O207" i="31"/>
  <c r="O143" i="31"/>
  <c r="O245" i="31"/>
  <c r="O196" i="31"/>
  <c r="O94" i="31"/>
  <c r="O185" i="31"/>
  <c r="O168" i="31"/>
  <c r="O273" i="31"/>
  <c r="O213" i="31"/>
  <c r="O559" i="31"/>
  <c r="O877" i="31"/>
  <c r="O653" i="31"/>
  <c r="O756" i="31"/>
  <c r="O490" i="31"/>
  <c r="O764" i="31"/>
  <c r="O810" i="31"/>
  <c r="O793" i="31"/>
  <c r="O922" i="31"/>
  <c r="O987" i="31"/>
  <c r="O371" i="31"/>
  <c r="O604" i="31"/>
  <c r="O856" i="31"/>
  <c r="O709" i="31"/>
  <c r="O467" i="31"/>
  <c r="O920" i="31"/>
  <c r="O984" i="31"/>
  <c r="O1007" i="31"/>
  <c r="O389" i="31"/>
  <c r="O956" i="31"/>
  <c r="O405" i="31"/>
  <c r="O503" i="31"/>
  <c r="O976" i="31"/>
  <c r="O383" i="31"/>
  <c r="O579" i="31"/>
  <c r="O497" i="31"/>
  <c r="O655" i="31"/>
  <c r="O409" i="31"/>
  <c r="O428" i="31"/>
  <c r="O412" i="31"/>
  <c r="O612" i="31"/>
  <c r="O465" i="31"/>
  <c r="O683" i="31"/>
  <c r="O995" i="31"/>
  <c r="O1032" i="31"/>
  <c r="O1026" i="31"/>
  <c r="O537" i="31"/>
  <c r="O927" i="31"/>
  <c r="O337" i="31"/>
  <c r="O978" i="31"/>
  <c r="O396" i="31"/>
  <c r="O474" i="31"/>
  <c r="O308" i="31"/>
  <c r="O338" i="31"/>
  <c r="O643" i="31"/>
  <c r="O651" i="31"/>
  <c r="O340" i="31"/>
  <c r="O553" i="31"/>
  <c r="O513" i="31"/>
  <c r="O735" i="31"/>
  <c r="O401" i="31"/>
  <c r="O406" i="31"/>
  <c r="O328" i="31"/>
  <c r="O508" i="31"/>
  <c r="O434" i="31"/>
  <c r="O867" i="31"/>
  <c r="O544" i="31"/>
  <c r="O326" i="31"/>
  <c r="O539" i="31"/>
  <c r="O408" i="31"/>
  <c r="O358" i="31"/>
  <c r="O484" i="31"/>
  <c r="O759" i="31"/>
  <c r="O480" i="31"/>
  <c r="O795" i="31"/>
  <c r="O695" i="31"/>
  <c r="O620" i="31"/>
  <c r="O481" i="31"/>
  <c r="O804" i="31"/>
  <c r="O955" i="31"/>
  <c r="O888" i="31"/>
  <c r="O496" i="31"/>
  <c r="O1043" i="31"/>
  <c r="O631" i="31"/>
  <c r="O1002" i="31"/>
  <c r="O534" i="31"/>
  <c r="O1073" i="31"/>
  <c r="O979" i="31"/>
  <c r="O395" i="31"/>
  <c r="O1076" i="31"/>
  <c r="O985" i="31"/>
  <c r="O568" i="31"/>
  <c r="O1079" i="31"/>
  <c r="O1075" i="31"/>
  <c r="O1095" i="31"/>
  <c r="O996" i="31"/>
  <c r="O560" i="31"/>
  <c r="O1023" i="31"/>
  <c r="O952" i="31"/>
  <c r="O552" i="31"/>
  <c r="O386" i="31"/>
  <c r="O607" i="31"/>
  <c r="O1082" i="31"/>
  <c r="O385" i="31"/>
  <c r="O1051" i="31"/>
  <c r="O809" i="31"/>
  <c r="O659" i="31"/>
  <c r="O746" i="31"/>
  <c r="O498" i="31"/>
  <c r="O941" i="31"/>
  <c r="O344" i="31"/>
  <c r="O637" i="31"/>
  <c r="O500" i="31"/>
  <c r="O761" i="31"/>
  <c r="O468" i="31"/>
  <c r="O398" i="31"/>
  <c r="O429" i="31"/>
  <c r="O469" i="31"/>
  <c r="O829" i="31"/>
  <c r="O885" i="31"/>
  <c r="O674" i="31"/>
  <c r="O314" i="31"/>
  <c r="O555" i="31"/>
  <c r="O911" i="31"/>
  <c r="O478" i="31"/>
  <c r="O789" i="31"/>
  <c r="O931" i="31"/>
  <c r="O815" i="31"/>
  <c r="O711" i="31"/>
  <c r="O819" i="31"/>
  <c r="O892" i="31"/>
  <c r="O776" i="31"/>
  <c r="O871" i="31"/>
  <c r="O689" i="31"/>
  <c r="O863" i="31"/>
  <c r="O954" i="31"/>
  <c r="O836" i="31"/>
  <c r="O734" i="31"/>
  <c r="O898" i="31"/>
  <c r="O897" i="31"/>
  <c r="O572" i="31"/>
  <c r="O489" i="31"/>
  <c r="O946" i="31"/>
  <c r="O1027" i="31"/>
  <c r="O1009" i="31"/>
  <c r="O929" i="31"/>
  <c r="O862" i="31"/>
  <c r="O850" i="31"/>
  <c r="O935" i="31"/>
  <c r="O835" i="31"/>
  <c r="O840" i="31"/>
  <c r="O766" i="31"/>
  <c r="O825" i="31"/>
  <c r="O583" i="31"/>
  <c r="O593" i="31"/>
  <c r="O855" i="31"/>
  <c r="O912" i="31"/>
  <c r="O932" i="31"/>
  <c r="O963" i="31"/>
  <c r="O869" i="31"/>
  <c r="O882" i="31"/>
  <c r="O741" i="31"/>
  <c r="O663" i="31"/>
  <c r="O824" i="31"/>
  <c r="O439" i="31"/>
  <c r="O896" i="31"/>
  <c r="O765" i="31"/>
  <c r="O628" i="31"/>
  <c r="O873" i="31"/>
  <c r="O812" i="31"/>
  <c r="O917" i="31"/>
  <c r="O493" i="31"/>
  <c r="O763" i="31"/>
  <c r="O375" i="31"/>
  <c r="O876" i="31"/>
  <c r="O564" i="31"/>
  <c r="O688" i="31"/>
  <c r="O376" i="31"/>
  <c r="O601" i="31"/>
  <c r="O387" i="31"/>
  <c r="O758" i="31"/>
  <c r="O1044" i="31"/>
  <c r="O959" i="31"/>
  <c r="O974" i="31"/>
  <c r="O895" i="31"/>
  <c r="O1091" i="31"/>
  <c r="O1060" i="31"/>
  <c r="O768" i="31"/>
  <c r="O1090" i="31"/>
  <c r="O878" i="31"/>
  <c r="O505" i="31"/>
  <c r="O1096" i="31"/>
  <c r="O1070" i="31"/>
  <c r="O1099" i="31"/>
  <c r="O870" i="31"/>
  <c r="O699" i="31"/>
  <c r="O970" i="31"/>
  <c r="O1014" i="31"/>
  <c r="O925" i="31"/>
  <c r="O889" i="31"/>
  <c r="O838" i="31"/>
  <c r="O1085" i="31"/>
  <c r="O648" i="31"/>
  <c r="O1036" i="31"/>
  <c r="O384" i="31"/>
  <c r="O907" i="31"/>
  <c r="O1071" i="31"/>
  <c r="O726" i="31"/>
  <c r="O336" i="31"/>
  <c r="O957" i="31"/>
  <c r="O806" i="31"/>
  <c r="O893" i="31"/>
  <c r="O712" i="31"/>
  <c r="O887" i="31"/>
  <c r="O913" i="31"/>
  <c r="O918" i="31"/>
  <c r="O972" i="31"/>
  <c r="O1006" i="31"/>
  <c r="O518" i="31"/>
  <c r="O794" i="31"/>
  <c r="O948" i="31"/>
  <c r="O851" i="31"/>
  <c r="O366" i="31"/>
  <c r="O967" i="31"/>
  <c r="O1000" i="31"/>
  <c r="O1021" i="31"/>
  <c r="O630" i="31"/>
  <c r="O968" i="31"/>
  <c r="O635" i="31"/>
  <c r="O353" i="31"/>
  <c r="O989" i="31"/>
  <c r="O585" i="31"/>
  <c r="O752" i="31"/>
  <c r="O551" i="31"/>
  <c r="O318" i="31"/>
  <c r="O618" i="31"/>
  <c r="O743" i="31"/>
  <c r="O451" i="31"/>
  <c r="O441" i="31"/>
  <c r="O818" i="31"/>
  <c r="O779" i="31"/>
  <c r="O1001" i="31"/>
  <c r="O1031" i="31"/>
  <c r="O1028" i="31"/>
  <c r="O430" i="31"/>
  <c r="O914" i="31"/>
  <c r="O629" i="31"/>
  <c r="O980" i="31"/>
  <c r="O622" i="31"/>
  <c r="O577" i="31"/>
  <c r="O685" i="31"/>
  <c r="O665" i="31"/>
  <c r="O864" i="31"/>
  <c r="O861" i="31"/>
  <c r="O603" i="31"/>
  <c r="O450" i="31"/>
  <c r="O388" i="31"/>
  <c r="O404" i="31"/>
  <c r="O584" i="31"/>
  <c r="O566" i="31"/>
  <c r="O686" i="31"/>
  <c r="O797" i="31"/>
  <c r="O616" i="31"/>
  <c r="O969" i="31"/>
  <c r="O494" i="31"/>
  <c r="O679" i="31"/>
  <c r="O831" i="31"/>
  <c r="O580" i="31"/>
  <c r="O652" i="31"/>
  <c r="O458" i="31"/>
  <c r="O891" i="31"/>
  <c r="O707" i="31"/>
  <c r="O943" i="31"/>
  <c r="O372" i="31"/>
  <c r="O865" i="31"/>
  <c r="O780" i="31"/>
  <c r="O902" i="31"/>
  <c r="O981" i="31"/>
  <c r="O958" i="31"/>
  <c r="O702" i="31"/>
  <c r="O1038" i="31"/>
  <c r="O323" i="31"/>
  <c r="O1004" i="31"/>
  <c r="O501" i="31"/>
  <c r="O1059" i="31"/>
  <c r="O868" i="31"/>
  <c r="O716" i="31"/>
  <c r="O1064" i="31"/>
  <c r="O1019" i="31"/>
  <c r="O626" i="31"/>
  <c r="O1069" i="31"/>
  <c r="O1074" i="31"/>
  <c r="O1093" i="31"/>
  <c r="O1017" i="31"/>
  <c r="O781" i="31"/>
  <c r="O1037" i="31"/>
  <c r="O900" i="31"/>
  <c r="O436" i="31"/>
  <c r="O473" i="31"/>
  <c r="O492" i="31"/>
  <c r="O1078" i="31"/>
  <c r="O770" i="31"/>
  <c r="O1053" i="31"/>
  <c r="O938" i="31"/>
  <c r="O380" i="31"/>
  <c r="O502" i="31"/>
  <c r="O769" i="31"/>
  <c r="O926" i="31"/>
  <c r="O673" i="31"/>
  <c r="O460" i="31"/>
  <c r="O455" i="31"/>
  <c r="O414" i="31"/>
  <c r="O327" i="31"/>
  <c r="O415" i="31"/>
  <c r="O578" i="31"/>
  <c r="O783" i="31"/>
  <c r="O808" i="31"/>
  <c r="O677" i="31"/>
  <c r="O393" i="31"/>
  <c r="O645" i="31"/>
  <c r="O410" i="31"/>
  <c r="O903" i="31"/>
  <c r="O610" i="31"/>
  <c r="O778" i="31"/>
  <c r="O842" i="31"/>
  <c r="O681" i="31"/>
  <c r="O661" i="31"/>
  <c r="O788" i="31"/>
  <c r="O992" i="31"/>
  <c r="O419" i="31"/>
  <c r="O454" i="31"/>
  <c r="O563" i="31"/>
  <c r="O710" i="31"/>
  <c r="O309" i="31"/>
  <c r="O731" i="31"/>
  <c r="O754" i="31"/>
  <c r="O813" i="31"/>
  <c r="O714" i="31"/>
  <c r="O964" i="31"/>
  <c r="O881" i="31"/>
  <c r="O533" i="31"/>
  <c r="O676" i="31"/>
  <c r="O310" i="31"/>
  <c r="O379" i="31"/>
  <c r="O994" i="31"/>
  <c r="O475" i="31"/>
  <c r="O890" i="31"/>
  <c r="O719" i="31"/>
  <c r="O784" i="31"/>
  <c r="O832" i="31"/>
  <c r="O546" i="31"/>
  <c r="O858" i="31"/>
  <c r="O805" i="31"/>
  <c r="O322" i="31"/>
  <c r="O462" i="31"/>
  <c r="O725" i="31"/>
  <c r="O316" i="31"/>
  <c r="O522" i="31"/>
  <c r="O402" i="31"/>
  <c r="O884" i="31"/>
  <c r="O866" i="31"/>
  <c r="O814" i="31"/>
  <c r="O977" i="31"/>
  <c r="O639" i="31"/>
  <c r="O849" i="31"/>
  <c r="O906" i="31"/>
  <c r="O510" i="31"/>
  <c r="O755" i="31"/>
  <c r="O483" i="31"/>
  <c r="O432" i="31"/>
  <c r="O399" i="31"/>
  <c r="O886" i="31"/>
  <c r="O857" i="31"/>
  <c r="O921" i="31"/>
  <c r="O820" i="31"/>
  <c r="O471" i="31"/>
  <c r="O700" i="31"/>
  <c r="O538" i="31"/>
  <c r="O526" i="31"/>
  <c r="O693" i="31"/>
  <c r="O670" i="31"/>
  <c r="O721" i="31"/>
  <c r="O624" i="31"/>
  <c r="O1062" i="31"/>
  <c r="O1066" i="31"/>
  <c r="O698" i="31"/>
  <c r="O1052" i="31"/>
  <c r="O1024" i="31"/>
  <c r="O993" i="31"/>
  <c r="O1072" i="31"/>
  <c r="O1033" i="31"/>
  <c r="O1013" i="31"/>
  <c r="O951" i="31"/>
  <c r="O519" i="31"/>
  <c r="O1030" i="31"/>
  <c r="O1025" i="31"/>
  <c r="O357" i="31"/>
  <c r="O782" i="31"/>
  <c r="O875" i="31"/>
  <c r="O1046" i="31"/>
  <c r="O950" i="31"/>
  <c r="O1034" i="31"/>
  <c r="O787" i="31"/>
  <c r="O729" i="31"/>
  <c r="O1086" i="31"/>
  <c r="O672" i="31"/>
  <c r="O901" i="31"/>
  <c r="O611" i="31"/>
  <c r="O452" i="31"/>
  <c r="O377" i="31"/>
  <c r="O542" i="31"/>
  <c r="O317" i="31"/>
  <c r="O418" i="31"/>
  <c r="O470" i="31"/>
  <c r="O708" i="31"/>
  <c r="O872" i="31"/>
  <c r="O738" i="31"/>
  <c r="O381" i="31"/>
  <c r="O576" i="31"/>
  <c r="O374" i="31"/>
  <c r="O860" i="31"/>
  <c r="O644" i="31"/>
  <c r="O848" i="31"/>
  <c r="O934" i="31"/>
  <c r="O682" i="31"/>
  <c r="O488" i="31"/>
  <c r="O339" i="31"/>
  <c r="O945" i="31"/>
  <c r="O713" i="31"/>
  <c r="O561" i="31"/>
  <c r="O549" i="31"/>
  <c r="O445" i="31"/>
  <c r="O722" i="31"/>
  <c r="O391" i="31"/>
  <c r="O346" i="31"/>
  <c r="O807" i="31"/>
  <c r="O504" i="31"/>
  <c r="O656" i="31"/>
  <c r="O634" i="31"/>
  <c r="O748" i="31"/>
  <c r="O930" i="31"/>
  <c r="O936" i="31"/>
  <c r="O694" i="31"/>
  <c r="O514" i="31"/>
  <c r="O527" i="31"/>
  <c r="O521" i="31"/>
  <c r="O397" i="31"/>
  <c r="O370" i="31"/>
  <c r="O359" i="31"/>
  <c r="O461" i="31"/>
  <c r="O558" i="31"/>
  <c r="O512" i="31"/>
  <c r="O594" i="31"/>
  <c r="O627" i="31"/>
  <c r="O803" i="31"/>
  <c r="O757" i="31"/>
  <c r="O536" i="31"/>
  <c r="O590" i="31"/>
  <c r="O424" i="31"/>
  <c r="O495" i="31"/>
  <c r="O332" i="31"/>
  <c r="O847" i="31"/>
  <c r="O535" i="31"/>
  <c r="O368" i="31"/>
  <c r="O562" i="31"/>
  <c r="O547" i="31"/>
  <c r="O347" i="31"/>
  <c r="O705" i="31"/>
  <c r="O369" i="31"/>
  <c r="O540" i="31"/>
  <c r="O671" i="31"/>
  <c r="O392" i="31"/>
  <c r="O617" i="31"/>
  <c r="O426" i="31"/>
  <c r="O312" i="31"/>
  <c r="O728" i="31"/>
  <c r="O567" i="31"/>
  <c r="O581" i="31"/>
  <c r="O962" i="31"/>
  <c r="O830" i="31"/>
  <c r="O733" i="31"/>
  <c r="O541" i="31"/>
  <c r="O1050" i="31"/>
  <c r="O646" i="31"/>
  <c r="O329" i="31"/>
  <c r="O1056" i="31"/>
  <c r="O988" i="31"/>
  <c r="O833" i="31"/>
  <c r="O1065" i="31"/>
  <c r="O1057" i="31"/>
  <c r="O1092" i="31"/>
  <c r="O947" i="31"/>
  <c r="O356" i="31"/>
  <c r="O1011" i="31"/>
  <c r="O1016" i="31"/>
  <c r="O660" i="31"/>
  <c r="O785" i="31"/>
  <c r="O334" i="31"/>
  <c r="O1068" i="31"/>
  <c r="O586" i="31"/>
  <c r="O1040" i="31"/>
  <c r="O619" i="31"/>
  <c r="O524" i="31"/>
  <c r="O971" i="31"/>
  <c r="O313" i="31"/>
  <c r="O909" i="31"/>
  <c r="O477" i="31"/>
  <c r="O532" i="31"/>
  <c r="O355" i="31"/>
  <c r="O666" i="31"/>
  <c r="O351" i="31"/>
  <c r="O341" i="31"/>
  <c r="O333" i="31"/>
  <c r="O608" i="31"/>
  <c r="O874" i="31"/>
  <c r="O828" i="31"/>
  <c r="O565" i="31"/>
  <c r="O449" i="31"/>
  <c r="O435" i="31"/>
  <c r="O880" i="31"/>
  <c r="O592" i="31"/>
  <c r="O846" i="31"/>
  <c r="O949" i="31"/>
  <c r="O736" i="31"/>
  <c r="O724" i="31"/>
  <c r="O687" i="31"/>
  <c r="O879" i="31"/>
  <c r="O811" i="31"/>
  <c r="O777" i="31"/>
  <c r="O613" i="31"/>
  <c r="O762" i="31"/>
  <c r="O899" i="31"/>
  <c r="O717" i="31"/>
  <c r="O615" i="31"/>
  <c r="O843" i="31"/>
  <c r="O798" i="31"/>
  <c r="O373" i="31"/>
  <c r="O440" i="31"/>
  <c r="O939" i="31"/>
  <c r="O1022" i="31"/>
  <c r="O1003" i="31"/>
  <c r="O859" i="31"/>
  <c r="O792" i="31"/>
  <c r="O747" i="31"/>
  <c r="O908" i="31"/>
  <c r="O718" i="31"/>
  <c r="O727" i="31"/>
  <c r="O640" i="31"/>
  <c r="O704" i="31"/>
  <c r="O400" i="31"/>
  <c r="O421" i="31"/>
  <c r="O772" i="31"/>
  <c r="O839" i="31"/>
  <c r="O883" i="31"/>
  <c r="O928" i="31"/>
  <c r="O774" i="31"/>
  <c r="O786" i="31"/>
  <c r="O606" i="31"/>
  <c r="O507" i="31"/>
  <c r="O691" i="31"/>
  <c r="O623" i="31"/>
  <c r="O799" i="31"/>
  <c r="O638" i="31"/>
  <c r="O438" i="31"/>
  <c r="O775" i="31"/>
  <c r="O684" i="31"/>
  <c r="O852" i="31"/>
  <c r="O354" i="31"/>
  <c r="O668" i="31"/>
  <c r="O416" i="31"/>
  <c r="O767" i="31"/>
  <c r="O363" i="31"/>
  <c r="O550" i="31"/>
  <c r="O330" i="31"/>
  <c r="O680" i="31"/>
  <c r="O511" i="31"/>
  <c r="O669" i="31"/>
  <c r="O1035" i="31"/>
  <c r="O919" i="31"/>
  <c r="O966" i="31"/>
  <c r="O800" i="31"/>
  <c r="O1089" i="31"/>
  <c r="O1048" i="31"/>
  <c r="O649" i="31"/>
  <c r="O1088" i="31"/>
  <c r="O940" i="31"/>
  <c r="O531" i="31"/>
  <c r="O1094" i="31"/>
  <c r="O1067" i="31"/>
  <c r="O1098" i="31"/>
  <c r="O916" i="31"/>
  <c r="O587" i="31"/>
  <c r="O986" i="31"/>
  <c r="O1008" i="31"/>
  <c r="O853" i="31"/>
  <c r="O837" i="31"/>
  <c r="O723" i="31"/>
  <c r="O1083" i="31"/>
  <c r="O459" i="31"/>
  <c r="O1042" i="31"/>
  <c r="O390" i="31"/>
  <c r="O827" i="31"/>
  <c r="O1054" i="31"/>
  <c r="O598" i="31"/>
  <c r="O982" i="31"/>
  <c r="O311" i="31"/>
  <c r="O760" i="31"/>
  <c r="O556" i="31"/>
  <c r="O749" i="31"/>
  <c r="O667" i="31"/>
  <c r="O575" i="31"/>
  <c r="O437" i="31"/>
  <c r="O472" i="31"/>
  <c r="O571" i="31"/>
  <c r="O904" i="31"/>
  <c r="O633" i="31"/>
  <c r="O350" i="31"/>
  <c r="O720" i="31"/>
  <c r="O973" i="31"/>
  <c r="O361" i="31"/>
  <c r="O529" i="31"/>
  <c r="O650" i="31"/>
  <c r="O894" i="31"/>
  <c r="O823" i="31"/>
  <c r="O345" i="31"/>
  <c r="O1015" i="31"/>
  <c r="O499" i="31"/>
  <c r="O636" i="31"/>
  <c r="O821" i="31"/>
  <c r="O394" i="31"/>
  <c r="O742" i="31"/>
  <c r="O352" i="31"/>
  <c r="O320" i="31"/>
  <c r="O953" i="31"/>
  <c r="O411" i="31"/>
  <c r="O739" i="31"/>
  <c r="O960" i="31"/>
  <c r="O690" i="31"/>
  <c r="O745" i="31"/>
  <c r="O486" i="31"/>
  <c r="O771" i="31"/>
  <c r="O1005" i="31"/>
  <c r="O609" i="31"/>
  <c r="O942" i="31"/>
  <c r="O367" i="31"/>
  <c r="O325" i="31"/>
  <c r="O417" i="31"/>
  <c r="O554" i="31"/>
  <c r="O530" i="31"/>
  <c r="O433" i="31"/>
  <c r="O696" i="31"/>
  <c r="O647" i="31"/>
  <c r="O924" i="31"/>
  <c r="O750" i="31"/>
  <c r="O589" i="31"/>
  <c r="O664" i="31"/>
  <c r="O520" i="31"/>
  <c r="O515" i="31"/>
  <c r="O362" i="31"/>
  <c r="O845" i="31"/>
  <c r="O506" i="31"/>
  <c r="O443" i="31"/>
  <c r="O596" i="31"/>
  <c r="O599" i="31"/>
  <c r="O315" i="31"/>
  <c r="O817" i="31"/>
  <c r="O574" i="31"/>
  <c r="O737" i="31"/>
  <c r="O602" i="31"/>
  <c r="O413" i="31"/>
  <c r="O641" i="31"/>
  <c r="O420" i="31"/>
  <c r="O740" i="31"/>
  <c r="O378" i="31"/>
  <c r="O448" i="31"/>
  <c r="O801" i="31"/>
  <c r="O732" i="31"/>
  <c r="O910" i="31"/>
  <c r="O826" i="31"/>
  <c r="O517" i="31"/>
  <c r="O1055" i="31"/>
  <c r="O1061" i="31"/>
  <c r="O360" i="31"/>
  <c r="O1039" i="31"/>
  <c r="O991" i="31"/>
  <c r="O1012" i="31"/>
  <c r="O1058" i="31"/>
  <c r="O1029" i="31"/>
  <c r="O1049" i="31"/>
  <c r="O802" i="31"/>
  <c r="O548" i="31"/>
  <c r="O999" i="31"/>
  <c r="O1041" i="31"/>
  <c r="O697" i="31"/>
  <c r="O944" i="31"/>
  <c r="O446" i="31"/>
  <c r="O1047" i="31"/>
  <c r="O675" i="31"/>
  <c r="O1020" i="31"/>
  <c r="O444" i="31"/>
  <c r="O407" i="31"/>
  <c r="O1081" i="31"/>
  <c r="O382" i="31"/>
  <c r="O844" i="31"/>
  <c r="O658" i="31"/>
  <c r="O349" i="31"/>
  <c r="O457" i="31"/>
  <c r="O476" i="31"/>
  <c r="O431" i="31"/>
  <c r="O523" i="31"/>
  <c r="O543" i="31"/>
  <c r="O753" i="31"/>
  <c r="O923" i="31"/>
  <c r="O692" i="31"/>
  <c r="O342" i="31"/>
  <c r="O642" i="31"/>
  <c r="O348" i="31"/>
  <c r="O796" i="31"/>
  <c r="O706" i="31"/>
  <c r="O905" i="31"/>
  <c r="O965" i="31"/>
  <c r="O621" i="31"/>
  <c r="O715" i="31"/>
  <c r="O422" i="31"/>
  <c r="O854" i="31"/>
  <c r="O841" i="31"/>
  <c r="O582" i="31"/>
  <c r="O442" i="31"/>
  <c r="O528" i="31"/>
  <c r="O751" i="31"/>
  <c r="O464" i="31"/>
  <c r="O319" i="31"/>
  <c r="O744" i="31"/>
  <c r="O588" i="31"/>
  <c r="O570" i="31"/>
  <c r="O403" i="31"/>
  <c r="O915" i="31"/>
  <c r="O997" i="31"/>
  <c r="O990" i="31"/>
  <c r="O703" i="31"/>
  <c r="O625" i="31"/>
  <c r="O545" i="31"/>
  <c r="O834" i="31"/>
  <c r="O466" i="31"/>
  <c r="O463" i="31"/>
  <c r="O335" i="31"/>
  <c r="O487" i="31"/>
  <c r="O516" i="31"/>
  <c r="O479" i="31"/>
  <c r="O591" i="31"/>
  <c r="O657" i="31"/>
  <c r="O773" i="31"/>
  <c r="O791" i="31"/>
  <c r="O569" i="31"/>
  <c r="O605" i="31"/>
  <c r="O324" i="31"/>
  <c r="O427" i="31"/>
  <c r="O423" i="31"/>
  <c r="O822" i="31"/>
  <c r="O595" i="31"/>
  <c r="O331" i="31"/>
  <c r="O491" i="31"/>
  <c r="O573" i="31"/>
  <c r="O425" i="31"/>
  <c r="O701" i="31"/>
  <c r="O453" i="31"/>
  <c r="O482" i="31"/>
  <c r="O662" i="31"/>
  <c r="O525" i="31"/>
  <c r="O557" i="31"/>
  <c r="O364" i="31"/>
  <c r="O456" i="31"/>
  <c r="O790" i="31"/>
  <c r="O654" i="31"/>
  <c r="O509" i="31"/>
  <c r="O1018" i="31"/>
  <c r="O816" i="31"/>
  <c r="O937" i="31"/>
  <c r="O597" i="31"/>
  <c r="O1080" i="31"/>
  <c r="O975" i="31"/>
  <c r="O365" i="31"/>
  <c r="O1084" i="31"/>
  <c r="O983" i="31"/>
  <c r="O600" i="31"/>
  <c r="O1087" i="31"/>
  <c r="O1063" i="31"/>
  <c r="O1097" i="31"/>
  <c r="O961" i="31"/>
  <c r="O343" i="31"/>
  <c r="O1010" i="31"/>
  <c r="O998" i="31"/>
  <c r="O678" i="31"/>
  <c r="O730" i="31"/>
  <c r="O447" i="31"/>
  <c r="O1077" i="31"/>
  <c r="O485" i="31"/>
  <c r="O1045" i="31"/>
  <c r="O632" i="31"/>
  <c r="O614" i="31"/>
  <c r="O933" i="31"/>
  <c r="O321" i="31"/>
  <c r="O1259" i="31"/>
  <c r="O1278" i="31"/>
  <c r="O1217" i="31"/>
  <c r="O1135" i="31"/>
  <c r="O1215" i="31"/>
  <c r="O1164" i="31"/>
  <c r="O1141" i="31"/>
  <c r="O1194" i="31"/>
  <c r="O1152" i="31"/>
  <c r="O1263" i="31"/>
  <c r="O1212" i="31"/>
  <c r="O1159" i="31"/>
  <c r="O1229" i="31"/>
  <c r="O1190" i="31"/>
  <c r="O1266" i="31"/>
  <c r="O1274" i="31"/>
  <c r="O1131" i="31"/>
  <c r="O1192" i="31"/>
  <c r="O1244" i="31"/>
  <c r="O1174" i="31"/>
  <c r="O1249" i="31"/>
  <c r="O1219" i="31"/>
  <c r="O1233" i="31"/>
  <c r="O1195" i="31"/>
  <c r="O1176" i="31"/>
  <c r="O1158" i="31"/>
  <c r="O1114" i="31"/>
  <c r="O1185" i="31"/>
  <c r="O1262" i="31"/>
  <c r="O1197" i="31"/>
  <c r="O1289" i="31"/>
  <c r="O1179" i="31"/>
  <c r="O1157" i="31"/>
  <c r="O1252" i="31"/>
  <c r="O1178" i="31"/>
  <c r="O1127" i="31"/>
  <c r="O1171" i="31"/>
  <c r="O1245" i="31"/>
  <c r="O1223" i="31"/>
  <c r="O1119" i="31"/>
  <c r="O1109" i="31"/>
  <c r="O1270" i="31"/>
  <c r="O1193" i="31"/>
  <c r="O1239" i="31"/>
  <c r="O1255" i="31"/>
  <c r="O1134" i="31"/>
  <c r="O1144" i="31"/>
  <c r="O1149" i="31"/>
  <c r="O1228" i="31"/>
  <c r="O1242" i="31"/>
  <c r="O1236" i="31"/>
  <c r="O1272" i="31"/>
  <c r="O1191" i="31"/>
  <c r="O1181" i="31"/>
  <c r="O1137" i="31"/>
  <c r="O1110" i="31"/>
  <c r="O1143" i="31"/>
  <c r="O1283" i="31"/>
  <c r="O1112" i="31"/>
  <c r="O1298" i="31"/>
  <c r="O1182" i="31"/>
  <c r="O1196" i="31"/>
  <c r="O1253" i="31"/>
  <c r="O1145" i="31"/>
  <c r="O1129" i="31"/>
  <c r="O1128" i="31"/>
  <c r="O1267" i="31"/>
  <c r="O1169" i="31"/>
  <c r="O1139" i="31"/>
  <c r="O1106" i="31"/>
  <c r="O1280" i="31"/>
  <c r="O1246" i="31"/>
  <c r="O1205" i="31"/>
  <c r="O1218" i="31"/>
  <c r="O1116" i="31"/>
  <c r="O1108" i="31"/>
  <c r="O1177" i="31"/>
  <c r="O1234" i="31"/>
  <c r="O1222" i="31"/>
  <c r="O1227" i="31"/>
  <c r="O1287" i="31"/>
  <c r="O1250" i="31"/>
  <c r="O1146" i="31"/>
  <c r="O1121" i="31"/>
  <c r="O1133" i="31"/>
  <c r="O1111" i="31"/>
  <c r="O1292" i="31"/>
  <c r="O1126" i="31"/>
  <c r="O1301" i="31"/>
  <c r="O1202" i="31"/>
  <c r="O1213" i="31"/>
  <c r="O1243" i="31"/>
  <c r="O1104" i="31"/>
  <c r="O1167" i="31"/>
  <c r="O1124" i="31"/>
  <c r="O1271" i="31"/>
  <c r="O1165" i="31"/>
  <c r="O1117" i="31"/>
  <c r="O1151" i="31"/>
  <c r="O1282" i="31"/>
  <c r="O1254" i="31"/>
  <c r="O1208" i="31"/>
  <c r="O1216" i="31"/>
  <c r="O1162" i="31"/>
  <c r="O1147" i="31"/>
  <c r="O1186" i="31"/>
  <c r="O1224" i="31"/>
  <c r="O1203" i="31"/>
  <c r="O1206" i="31"/>
  <c r="O1288" i="31"/>
  <c r="O1256" i="31"/>
  <c r="O1101" i="31"/>
  <c r="O1161" i="31"/>
  <c r="O1173" i="31"/>
  <c r="O1150" i="31"/>
  <c r="O1294" i="31"/>
  <c r="O1260" i="31"/>
  <c r="O1275" i="31"/>
  <c r="O1214" i="31"/>
  <c r="O1107" i="31"/>
  <c r="O1221" i="31"/>
  <c r="O1189" i="31"/>
  <c r="O1172" i="31"/>
  <c r="O1207" i="31"/>
  <c r="O1136" i="31"/>
  <c r="O1265" i="31"/>
  <c r="O1211" i="31"/>
  <c r="O1142" i="31"/>
  <c r="O1225" i="31"/>
  <c r="O1199" i="31"/>
  <c r="O1268" i="31"/>
  <c r="O1276" i="31"/>
  <c r="O1163" i="31"/>
  <c r="O1210" i="31"/>
  <c r="O1251" i="31"/>
  <c r="O1184" i="31"/>
  <c r="O1258" i="31"/>
  <c r="O1231" i="31"/>
  <c r="O1220" i="31"/>
  <c r="O1201" i="31"/>
  <c r="O1200" i="31"/>
  <c r="O1187" i="31"/>
  <c r="O1125" i="31"/>
  <c r="O1204" i="31"/>
  <c r="O1261" i="31"/>
  <c r="O1113" i="31"/>
  <c r="O1295" i="31"/>
  <c r="O1168" i="31"/>
  <c r="O1175" i="31"/>
  <c r="O1257" i="31"/>
  <c r="O1166" i="31"/>
  <c r="O1102" i="31"/>
  <c r="O1155" i="31"/>
  <c r="O1264" i="31"/>
  <c r="O1180" i="31"/>
  <c r="O1140" i="31"/>
  <c r="O1120" i="31"/>
  <c r="O1279" i="31"/>
  <c r="O1238" i="31"/>
  <c r="O1209" i="31"/>
  <c r="O1226" i="31"/>
  <c r="O1118" i="31"/>
  <c r="O1123" i="31"/>
  <c r="O1160" i="31"/>
  <c r="O1240" i="31"/>
  <c r="O1232" i="31"/>
  <c r="O1235" i="31"/>
  <c r="O1285" i="31"/>
  <c r="O1241" i="31"/>
  <c r="O1170" i="31"/>
  <c r="O1115" i="31"/>
  <c r="O1105" i="31"/>
  <c r="O1122" i="31"/>
  <c r="O1290" i="31"/>
  <c r="O1299" i="31"/>
  <c r="O1248" i="31"/>
  <c r="O1269" i="31"/>
  <c r="O1183" i="31"/>
  <c r="O1188" i="31"/>
  <c r="O1132" i="31"/>
  <c r="O1130" i="31"/>
  <c r="O1154" i="31"/>
  <c r="O1284" i="31"/>
  <c r="O1300" i="31"/>
  <c r="O1281" i="31"/>
  <c r="O1247" i="31"/>
  <c r="O1273" i="31"/>
  <c r="O1291" i="31"/>
  <c r="O1297" i="31"/>
  <c r="O1302" i="31"/>
  <c r="O1153" i="31"/>
  <c r="O1156" i="31"/>
  <c r="O1296" i="31"/>
  <c r="O1237" i="31"/>
  <c r="O1230" i="31"/>
  <c r="O1138" i="31"/>
  <c r="O1286" i="31"/>
  <c r="O1293" i="31"/>
  <c r="O1103" i="31"/>
  <c r="O1100" i="31"/>
  <c r="O1198" i="31"/>
  <c r="O1148" i="31"/>
  <c r="O1277" i="31"/>
  <c r="O48" i="31"/>
  <c r="Z20" i="20"/>
  <c r="AA17" i="11"/>
  <c r="U17" i="11"/>
  <c r="V17" i="11"/>
  <c r="W17" i="11"/>
  <c r="P17" i="11"/>
  <c r="X17" i="11" s="1"/>
  <c r="T17" i="11"/>
  <c r="S17" i="11"/>
  <c r="AT4" i="17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4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G2" i="34"/>
  <c r="G3" i="33"/>
  <c r="G4" i="33"/>
  <c r="G5" i="33"/>
  <c r="G6" i="33"/>
  <c r="G7" i="33"/>
  <c r="G8" i="33"/>
  <c r="G9" i="33"/>
  <c r="G10" i="33"/>
  <c r="G11" i="33"/>
  <c r="G12" i="33"/>
  <c r="G13" i="33"/>
  <c r="G14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138" i="33"/>
  <c r="G139" i="33"/>
  <c r="G140" i="33"/>
  <c r="G141" i="33"/>
  <c r="G142" i="33"/>
  <c r="G143" i="33"/>
  <c r="G144" i="33"/>
  <c r="G145" i="33"/>
  <c r="G162" i="33"/>
  <c r="G163" i="33"/>
  <c r="G164" i="33"/>
  <c r="G165" i="33"/>
  <c r="G166" i="33"/>
  <c r="G167" i="33"/>
  <c r="G168" i="33"/>
  <c r="G169" i="33"/>
  <c r="G170" i="33"/>
  <c r="G203" i="33"/>
  <c r="G204" i="33"/>
  <c r="G205" i="33"/>
  <c r="G206" i="33"/>
  <c r="G207" i="33"/>
  <c r="G208" i="33"/>
  <c r="G209" i="33"/>
  <c r="G210" i="33"/>
  <c r="G211" i="33"/>
  <c r="G212" i="33"/>
  <c r="G213" i="33"/>
  <c r="G214" i="33"/>
  <c r="G261" i="33"/>
  <c r="G262" i="33"/>
  <c r="G263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46" i="33"/>
  <c r="G147" i="33"/>
  <c r="G148" i="33"/>
  <c r="G149" i="33"/>
  <c r="G150" i="33"/>
  <c r="G171" i="33"/>
  <c r="G172" i="33"/>
  <c r="G173" i="33"/>
  <c r="G174" i="33"/>
  <c r="G175" i="33"/>
  <c r="G176" i="33"/>
  <c r="G177" i="33"/>
  <c r="G178" i="33"/>
  <c r="G179" i="33"/>
  <c r="G180" i="33"/>
  <c r="G215" i="33"/>
  <c r="G216" i="33"/>
  <c r="G217" i="33"/>
  <c r="G218" i="33"/>
  <c r="G219" i="33"/>
  <c r="G220" i="33"/>
  <c r="G221" i="33"/>
  <c r="G222" i="33"/>
  <c r="G223" i="33"/>
  <c r="G224" i="33"/>
  <c r="G225" i="33"/>
  <c r="G226" i="33"/>
  <c r="G264" i="33"/>
  <c r="G265" i="33"/>
  <c r="G266" i="33"/>
  <c r="G267" i="33"/>
  <c r="G268" i="33"/>
  <c r="G269" i="33"/>
  <c r="G270" i="33"/>
  <c r="G271" i="33"/>
  <c r="G272" i="33"/>
  <c r="G273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51" i="33"/>
  <c r="G152" i="33"/>
  <c r="G153" i="33"/>
  <c r="G154" i="33"/>
  <c r="G155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227" i="33"/>
  <c r="G228" i="33"/>
  <c r="G229" i="33"/>
  <c r="G230" i="33"/>
  <c r="G231" i="33"/>
  <c r="G232" i="33"/>
  <c r="G233" i="33"/>
  <c r="G234" i="33"/>
  <c r="G274" i="33"/>
  <c r="G275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56" i="33"/>
  <c r="G157" i="33"/>
  <c r="G193" i="33"/>
  <c r="G194" i="33"/>
  <c r="G195" i="33"/>
  <c r="G196" i="33"/>
  <c r="G197" i="33"/>
  <c r="G198" i="33"/>
  <c r="G199" i="33"/>
  <c r="G235" i="33"/>
  <c r="G236" i="33"/>
  <c r="G237" i="33"/>
  <c r="G238" i="33"/>
  <c r="G239" i="33"/>
  <c r="G240" i="33"/>
  <c r="G241" i="33"/>
  <c r="G242" i="33"/>
  <c r="G243" i="33"/>
  <c r="G244" i="33"/>
  <c r="G245" i="33"/>
  <c r="G246" i="33"/>
  <c r="G247" i="33"/>
  <c r="G248" i="33"/>
  <c r="G249" i="33"/>
  <c r="G250" i="33"/>
  <c r="G251" i="33"/>
  <c r="G252" i="33"/>
  <c r="G253" i="33"/>
  <c r="G254" i="33"/>
  <c r="G255" i="33"/>
  <c r="G256" i="33"/>
  <c r="G257" i="33"/>
  <c r="G276" i="33"/>
  <c r="G277" i="33"/>
  <c r="G278" i="33"/>
  <c r="G279" i="33"/>
  <c r="G158" i="33"/>
  <c r="G258" i="33"/>
  <c r="G159" i="33"/>
  <c r="G160" i="33"/>
  <c r="G259" i="33"/>
  <c r="G200" i="33"/>
  <c r="G71" i="33"/>
  <c r="G135" i="33"/>
  <c r="G280" i="33"/>
  <c r="G260" i="33"/>
  <c r="G201" i="33"/>
  <c r="G72" i="33"/>
  <c r="G136" i="33"/>
  <c r="G281" i="33"/>
  <c r="G202" i="33"/>
  <c r="G73" i="33"/>
  <c r="G137" i="33"/>
  <c r="G282" i="33"/>
  <c r="G161" i="33"/>
  <c r="G2" i="33"/>
  <c r="V74" i="32"/>
  <c r="AB74" i="32" s="1"/>
  <c r="M74" i="32"/>
  <c r="T74" i="32" s="1"/>
  <c r="Z74" i="32" s="1"/>
  <c r="M73" i="32"/>
  <c r="T73" i="32" s="1"/>
  <c r="Z73" i="32" s="1"/>
  <c r="T72" i="32"/>
  <c r="Z72" i="32" s="1"/>
  <c r="W94" i="32"/>
  <c r="AC94" i="32" s="1"/>
  <c r="X94" i="32"/>
  <c r="AD94" i="32" s="1"/>
  <c r="Y94" i="32"/>
  <c r="AE94" i="32" s="1"/>
  <c r="N94" i="32"/>
  <c r="O94" i="32" s="1"/>
  <c r="V94" i="32" s="1"/>
  <c r="AB94" i="32" s="1"/>
  <c r="Y99" i="32"/>
  <c r="AE99" i="32" s="1"/>
  <c r="V99" i="32"/>
  <c r="AB99" i="32" s="1"/>
  <c r="U99" i="32"/>
  <c r="AA99" i="32" s="1"/>
  <c r="X99" i="32"/>
  <c r="AD99" i="32" s="1"/>
  <c r="W99" i="32"/>
  <c r="AC99" i="32" s="1"/>
  <c r="Y72" i="32"/>
  <c r="AE72" i="32" s="1"/>
  <c r="X72" i="32"/>
  <c r="AD72" i="32" s="1"/>
  <c r="N72" i="32"/>
  <c r="U72" i="32" s="1"/>
  <c r="AA72" i="32" s="1"/>
  <c r="O72" i="32"/>
  <c r="V72" i="32" s="1"/>
  <c r="AB72" i="32" s="1"/>
  <c r="W72" i="32"/>
  <c r="AC72" i="32" s="1"/>
  <c r="W58" i="32"/>
  <c r="AC58" i="32" s="1"/>
  <c r="W70" i="32"/>
  <c r="AC70" i="32" s="1"/>
  <c r="W31" i="32"/>
  <c r="AC31" i="32" s="1"/>
  <c r="W60" i="32"/>
  <c r="AC60" i="32" s="1"/>
  <c r="W80" i="32"/>
  <c r="AC80" i="32" s="1"/>
  <c r="W32" i="32"/>
  <c r="AC32" i="32" s="1"/>
  <c r="W34" i="32"/>
  <c r="AC34" i="32" s="1"/>
  <c r="W69" i="32"/>
  <c r="AC69" i="32" s="1"/>
  <c r="W45" i="32"/>
  <c r="AC45" i="32" s="1"/>
  <c r="W97" i="32"/>
  <c r="AC97" i="32" s="1"/>
  <c r="W20" i="32"/>
  <c r="AC20" i="32" s="1"/>
  <c r="U96" i="32"/>
  <c r="AA96" i="32" s="1"/>
  <c r="U97" i="32"/>
  <c r="AA97" i="32" s="1"/>
  <c r="U98" i="32"/>
  <c r="AA98" i="32" s="1"/>
  <c r="X98" i="32"/>
  <c r="AD98" i="32" s="1"/>
  <c r="X70" i="32"/>
  <c r="AD70" i="32" s="1"/>
  <c r="V40" i="32"/>
  <c r="AB40" i="32" s="1"/>
  <c r="V38" i="32"/>
  <c r="AB38" i="32" s="1"/>
  <c r="U39" i="32"/>
  <c r="AA39" i="32" s="1"/>
  <c r="W39" i="32"/>
  <c r="AC39" i="32" s="1"/>
  <c r="X39" i="32"/>
  <c r="AD39" i="32" s="1"/>
  <c r="Y39" i="32"/>
  <c r="AE39" i="32" s="1"/>
  <c r="U40" i="32"/>
  <c r="AA40" i="32" s="1"/>
  <c r="W40" i="32"/>
  <c r="AC40" i="32" s="1"/>
  <c r="X40" i="32"/>
  <c r="AD40" i="32" s="1"/>
  <c r="Y40" i="32"/>
  <c r="AE40" i="32" s="1"/>
  <c r="U37" i="32"/>
  <c r="AA37" i="32" s="1"/>
  <c r="W37" i="32"/>
  <c r="AC37" i="32" s="1"/>
  <c r="X37" i="32"/>
  <c r="AD37" i="32" s="1"/>
  <c r="Y37" i="32"/>
  <c r="AE37" i="32" s="1"/>
  <c r="U38" i="32"/>
  <c r="AA38" i="32" s="1"/>
  <c r="W38" i="32"/>
  <c r="AC38" i="32" s="1"/>
  <c r="X38" i="32"/>
  <c r="AD38" i="32" s="1"/>
  <c r="Y38" i="32"/>
  <c r="AE38" i="32" s="1"/>
  <c r="Y35" i="32"/>
  <c r="AE35" i="32" s="1"/>
  <c r="X35" i="32"/>
  <c r="AD35" i="32" s="1"/>
  <c r="W35" i="32"/>
  <c r="AC35" i="32" s="1"/>
  <c r="U35" i="32"/>
  <c r="AA35" i="32" s="1"/>
  <c r="Y36" i="32"/>
  <c r="AE36" i="32" s="1"/>
  <c r="X36" i="32"/>
  <c r="AD36" i="32" s="1"/>
  <c r="W36" i="32"/>
  <c r="AC36" i="32" s="1"/>
  <c r="V36" i="32"/>
  <c r="AB36" i="32" s="1"/>
  <c r="U36" i="32"/>
  <c r="AA36" i="32" s="1"/>
  <c r="U41" i="32"/>
  <c r="AA41" i="32" s="1"/>
  <c r="Y41" i="32"/>
  <c r="AE41" i="32" s="1"/>
  <c r="X41" i="32"/>
  <c r="AD41" i="32" s="1"/>
  <c r="W41" i="32"/>
  <c r="AC41" i="32" s="1"/>
  <c r="V41" i="32"/>
  <c r="AB41" i="32" s="1"/>
  <c r="X34" i="32"/>
  <c r="AD34" i="32" s="1"/>
  <c r="Y34" i="32"/>
  <c r="AE34" i="32" s="1"/>
  <c r="V34" i="32"/>
  <c r="AB34" i="32" s="1"/>
  <c r="Y33" i="32"/>
  <c r="AE33" i="32" s="1"/>
  <c r="V33" i="32"/>
  <c r="AB33" i="32" s="1"/>
  <c r="X33" i="32"/>
  <c r="AD33" i="32" s="1"/>
  <c r="W33" i="32"/>
  <c r="AC33" i="32" s="1"/>
  <c r="U33" i="32"/>
  <c r="AA33" i="32" s="1"/>
  <c r="V42" i="32"/>
  <c r="AB42" i="32" s="1"/>
  <c r="W42" i="32"/>
  <c r="AC42" i="32" s="1"/>
  <c r="X42" i="32"/>
  <c r="AD42" i="32" s="1"/>
  <c r="Y42" i="32"/>
  <c r="AE42" i="32" s="1"/>
  <c r="U42" i="32"/>
  <c r="AA42" i="32" s="1"/>
  <c r="Y69" i="32"/>
  <c r="AE69" i="32" s="1"/>
  <c r="X69" i="32"/>
  <c r="AD69" i="32" s="1"/>
  <c r="U69" i="32"/>
  <c r="AA69" i="32" s="1"/>
  <c r="X103" i="32"/>
  <c r="AD103" i="32" s="1"/>
  <c r="W103" i="32"/>
  <c r="AC103" i="32" s="1"/>
  <c r="V103" i="32"/>
  <c r="AB103" i="32" s="1"/>
  <c r="U103" i="32"/>
  <c r="AA103" i="32" s="1"/>
  <c r="X45" i="32"/>
  <c r="AD45" i="32" s="1"/>
  <c r="V45" i="32"/>
  <c r="AB45" i="32" s="1"/>
  <c r="U45" i="32"/>
  <c r="AA45" i="32" s="1"/>
  <c r="U44" i="32"/>
  <c r="AA44" i="32" s="1"/>
  <c r="T43" i="32"/>
  <c r="Z43" i="32" s="1"/>
  <c r="X60" i="32"/>
  <c r="AD60" i="32" s="1"/>
  <c r="X53" i="32"/>
  <c r="AD53" i="32" s="1"/>
  <c r="X89" i="32"/>
  <c r="AD89" i="32" s="1"/>
  <c r="X29" i="32"/>
  <c r="AD29" i="32" s="1"/>
  <c r="X51" i="32"/>
  <c r="AD51" i="32" s="1"/>
  <c r="X88" i="32"/>
  <c r="AD88" i="32" s="1"/>
  <c r="X52" i="32"/>
  <c r="AD52" i="32" s="1"/>
  <c r="X50" i="32"/>
  <c r="AD50" i="32" s="1"/>
  <c r="X101" i="32"/>
  <c r="AD101" i="32" s="1"/>
  <c r="X92" i="32"/>
  <c r="AD92" i="32" s="1"/>
  <c r="X57" i="32"/>
  <c r="AD57" i="32" s="1"/>
  <c r="X90" i="32"/>
  <c r="AD90" i="32" s="1"/>
  <c r="X91" i="32"/>
  <c r="AD91" i="32" s="1"/>
  <c r="X47" i="32"/>
  <c r="AD47" i="32" s="1"/>
  <c r="X102" i="32"/>
  <c r="AD102" i="32" s="1"/>
  <c r="X22" i="32"/>
  <c r="AD22" i="32" s="1"/>
  <c r="X95" i="32"/>
  <c r="AD95" i="32" s="1"/>
  <c r="X17" i="32"/>
  <c r="AD17" i="32" s="1"/>
  <c r="W56" i="32"/>
  <c r="AC56" i="32" s="1"/>
  <c r="W53" i="32"/>
  <c r="AC53" i="32" s="1"/>
  <c r="W9" i="32"/>
  <c r="AC9" i="32" s="1"/>
  <c r="W30" i="32"/>
  <c r="AC30" i="32" s="1"/>
  <c r="W102" i="32"/>
  <c r="AC102" i="32" s="1"/>
  <c r="W59" i="32"/>
  <c r="AC59" i="32" s="1"/>
  <c r="W63" i="32"/>
  <c r="AC63" i="32" s="1"/>
  <c r="W29" i="32"/>
  <c r="AC29" i="32" s="1"/>
  <c r="W28" i="32"/>
  <c r="AC28" i="32" s="1"/>
  <c r="W67" i="32"/>
  <c r="AC67" i="32" s="1"/>
  <c r="W95" i="32"/>
  <c r="AC95" i="32" s="1"/>
  <c r="W65" i="32"/>
  <c r="AC65" i="32" s="1"/>
  <c r="W79" i="32"/>
  <c r="AC79" i="32" s="1"/>
  <c r="W77" i="32"/>
  <c r="AC77" i="32" s="1"/>
  <c r="W51" i="32"/>
  <c r="AC51" i="32" s="1"/>
  <c r="W52" i="32"/>
  <c r="AC52" i="32" s="1"/>
  <c r="W10" i="32"/>
  <c r="AC10" i="32" s="1"/>
  <c r="W22" i="32"/>
  <c r="AC22" i="32" s="1"/>
  <c r="W57" i="32"/>
  <c r="AC57" i="32" s="1"/>
  <c r="W12" i="32"/>
  <c r="AC12" i="32" s="1"/>
  <c r="W17" i="32"/>
  <c r="AC17" i="32" s="1"/>
  <c r="W14" i="32"/>
  <c r="AC14" i="32" s="1"/>
  <c r="W18" i="32"/>
  <c r="AC18" i="32" s="1"/>
  <c r="W68" i="32"/>
  <c r="AC68" i="32" s="1"/>
  <c r="W15" i="32"/>
  <c r="AC15" i="32" s="1"/>
  <c r="W81" i="32"/>
  <c r="AC81" i="32" s="1"/>
  <c r="W13" i="32"/>
  <c r="AC13" i="32" s="1"/>
  <c r="W61" i="32"/>
  <c r="AC61" i="32" s="1"/>
  <c r="W82" i="32"/>
  <c r="AC82" i="32" s="1"/>
  <c r="W101" i="32"/>
  <c r="AC101" i="32" s="1"/>
  <c r="W92" i="32"/>
  <c r="AC92" i="32" s="1"/>
  <c r="W78" i="32"/>
  <c r="AC78" i="32" s="1"/>
  <c r="W90" i="32"/>
  <c r="AC90" i="32" s="1"/>
  <c r="W91" i="32"/>
  <c r="AC91" i="32" s="1"/>
  <c r="W62" i="32"/>
  <c r="AC62" i="32" s="1"/>
  <c r="W96" i="32"/>
  <c r="AC96" i="32" s="1"/>
  <c r="W87" i="32"/>
  <c r="AC87" i="32" s="1"/>
  <c r="W75" i="32"/>
  <c r="AC75" i="32" s="1"/>
  <c r="W84" i="32"/>
  <c r="AC84" i="32" s="1"/>
  <c r="W85" i="32"/>
  <c r="AC85" i="32" s="1"/>
  <c r="W100" i="32"/>
  <c r="AC100" i="32" s="1"/>
  <c r="W11" i="32"/>
  <c r="AC11" i="32" s="1"/>
  <c r="W86" i="32"/>
  <c r="AC86" i="32" s="1"/>
  <c r="W76" i="32"/>
  <c r="AC76" i="32" s="1"/>
  <c r="W64" i="32"/>
  <c r="AC64" i="32" s="1"/>
  <c r="W93" i="32"/>
  <c r="AC93" i="32" s="1"/>
  <c r="W19" i="32"/>
  <c r="AC19" i="32" s="1"/>
  <c r="V31" i="32"/>
  <c r="AB31" i="32" s="1"/>
  <c r="U19" i="32"/>
  <c r="AA19" i="32" s="1"/>
  <c r="T71" i="32"/>
  <c r="Z71" i="32" s="1"/>
  <c r="T25" i="32"/>
  <c r="Z25" i="32" s="1"/>
  <c r="T29" i="32"/>
  <c r="Z29" i="32" s="1"/>
  <c r="T23" i="32"/>
  <c r="Z23" i="32" s="1"/>
  <c r="T56" i="32"/>
  <c r="Z56" i="32" s="1"/>
  <c r="T8" i="32"/>
  <c r="Z8" i="32" s="1"/>
  <c r="T5" i="32"/>
  <c r="Z5" i="32" s="1"/>
  <c r="T24" i="32"/>
  <c r="Z24" i="32" s="1"/>
  <c r="T27" i="32"/>
  <c r="Z27" i="32" s="1"/>
  <c r="V10" i="32"/>
  <c r="AB10" i="32" s="1"/>
  <c r="V18" i="32"/>
  <c r="AB18" i="32" s="1"/>
  <c r="V16" i="32"/>
  <c r="AB16" i="32" s="1"/>
  <c r="V75" i="32"/>
  <c r="AB75" i="32" s="1"/>
  <c r="V76" i="32"/>
  <c r="AB76" i="32" s="1"/>
  <c r="V77" i="32"/>
  <c r="AB77" i="32" s="1"/>
  <c r="V79" i="32"/>
  <c r="AB79" i="32" s="1"/>
  <c r="V83" i="32"/>
  <c r="AB83" i="32" s="1"/>
  <c r="V84" i="32"/>
  <c r="AB84" i="32" s="1"/>
  <c r="U80" i="32"/>
  <c r="AA80" i="32" s="1"/>
  <c r="U81" i="32"/>
  <c r="AA81" i="32" s="1"/>
  <c r="U82" i="32"/>
  <c r="AA82" i="32" s="1"/>
  <c r="U83" i="32"/>
  <c r="AA83" i="32" s="1"/>
  <c r="U85" i="32"/>
  <c r="AA85" i="32" s="1"/>
  <c r="U86" i="32"/>
  <c r="AA86" i="32" s="1"/>
  <c r="U87" i="32"/>
  <c r="AA87" i="32" s="1"/>
  <c r="U88" i="32"/>
  <c r="AA88" i="32" s="1"/>
  <c r="U89" i="32"/>
  <c r="AA89" i="32" s="1"/>
  <c r="U90" i="32"/>
  <c r="AA90" i="32" s="1"/>
  <c r="U91" i="32"/>
  <c r="AA91" i="32" s="1"/>
  <c r="U92" i="32"/>
  <c r="AA92" i="32" s="1"/>
  <c r="U93" i="32"/>
  <c r="AA93" i="32" s="1"/>
  <c r="U95" i="32"/>
  <c r="AA95" i="32" s="1"/>
  <c r="U84" i="32"/>
  <c r="AA84" i="32" s="1"/>
  <c r="U100" i="32"/>
  <c r="AA100" i="32" s="1"/>
  <c r="U101" i="32"/>
  <c r="AA101" i="32" s="1"/>
  <c r="U102" i="32"/>
  <c r="AA102" i="32" s="1"/>
  <c r="V67" i="32"/>
  <c r="AB67" i="32" s="1"/>
  <c r="U68" i="32"/>
  <c r="AA68" i="32" s="1"/>
  <c r="W16" i="32"/>
  <c r="AC16" i="32" s="1"/>
  <c r="X3" i="32"/>
  <c r="AD3" i="32" s="1"/>
  <c r="X48" i="32"/>
  <c r="AD48" i="32" s="1"/>
  <c r="X4" i="32"/>
  <c r="AD4" i="32" s="1"/>
  <c r="X49" i="32"/>
  <c r="AD49" i="32" s="1"/>
  <c r="X56" i="32"/>
  <c r="AD56" i="32" s="1"/>
  <c r="V53" i="32"/>
  <c r="AB53" i="32" s="1"/>
  <c r="V52" i="32"/>
  <c r="AB52" i="32" s="1"/>
  <c r="V55" i="32"/>
  <c r="AB55" i="32" s="1"/>
  <c r="V56" i="32"/>
  <c r="AB56" i="32" s="1"/>
  <c r="M70" i="32"/>
  <c r="T70" i="32" s="1"/>
  <c r="Z70" i="32" s="1"/>
  <c r="U70" i="32"/>
  <c r="AA70" i="32" s="1"/>
  <c r="X16" i="32"/>
  <c r="AD16" i="32" s="1"/>
  <c r="V54" i="32"/>
  <c r="AB54" i="32" s="1"/>
  <c r="M55" i="32"/>
  <c r="T55" i="32" s="1"/>
  <c r="Z55" i="32" s="1"/>
  <c r="M54" i="32"/>
  <c r="T54" i="32" s="1"/>
  <c r="Z54" i="32" s="1"/>
  <c r="M51" i="32"/>
  <c r="T51" i="32" s="1"/>
  <c r="Z51" i="32" s="1"/>
  <c r="V51" i="32"/>
  <c r="AB51" i="32" s="1"/>
  <c r="V50" i="32"/>
  <c r="AB50" i="32" s="1"/>
  <c r="M52" i="32"/>
  <c r="T52" i="32" s="1"/>
  <c r="Z52" i="32" s="1"/>
  <c r="V49" i="32"/>
  <c r="AB49" i="32" s="1"/>
  <c r="V47" i="32"/>
  <c r="AB47" i="32" s="1"/>
  <c r="V48" i="32"/>
  <c r="AB48" i="32" s="1"/>
  <c r="V2" i="32"/>
  <c r="AB2" i="32" s="1"/>
  <c r="V3" i="32"/>
  <c r="AB3" i="32" s="1"/>
  <c r="V4" i="32"/>
  <c r="AB4" i="32" s="1"/>
  <c r="V5" i="32"/>
  <c r="AB5" i="32" s="1"/>
  <c r="V6" i="32"/>
  <c r="AB6" i="32" s="1"/>
  <c r="V8" i="32"/>
  <c r="AB8" i="32" s="1"/>
  <c r="V46" i="32"/>
  <c r="AB46" i="32" s="1"/>
  <c r="V29" i="32"/>
  <c r="AB29" i="32" s="1"/>
  <c r="X2" i="32"/>
  <c r="AD2" i="32" s="1"/>
  <c r="X5" i="32"/>
  <c r="AD5" i="32" s="1"/>
  <c r="X6" i="32"/>
  <c r="AD6" i="32" s="1"/>
  <c r="M7" i="32"/>
  <c r="T7" i="32" s="1"/>
  <c r="Z7" i="32" s="1"/>
  <c r="M4" i="32"/>
  <c r="T4" i="32" s="1"/>
  <c r="Z4" i="32" s="1"/>
  <c r="M3" i="32"/>
  <c r="T3" i="32" s="1"/>
  <c r="Z3" i="32" s="1"/>
  <c r="M2" i="32"/>
  <c r="T2" i="32" s="1"/>
  <c r="Z2" i="32" s="1"/>
  <c r="X28" i="32"/>
  <c r="AD28" i="32" s="1"/>
  <c r="N11" i="9"/>
  <c r="R11" i="9"/>
  <c r="M26" i="32"/>
  <c r="T26" i="32" s="1"/>
  <c r="Z26" i="32" s="1"/>
  <c r="X58" i="32"/>
  <c r="AD58" i="32" s="1"/>
  <c r="X59" i="32"/>
  <c r="AD59" i="32" s="1"/>
  <c r="X9" i="32"/>
  <c r="AD9" i="32" s="1"/>
  <c r="X32" i="32"/>
  <c r="AD32" i="32" s="1"/>
  <c r="X30" i="32"/>
  <c r="AD30" i="32" s="1"/>
  <c r="U25" i="32"/>
  <c r="AA25" i="32" s="1"/>
  <c r="Y15" i="2"/>
  <c r="Q15" i="2"/>
  <c r="R15" i="2"/>
  <c r="S15" i="2"/>
  <c r="T15" i="2"/>
  <c r="X96" i="32"/>
  <c r="AD96" i="32" s="1"/>
  <c r="Y92" i="32"/>
  <c r="AE92" i="32" s="1"/>
  <c r="Y93" i="32"/>
  <c r="AE93" i="32" s="1"/>
  <c r="Y18" i="32"/>
  <c r="AE18" i="32" s="1"/>
  <c r="Y95" i="32"/>
  <c r="AE95" i="32" s="1"/>
  <c r="Y17" i="32"/>
  <c r="AE17" i="32" s="1"/>
  <c r="Y16" i="32"/>
  <c r="AE16" i="32" s="1"/>
  <c r="Y87" i="32"/>
  <c r="AE87" i="32" s="1"/>
  <c r="Y64" i="32"/>
  <c r="AE64" i="32" s="1"/>
  <c r="X64" i="32"/>
  <c r="AD64" i="32" s="1"/>
  <c r="X78" i="32"/>
  <c r="AD78" i="32" s="1"/>
  <c r="X11" i="32"/>
  <c r="AD11" i="32" s="1"/>
  <c r="X85" i="32"/>
  <c r="AD85" i="32" s="1"/>
  <c r="X15" i="32"/>
  <c r="AD15" i="32" s="1"/>
  <c r="X86" i="32"/>
  <c r="AD86" i="32" s="1"/>
  <c r="X87" i="32"/>
  <c r="AD87" i="32" s="1"/>
  <c r="X93" i="32"/>
  <c r="AD93" i="32" s="1"/>
  <c r="X20" i="32"/>
  <c r="AD20" i="32" s="1"/>
  <c r="X97" i="32"/>
  <c r="AD97" i="32" s="1"/>
  <c r="X100" i="32"/>
  <c r="AD100" i="32" s="1"/>
  <c r="X21" i="32"/>
  <c r="AD21" i="32" s="1"/>
  <c r="U61" i="32"/>
  <c r="AA61" i="32" s="1"/>
  <c r="U11" i="32"/>
  <c r="AA11" i="32" s="1"/>
  <c r="U12" i="32"/>
  <c r="AA12" i="32" s="1"/>
  <c r="U13" i="32"/>
  <c r="AA13" i="32" s="1"/>
  <c r="U14" i="32"/>
  <c r="AA14" i="32" s="1"/>
  <c r="U62" i="32"/>
  <c r="AA62" i="32" s="1"/>
  <c r="U63" i="32"/>
  <c r="AA63" i="32" s="1"/>
  <c r="U64" i="32"/>
  <c r="AA64" i="32" s="1"/>
  <c r="U65" i="32"/>
  <c r="AA65" i="32" s="1"/>
  <c r="U15" i="32"/>
  <c r="AA15" i="32" s="1"/>
  <c r="U66" i="32"/>
  <c r="AA66" i="32" s="1"/>
  <c r="U16" i="32"/>
  <c r="AA16" i="32" s="1"/>
  <c r="U17" i="32"/>
  <c r="AA17" i="32" s="1"/>
  <c r="U18" i="32"/>
  <c r="AA18" i="32" s="1"/>
  <c r="U20" i="32"/>
  <c r="AA20" i="32" s="1"/>
  <c r="U21" i="32"/>
  <c r="AA21" i="32" s="1"/>
  <c r="U22" i="32"/>
  <c r="AA22" i="32" s="1"/>
  <c r="AP79" i="19"/>
  <c r="Q79" i="19"/>
  <c r="R52" i="10"/>
  <c r="S94" i="25"/>
  <c r="W94" i="25" s="1"/>
  <c r="X94" i="25" s="1"/>
  <c r="S93" i="25"/>
  <c r="W93" i="25" s="1"/>
  <c r="X93" i="25" s="1"/>
  <c r="S92" i="25"/>
  <c r="W92" i="25" s="1"/>
  <c r="X92" i="25" s="1"/>
  <c r="S84" i="25"/>
  <c r="W84" i="25" s="1"/>
  <c r="X84" i="25" s="1"/>
  <c r="S83" i="25"/>
  <c r="S82" i="25"/>
  <c r="W82" i="25" s="1"/>
  <c r="X82" i="25" s="1"/>
  <c r="S74" i="25"/>
  <c r="W74" i="25" s="1"/>
  <c r="X74" i="25" s="1"/>
  <c r="S73" i="25"/>
  <c r="S72" i="25"/>
  <c r="W72" i="25" s="1"/>
  <c r="X72" i="25" s="1"/>
  <c r="S64" i="25"/>
  <c r="W64" i="25" s="1"/>
  <c r="X64" i="25" s="1"/>
  <c r="S63" i="25"/>
  <c r="S62" i="25"/>
  <c r="W62" i="25" s="1"/>
  <c r="X62" i="25" s="1"/>
  <c r="S54" i="25"/>
  <c r="W54" i="25" s="1"/>
  <c r="X54" i="25" s="1"/>
  <c r="S53" i="25"/>
  <c r="S52" i="25"/>
  <c r="W52" i="25" s="1"/>
  <c r="X52" i="25" s="1"/>
  <c r="S44" i="25"/>
  <c r="W44" i="25" s="1"/>
  <c r="X44" i="25" s="1"/>
  <c r="S43" i="25"/>
  <c r="S42" i="25"/>
  <c r="W42" i="25" s="1"/>
  <c r="X42" i="25" s="1"/>
  <c r="S34" i="25"/>
  <c r="W34" i="25" s="1"/>
  <c r="X34" i="25" s="1"/>
  <c r="S33" i="25"/>
  <c r="W33" i="25" s="1"/>
  <c r="X33" i="25" s="1"/>
  <c r="S32" i="25"/>
  <c r="T32" i="25" s="1"/>
  <c r="U32" i="25" s="1"/>
  <c r="V32" i="25" s="1"/>
  <c r="S23" i="25"/>
  <c r="W23" i="25" s="1"/>
  <c r="X23" i="25" s="1"/>
  <c r="S22" i="25"/>
  <c r="W22" i="25" s="1"/>
  <c r="X22" i="25" s="1"/>
  <c r="S13" i="25"/>
  <c r="S12" i="25"/>
  <c r="W12" i="25" s="1"/>
  <c r="X12" i="25" s="1"/>
  <c r="S3" i="25"/>
  <c r="W3" i="25" s="1"/>
  <c r="X3" i="25" s="1"/>
  <c r="S2" i="25"/>
  <c r="T2" i="25" s="1"/>
  <c r="U2" i="25" s="1"/>
  <c r="V2" i="25" s="1"/>
  <c r="I96" i="25"/>
  <c r="I85" i="25"/>
  <c r="K85" i="25" s="1"/>
  <c r="N79" i="19"/>
  <c r="V35" i="2"/>
  <c r="V36" i="2"/>
  <c r="V33" i="2"/>
  <c r="V34" i="2"/>
  <c r="V31" i="2"/>
  <c r="V2" i="2"/>
  <c r="V5" i="2"/>
  <c r="V3" i="2"/>
  <c r="V4" i="2"/>
  <c r="V12" i="2"/>
  <c r="V24" i="2"/>
  <c r="V26" i="2"/>
  <c r="V27" i="2"/>
  <c r="V23" i="2"/>
  <c r="V25" i="2"/>
  <c r="V21" i="2"/>
  <c r="V22" i="2"/>
  <c r="V20" i="2"/>
  <c r="V29" i="2"/>
  <c r="V28" i="2"/>
  <c r="V32" i="2"/>
  <c r="V18" i="2"/>
  <c r="V19" i="2"/>
  <c r="R75" i="12"/>
  <c r="Q75" i="12"/>
  <c r="P75" i="12"/>
  <c r="O75" i="12"/>
  <c r="N75" i="12"/>
  <c r="R34" i="2"/>
  <c r="U34" i="2"/>
  <c r="S75" i="12"/>
  <c r="Q111" i="12"/>
  <c r="R111" i="12"/>
  <c r="S111" i="12"/>
  <c r="N93" i="19"/>
  <c r="W93" i="19"/>
  <c r="V93" i="19"/>
  <c r="U93" i="19"/>
  <c r="T93" i="19"/>
  <c r="S93" i="19"/>
  <c r="R93" i="19"/>
  <c r="Q93" i="19"/>
  <c r="P93" i="19"/>
  <c r="O93" i="19"/>
  <c r="S92" i="12"/>
  <c r="S114" i="12"/>
  <c r="S201" i="12"/>
  <c r="S82" i="12"/>
  <c r="S77" i="12"/>
  <c r="S118" i="12"/>
  <c r="S138" i="12"/>
  <c r="S117" i="12"/>
  <c r="S80" i="12"/>
  <c r="S112" i="12"/>
  <c r="S86" i="12"/>
  <c r="S99" i="12"/>
  <c r="S90" i="12"/>
  <c r="S143" i="12"/>
  <c r="S81" i="12"/>
  <c r="V78" i="12"/>
  <c r="Q78" i="12"/>
  <c r="P78" i="12"/>
  <c r="O78" i="12"/>
  <c r="N78" i="12"/>
  <c r="J78" i="12"/>
  <c r="R78" i="12" s="1"/>
  <c r="I78" i="12"/>
  <c r="G78" i="12"/>
  <c r="V81" i="12"/>
  <c r="R81" i="12"/>
  <c r="Q81" i="12"/>
  <c r="P81" i="12"/>
  <c r="O81" i="12"/>
  <c r="N81" i="12"/>
  <c r="Q199" i="12"/>
  <c r="P199" i="12"/>
  <c r="O199" i="12"/>
  <c r="J199" i="12"/>
  <c r="R199" i="12" s="1"/>
  <c r="V83" i="12"/>
  <c r="Q83" i="12"/>
  <c r="P83" i="12"/>
  <c r="O83" i="12"/>
  <c r="N83" i="12"/>
  <c r="J83" i="12" s="1"/>
  <c r="R83" i="12" s="1"/>
  <c r="V143" i="12"/>
  <c r="R143" i="12"/>
  <c r="Q143" i="12"/>
  <c r="P143" i="12"/>
  <c r="O143" i="12"/>
  <c r="V90" i="12"/>
  <c r="R90" i="12"/>
  <c r="Q90" i="12"/>
  <c r="M90" i="12"/>
  <c r="P90" i="12" s="1"/>
  <c r="R99" i="12"/>
  <c r="Q99" i="12"/>
  <c r="V129" i="12"/>
  <c r="Q129" i="12"/>
  <c r="P129" i="12"/>
  <c r="O129" i="12"/>
  <c r="N129" i="12"/>
  <c r="J129" i="12" s="1"/>
  <c r="R129" i="12" s="1"/>
  <c r="V87" i="12"/>
  <c r="Q87" i="12"/>
  <c r="P87" i="12"/>
  <c r="O87" i="12"/>
  <c r="N87" i="12"/>
  <c r="J87" i="12" s="1"/>
  <c r="R87" i="12" s="1"/>
  <c r="V106" i="12"/>
  <c r="Q106" i="12"/>
  <c r="P106" i="12"/>
  <c r="O106" i="12"/>
  <c r="J106" i="12"/>
  <c r="S106" i="12" s="1"/>
  <c r="V86" i="12"/>
  <c r="R86" i="12"/>
  <c r="Q86" i="12"/>
  <c r="P86" i="12"/>
  <c r="O86" i="12"/>
  <c r="N86" i="12"/>
  <c r="G86" i="12"/>
  <c r="V225" i="12"/>
  <c r="Q225" i="12"/>
  <c r="P225" i="12"/>
  <c r="O225" i="12"/>
  <c r="J225" i="12"/>
  <c r="R225" i="12" s="1"/>
  <c r="V112" i="12"/>
  <c r="R112" i="12"/>
  <c r="Q112" i="12"/>
  <c r="P112" i="12"/>
  <c r="O112" i="12"/>
  <c r="V80" i="12"/>
  <c r="R80" i="12"/>
  <c r="Q80" i="12"/>
  <c r="P80" i="12"/>
  <c r="O80" i="12"/>
  <c r="N80" i="12"/>
  <c r="V117" i="12"/>
  <c r="R117" i="12"/>
  <c r="Q117" i="12"/>
  <c r="V138" i="12"/>
  <c r="R138" i="12"/>
  <c r="Q138" i="12"/>
  <c r="V118" i="12"/>
  <c r="R118" i="12"/>
  <c r="Q118" i="12"/>
  <c r="P118" i="12"/>
  <c r="O118" i="12"/>
  <c r="V85" i="12"/>
  <c r="Q85" i="12"/>
  <c r="P85" i="12"/>
  <c r="O85" i="12"/>
  <c r="N85" i="12"/>
  <c r="J85" i="12" s="1"/>
  <c r="R85" i="12" s="1"/>
  <c r="V77" i="12"/>
  <c r="R77" i="12"/>
  <c r="Q77" i="12"/>
  <c r="P77" i="12"/>
  <c r="O77" i="12"/>
  <c r="N77" i="12"/>
  <c r="Q123" i="12"/>
  <c r="P123" i="12"/>
  <c r="O123" i="12"/>
  <c r="N123" i="12"/>
  <c r="J123" i="12" s="1"/>
  <c r="R123" i="12" s="1"/>
  <c r="Q89" i="12"/>
  <c r="P89" i="12"/>
  <c r="O89" i="12"/>
  <c r="J89" i="12"/>
  <c r="R89" i="12" s="1"/>
  <c r="V104" i="12"/>
  <c r="Q104" i="12"/>
  <c r="P104" i="12"/>
  <c r="O104" i="12"/>
  <c r="J104" i="12"/>
  <c r="R104" i="12" s="1"/>
  <c r="V82" i="12"/>
  <c r="R82" i="12"/>
  <c r="Q82" i="12"/>
  <c r="P82" i="12"/>
  <c r="O82" i="12"/>
  <c r="N82" i="12"/>
  <c r="V98" i="12"/>
  <c r="Q98" i="12"/>
  <c r="P98" i="12"/>
  <c r="O98" i="12"/>
  <c r="N98" i="12"/>
  <c r="J98" i="12" s="1"/>
  <c r="R98" i="12" s="1"/>
  <c r="V91" i="12"/>
  <c r="Q91" i="12"/>
  <c r="P91" i="12"/>
  <c r="O91" i="12"/>
  <c r="N91" i="12"/>
  <c r="J91" i="12" s="1"/>
  <c r="R91" i="12" s="1"/>
  <c r="R201" i="12"/>
  <c r="Q201" i="12"/>
  <c r="P201" i="12"/>
  <c r="O201" i="12"/>
  <c r="N201" i="12"/>
  <c r="R84" i="12"/>
  <c r="Q84" i="12"/>
  <c r="V114" i="12"/>
  <c r="R114" i="12"/>
  <c r="Q114" i="12"/>
  <c r="P114" i="12"/>
  <c r="O114" i="12"/>
  <c r="N114" i="12"/>
  <c r="V92" i="12"/>
  <c r="R92" i="12"/>
  <c r="Q92" i="12"/>
  <c r="P92" i="12"/>
  <c r="O92" i="12"/>
  <c r="N92" i="12"/>
  <c r="V19" i="12"/>
  <c r="Q19" i="12"/>
  <c r="P19" i="12"/>
  <c r="O19" i="12"/>
  <c r="V22" i="12"/>
  <c r="Q22" i="12"/>
  <c r="P22" i="12"/>
  <c r="O22" i="12"/>
  <c r="V20" i="12"/>
  <c r="Q20" i="12"/>
  <c r="P20" i="12"/>
  <c r="O20" i="12"/>
  <c r="V18" i="12"/>
  <c r="Q18" i="12"/>
  <c r="P18" i="12"/>
  <c r="O18" i="12"/>
  <c r="V31" i="12"/>
  <c r="Q31" i="12"/>
  <c r="P31" i="12"/>
  <c r="O31" i="12"/>
  <c r="V33" i="12"/>
  <c r="Q33" i="12"/>
  <c r="P33" i="12"/>
  <c r="O33" i="12"/>
  <c r="V24" i="12"/>
  <c r="Q24" i="12"/>
  <c r="P24" i="12"/>
  <c r="O24" i="12"/>
  <c r="V16" i="12"/>
  <c r="Q16" i="12"/>
  <c r="P16" i="12"/>
  <c r="O16" i="12"/>
  <c r="V17" i="12"/>
  <c r="Q17" i="12"/>
  <c r="P17" i="12"/>
  <c r="O17" i="12"/>
  <c r="N17" i="12"/>
  <c r="J17" i="12" s="1"/>
  <c r="R17" i="12" s="1"/>
  <c r="V21" i="12"/>
  <c r="Q21" i="12"/>
  <c r="P21" i="12"/>
  <c r="O21" i="12"/>
  <c r="S44" i="12"/>
  <c r="S42" i="12"/>
  <c r="S40" i="12"/>
  <c r="S41" i="12"/>
  <c r="S49" i="12"/>
  <c r="S125" i="12"/>
  <c r="S107" i="12"/>
  <c r="S142" i="12"/>
  <c r="S146" i="12"/>
  <c r="S124" i="12"/>
  <c r="S240" i="12"/>
  <c r="S127" i="12"/>
  <c r="S141" i="12"/>
  <c r="S232" i="12"/>
  <c r="S192" i="12"/>
  <c r="S156" i="12"/>
  <c r="S148" i="12"/>
  <c r="S187" i="12"/>
  <c r="S237" i="12"/>
  <c r="S202" i="12"/>
  <c r="S186" i="12"/>
  <c r="S215" i="12"/>
  <c r="S154" i="12"/>
  <c r="S178" i="12"/>
  <c r="S181" i="12"/>
  <c r="S133" i="12"/>
  <c r="S228" i="12"/>
  <c r="S231" i="12"/>
  <c r="S158" i="12"/>
  <c r="S168" i="12"/>
  <c r="S212" i="12"/>
  <c r="S213" i="12"/>
  <c r="S198" i="12"/>
  <c r="S174" i="12"/>
  <c r="S182" i="12"/>
  <c r="S183" i="12"/>
  <c r="S145" i="12"/>
  <c r="S220" i="12"/>
  <c r="S113" i="12"/>
  <c r="S119" i="12"/>
  <c r="S121" i="12"/>
  <c r="S130" i="12"/>
  <c r="S144" i="12"/>
  <c r="S208" i="12"/>
  <c r="S116" i="12"/>
  <c r="S166" i="12"/>
  <c r="S226" i="12"/>
  <c r="S171" i="12"/>
  <c r="S176" i="12"/>
  <c r="S190" i="12"/>
  <c r="S140" i="12"/>
  <c r="S194" i="12"/>
  <c r="S152" i="12"/>
  <c r="S149" i="12"/>
  <c r="S188" i="12"/>
  <c r="S235" i="12"/>
  <c r="S162" i="12"/>
  <c r="S128" i="12"/>
  <c r="S189" i="12"/>
  <c r="S221" i="12"/>
  <c r="S94" i="12"/>
  <c r="S209" i="12"/>
  <c r="S139" i="12"/>
  <c r="S242" i="12"/>
  <c r="S200" i="12"/>
  <c r="S161" i="12"/>
  <c r="S169" i="12"/>
  <c r="S207" i="12"/>
  <c r="S236" i="12"/>
  <c r="S109" i="12"/>
  <c r="S229" i="12"/>
  <c r="S238" i="12"/>
  <c r="S103" i="12"/>
  <c r="S196" i="12"/>
  <c r="S132" i="12"/>
  <c r="S160" i="12"/>
  <c r="S233" i="12"/>
  <c r="S210" i="12"/>
  <c r="S159" i="12"/>
  <c r="S165" i="12"/>
  <c r="S164" i="12"/>
  <c r="S204" i="12"/>
  <c r="S122" i="12"/>
  <c r="S227" i="12"/>
  <c r="S105" i="12"/>
  <c r="S101" i="12"/>
  <c r="S150" i="12"/>
  <c r="S185" i="12"/>
  <c r="S218" i="12"/>
  <c r="S136" i="12"/>
  <c r="S88" i="12"/>
  <c r="S177" i="12"/>
  <c r="S97" i="12"/>
  <c r="S147" i="12"/>
  <c r="S172" i="12"/>
  <c r="V172" i="12"/>
  <c r="R172" i="12"/>
  <c r="Q172" i="12"/>
  <c r="P172" i="12"/>
  <c r="O172" i="12"/>
  <c r="N172" i="12"/>
  <c r="R147" i="12"/>
  <c r="Q147" i="12"/>
  <c r="P147" i="12"/>
  <c r="O147" i="12"/>
  <c r="N147" i="12"/>
  <c r="Q43" i="12"/>
  <c r="P43" i="12"/>
  <c r="O43" i="12"/>
  <c r="N43" i="12"/>
  <c r="J43" i="12" s="1"/>
  <c r="V97" i="12"/>
  <c r="R97" i="12"/>
  <c r="Q97" i="12"/>
  <c r="P97" i="12"/>
  <c r="O97" i="12"/>
  <c r="N97" i="12"/>
  <c r="V223" i="12"/>
  <c r="Q223" i="12"/>
  <c r="P223" i="12"/>
  <c r="O223" i="12"/>
  <c r="N223" i="12"/>
  <c r="J223" i="12" s="1"/>
  <c r="R223" i="12" s="1"/>
  <c r="V137" i="12"/>
  <c r="Q137" i="12"/>
  <c r="P137" i="12"/>
  <c r="O137" i="12"/>
  <c r="J137" i="12"/>
  <c r="R137" i="12" s="1"/>
  <c r="I137" i="12"/>
  <c r="G137" i="12"/>
  <c r="V197" i="12"/>
  <c r="Q197" i="12"/>
  <c r="P197" i="12"/>
  <c r="O197" i="12"/>
  <c r="N197" i="12"/>
  <c r="J197" i="12" s="1"/>
  <c r="R197" i="12" s="1"/>
  <c r="Q211" i="12"/>
  <c r="P211" i="12"/>
  <c r="O211" i="12"/>
  <c r="N211" i="12"/>
  <c r="J211" i="12" s="1"/>
  <c r="R211" i="12" s="1"/>
  <c r="V177" i="12"/>
  <c r="R177" i="12"/>
  <c r="Q177" i="12"/>
  <c r="P177" i="12"/>
  <c r="O177" i="12"/>
  <c r="R88" i="12"/>
  <c r="Q88" i="12"/>
  <c r="P88" i="12"/>
  <c r="O88" i="12"/>
  <c r="N88" i="12"/>
  <c r="V136" i="12"/>
  <c r="R136" i="12"/>
  <c r="Q136" i="12"/>
  <c r="P136" i="12"/>
  <c r="O136" i="12"/>
  <c r="V218" i="12"/>
  <c r="R218" i="12"/>
  <c r="Q218" i="12"/>
  <c r="P218" i="12"/>
  <c r="O218" i="12"/>
  <c r="N218" i="12"/>
  <c r="V185" i="12"/>
  <c r="R185" i="12"/>
  <c r="Q185" i="12"/>
  <c r="P185" i="12"/>
  <c r="O185" i="12"/>
  <c r="V155" i="12"/>
  <c r="Q155" i="12"/>
  <c r="P155" i="12"/>
  <c r="O155" i="12"/>
  <c r="N155" i="12"/>
  <c r="J155" i="12" s="1"/>
  <c r="R155" i="12" s="1"/>
  <c r="V150" i="12"/>
  <c r="R150" i="12"/>
  <c r="Q150" i="12"/>
  <c r="P150" i="12"/>
  <c r="O150" i="12"/>
  <c r="V101" i="12"/>
  <c r="R101" i="12"/>
  <c r="Q101" i="12"/>
  <c r="P101" i="12"/>
  <c r="O101" i="12"/>
  <c r="V151" i="12"/>
  <c r="Q151" i="12"/>
  <c r="P151" i="12"/>
  <c r="O151" i="12"/>
  <c r="J151" i="12"/>
  <c r="R151" i="12" s="1"/>
  <c r="I151" i="12"/>
  <c r="G151" i="12"/>
  <c r="Q230" i="12"/>
  <c r="P230" i="12"/>
  <c r="O230" i="12"/>
  <c r="N230" i="12"/>
  <c r="J230" i="12" s="1"/>
  <c r="R230" i="12" s="1"/>
  <c r="V105" i="12"/>
  <c r="R105" i="12"/>
  <c r="Q105" i="12"/>
  <c r="P105" i="12"/>
  <c r="O105" i="12"/>
  <c r="N105" i="12"/>
  <c r="R227" i="12"/>
  <c r="Q227" i="12"/>
  <c r="P227" i="12"/>
  <c r="O227" i="12"/>
  <c r="N227" i="12"/>
  <c r="Q134" i="12"/>
  <c r="P134" i="12"/>
  <c r="O134" i="12"/>
  <c r="J134" i="12"/>
  <c r="R134" i="12" s="1"/>
  <c r="V122" i="12"/>
  <c r="R122" i="12"/>
  <c r="Q122" i="12"/>
  <c r="P122" i="12"/>
  <c r="O122" i="12"/>
  <c r="R204" i="12"/>
  <c r="Q204" i="12"/>
  <c r="P204" i="12"/>
  <c r="O204" i="12"/>
  <c r="N204" i="12"/>
  <c r="R164" i="12"/>
  <c r="Q164" i="12"/>
  <c r="P164" i="12"/>
  <c r="O164" i="12"/>
  <c r="N164" i="12"/>
  <c r="V165" i="12"/>
  <c r="R165" i="12"/>
  <c r="Q165" i="12"/>
  <c r="P165" i="12"/>
  <c r="O165" i="12"/>
  <c r="N165" i="12"/>
  <c r="V159" i="12"/>
  <c r="R159" i="12"/>
  <c r="Q159" i="12"/>
  <c r="V210" i="12"/>
  <c r="R210" i="12"/>
  <c r="Q210" i="12"/>
  <c r="V233" i="12"/>
  <c r="R233" i="12"/>
  <c r="Q233" i="12"/>
  <c r="P233" i="12"/>
  <c r="O233" i="12"/>
  <c r="N233" i="12"/>
  <c r="V160" i="12"/>
  <c r="R160" i="12"/>
  <c r="Q160" i="12"/>
  <c r="P160" i="12"/>
  <c r="O160" i="12"/>
  <c r="N160" i="12"/>
  <c r="V132" i="12"/>
  <c r="R132" i="12"/>
  <c r="Q132" i="12"/>
  <c r="P132" i="12"/>
  <c r="O132" i="12"/>
  <c r="N132" i="12"/>
  <c r="V196" i="12"/>
  <c r="R196" i="12"/>
  <c r="Q196" i="12"/>
  <c r="P196" i="12"/>
  <c r="O196" i="12"/>
  <c r="N196" i="12"/>
  <c r="V103" i="12"/>
  <c r="R103" i="12"/>
  <c r="Q103" i="12"/>
  <c r="P103" i="12"/>
  <c r="O103" i="12"/>
  <c r="N103" i="12"/>
  <c r="V238" i="12"/>
  <c r="R238" i="12"/>
  <c r="Q238" i="12"/>
  <c r="V229" i="12"/>
  <c r="R229" i="12"/>
  <c r="Q229" i="12"/>
  <c r="P229" i="12"/>
  <c r="O229" i="12"/>
  <c r="V109" i="12"/>
  <c r="R109" i="12"/>
  <c r="Q109" i="12"/>
  <c r="P109" i="12"/>
  <c r="O109" i="12"/>
  <c r="V236" i="12"/>
  <c r="R236" i="12"/>
  <c r="Q236" i="12"/>
  <c r="P236" i="12"/>
  <c r="O236" i="12"/>
  <c r="R207" i="12"/>
  <c r="Q207" i="12"/>
  <c r="R169" i="12"/>
  <c r="Q169" i="12"/>
  <c r="R161" i="12"/>
  <c r="Q161" i="12"/>
  <c r="R200" i="12"/>
  <c r="Q200" i="12"/>
  <c r="R242" i="12"/>
  <c r="Q242" i="12"/>
  <c r="R139" i="12"/>
  <c r="Q139" i="12"/>
  <c r="R209" i="12"/>
  <c r="Q209" i="12"/>
  <c r="R94" i="12"/>
  <c r="Q94" i="12"/>
  <c r="R221" i="12"/>
  <c r="Q221" i="12"/>
  <c r="R189" i="12"/>
  <c r="Q189" i="12"/>
  <c r="R128" i="12"/>
  <c r="Q128" i="12"/>
  <c r="R162" i="12"/>
  <c r="Q162" i="12"/>
  <c r="R235" i="12"/>
  <c r="Q235" i="12"/>
  <c r="R188" i="12"/>
  <c r="Q188" i="12"/>
  <c r="R149" i="12"/>
  <c r="Q149" i="12"/>
  <c r="R152" i="12"/>
  <c r="Q152" i="12"/>
  <c r="R194" i="12"/>
  <c r="Q194" i="12"/>
  <c r="R140" i="12"/>
  <c r="Q140" i="12"/>
  <c r="R190" i="12"/>
  <c r="Q190" i="12"/>
  <c r="R176" i="12"/>
  <c r="Q176" i="12"/>
  <c r="R171" i="12"/>
  <c r="Q171" i="12"/>
  <c r="R226" i="12"/>
  <c r="Q226" i="12"/>
  <c r="R166" i="12"/>
  <c r="Q166" i="12"/>
  <c r="R116" i="12"/>
  <c r="Q116" i="12"/>
  <c r="R208" i="12"/>
  <c r="Q208" i="12"/>
  <c r="R144" i="12"/>
  <c r="Q144" i="12"/>
  <c r="R130" i="12"/>
  <c r="Q130" i="12"/>
  <c r="R121" i="12"/>
  <c r="Q121" i="12"/>
  <c r="R119" i="12"/>
  <c r="Q119" i="12"/>
  <c r="R113" i="12"/>
  <c r="Q113" i="12"/>
  <c r="R220" i="12"/>
  <c r="Q220" i="12"/>
  <c r="R145" i="12"/>
  <c r="Q145" i="12"/>
  <c r="R183" i="12"/>
  <c r="Q183" i="12"/>
  <c r="R182" i="12"/>
  <c r="Q182" i="12"/>
  <c r="R174" i="12"/>
  <c r="Q174" i="12"/>
  <c r="R198" i="12"/>
  <c r="Q198" i="12"/>
  <c r="R213" i="12"/>
  <c r="Q213" i="12"/>
  <c r="R212" i="12"/>
  <c r="Q212" i="12"/>
  <c r="R168" i="12"/>
  <c r="Q168" i="12"/>
  <c r="R158" i="12"/>
  <c r="Q158" i="12"/>
  <c r="R231" i="12"/>
  <c r="Q231" i="12"/>
  <c r="R228" i="12"/>
  <c r="Q228" i="12"/>
  <c r="R133" i="12"/>
  <c r="Q133" i="12"/>
  <c r="R181" i="12"/>
  <c r="Q181" i="12"/>
  <c r="R178" i="12"/>
  <c r="Q178" i="12"/>
  <c r="R154" i="12"/>
  <c r="Q154" i="12"/>
  <c r="R215" i="12"/>
  <c r="Q215" i="12"/>
  <c r="R186" i="12"/>
  <c r="Q186" i="12"/>
  <c r="R202" i="12"/>
  <c r="Q202" i="12"/>
  <c r="R237" i="12"/>
  <c r="Q237" i="12"/>
  <c r="R187" i="12"/>
  <c r="Q187" i="12"/>
  <c r="R148" i="12"/>
  <c r="Q148" i="12"/>
  <c r="R156" i="12"/>
  <c r="Q156" i="12"/>
  <c r="R192" i="12"/>
  <c r="Q192" i="12"/>
  <c r="R232" i="12"/>
  <c r="Q232" i="12"/>
  <c r="R141" i="12"/>
  <c r="Q141" i="12"/>
  <c r="R127" i="12"/>
  <c r="Q127" i="12"/>
  <c r="R240" i="12"/>
  <c r="Q240" i="12"/>
  <c r="R124" i="12"/>
  <c r="Q124" i="12"/>
  <c r="R146" i="12"/>
  <c r="Q146" i="12"/>
  <c r="R142" i="12"/>
  <c r="Q142" i="12"/>
  <c r="R107" i="12"/>
  <c r="Q107" i="12"/>
  <c r="R125" i="12"/>
  <c r="Q125" i="12"/>
  <c r="V23" i="12"/>
  <c r="Q23" i="12"/>
  <c r="P23" i="12"/>
  <c r="O23" i="12"/>
  <c r="V46" i="12"/>
  <c r="Q46" i="12"/>
  <c r="P46" i="12"/>
  <c r="O46" i="12"/>
  <c r="V52" i="12"/>
  <c r="Q52" i="12"/>
  <c r="P52" i="12"/>
  <c r="O52" i="12"/>
  <c r="V47" i="12"/>
  <c r="Q47" i="12"/>
  <c r="P47" i="12"/>
  <c r="O47" i="12"/>
  <c r="V36" i="12"/>
  <c r="Q36" i="12"/>
  <c r="P36" i="12"/>
  <c r="O36" i="12"/>
  <c r="V32" i="12"/>
  <c r="Q32" i="12"/>
  <c r="P32" i="12"/>
  <c r="O32" i="12"/>
  <c r="V35" i="12"/>
  <c r="Q35" i="12"/>
  <c r="P35" i="12"/>
  <c r="O35" i="12"/>
  <c r="V28" i="12"/>
  <c r="Q28" i="12"/>
  <c r="P28" i="12"/>
  <c r="O28" i="12"/>
  <c r="Q49" i="12"/>
  <c r="P49" i="12"/>
  <c r="O49" i="12"/>
  <c r="V41" i="12"/>
  <c r="Q41" i="12"/>
  <c r="P41" i="12"/>
  <c r="O41" i="12"/>
  <c r="V29" i="12"/>
  <c r="Q29" i="12"/>
  <c r="P29" i="12"/>
  <c r="O29" i="12"/>
  <c r="V48" i="12"/>
  <c r="Q48" i="12"/>
  <c r="P48" i="12"/>
  <c r="O48" i="12"/>
  <c r="V37" i="12"/>
  <c r="Q37" i="12"/>
  <c r="P37" i="12"/>
  <c r="O37" i="12"/>
  <c r="V34" i="12"/>
  <c r="Q34" i="12"/>
  <c r="P34" i="12"/>
  <c r="O34" i="12"/>
  <c r="V61" i="12"/>
  <c r="R61" i="12"/>
  <c r="V60" i="12"/>
  <c r="R60" i="12"/>
  <c r="V59" i="12"/>
  <c r="R59" i="12"/>
  <c r="V40" i="12"/>
  <c r="R40" i="12"/>
  <c r="Q40" i="12"/>
  <c r="P40" i="12"/>
  <c r="O40" i="12"/>
  <c r="N40" i="12"/>
  <c r="V42" i="12"/>
  <c r="R42" i="12"/>
  <c r="Q42" i="12"/>
  <c r="P42" i="12"/>
  <c r="O42" i="12"/>
  <c r="V58" i="12"/>
  <c r="R58" i="12"/>
  <c r="V44" i="12"/>
  <c r="R44" i="12"/>
  <c r="Q44" i="12"/>
  <c r="P44" i="12"/>
  <c r="O44" i="12"/>
  <c r="N44" i="12"/>
  <c r="V57" i="12"/>
  <c r="R57" i="12"/>
  <c r="S53" i="12"/>
  <c r="S222" i="12"/>
  <c r="S195" i="12"/>
  <c r="S93" i="12"/>
  <c r="S157" i="12"/>
  <c r="S95" i="12"/>
  <c r="S110" i="12"/>
  <c r="S167" i="12"/>
  <c r="S241" i="12"/>
  <c r="S108" i="12"/>
  <c r="S115" i="12"/>
  <c r="S173" i="12"/>
  <c r="S214" i="12"/>
  <c r="S96" i="12"/>
  <c r="S239" i="12"/>
  <c r="S153" i="12"/>
  <c r="S120" i="12"/>
  <c r="S206" i="12"/>
  <c r="S163" i="12"/>
  <c r="S100" i="12"/>
  <c r="S224" i="12"/>
  <c r="S135" i="12"/>
  <c r="S175" i="12"/>
  <c r="S203" i="12"/>
  <c r="S193" i="12"/>
  <c r="S219" i="12"/>
  <c r="S170" i="12"/>
  <c r="S205" i="12"/>
  <c r="S179" i="12"/>
  <c r="S102" i="12"/>
  <c r="S234" i="12"/>
  <c r="S216" i="12"/>
  <c r="S191" i="12"/>
  <c r="Q126" i="12"/>
  <c r="P126" i="12"/>
  <c r="O126" i="12"/>
  <c r="V191" i="12"/>
  <c r="R191" i="12"/>
  <c r="Q191" i="12"/>
  <c r="V216" i="12"/>
  <c r="R216" i="12"/>
  <c r="Q216" i="12"/>
  <c r="R234" i="12"/>
  <c r="Q234" i="12"/>
  <c r="P234" i="12"/>
  <c r="O234" i="12"/>
  <c r="N234" i="12"/>
  <c r="V102" i="12"/>
  <c r="R102" i="12"/>
  <c r="Q102" i="12"/>
  <c r="P102" i="12"/>
  <c r="O102" i="12"/>
  <c r="N102" i="12"/>
  <c r="V179" i="12"/>
  <c r="R179" i="12"/>
  <c r="Q179" i="12"/>
  <c r="P179" i="12"/>
  <c r="O179" i="12"/>
  <c r="N179" i="12"/>
  <c r="V205" i="12"/>
  <c r="R205" i="12"/>
  <c r="Q205" i="12"/>
  <c r="P205" i="12"/>
  <c r="O205" i="12"/>
  <c r="N205" i="12"/>
  <c r="V184" i="12"/>
  <c r="Q184" i="12"/>
  <c r="P184" i="12"/>
  <c r="O184" i="12"/>
  <c r="J184" i="12"/>
  <c r="R184" i="12" s="1"/>
  <c r="Q217" i="12"/>
  <c r="P217" i="12"/>
  <c r="O217" i="12"/>
  <c r="N217" i="12"/>
  <c r="J217" i="12" s="1"/>
  <c r="R217" i="12" s="1"/>
  <c r="V131" i="12"/>
  <c r="Q131" i="12"/>
  <c r="P131" i="12"/>
  <c r="O131" i="12"/>
  <c r="N131" i="12"/>
  <c r="J131" i="12" s="1"/>
  <c r="R131" i="12" s="1"/>
  <c r="R170" i="12"/>
  <c r="Q170" i="12"/>
  <c r="P170" i="12"/>
  <c r="O170" i="12"/>
  <c r="N170" i="12"/>
  <c r="V180" i="12"/>
  <c r="Q180" i="12"/>
  <c r="P180" i="12"/>
  <c r="O180" i="12"/>
  <c r="J180" i="12"/>
  <c r="N180" i="12" s="1"/>
  <c r="V219" i="12"/>
  <c r="R219" i="12"/>
  <c r="Q219" i="12"/>
  <c r="P219" i="12"/>
  <c r="O219" i="12"/>
  <c r="N219" i="12"/>
  <c r="V193" i="12"/>
  <c r="R193" i="12"/>
  <c r="Q193" i="12"/>
  <c r="P193" i="12"/>
  <c r="O193" i="12"/>
  <c r="N193" i="12"/>
  <c r="V203" i="12"/>
  <c r="R203" i="12"/>
  <c r="Q203" i="12"/>
  <c r="P203" i="12"/>
  <c r="O203" i="12"/>
  <c r="N203" i="12"/>
  <c r="V175" i="12"/>
  <c r="R175" i="12"/>
  <c r="Q175" i="12"/>
  <c r="P175" i="12"/>
  <c r="O175" i="12"/>
  <c r="N175" i="12"/>
  <c r="V135" i="12"/>
  <c r="R135" i="12"/>
  <c r="Q135" i="12"/>
  <c r="P135" i="12"/>
  <c r="O135" i="12"/>
  <c r="N135" i="12"/>
  <c r="V224" i="12"/>
  <c r="R224" i="12"/>
  <c r="Q224" i="12"/>
  <c r="V100" i="12"/>
  <c r="R100" i="12"/>
  <c r="Q100" i="12"/>
  <c r="V163" i="12"/>
  <c r="R163" i="12"/>
  <c r="Q163" i="12"/>
  <c r="V206" i="12"/>
  <c r="R206" i="12"/>
  <c r="Q206" i="12"/>
  <c r="V120" i="12"/>
  <c r="R120" i="12"/>
  <c r="Q120" i="12"/>
  <c r="V153" i="12"/>
  <c r="R153" i="12"/>
  <c r="Q153" i="12"/>
  <c r="V239" i="12"/>
  <c r="R239" i="12"/>
  <c r="Q239" i="12"/>
  <c r="V96" i="12"/>
  <c r="R96" i="12"/>
  <c r="Q96" i="12"/>
  <c r="V214" i="12"/>
  <c r="R214" i="12"/>
  <c r="Q214" i="12"/>
  <c r="V173" i="12"/>
  <c r="R173" i="12"/>
  <c r="Q173" i="12"/>
  <c r="V115" i="12"/>
  <c r="R115" i="12"/>
  <c r="Q115" i="12"/>
  <c r="V108" i="12"/>
  <c r="R108" i="12"/>
  <c r="Q108" i="12"/>
  <c r="V241" i="12"/>
  <c r="R241" i="12"/>
  <c r="Q241" i="12"/>
  <c r="V167" i="12"/>
  <c r="R167" i="12"/>
  <c r="Q167" i="12"/>
  <c r="V110" i="12"/>
  <c r="R110" i="12"/>
  <c r="Q110" i="12"/>
  <c r="V95" i="12"/>
  <c r="R95" i="12"/>
  <c r="Q95" i="12"/>
  <c r="V157" i="12"/>
  <c r="R157" i="12"/>
  <c r="Q157" i="12"/>
  <c r="R93" i="12"/>
  <c r="Q93" i="12"/>
  <c r="P93" i="12"/>
  <c r="O93" i="12"/>
  <c r="N93" i="12"/>
  <c r="Q25" i="12"/>
  <c r="P25" i="12"/>
  <c r="O25" i="12"/>
  <c r="J25" i="12"/>
  <c r="R25" i="12" s="1"/>
  <c r="Q45" i="12"/>
  <c r="P45" i="12"/>
  <c r="O45" i="12"/>
  <c r="J45" i="12"/>
  <c r="R45" i="12" s="1"/>
  <c r="V51" i="12"/>
  <c r="Q51" i="12"/>
  <c r="P51" i="12"/>
  <c r="O51" i="12"/>
  <c r="V39" i="12"/>
  <c r="Q39" i="12"/>
  <c r="P39" i="12"/>
  <c r="O39" i="12"/>
  <c r="V50" i="12"/>
  <c r="Q50" i="12"/>
  <c r="P50" i="12"/>
  <c r="O50" i="12"/>
  <c r="V38" i="12"/>
  <c r="Q38" i="12"/>
  <c r="P38" i="12"/>
  <c r="O38" i="12"/>
  <c r="V26" i="12"/>
  <c r="Q26" i="12"/>
  <c r="P26" i="12"/>
  <c r="O26" i="12"/>
  <c r="V27" i="12"/>
  <c r="Q27" i="12"/>
  <c r="P27" i="12"/>
  <c r="O27" i="12"/>
  <c r="V30" i="12"/>
  <c r="Q30" i="12"/>
  <c r="P30" i="12"/>
  <c r="O30" i="12"/>
  <c r="V195" i="12"/>
  <c r="R195" i="12"/>
  <c r="Q195" i="12"/>
  <c r="P195" i="12"/>
  <c r="O195" i="12"/>
  <c r="V222" i="12"/>
  <c r="R222" i="12"/>
  <c r="Q222" i="12"/>
  <c r="P222" i="12"/>
  <c r="O222" i="12"/>
  <c r="V53" i="12"/>
  <c r="R53" i="12"/>
  <c r="Q53" i="12"/>
  <c r="V56" i="12"/>
  <c r="R56" i="12"/>
  <c r="S10" i="12"/>
  <c r="S13" i="12"/>
  <c r="S2" i="12"/>
  <c r="S11" i="12"/>
  <c r="S9" i="12"/>
  <c r="S12" i="12"/>
  <c r="S76" i="12"/>
  <c r="S79" i="12"/>
  <c r="S71" i="12"/>
  <c r="S70" i="12"/>
  <c r="S243" i="12"/>
  <c r="S65" i="12"/>
  <c r="S72" i="12"/>
  <c r="S244" i="12"/>
  <c r="S66" i="12"/>
  <c r="S64" i="12"/>
  <c r="S62" i="12"/>
  <c r="S67" i="12"/>
  <c r="S73" i="12"/>
  <c r="V73" i="12"/>
  <c r="R73" i="12"/>
  <c r="Q73" i="12"/>
  <c r="P73" i="12"/>
  <c r="O73" i="12"/>
  <c r="N73" i="12"/>
  <c r="V75" i="12"/>
  <c r="V63" i="12"/>
  <c r="Q63" i="12"/>
  <c r="P63" i="12"/>
  <c r="O63" i="12"/>
  <c r="J63" i="12"/>
  <c r="N63" i="12" s="1"/>
  <c r="I63" i="12"/>
  <c r="V67" i="12"/>
  <c r="R67" i="12"/>
  <c r="Q67" i="12"/>
  <c r="P67" i="12"/>
  <c r="O67" i="12"/>
  <c r="N67" i="12"/>
  <c r="V69" i="12"/>
  <c r="Q69" i="12"/>
  <c r="P69" i="12"/>
  <c r="O69" i="12"/>
  <c r="J69" i="12"/>
  <c r="N69" i="12" s="1"/>
  <c r="I69" i="12"/>
  <c r="V62" i="12"/>
  <c r="R62" i="12"/>
  <c r="Q62" i="12"/>
  <c r="P62" i="12"/>
  <c r="O62" i="12"/>
  <c r="N62" i="12"/>
  <c r="V68" i="12"/>
  <c r="Q68" i="12"/>
  <c r="P68" i="12"/>
  <c r="O68" i="12"/>
  <c r="J68" i="12"/>
  <c r="R68" i="12" s="1"/>
  <c r="I68" i="12"/>
  <c r="V74" i="12"/>
  <c r="Q74" i="12"/>
  <c r="P74" i="12"/>
  <c r="O74" i="12"/>
  <c r="J74" i="12"/>
  <c r="R74" i="12" s="1"/>
  <c r="I74" i="12"/>
  <c r="V64" i="12"/>
  <c r="R64" i="12"/>
  <c r="Q64" i="12"/>
  <c r="P64" i="12"/>
  <c r="O64" i="12"/>
  <c r="N64" i="12"/>
  <c r="V66" i="12"/>
  <c r="R66" i="12"/>
  <c r="Q66" i="12"/>
  <c r="P66" i="12"/>
  <c r="O66" i="12"/>
  <c r="N66" i="12"/>
  <c r="V244" i="12"/>
  <c r="R244" i="12"/>
  <c r="V72" i="12"/>
  <c r="R72" i="12"/>
  <c r="Q72" i="12"/>
  <c r="P72" i="12"/>
  <c r="O72" i="12"/>
  <c r="N72" i="12"/>
  <c r="V65" i="12"/>
  <c r="R65" i="12"/>
  <c r="Q65" i="12"/>
  <c r="P65" i="12"/>
  <c r="O65" i="12"/>
  <c r="N65" i="12"/>
  <c r="V243" i="12"/>
  <c r="R243" i="12"/>
  <c r="V70" i="12"/>
  <c r="R70" i="12"/>
  <c r="Q70" i="12"/>
  <c r="P70" i="12"/>
  <c r="O70" i="12"/>
  <c r="N70" i="12"/>
  <c r="V71" i="12"/>
  <c r="R71" i="12"/>
  <c r="Q71" i="12"/>
  <c r="P71" i="12"/>
  <c r="O71" i="12"/>
  <c r="N71" i="12"/>
  <c r="V79" i="12"/>
  <c r="R79" i="12"/>
  <c r="Q79" i="12"/>
  <c r="P79" i="12"/>
  <c r="O79" i="12"/>
  <c r="N79" i="12"/>
  <c r="V76" i="12"/>
  <c r="R76" i="12"/>
  <c r="Q76" i="12"/>
  <c r="P76" i="12"/>
  <c r="O76" i="12"/>
  <c r="V4" i="12"/>
  <c r="Q4" i="12"/>
  <c r="P4" i="12"/>
  <c r="O4" i="12"/>
  <c r="V3" i="12"/>
  <c r="Q3" i="12"/>
  <c r="P3" i="12"/>
  <c r="O3" i="12"/>
  <c r="V12" i="12"/>
  <c r="R12" i="12"/>
  <c r="Q12" i="12"/>
  <c r="P12" i="12"/>
  <c r="O12" i="12"/>
  <c r="N12" i="12"/>
  <c r="V15" i="12"/>
  <c r="Q15" i="12"/>
  <c r="P15" i="12"/>
  <c r="O15" i="12"/>
  <c r="V14" i="12"/>
  <c r="Q14" i="12"/>
  <c r="P14" i="12"/>
  <c r="O14" i="12"/>
  <c r="V9" i="12"/>
  <c r="Q9" i="12"/>
  <c r="P9" i="12"/>
  <c r="O9" i="12"/>
  <c r="N9" i="12"/>
  <c r="V7" i="12"/>
  <c r="Q7" i="12"/>
  <c r="P7" i="12"/>
  <c r="O7" i="12"/>
  <c r="V5" i="12"/>
  <c r="Q5" i="12"/>
  <c r="P5" i="12"/>
  <c r="O5" i="12"/>
  <c r="V6" i="12"/>
  <c r="Q6" i="12"/>
  <c r="P6" i="12"/>
  <c r="O6" i="12"/>
  <c r="V11" i="12"/>
  <c r="R11" i="12"/>
  <c r="Q11" i="12"/>
  <c r="P11" i="12"/>
  <c r="O11" i="12"/>
  <c r="V55" i="12"/>
  <c r="R55" i="12"/>
  <c r="V2" i="12"/>
  <c r="R2" i="12"/>
  <c r="Q2" i="12"/>
  <c r="P2" i="12"/>
  <c r="O2" i="12"/>
  <c r="V13" i="12"/>
  <c r="R13" i="12"/>
  <c r="Q13" i="12"/>
  <c r="P13" i="12"/>
  <c r="O13" i="12"/>
  <c r="V10" i="12"/>
  <c r="R10" i="12"/>
  <c r="Q10" i="12"/>
  <c r="P10" i="12"/>
  <c r="O10" i="12"/>
  <c r="V54" i="12"/>
  <c r="R54" i="12"/>
  <c r="O54" i="12"/>
  <c r="V8" i="12"/>
  <c r="R8" i="12"/>
  <c r="Q8" i="12"/>
  <c r="P8" i="12"/>
  <c r="O8" i="12"/>
  <c r="G63" i="12"/>
  <c r="K120" i="23"/>
  <c r="L120" i="23" s="1"/>
  <c r="M120" i="23" s="1"/>
  <c r="N120" i="23" s="1"/>
  <c r="K4" i="23"/>
  <c r="O4" i="23" s="1"/>
  <c r="P4" i="23" s="1"/>
  <c r="K33" i="23"/>
  <c r="L33" i="23" s="1"/>
  <c r="M33" i="23" s="1"/>
  <c r="N33" i="23" s="1"/>
  <c r="K91" i="23"/>
  <c r="O91" i="23" s="1"/>
  <c r="P91" i="23" s="1"/>
  <c r="K62" i="23"/>
  <c r="L62" i="23" s="1"/>
  <c r="M62" i="23" s="1"/>
  <c r="N62" i="23" s="1"/>
  <c r="K149" i="23"/>
  <c r="L149" i="23" s="1"/>
  <c r="M149" i="23" s="1"/>
  <c r="N149" i="23" s="1"/>
  <c r="K178" i="23"/>
  <c r="O178" i="23" s="1"/>
  <c r="P178" i="23" s="1"/>
  <c r="R120" i="23"/>
  <c r="S120" i="23" s="1"/>
  <c r="T120" i="23" s="1"/>
  <c r="U120" i="23" s="1"/>
  <c r="R4" i="23"/>
  <c r="V4" i="23" s="1"/>
  <c r="W4" i="23" s="1"/>
  <c r="R33" i="23"/>
  <c r="S33" i="23" s="1"/>
  <c r="T33" i="23" s="1"/>
  <c r="U33" i="23" s="1"/>
  <c r="R91" i="23"/>
  <c r="V91" i="23" s="1"/>
  <c r="W91" i="23" s="1"/>
  <c r="R62" i="23"/>
  <c r="S62" i="23" s="1"/>
  <c r="T62" i="23" s="1"/>
  <c r="U62" i="23" s="1"/>
  <c r="R149" i="23"/>
  <c r="S149" i="23" s="1"/>
  <c r="T149" i="23" s="1"/>
  <c r="U149" i="23" s="1"/>
  <c r="R178" i="23"/>
  <c r="V178" i="23" s="1"/>
  <c r="W178" i="23" s="1"/>
  <c r="Q16" i="20"/>
  <c r="R16" i="20"/>
  <c r="S16" i="20"/>
  <c r="T16" i="20"/>
  <c r="U16" i="20"/>
  <c r="V16" i="20"/>
  <c r="W16" i="20"/>
  <c r="X16" i="20"/>
  <c r="Y16" i="20"/>
  <c r="Z16" i="20"/>
  <c r="AA16" i="20" s="1"/>
  <c r="AF16" i="20"/>
  <c r="AG16" i="20" s="1"/>
  <c r="AL16" i="20"/>
  <c r="AM16" i="20" s="1"/>
  <c r="AR16" i="20"/>
  <c r="AS16" i="20" s="1"/>
  <c r="AX16" i="20"/>
  <c r="AY16" i="20" s="1"/>
  <c r="BD16" i="20"/>
  <c r="BE16" i="20" s="1"/>
  <c r="BF16" i="20" s="1"/>
  <c r="BG16" i="20"/>
  <c r="BH16" i="20" s="1"/>
  <c r="BI16" i="20" s="1"/>
  <c r="BJ16" i="20"/>
  <c r="BK16" i="20" s="1"/>
  <c r="BP16" i="20"/>
  <c r="BQ16" i="20" s="1"/>
  <c r="O9" i="20"/>
  <c r="J2" i="20"/>
  <c r="J5" i="20"/>
  <c r="S35" i="25"/>
  <c r="W35" i="25" s="1"/>
  <c r="X35" i="25" s="1"/>
  <c r="S36" i="25"/>
  <c r="T36" i="25" s="1"/>
  <c r="U36" i="25" s="1"/>
  <c r="V36" i="25" s="1"/>
  <c r="S37" i="25"/>
  <c r="W37" i="25" s="1"/>
  <c r="X37" i="25" s="1"/>
  <c r="S38" i="25"/>
  <c r="T38" i="25" s="1"/>
  <c r="U38" i="25" s="1"/>
  <c r="V38" i="25" s="1"/>
  <c r="S39" i="25"/>
  <c r="W39" i="25" s="1"/>
  <c r="X39" i="25" s="1"/>
  <c r="S40" i="25"/>
  <c r="W40" i="25" s="1"/>
  <c r="X40" i="25" s="1"/>
  <c r="S41" i="25"/>
  <c r="W41" i="25" s="1"/>
  <c r="X41" i="25" s="1"/>
  <c r="S45" i="25"/>
  <c r="S46" i="25"/>
  <c r="W46" i="25" s="1"/>
  <c r="X46" i="25" s="1"/>
  <c r="S47" i="25"/>
  <c r="W47" i="25" s="1"/>
  <c r="X47" i="25" s="1"/>
  <c r="S48" i="25"/>
  <c r="W48" i="25" s="1"/>
  <c r="X48" i="25" s="1"/>
  <c r="S49" i="25"/>
  <c r="S50" i="25"/>
  <c r="T50" i="25" s="1"/>
  <c r="U50" i="25" s="1"/>
  <c r="V50" i="25" s="1"/>
  <c r="S51" i="25"/>
  <c r="W51" i="25" s="1"/>
  <c r="X51" i="25" s="1"/>
  <c r="S55" i="25"/>
  <c r="S56" i="25"/>
  <c r="W56" i="25" s="1"/>
  <c r="X56" i="25" s="1"/>
  <c r="S57" i="25"/>
  <c r="W57" i="25" s="1"/>
  <c r="X57" i="25" s="1"/>
  <c r="S58" i="25"/>
  <c r="W58" i="25" s="1"/>
  <c r="X58" i="25" s="1"/>
  <c r="S59" i="25"/>
  <c r="W59" i="25" s="1"/>
  <c r="X59" i="25" s="1"/>
  <c r="S60" i="25"/>
  <c r="T60" i="25" s="1"/>
  <c r="U60" i="25" s="1"/>
  <c r="V60" i="25" s="1"/>
  <c r="S61" i="25"/>
  <c r="T61" i="25" s="1"/>
  <c r="U61" i="25" s="1"/>
  <c r="V61" i="25" s="1"/>
  <c r="S65" i="25"/>
  <c r="S66" i="25"/>
  <c r="W66" i="25" s="1"/>
  <c r="X66" i="25" s="1"/>
  <c r="S67" i="25"/>
  <c r="W67" i="25" s="1"/>
  <c r="X67" i="25" s="1"/>
  <c r="S68" i="25"/>
  <c r="T68" i="25" s="1"/>
  <c r="U68" i="25" s="1"/>
  <c r="V68" i="25" s="1"/>
  <c r="S69" i="25"/>
  <c r="W69" i="25" s="1"/>
  <c r="X69" i="25" s="1"/>
  <c r="S70" i="25"/>
  <c r="T70" i="25" s="1"/>
  <c r="U70" i="25" s="1"/>
  <c r="V70" i="25" s="1"/>
  <c r="S71" i="25"/>
  <c r="W71" i="25" s="1"/>
  <c r="X71" i="25" s="1"/>
  <c r="S75" i="25"/>
  <c r="S76" i="25"/>
  <c r="W76" i="25" s="1"/>
  <c r="X76" i="25" s="1"/>
  <c r="S77" i="25"/>
  <c r="W77" i="25" s="1"/>
  <c r="X77" i="25" s="1"/>
  <c r="S78" i="25"/>
  <c r="W78" i="25" s="1"/>
  <c r="X78" i="25" s="1"/>
  <c r="S79" i="25"/>
  <c r="W79" i="25" s="1"/>
  <c r="X79" i="25" s="1"/>
  <c r="S80" i="25"/>
  <c r="T80" i="25" s="1"/>
  <c r="U80" i="25" s="1"/>
  <c r="V80" i="25" s="1"/>
  <c r="S81" i="25"/>
  <c r="W81" i="25" s="1"/>
  <c r="X81" i="25" s="1"/>
  <c r="S86" i="25"/>
  <c r="T86" i="25" s="1"/>
  <c r="U86" i="25" s="1"/>
  <c r="V86" i="25" s="1"/>
  <c r="S87" i="25"/>
  <c r="W87" i="25" s="1"/>
  <c r="X87" i="25" s="1"/>
  <c r="S88" i="25"/>
  <c r="W88" i="25" s="1"/>
  <c r="X88" i="25" s="1"/>
  <c r="S89" i="25"/>
  <c r="W89" i="25" s="1"/>
  <c r="X89" i="25" s="1"/>
  <c r="S90" i="25"/>
  <c r="T90" i="25" s="1"/>
  <c r="U90" i="25" s="1"/>
  <c r="V90" i="25" s="1"/>
  <c r="S91" i="25"/>
  <c r="W91" i="25" s="1"/>
  <c r="X91" i="25" s="1"/>
  <c r="S95" i="25"/>
  <c r="S97" i="25"/>
  <c r="W97" i="25" s="1"/>
  <c r="X97" i="25" s="1"/>
  <c r="S98" i="25"/>
  <c r="S99" i="25"/>
  <c r="T99" i="25" s="1"/>
  <c r="U99" i="25" s="1"/>
  <c r="V99" i="25" s="1"/>
  <c r="S100" i="25"/>
  <c r="S101" i="25"/>
  <c r="W101" i="25" s="1"/>
  <c r="X101" i="25" s="1"/>
  <c r="S102" i="25"/>
  <c r="T102" i="25" s="1"/>
  <c r="U102" i="25" s="1"/>
  <c r="V102" i="25" s="1"/>
  <c r="S103" i="25"/>
  <c r="T103" i="25" s="1"/>
  <c r="U103" i="25" s="1"/>
  <c r="V103" i="25" s="1"/>
  <c r="S104" i="25"/>
  <c r="S105" i="25"/>
  <c r="W105" i="25" s="1"/>
  <c r="X105" i="25" s="1"/>
  <c r="S106" i="25"/>
  <c r="W106" i="25" s="1"/>
  <c r="X106" i="25" s="1"/>
  <c r="S107" i="25"/>
  <c r="S108" i="25"/>
  <c r="W108" i="25" s="1"/>
  <c r="X108" i="25" s="1"/>
  <c r="S109" i="25"/>
  <c r="S110" i="25"/>
  <c r="W110" i="25" s="1"/>
  <c r="X110" i="25" s="1"/>
  <c r="S111" i="25"/>
  <c r="T111" i="25" s="1"/>
  <c r="U111" i="25" s="1"/>
  <c r="V111" i="25" s="1"/>
  <c r="S112" i="25"/>
  <c r="W112" i="25" s="1"/>
  <c r="X112" i="25" s="1"/>
  <c r="S113" i="25"/>
  <c r="S114" i="25"/>
  <c r="T114" i="25" s="1"/>
  <c r="U114" i="25" s="1"/>
  <c r="V114" i="25" s="1"/>
  <c r="S115" i="25"/>
  <c r="W115" i="25" s="1"/>
  <c r="X115" i="25" s="1"/>
  <c r="S116" i="25"/>
  <c r="W116" i="25" s="1"/>
  <c r="X116" i="25" s="1"/>
  <c r="S117" i="25"/>
  <c r="T117" i="25" s="1"/>
  <c r="U117" i="25" s="1"/>
  <c r="V117" i="25" s="1"/>
  <c r="S118" i="25"/>
  <c r="W118" i="25" s="1"/>
  <c r="X118" i="25" s="1"/>
  <c r="S119" i="25"/>
  <c r="T119" i="25" s="1"/>
  <c r="U119" i="25" s="1"/>
  <c r="V119" i="25" s="1"/>
  <c r="S120" i="25"/>
  <c r="W120" i="25" s="1"/>
  <c r="X120" i="25" s="1"/>
  <c r="S121" i="25"/>
  <c r="T121" i="25" s="1"/>
  <c r="U121" i="25" s="1"/>
  <c r="V121" i="25" s="1"/>
  <c r="S122" i="25"/>
  <c r="S123" i="25"/>
  <c r="T123" i="25" s="1"/>
  <c r="U123" i="25" s="1"/>
  <c r="V123" i="25" s="1"/>
  <c r="S124" i="25"/>
  <c r="W124" i="25" s="1"/>
  <c r="X124" i="25" s="1"/>
  <c r="S125" i="25"/>
  <c r="W125" i="25" s="1"/>
  <c r="X125" i="25" s="1"/>
  <c r="S126" i="25"/>
  <c r="T126" i="25" s="1"/>
  <c r="U126" i="25" s="1"/>
  <c r="V126" i="25" s="1"/>
  <c r="S127" i="25"/>
  <c r="T127" i="25" s="1"/>
  <c r="U127" i="25" s="1"/>
  <c r="V127" i="25" s="1"/>
  <c r="S128" i="25"/>
  <c r="S129" i="25"/>
  <c r="W129" i="25" s="1"/>
  <c r="X129" i="25" s="1"/>
  <c r="S130" i="25"/>
  <c r="W130" i="25" s="1"/>
  <c r="X130" i="25" s="1"/>
  <c r="S131" i="25"/>
  <c r="W131" i="25" s="1"/>
  <c r="X131" i="25" s="1"/>
  <c r="S132" i="25"/>
  <c r="W132" i="25" s="1"/>
  <c r="X132" i="25" s="1"/>
  <c r="S133" i="25"/>
  <c r="T133" i="25" s="1"/>
  <c r="U133" i="25" s="1"/>
  <c r="V133" i="25" s="1"/>
  <c r="S134" i="25"/>
  <c r="S135" i="25"/>
  <c r="W135" i="25" s="1"/>
  <c r="X135" i="25" s="1"/>
  <c r="S136" i="25"/>
  <c r="T136" i="25" s="1"/>
  <c r="U136" i="25" s="1"/>
  <c r="V136" i="25" s="1"/>
  <c r="S137" i="25"/>
  <c r="W137" i="25" s="1"/>
  <c r="X137" i="25" s="1"/>
  <c r="S138" i="25"/>
  <c r="W138" i="25" s="1"/>
  <c r="X138" i="25" s="1"/>
  <c r="S139" i="25"/>
  <c r="W139" i="25" s="1"/>
  <c r="X139" i="25" s="1"/>
  <c r="S140" i="25"/>
  <c r="S141" i="25"/>
  <c r="S142" i="25"/>
  <c r="S143" i="25"/>
  <c r="S144" i="25"/>
  <c r="W144" i="25" s="1"/>
  <c r="X144" i="25" s="1"/>
  <c r="S145" i="25"/>
  <c r="W145" i="25" s="1"/>
  <c r="X145" i="25" s="1"/>
  <c r="S146" i="25"/>
  <c r="W146" i="25" s="1"/>
  <c r="X146" i="25" s="1"/>
  <c r="S147" i="25"/>
  <c r="S148" i="25"/>
  <c r="S149" i="25"/>
  <c r="T149" i="25" s="1"/>
  <c r="U149" i="25" s="1"/>
  <c r="V149" i="25" s="1"/>
  <c r="S150" i="25"/>
  <c r="T150" i="25" s="1"/>
  <c r="U150" i="25" s="1"/>
  <c r="V150" i="25" s="1"/>
  <c r="S151" i="25"/>
  <c r="T151" i="25" s="1"/>
  <c r="U151" i="25" s="1"/>
  <c r="V151" i="25" s="1"/>
  <c r="S152" i="25"/>
  <c r="T152" i="25" s="1"/>
  <c r="U152" i="25" s="1"/>
  <c r="V152" i="25" s="1"/>
  <c r="S153" i="25"/>
  <c r="W153" i="25" s="1"/>
  <c r="X153" i="25" s="1"/>
  <c r="S154" i="25"/>
  <c r="W154" i="25" s="1"/>
  <c r="X154" i="25" s="1"/>
  <c r="S155" i="25"/>
  <c r="W155" i="25" s="1"/>
  <c r="X155" i="25" s="1"/>
  <c r="S156" i="25"/>
  <c r="W156" i="25" s="1"/>
  <c r="X156" i="25" s="1"/>
  <c r="S157" i="25"/>
  <c r="T157" i="25" s="1"/>
  <c r="U157" i="25" s="1"/>
  <c r="V157" i="25" s="1"/>
  <c r="S158" i="25"/>
  <c r="W158" i="25" s="1"/>
  <c r="X158" i="25" s="1"/>
  <c r="S159" i="25"/>
  <c r="S160" i="25"/>
  <c r="S161" i="25"/>
  <c r="T161" i="25" s="1"/>
  <c r="U161" i="25" s="1"/>
  <c r="V161" i="25" s="1"/>
  <c r="S162" i="25"/>
  <c r="T162" i="25" s="1"/>
  <c r="U162" i="25" s="1"/>
  <c r="V162" i="25" s="1"/>
  <c r="S163" i="25"/>
  <c r="S164" i="25"/>
  <c r="W164" i="25" s="1"/>
  <c r="X164" i="25" s="1"/>
  <c r="S165" i="25"/>
  <c r="T165" i="25" s="1"/>
  <c r="U165" i="25" s="1"/>
  <c r="V165" i="25" s="1"/>
  <c r="S166" i="25"/>
  <c r="T166" i="25" s="1"/>
  <c r="U166" i="25" s="1"/>
  <c r="V166" i="25" s="1"/>
  <c r="S167" i="25"/>
  <c r="W167" i="25" s="1"/>
  <c r="X167" i="25" s="1"/>
  <c r="S168" i="25"/>
  <c r="W168" i="25" s="1"/>
  <c r="X168" i="25" s="1"/>
  <c r="S169" i="25"/>
  <c r="S170" i="25"/>
  <c r="T170" i="25" s="1"/>
  <c r="U170" i="25" s="1"/>
  <c r="V170" i="25" s="1"/>
  <c r="S171" i="25"/>
  <c r="S172" i="25"/>
  <c r="T172" i="25" s="1"/>
  <c r="U172" i="25" s="1"/>
  <c r="V172" i="25" s="1"/>
  <c r="S173" i="25"/>
  <c r="S174" i="25"/>
  <c r="S175" i="25"/>
  <c r="T175" i="25" s="1"/>
  <c r="U175" i="25" s="1"/>
  <c r="V175" i="25" s="1"/>
  <c r="S176" i="25"/>
  <c r="T176" i="25" s="1"/>
  <c r="U176" i="25" s="1"/>
  <c r="V176" i="25" s="1"/>
  <c r="S177" i="25"/>
  <c r="S178" i="25"/>
  <c r="W178" i="25" s="1"/>
  <c r="X178" i="25" s="1"/>
  <c r="S179" i="25"/>
  <c r="W179" i="25" s="1"/>
  <c r="X179" i="25" s="1"/>
  <c r="S180" i="25"/>
  <c r="W180" i="25" s="1"/>
  <c r="X180" i="25" s="1"/>
  <c r="S181" i="25"/>
  <c r="W181" i="25" s="1"/>
  <c r="X181" i="25" s="1"/>
  <c r="S182" i="25"/>
  <c r="S183" i="25"/>
  <c r="S185" i="25"/>
  <c r="S186" i="25"/>
  <c r="W186" i="25" s="1"/>
  <c r="X186" i="25" s="1"/>
  <c r="S187" i="25"/>
  <c r="W187" i="25" s="1"/>
  <c r="X187" i="25" s="1"/>
  <c r="S188" i="25"/>
  <c r="W188" i="25" s="1"/>
  <c r="X188" i="25" s="1"/>
  <c r="S189" i="25"/>
  <c r="S190" i="25"/>
  <c r="W190" i="25" s="1"/>
  <c r="X190" i="25" s="1"/>
  <c r="S191" i="25"/>
  <c r="S192" i="25"/>
  <c r="S193" i="25"/>
  <c r="W193" i="25" s="1"/>
  <c r="X193" i="25" s="1"/>
  <c r="S194" i="25"/>
  <c r="W194" i="25" s="1"/>
  <c r="X194" i="25" s="1"/>
  <c r="S196" i="25"/>
  <c r="W196" i="25" s="1"/>
  <c r="X196" i="25" s="1"/>
  <c r="S197" i="25"/>
  <c r="W197" i="25" s="1"/>
  <c r="X197" i="25" s="1"/>
  <c r="S198" i="25"/>
  <c r="T198" i="25" s="1"/>
  <c r="U198" i="25" s="1"/>
  <c r="V198" i="25" s="1"/>
  <c r="S199" i="25"/>
  <c r="S200" i="25"/>
  <c r="W200" i="25" s="1"/>
  <c r="X200" i="25" s="1"/>
  <c r="S201" i="25"/>
  <c r="T201" i="25" s="1"/>
  <c r="U201" i="25" s="1"/>
  <c r="V201" i="25" s="1"/>
  <c r="S202" i="25"/>
  <c r="S203" i="25"/>
  <c r="S204" i="25"/>
  <c r="S205" i="25"/>
  <c r="S206" i="25"/>
  <c r="S207" i="25"/>
  <c r="T207" i="25" s="1"/>
  <c r="U207" i="25" s="1"/>
  <c r="V207" i="25" s="1"/>
  <c r="S208" i="25"/>
  <c r="S209" i="25"/>
  <c r="T209" i="25" s="1"/>
  <c r="U209" i="25" s="1"/>
  <c r="V209" i="25" s="1"/>
  <c r="S210" i="25"/>
  <c r="T210" i="25" s="1"/>
  <c r="U210" i="25" s="1"/>
  <c r="V210" i="25" s="1"/>
  <c r="S211" i="25"/>
  <c r="S212" i="25"/>
  <c r="T212" i="25" s="1"/>
  <c r="U212" i="25" s="1"/>
  <c r="V212" i="25" s="1"/>
  <c r="S213" i="25"/>
  <c r="S214" i="25"/>
  <c r="S215" i="25"/>
  <c r="T215" i="25" s="1"/>
  <c r="U215" i="25" s="1"/>
  <c r="V215" i="25" s="1"/>
  <c r="S216" i="25"/>
  <c r="W216" i="25" s="1"/>
  <c r="X216" i="25" s="1"/>
  <c r="S217" i="25"/>
  <c r="W217" i="25" s="1"/>
  <c r="X217" i="25" s="1"/>
  <c r="S218" i="25"/>
  <c r="W218" i="25" s="1"/>
  <c r="X218" i="25" s="1"/>
  <c r="S219" i="25"/>
  <c r="S220" i="25"/>
  <c r="W220" i="25" s="1"/>
  <c r="X220" i="25" s="1"/>
  <c r="S221" i="25"/>
  <c r="S222" i="25"/>
  <c r="T222" i="25" s="1"/>
  <c r="U222" i="25" s="1"/>
  <c r="V222" i="25" s="1"/>
  <c r="S223" i="25"/>
  <c r="W223" i="25" s="1"/>
  <c r="X223" i="25" s="1"/>
  <c r="S224" i="25"/>
  <c r="T224" i="25" s="1"/>
  <c r="U224" i="25" s="1"/>
  <c r="V224" i="25" s="1"/>
  <c r="S225" i="25"/>
  <c r="W225" i="25" s="1"/>
  <c r="X225" i="25" s="1"/>
  <c r="S226" i="25"/>
  <c r="W226" i="25" s="1"/>
  <c r="X226" i="25" s="1"/>
  <c r="S227" i="25"/>
  <c r="W227" i="25" s="1"/>
  <c r="X227" i="25" s="1"/>
  <c r="S228" i="25"/>
  <c r="S229" i="25"/>
  <c r="W229" i="25" s="1"/>
  <c r="X229" i="25" s="1"/>
  <c r="S230" i="25"/>
  <c r="W230" i="25" s="1"/>
  <c r="X230" i="25" s="1"/>
  <c r="S231" i="25"/>
  <c r="S232" i="25"/>
  <c r="T232" i="25" s="1"/>
  <c r="U232" i="25" s="1"/>
  <c r="V232" i="25" s="1"/>
  <c r="S233" i="25"/>
  <c r="T233" i="25" s="1"/>
  <c r="U233" i="25" s="1"/>
  <c r="V233" i="25" s="1"/>
  <c r="S234" i="25"/>
  <c r="W234" i="25" s="1"/>
  <c r="X234" i="25" s="1"/>
  <c r="S235" i="25"/>
  <c r="W235" i="25" s="1"/>
  <c r="X235" i="25" s="1"/>
  <c r="S236" i="25"/>
  <c r="W236" i="25" s="1"/>
  <c r="X236" i="25" s="1"/>
  <c r="S237" i="25"/>
  <c r="T237" i="25" s="1"/>
  <c r="U237" i="25" s="1"/>
  <c r="V237" i="25" s="1"/>
  <c r="S238" i="25"/>
  <c r="W238" i="25" s="1"/>
  <c r="X238" i="25" s="1"/>
  <c r="S239" i="25"/>
  <c r="W239" i="25" s="1"/>
  <c r="X239" i="25" s="1"/>
  <c r="S240" i="25"/>
  <c r="S241" i="25"/>
  <c r="T241" i="25" s="1"/>
  <c r="U241" i="25" s="1"/>
  <c r="V241" i="25" s="1"/>
  <c r="S242" i="25"/>
  <c r="W242" i="25" s="1"/>
  <c r="X242" i="25" s="1"/>
  <c r="S243" i="25"/>
  <c r="W243" i="25" s="1"/>
  <c r="X243" i="25" s="1"/>
  <c r="S244" i="25"/>
  <c r="W244" i="25" s="1"/>
  <c r="X244" i="25" s="1"/>
  <c r="S245" i="25"/>
  <c r="T245" i="25" s="1"/>
  <c r="U245" i="25" s="1"/>
  <c r="V245" i="25" s="1"/>
  <c r="S246" i="25"/>
  <c r="W246" i="25" s="1"/>
  <c r="X246" i="25" s="1"/>
  <c r="S247" i="25"/>
  <c r="W247" i="25" s="1"/>
  <c r="X247" i="25" s="1"/>
  <c r="S248" i="25"/>
  <c r="S249" i="25"/>
  <c r="W249" i="25" s="1"/>
  <c r="X249" i="25" s="1"/>
  <c r="S250" i="25"/>
  <c r="S251" i="25"/>
  <c r="T251" i="25" s="1"/>
  <c r="U251" i="25" s="1"/>
  <c r="V251" i="25" s="1"/>
  <c r="S252" i="25"/>
  <c r="S253" i="25"/>
  <c r="W253" i="25" s="1"/>
  <c r="X253" i="25" s="1"/>
  <c r="S254" i="25"/>
  <c r="T254" i="25" s="1"/>
  <c r="U254" i="25" s="1"/>
  <c r="V254" i="25" s="1"/>
  <c r="S255" i="25"/>
  <c r="T255" i="25" s="1"/>
  <c r="U255" i="25" s="1"/>
  <c r="V255" i="25" s="1"/>
  <c r="S256" i="25"/>
  <c r="W256" i="25" s="1"/>
  <c r="X256" i="25" s="1"/>
  <c r="S257" i="25"/>
  <c r="T257" i="25" s="1"/>
  <c r="U257" i="25" s="1"/>
  <c r="V257" i="25" s="1"/>
  <c r="S258" i="25"/>
  <c r="W258" i="25" s="1"/>
  <c r="X258" i="25" s="1"/>
  <c r="S259" i="25"/>
  <c r="W259" i="25" s="1"/>
  <c r="X259" i="25" s="1"/>
  <c r="S260" i="25"/>
  <c r="W260" i="25" s="1"/>
  <c r="X260" i="25" s="1"/>
  <c r="S261" i="25"/>
  <c r="W261" i="25" s="1"/>
  <c r="X261" i="25" s="1"/>
  <c r="S262" i="25"/>
  <c r="W262" i="25" s="1"/>
  <c r="X262" i="25" s="1"/>
  <c r="S263" i="25"/>
  <c r="W263" i="25" s="1"/>
  <c r="X263" i="25" s="1"/>
  <c r="S264" i="25"/>
  <c r="S265" i="25"/>
  <c r="W265" i="25" s="1"/>
  <c r="X265" i="25" s="1"/>
  <c r="S266" i="25"/>
  <c r="T266" i="25" s="1"/>
  <c r="U266" i="25" s="1"/>
  <c r="V266" i="25" s="1"/>
  <c r="S267" i="25"/>
  <c r="T267" i="25" s="1"/>
  <c r="U267" i="25" s="1"/>
  <c r="V267" i="25" s="1"/>
  <c r="S268" i="25"/>
  <c r="W268" i="25" s="1"/>
  <c r="X268" i="25" s="1"/>
  <c r="S269" i="25"/>
  <c r="S270" i="25"/>
  <c r="T270" i="25" s="1"/>
  <c r="U270" i="25" s="1"/>
  <c r="V270" i="25" s="1"/>
  <c r="S271" i="25"/>
  <c r="W271" i="25" s="1"/>
  <c r="X271" i="25" s="1"/>
  <c r="S272" i="25"/>
  <c r="W272" i="25" s="1"/>
  <c r="X272" i="25" s="1"/>
  <c r="S273" i="25"/>
  <c r="W273" i="25" s="1"/>
  <c r="X273" i="25" s="1"/>
  <c r="S274" i="25"/>
  <c r="T274" i="25" s="1"/>
  <c r="U274" i="25" s="1"/>
  <c r="V274" i="25" s="1"/>
  <c r="S275" i="25"/>
  <c r="S276" i="25"/>
  <c r="T276" i="25" s="1"/>
  <c r="U276" i="25" s="1"/>
  <c r="V276" i="25" s="1"/>
  <c r="S277" i="25"/>
  <c r="W277" i="25" s="1"/>
  <c r="X277" i="25" s="1"/>
  <c r="S278" i="25"/>
  <c r="W278" i="25" s="1"/>
  <c r="X278" i="25" s="1"/>
  <c r="S279" i="25"/>
  <c r="W279" i="25" s="1"/>
  <c r="X279" i="25" s="1"/>
  <c r="S280" i="25"/>
  <c r="T280" i="25" s="1"/>
  <c r="U280" i="25" s="1"/>
  <c r="V280" i="25" s="1"/>
  <c r="S281" i="25"/>
  <c r="W281" i="25" s="1"/>
  <c r="X281" i="25" s="1"/>
  <c r="S282" i="25"/>
  <c r="W282" i="25" s="1"/>
  <c r="X282" i="25" s="1"/>
  <c r="S284" i="25"/>
  <c r="W284" i="25" s="1"/>
  <c r="X284" i="25" s="1"/>
  <c r="S285" i="25"/>
  <c r="T285" i="25" s="1"/>
  <c r="U285" i="25" s="1"/>
  <c r="V285" i="25" s="1"/>
  <c r="S286" i="25"/>
  <c r="W286" i="25" s="1"/>
  <c r="X286" i="25" s="1"/>
  <c r="S287" i="25"/>
  <c r="W287" i="25" s="1"/>
  <c r="X287" i="25" s="1"/>
  <c r="S288" i="25"/>
  <c r="W288" i="25" s="1"/>
  <c r="X288" i="25" s="1"/>
  <c r="S289" i="25"/>
  <c r="T289" i="25" s="1"/>
  <c r="U289" i="25" s="1"/>
  <c r="V289" i="25" s="1"/>
  <c r="S290" i="25"/>
  <c r="S291" i="25"/>
  <c r="T291" i="25" s="1"/>
  <c r="U291" i="25" s="1"/>
  <c r="V291" i="25" s="1"/>
  <c r="S292" i="25"/>
  <c r="W292" i="25" s="1"/>
  <c r="X292" i="25" s="1"/>
  <c r="S293" i="25"/>
  <c r="W293" i="25" s="1"/>
  <c r="X293" i="25" s="1"/>
  <c r="S295" i="25"/>
  <c r="T295" i="25" s="1"/>
  <c r="U295" i="25" s="1"/>
  <c r="V295" i="25" s="1"/>
  <c r="S296" i="25"/>
  <c r="W296" i="25" s="1"/>
  <c r="X296" i="25" s="1"/>
  <c r="S297" i="25"/>
  <c r="S298" i="25"/>
  <c r="T298" i="25" s="1"/>
  <c r="U298" i="25" s="1"/>
  <c r="V298" i="25" s="1"/>
  <c r="S398" i="25"/>
  <c r="T398" i="25" s="1"/>
  <c r="U398" i="25" s="1"/>
  <c r="V398" i="25" s="1"/>
  <c r="S399" i="25"/>
  <c r="T399" i="25" s="1"/>
  <c r="U399" i="25" s="1"/>
  <c r="V399" i="25" s="1"/>
  <c r="S400" i="25"/>
  <c r="T400" i="25" s="1"/>
  <c r="U400" i="25" s="1"/>
  <c r="V400" i="25" s="1"/>
  <c r="S401" i="25"/>
  <c r="W401" i="25" s="1"/>
  <c r="X401" i="25" s="1"/>
  <c r="S402" i="25"/>
  <c r="S403" i="25"/>
  <c r="T403" i="25" s="1"/>
  <c r="U403" i="25" s="1"/>
  <c r="V403" i="25" s="1"/>
  <c r="S404" i="25"/>
  <c r="T404" i="25" s="1"/>
  <c r="U404" i="25" s="1"/>
  <c r="V404" i="25" s="1"/>
  <c r="S405" i="25"/>
  <c r="S406" i="25"/>
  <c r="W406" i="25" s="1"/>
  <c r="X406" i="25" s="1"/>
  <c r="S407" i="25"/>
  <c r="T407" i="25" s="1"/>
  <c r="U407" i="25" s="1"/>
  <c r="V407" i="25" s="1"/>
  <c r="S408" i="25"/>
  <c r="W408" i="25" s="1"/>
  <c r="X408" i="25" s="1"/>
  <c r="S409" i="25"/>
  <c r="W409" i="25" s="1"/>
  <c r="X409" i="25" s="1"/>
  <c r="S410" i="25"/>
  <c r="W410" i="25" s="1"/>
  <c r="X410" i="25" s="1"/>
  <c r="S411" i="25"/>
  <c r="T411" i="25" s="1"/>
  <c r="U411" i="25" s="1"/>
  <c r="V411" i="25" s="1"/>
  <c r="S412" i="25"/>
  <c r="W412" i="25" s="1"/>
  <c r="X412" i="25" s="1"/>
  <c r="S413" i="25"/>
  <c r="S414" i="25"/>
  <c r="T414" i="25" s="1"/>
  <c r="U414" i="25" s="1"/>
  <c r="V414" i="25" s="1"/>
  <c r="S415" i="25"/>
  <c r="W415" i="25" s="1"/>
  <c r="X415" i="25" s="1"/>
  <c r="S416" i="25"/>
  <c r="W416" i="25" s="1"/>
  <c r="X416" i="25" s="1"/>
  <c r="S417" i="25"/>
  <c r="T417" i="25" s="1"/>
  <c r="U417" i="25" s="1"/>
  <c r="V417" i="25" s="1"/>
  <c r="S418" i="25"/>
  <c r="S419" i="25"/>
  <c r="S420" i="25"/>
  <c r="W420" i="25" s="1"/>
  <c r="X420" i="25" s="1"/>
  <c r="S421" i="25"/>
  <c r="T421" i="25" s="1"/>
  <c r="U421" i="25" s="1"/>
  <c r="V421" i="25" s="1"/>
  <c r="S422" i="25"/>
  <c r="S423" i="25"/>
  <c r="T423" i="25" s="1"/>
  <c r="U423" i="25" s="1"/>
  <c r="V423" i="25" s="1"/>
  <c r="S424" i="25"/>
  <c r="S425" i="25"/>
  <c r="W425" i="25" s="1"/>
  <c r="X425" i="25" s="1"/>
  <c r="S426" i="25"/>
  <c r="T426" i="25" s="1"/>
  <c r="U426" i="25" s="1"/>
  <c r="V426" i="25" s="1"/>
  <c r="S427" i="25"/>
  <c r="T427" i="25" s="1"/>
  <c r="U427" i="25" s="1"/>
  <c r="V427" i="25" s="1"/>
  <c r="S428" i="25"/>
  <c r="W428" i="25" s="1"/>
  <c r="X428" i="25" s="1"/>
  <c r="S429" i="25"/>
  <c r="W429" i="25" s="1"/>
  <c r="X429" i="25" s="1"/>
  <c r="S430" i="25"/>
  <c r="S431" i="25"/>
  <c r="T431" i="25" s="1"/>
  <c r="U431" i="25" s="1"/>
  <c r="V431" i="25" s="1"/>
  <c r="S432" i="25"/>
  <c r="W432" i="25" s="1"/>
  <c r="X432" i="25" s="1"/>
  <c r="S433" i="25"/>
  <c r="S434" i="25"/>
  <c r="T434" i="25" s="1"/>
  <c r="U434" i="25" s="1"/>
  <c r="V434" i="25" s="1"/>
  <c r="S435" i="25"/>
  <c r="W435" i="25" s="1"/>
  <c r="X435" i="25" s="1"/>
  <c r="S436" i="25"/>
  <c r="T436" i="25" s="1"/>
  <c r="U436" i="25" s="1"/>
  <c r="V436" i="25" s="1"/>
  <c r="S437" i="25"/>
  <c r="S438" i="25"/>
  <c r="W438" i="25" s="1"/>
  <c r="X438" i="25" s="1"/>
  <c r="S439" i="25"/>
  <c r="W439" i="25" s="1"/>
  <c r="X439" i="25" s="1"/>
  <c r="S440" i="25"/>
  <c r="S441" i="25"/>
  <c r="W441" i="25" s="1"/>
  <c r="X441" i="25" s="1"/>
  <c r="S442" i="25"/>
  <c r="T442" i="25" s="1"/>
  <c r="U442" i="25" s="1"/>
  <c r="V442" i="25" s="1"/>
  <c r="S443" i="25"/>
  <c r="W443" i="25" s="1"/>
  <c r="X443" i="25" s="1"/>
  <c r="S444" i="25"/>
  <c r="T444" i="25" s="1"/>
  <c r="U444" i="25" s="1"/>
  <c r="V444" i="25" s="1"/>
  <c r="S445" i="25"/>
  <c r="T445" i="25" s="1"/>
  <c r="U445" i="25" s="1"/>
  <c r="V445" i="25" s="1"/>
  <c r="S446" i="25"/>
  <c r="T446" i="25" s="1"/>
  <c r="U446" i="25" s="1"/>
  <c r="V446" i="25" s="1"/>
  <c r="S447" i="25"/>
  <c r="W447" i="25" s="1"/>
  <c r="X447" i="25" s="1"/>
  <c r="S448" i="25"/>
  <c r="S449" i="25"/>
  <c r="T449" i="25" s="1"/>
  <c r="U449" i="25" s="1"/>
  <c r="V449" i="25" s="1"/>
  <c r="S450" i="25"/>
  <c r="S451" i="25"/>
  <c r="T451" i="25" s="1"/>
  <c r="U451" i="25" s="1"/>
  <c r="V451" i="25" s="1"/>
  <c r="S452" i="25"/>
  <c r="T452" i="25" s="1"/>
  <c r="U452" i="25" s="1"/>
  <c r="V452" i="25" s="1"/>
  <c r="S453" i="25"/>
  <c r="W453" i="25" s="1"/>
  <c r="X453" i="25" s="1"/>
  <c r="S454" i="25"/>
  <c r="S455" i="25"/>
  <c r="T455" i="25" s="1"/>
  <c r="U455" i="25" s="1"/>
  <c r="V455" i="25" s="1"/>
  <c r="S456" i="25"/>
  <c r="S457" i="25"/>
  <c r="T457" i="25" s="1"/>
  <c r="U457" i="25" s="1"/>
  <c r="V457" i="25" s="1"/>
  <c r="S458" i="25"/>
  <c r="S459" i="25"/>
  <c r="S460" i="25"/>
  <c r="W460" i="25" s="1"/>
  <c r="X460" i="25" s="1"/>
  <c r="S461" i="25"/>
  <c r="T461" i="25" s="1"/>
  <c r="U461" i="25" s="1"/>
  <c r="V461" i="25" s="1"/>
  <c r="S462" i="25"/>
  <c r="T462" i="25" s="1"/>
  <c r="U462" i="25" s="1"/>
  <c r="V462" i="25" s="1"/>
  <c r="S463" i="25"/>
  <c r="W463" i="25" s="1"/>
  <c r="X463" i="25" s="1"/>
  <c r="S464" i="25"/>
  <c r="W464" i="25" s="1"/>
  <c r="X464" i="25" s="1"/>
  <c r="S465" i="25"/>
  <c r="S466" i="25"/>
  <c r="S467" i="25"/>
  <c r="S468" i="25"/>
  <c r="S469" i="25"/>
  <c r="W469" i="25" s="1"/>
  <c r="X469" i="25" s="1"/>
  <c r="S470" i="25"/>
  <c r="T470" i="25" s="1"/>
  <c r="U470" i="25" s="1"/>
  <c r="V470" i="25" s="1"/>
  <c r="S471" i="25"/>
  <c r="S472" i="25"/>
  <c r="T472" i="25" s="1"/>
  <c r="U472" i="25" s="1"/>
  <c r="V472" i="25" s="1"/>
  <c r="S473" i="25"/>
  <c r="S474" i="25"/>
  <c r="T474" i="25" s="1"/>
  <c r="U474" i="25" s="1"/>
  <c r="V474" i="25" s="1"/>
  <c r="S475" i="25"/>
  <c r="T475" i="25" s="1"/>
  <c r="U475" i="25" s="1"/>
  <c r="V475" i="25" s="1"/>
  <c r="S476" i="25"/>
  <c r="T476" i="25" s="1"/>
  <c r="U476" i="25" s="1"/>
  <c r="V476" i="25" s="1"/>
  <c r="S477" i="25"/>
  <c r="S478" i="25"/>
  <c r="W478" i="25" s="1"/>
  <c r="X478" i="25" s="1"/>
  <c r="S479" i="25"/>
  <c r="S480" i="25"/>
  <c r="T480" i="25" s="1"/>
  <c r="U480" i="25" s="1"/>
  <c r="V480" i="25" s="1"/>
  <c r="S482" i="25"/>
  <c r="T482" i="25" s="1"/>
  <c r="U482" i="25" s="1"/>
  <c r="V482" i="25" s="1"/>
  <c r="S483" i="25"/>
  <c r="S484" i="25"/>
  <c r="S485" i="25"/>
  <c r="T485" i="25" s="1"/>
  <c r="U485" i="25" s="1"/>
  <c r="V485" i="25" s="1"/>
  <c r="S486" i="25"/>
  <c r="T486" i="25" s="1"/>
  <c r="U486" i="25" s="1"/>
  <c r="V486" i="25" s="1"/>
  <c r="S487" i="25"/>
  <c r="S488" i="25"/>
  <c r="W488" i="25" s="1"/>
  <c r="X488" i="25" s="1"/>
  <c r="S489" i="25"/>
  <c r="S490" i="25"/>
  <c r="T490" i="25" s="1"/>
  <c r="U490" i="25" s="1"/>
  <c r="V490" i="25" s="1"/>
  <c r="S491" i="25"/>
  <c r="W491" i="25" s="1"/>
  <c r="X491" i="25" s="1"/>
  <c r="S493" i="25"/>
  <c r="S494" i="25"/>
  <c r="T494" i="25" s="1"/>
  <c r="U494" i="25" s="1"/>
  <c r="V494" i="25" s="1"/>
  <c r="S495" i="25"/>
  <c r="S496" i="25"/>
  <c r="T496" i="25" s="1"/>
  <c r="U496" i="25" s="1"/>
  <c r="V496" i="25" s="1"/>
  <c r="S497" i="25"/>
  <c r="W497" i="25" s="1"/>
  <c r="X497" i="25" s="1"/>
  <c r="S498" i="25"/>
  <c r="S499" i="25"/>
  <c r="T499" i="25" s="1"/>
  <c r="U499" i="25" s="1"/>
  <c r="V499" i="25" s="1"/>
  <c r="S500" i="25"/>
  <c r="T500" i="25" s="1"/>
  <c r="U500" i="25" s="1"/>
  <c r="V500" i="25" s="1"/>
  <c r="S501" i="25"/>
  <c r="W501" i="25" s="1"/>
  <c r="X501" i="25" s="1"/>
  <c r="S502" i="25"/>
  <c r="W502" i="25" s="1"/>
  <c r="X502" i="25" s="1"/>
  <c r="S503" i="25"/>
  <c r="T503" i="25" s="1"/>
  <c r="U503" i="25" s="1"/>
  <c r="V503" i="25" s="1"/>
  <c r="S504" i="25"/>
  <c r="T504" i="25" s="1"/>
  <c r="U504" i="25" s="1"/>
  <c r="V504" i="25" s="1"/>
  <c r="S505" i="25"/>
  <c r="S506" i="25"/>
  <c r="S507" i="25"/>
  <c r="W507" i="25" s="1"/>
  <c r="X507" i="25" s="1"/>
  <c r="S508" i="25"/>
  <c r="S509" i="25"/>
  <c r="W509" i="25" s="1"/>
  <c r="X509" i="25" s="1"/>
  <c r="S510" i="25"/>
  <c r="W510" i="25" s="1"/>
  <c r="X510" i="25" s="1"/>
  <c r="S511" i="25"/>
  <c r="S512" i="25"/>
  <c r="T512" i="25" s="1"/>
  <c r="U512" i="25" s="1"/>
  <c r="V512" i="25" s="1"/>
  <c r="S513" i="25"/>
  <c r="S514" i="25"/>
  <c r="W514" i="25" s="1"/>
  <c r="X514" i="25" s="1"/>
  <c r="S515" i="25"/>
  <c r="W515" i="25" s="1"/>
  <c r="X515" i="25" s="1"/>
  <c r="S516" i="25"/>
  <c r="W516" i="25" s="1"/>
  <c r="X516" i="25" s="1"/>
  <c r="S517" i="25"/>
  <c r="T517" i="25" s="1"/>
  <c r="U517" i="25" s="1"/>
  <c r="V517" i="25" s="1"/>
  <c r="S518" i="25"/>
  <c r="S519" i="25"/>
  <c r="W519" i="25" s="1"/>
  <c r="X519" i="25" s="1"/>
  <c r="S520" i="25"/>
  <c r="T520" i="25" s="1"/>
  <c r="U520" i="25" s="1"/>
  <c r="V520" i="25" s="1"/>
  <c r="S521" i="25"/>
  <c r="W521" i="25" s="1"/>
  <c r="X521" i="25" s="1"/>
  <c r="S522" i="25"/>
  <c r="S523" i="25"/>
  <c r="T523" i="25" s="1"/>
  <c r="U523" i="25" s="1"/>
  <c r="V523" i="25" s="1"/>
  <c r="S524" i="25"/>
  <c r="W524" i="25" s="1"/>
  <c r="X524" i="25" s="1"/>
  <c r="S525" i="25"/>
  <c r="W525" i="25" s="1"/>
  <c r="X525" i="25" s="1"/>
  <c r="S526" i="25"/>
  <c r="S527" i="25"/>
  <c r="W527" i="25" s="1"/>
  <c r="X527" i="25" s="1"/>
  <c r="S528" i="25"/>
  <c r="W528" i="25" s="1"/>
  <c r="X528" i="25" s="1"/>
  <c r="S529" i="25"/>
  <c r="S530" i="25"/>
  <c r="W530" i="25" s="1"/>
  <c r="X530" i="25" s="1"/>
  <c r="S531" i="25"/>
  <c r="S532" i="25"/>
  <c r="W532" i="25" s="1"/>
  <c r="X532" i="25" s="1"/>
  <c r="S533" i="25"/>
  <c r="W533" i="25" s="1"/>
  <c r="X533" i="25" s="1"/>
  <c r="S534" i="25"/>
  <c r="W534" i="25" s="1"/>
  <c r="X534" i="25" s="1"/>
  <c r="S535" i="25"/>
  <c r="W535" i="25" s="1"/>
  <c r="X535" i="25" s="1"/>
  <c r="S536" i="25"/>
  <c r="S537" i="25"/>
  <c r="W537" i="25" s="1"/>
  <c r="X537" i="25" s="1"/>
  <c r="S538" i="25"/>
  <c r="W538" i="25" s="1"/>
  <c r="X538" i="25" s="1"/>
  <c r="S539" i="25"/>
  <c r="W539" i="25" s="1"/>
  <c r="X539" i="25" s="1"/>
  <c r="S540" i="25"/>
  <c r="W540" i="25" s="1"/>
  <c r="X540" i="25" s="1"/>
  <c r="S541" i="25"/>
  <c r="W541" i="25" s="1"/>
  <c r="X541" i="25" s="1"/>
  <c r="S542" i="25"/>
  <c r="T542" i="25" s="1"/>
  <c r="U542" i="25" s="1"/>
  <c r="V542" i="25" s="1"/>
  <c r="S543" i="25"/>
  <c r="S544" i="25"/>
  <c r="T544" i="25" s="1"/>
  <c r="U544" i="25" s="1"/>
  <c r="V544" i="25" s="1"/>
  <c r="S545" i="25"/>
  <c r="T545" i="25" s="1"/>
  <c r="U545" i="25" s="1"/>
  <c r="V545" i="25" s="1"/>
  <c r="S546" i="25"/>
  <c r="W546" i="25" s="1"/>
  <c r="X546" i="25" s="1"/>
  <c r="S547" i="25"/>
  <c r="T547" i="25" s="1"/>
  <c r="U547" i="25" s="1"/>
  <c r="V547" i="25" s="1"/>
  <c r="S548" i="25"/>
  <c r="S549" i="25"/>
  <c r="S550" i="25"/>
  <c r="W550" i="25" s="1"/>
  <c r="X550" i="25" s="1"/>
  <c r="S551" i="25"/>
  <c r="S552" i="25"/>
  <c r="T552" i="25" s="1"/>
  <c r="U552" i="25" s="1"/>
  <c r="V552" i="25" s="1"/>
  <c r="S553" i="25"/>
  <c r="W553" i="25" s="1"/>
  <c r="X553" i="25" s="1"/>
  <c r="S554" i="25"/>
  <c r="T554" i="25" s="1"/>
  <c r="U554" i="25" s="1"/>
  <c r="V554" i="25" s="1"/>
  <c r="S555" i="25"/>
  <c r="T555" i="25" s="1"/>
  <c r="U555" i="25" s="1"/>
  <c r="V555" i="25" s="1"/>
  <c r="S556" i="25"/>
  <c r="T556" i="25" s="1"/>
  <c r="U556" i="25" s="1"/>
  <c r="V556" i="25" s="1"/>
  <c r="S557" i="25"/>
  <c r="W557" i="25" s="1"/>
  <c r="X557" i="25" s="1"/>
  <c r="S558" i="25"/>
  <c r="W558" i="25" s="1"/>
  <c r="X558" i="25" s="1"/>
  <c r="S559" i="25"/>
  <c r="T559" i="25" s="1"/>
  <c r="U559" i="25" s="1"/>
  <c r="V559" i="25" s="1"/>
  <c r="S560" i="25"/>
  <c r="T560" i="25" s="1"/>
  <c r="U560" i="25" s="1"/>
  <c r="V560" i="25" s="1"/>
  <c r="S561" i="25"/>
  <c r="S562" i="25"/>
  <c r="W562" i="25" s="1"/>
  <c r="X562" i="25" s="1"/>
  <c r="S563" i="25"/>
  <c r="W563" i="25" s="1"/>
  <c r="X563" i="25" s="1"/>
  <c r="S564" i="25"/>
  <c r="W564" i="25" s="1"/>
  <c r="X564" i="25" s="1"/>
  <c r="S565" i="25"/>
  <c r="S566" i="25"/>
  <c r="S567" i="25"/>
  <c r="W567" i="25" s="1"/>
  <c r="X567" i="25" s="1"/>
  <c r="S568" i="25"/>
  <c r="S569" i="25"/>
  <c r="T569" i="25" s="1"/>
  <c r="U569" i="25" s="1"/>
  <c r="V569" i="25" s="1"/>
  <c r="S570" i="25"/>
  <c r="S571" i="25"/>
  <c r="W571" i="25" s="1"/>
  <c r="X571" i="25" s="1"/>
  <c r="S572" i="25"/>
  <c r="W572" i="25" s="1"/>
  <c r="X572" i="25" s="1"/>
  <c r="S573" i="25"/>
  <c r="S574" i="25"/>
  <c r="T574" i="25" s="1"/>
  <c r="U574" i="25" s="1"/>
  <c r="V574" i="25" s="1"/>
  <c r="S575" i="25"/>
  <c r="W575" i="25" s="1"/>
  <c r="X575" i="25" s="1"/>
  <c r="S576" i="25"/>
  <c r="W576" i="25" s="1"/>
  <c r="X576" i="25" s="1"/>
  <c r="S577" i="25"/>
  <c r="T577" i="25" s="1"/>
  <c r="U577" i="25" s="1"/>
  <c r="V577" i="25" s="1"/>
  <c r="S578" i="25"/>
  <c r="W578" i="25" s="1"/>
  <c r="X578" i="25" s="1"/>
  <c r="S579" i="25"/>
  <c r="T579" i="25" s="1"/>
  <c r="U579" i="25" s="1"/>
  <c r="V579" i="25" s="1"/>
  <c r="S581" i="25"/>
  <c r="S582" i="25"/>
  <c r="W582" i="25" s="1"/>
  <c r="X582" i="25" s="1"/>
  <c r="S583" i="25"/>
  <c r="S584" i="25"/>
  <c r="W584" i="25" s="1"/>
  <c r="X584" i="25" s="1"/>
  <c r="S585" i="25"/>
  <c r="S586" i="25"/>
  <c r="T586" i="25" s="1"/>
  <c r="U586" i="25" s="1"/>
  <c r="V586" i="25" s="1"/>
  <c r="S587" i="25"/>
  <c r="T587" i="25" s="1"/>
  <c r="U587" i="25" s="1"/>
  <c r="V587" i="25" s="1"/>
  <c r="S588" i="25"/>
  <c r="W588" i="25" s="1"/>
  <c r="X588" i="25" s="1"/>
  <c r="S589" i="25"/>
  <c r="W589" i="25" s="1"/>
  <c r="X589" i="25" s="1"/>
  <c r="S590" i="25"/>
  <c r="T590" i="25" s="1"/>
  <c r="U590" i="25" s="1"/>
  <c r="V590" i="25" s="1"/>
  <c r="S592" i="25"/>
  <c r="S593" i="25"/>
  <c r="S594" i="25"/>
  <c r="S595" i="25"/>
  <c r="T595" i="25" s="1"/>
  <c r="U595" i="25" s="1"/>
  <c r="V595" i="25" s="1"/>
  <c r="S695" i="25"/>
  <c r="S696" i="25"/>
  <c r="W696" i="25" s="1"/>
  <c r="X696" i="25" s="1"/>
  <c r="S697" i="25"/>
  <c r="W697" i="25" s="1"/>
  <c r="X697" i="25" s="1"/>
  <c r="S698" i="25"/>
  <c r="W698" i="25" s="1"/>
  <c r="X698" i="25" s="1"/>
  <c r="S699" i="25"/>
  <c r="W699" i="25" s="1"/>
  <c r="X699" i="25" s="1"/>
  <c r="S700" i="25"/>
  <c r="T700" i="25" s="1"/>
  <c r="U700" i="25" s="1"/>
  <c r="V700" i="25" s="1"/>
  <c r="S701" i="25"/>
  <c r="S702" i="25"/>
  <c r="T702" i="25" s="1"/>
  <c r="U702" i="25" s="1"/>
  <c r="V702" i="25" s="1"/>
  <c r="S703" i="25"/>
  <c r="S704" i="25"/>
  <c r="S705" i="25"/>
  <c r="W705" i="25" s="1"/>
  <c r="X705" i="25" s="1"/>
  <c r="S706" i="25"/>
  <c r="S707" i="25"/>
  <c r="S708" i="25"/>
  <c r="S709" i="25"/>
  <c r="W709" i="25" s="1"/>
  <c r="X709" i="25" s="1"/>
  <c r="S710" i="25"/>
  <c r="W710" i="25" s="1"/>
  <c r="X710" i="25" s="1"/>
  <c r="S711" i="25"/>
  <c r="W711" i="25" s="1"/>
  <c r="X711" i="25" s="1"/>
  <c r="S712" i="25"/>
  <c r="W712" i="25" s="1"/>
  <c r="X712" i="25" s="1"/>
  <c r="S713" i="25"/>
  <c r="T713" i="25" s="1"/>
  <c r="U713" i="25" s="1"/>
  <c r="V713" i="25" s="1"/>
  <c r="S714" i="25"/>
  <c r="S715" i="25"/>
  <c r="S716" i="25"/>
  <c r="W716" i="25" s="1"/>
  <c r="X716" i="25" s="1"/>
  <c r="S717" i="25"/>
  <c r="W717" i="25" s="1"/>
  <c r="X717" i="25" s="1"/>
  <c r="S718" i="25"/>
  <c r="T718" i="25" s="1"/>
  <c r="U718" i="25" s="1"/>
  <c r="V718" i="25" s="1"/>
  <c r="S719" i="25"/>
  <c r="W719" i="25" s="1"/>
  <c r="X719" i="25" s="1"/>
  <c r="S720" i="25"/>
  <c r="T720" i="25" s="1"/>
  <c r="U720" i="25" s="1"/>
  <c r="V720" i="25" s="1"/>
  <c r="S721" i="25"/>
  <c r="T721" i="25" s="1"/>
  <c r="U721" i="25" s="1"/>
  <c r="V721" i="25" s="1"/>
  <c r="S722" i="25"/>
  <c r="S723" i="25"/>
  <c r="W723" i="25" s="1"/>
  <c r="X723" i="25" s="1"/>
  <c r="S724" i="25"/>
  <c r="S725" i="25"/>
  <c r="W725" i="25" s="1"/>
  <c r="X725" i="25" s="1"/>
  <c r="S726" i="25"/>
  <c r="W726" i="25" s="1"/>
  <c r="X726" i="25" s="1"/>
  <c r="S727" i="25"/>
  <c r="T727" i="25" s="1"/>
  <c r="U727" i="25" s="1"/>
  <c r="V727" i="25" s="1"/>
  <c r="S728" i="25"/>
  <c r="S729" i="25"/>
  <c r="T729" i="25" s="1"/>
  <c r="U729" i="25" s="1"/>
  <c r="V729" i="25" s="1"/>
  <c r="S730" i="25"/>
  <c r="T730" i="25" s="1"/>
  <c r="U730" i="25" s="1"/>
  <c r="V730" i="25" s="1"/>
  <c r="S731" i="25"/>
  <c r="T731" i="25" s="1"/>
  <c r="U731" i="25" s="1"/>
  <c r="V731" i="25" s="1"/>
  <c r="S732" i="25"/>
  <c r="T732" i="25" s="1"/>
  <c r="U732" i="25" s="1"/>
  <c r="V732" i="25" s="1"/>
  <c r="S733" i="25"/>
  <c r="W733" i="25" s="1"/>
  <c r="X733" i="25" s="1"/>
  <c r="S734" i="25"/>
  <c r="W734" i="25" s="1"/>
  <c r="X734" i="25" s="1"/>
  <c r="S735" i="25"/>
  <c r="S736" i="25"/>
  <c r="T736" i="25" s="1"/>
  <c r="U736" i="25" s="1"/>
  <c r="V736" i="25" s="1"/>
  <c r="S737" i="25"/>
  <c r="S738" i="25"/>
  <c r="S739" i="25"/>
  <c r="W739" i="25" s="1"/>
  <c r="X739" i="25" s="1"/>
  <c r="S740" i="25"/>
  <c r="S741" i="25"/>
  <c r="T741" i="25" s="1"/>
  <c r="U741" i="25" s="1"/>
  <c r="V741" i="25" s="1"/>
  <c r="S742" i="25"/>
  <c r="T742" i="25" s="1"/>
  <c r="U742" i="25" s="1"/>
  <c r="V742" i="25" s="1"/>
  <c r="S743" i="25"/>
  <c r="W743" i="25" s="1"/>
  <c r="X743" i="25" s="1"/>
  <c r="S744" i="25"/>
  <c r="W744" i="25" s="1"/>
  <c r="X744" i="25" s="1"/>
  <c r="S745" i="25"/>
  <c r="T745" i="25" s="1"/>
  <c r="U745" i="25" s="1"/>
  <c r="V745" i="25" s="1"/>
  <c r="S746" i="25"/>
  <c r="W746" i="25" s="1"/>
  <c r="X746" i="25" s="1"/>
  <c r="S747" i="25"/>
  <c r="S748" i="25"/>
  <c r="S749" i="25"/>
  <c r="W749" i="25" s="1"/>
  <c r="X749" i="25" s="1"/>
  <c r="S750" i="25"/>
  <c r="S751" i="25"/>
  <c r="T751" i="25" s="1"/>
  <c r="U751" i="25" s="1"/>
  <c r="V751" i="25" s="1"/>
  <c r="S752" i="25"/>
  <c r="W752" i="25" s="1"/>
  <c r="X752" i="25" s="1"/>
  <c r="S753" i="25"/>
  <c r="W753" i="25" s="1"/>
  <c r="X753" i="25" s="1"/>
  <c r="S754" i="25"/>
  <c r="S755" i="25"/>
  <c r="T755" i="25" s="1"/>
  <c r="U755" i="25" s="1"/>
  <c r="V755" i="25" s="1"/>
  <c r="S756" i="25"/>
  <c r="S757" i="25"/>
  <c r="T757" i="25" s="1"/>
  <c r="U757" i="25" s="1"/>
  <c r="V757" i="25" s="1"/>
  <c r="S758" i="25"/>
  <c r="S759" i="25"/>
  <c r="W759" i="25" s="1"/>
  <c r="X759" i="25" s="1"/>
  <c r="S760" i="25"/>
  <c r="S761" i="25"/>
  <c r="T761" i="25" s="1"/>
  <c r="U761" i="25" s="1"/>
  <c r="V761" i="25" s="1"/>
  <c r="S762" i="25"/>
  <c r="T762" i="25" s="1"/>
  <c r="U762" i="25" s="1"/>
  <c r="V762" i="25" s="1"/>
  <c r="S763" i="25"/>
  <c r="S764" i="25"/>
  <c r="S765" i="25"/>
  <c r="S766" i="25"/>
  <c r="T766" i="25" s="1"/>
  <c r="U766" i="25" s="1"/>
  <c r="V766" i="25" s="1"/>
  <c r="S767" i="25"/>
  <c r="W767" i="25" s="1"/>
  <c r="X767" i="25" s="1"/>
  <c r="S768" i="25"/>
  <c r="W768" i="25" s="1"/>
  <c r="X768" i="25" s="1"/>
  <c r="S769" i="25"/>
  <c r="W769" i="25" s="1"/>
  <c r="X769" i="25" s="1"/>
  <c r="S770" i="25"/>
  <c r="T770" i="25" s="1"/>
  <c r="U770" i="25" s="1"/>
  <c r="V770" i="25" s="1"/>
  <c r="S771" i="25"/>
  <c r="S772" i="25"/>
  <c r="T772" i="25" s="1"/>
  <c r="U772" i="25" s="1"/>
  <c r="V772" i="25" s="1"/>
  <c r="S773" i="25"/>
  <c r="W773" i="25" s="1"/>
  <c r="X773" i="25" s="1"/>
  <c r="S774" i="25"/>
  <c r="S775" i="25"/>
  <c r="W775" i="25" s="1"/>
  <c r="X775" i="25" s="1"/>
  <c r="S776" i="25"/>
  <c r="S777" i="25"/>
  <c r="W777" i="25" s="1"/>
  <c r="X777" i="25" s="1"/>
  <c r="S779" i="25"/>
  <c r="W779" i="25" s="1"/>
  <c r="X779" i="25" s="1"/>
  <c r="S780" i="25"/>
  <c r="T780" i="25" s="1"/>
  <c r="U780" i="25" s="1"/>
  <c r="V780" i="25" s="1"/>
  <c r="S781" i="25"/>
  <c r="S782" i="25"/>
  <c r="T782" i="25" s="1"/>
  <c r="U782" i="25" s="1"/>
  <c r="V782" i="25" s="1"/>
  <c r="S783" i="25"/>
  <c r="W783" i="25" s="1"/>
  <c r="X783" i="25" s="1"/>
  <c r="S784" i="25"/>
  <c r="W784" i="25" s="1"/>
  <c r="X784" i="25" s="1"/>
  <c r="S785" i="25"/>
  <c r="W785" i="25" s="1"/>
  <c r="X785" i="25" s="1"/>
  <c r="S786" i="25"/>
  <c r="T786" i="25" s="1"/>
  <c r="U786" i="25" s="1"/>
  <c r="V786" i="25" s="1"/>
  <c r="S787" i="25"/>
  <c r="T787" i="25" s="1"/>
  <c r="U787" i="25" s="1"/>
  <c r="V787" i="25" s="1"/>
  <c r="S788" i="25"/>
  <c r="S790" i="25"/>
  <c r="T790" i="25" s="1"/>
  <c r="U790" i="25" s="1"/>
  <c r="V790" i="25" s="1"/>
  <c r="S791" i="25"/>
  <c r="S792" i="25"/>
  <c r="S793" i="25"/>
  <c r="T793" i="25" s="1"/>
  <c r="U793" i="25" s="1"/>
  <c r="V793" i="25" s="1"/>
  <c r="S596" i="25"/>
  <c r="T596" i="25" s="1"/>
  <c r="U596" i="25" s="1"/>
  <c r="V596" i="25" s="1"/>
  <c r="S597" i="25"/>
  <c r="S598" i="25"/>
  <c r="S599" i="25"/>
  <c r="T599" i="25" s="1"/>
  <c r="U599" i="25" s="1"/>
  <c r="V599" i="25" s="1"/>
  <c r="S600" i="25"/>
  <c r="W600" i="25" s="1"/>
  <c r="X600" i="25" s="1"/>
  <c r="S601" i="25"/>
  <c r="S602" i="25"/>
  <c r="T602" i="25" s="1"/>
  <c r="U602" i="25" s="1"/>
  <c r="V602" i="25" s="1"/>
  <c r="S603" i="25"/>
  <c r="S604" i="25"/>
  <c r="T604" i="25" s="1"/>
  <c r="U604" i="25" s="1"/>
  <c r="V604" i="25" s="1"/>
  <c r="S605" i="25"/>
  <c r="T605" i="25" s="1"/>
  <c r="U605" i="25" s="1"/>
  <c r="V605" i="25" s="1"/>
  <c r="S606" i="25"/>
  <c r="W606" i="25" s="1"/>
  <c r="X606" i="25" s="1"/>
  <c r="S607" i="25"/>
  <c r="T607" i="25" s="1"/>
  <c r="U607" i="25" s="1"/>
  <c r="V607" i="25" s="1"/>
  <c r="S608" i="25"/>
  <c r="S609" i="25"/>
  <c r="T609" i="25" s="1"/>
  <c r="U609" i="25" s="1"/>
  <c r="V609" i="25" s="1"/>
  <c r="S610" i="25"/>
  <c r="W610" i="25" s="1"/>
  <c r="X610" i="25" s="1"/>
  <c r="S611" i="25"/>
  <c r="S612" i="25"/>
  <c r="S613" i="25"/>
  <c r="W613" i="25" s="1"/>
  <c r="X613" i="25" s="1"/>
  <c r="S614" i="25"/>
  <c r="S615" i="25"/>
  <c r="W615" i="25" s="1"/>
  <c r="X615" i="25" s="1"/>
  <c r="S616" i="25"/>
  <c r="T616" i="25" s="1"/>
  <c r="U616" i="25" s="1"/>
  <c r="V616" i="25" s="1"/>
  <c r="S617" i="25"/>
  <c r="S618" i="25"/>
  <c r="T618" i="25" s="1"/>
  <c r="U618" i="25" s="1"/>
  <c r="V618" i="25" s="1"/>
  <c r="S619" i="25"/>
  <c r="T619" i="25" s="1"/>
  <c r="U619" i="25" s="1"/>
  <c r="V619" i="25" s="1"/>
  <c r="S620" i="25"/>
  <c r="S621" i="25"/>
  <c r="T621" i="25" s="1"/>
  <c r="U621" i="25" s="1"/>
  <c r="V621" i="25" s="1"/>
  <c r="S622" i="25"/>
  <c r="S623" i="25"/>
  <c r="T623" i="25" s="1"/>
  <c r="U623" i="25" s="1"/>
  <c r="V623" i="25" s="1"/>
  <c r="S624" i="25"/>
  <c r="S625" i="25"/>
  <c r="W625" i="25" s="1"/>
  <c r="X625" i="25" s="1"/>
  <c r="S626" i="25"/>
  <c r="T626" i="25" s="1"/>
  <c r="U626" i="25" s="1"/>
  <c r="V626" i="25" s="1"/>
  <c r="S627" i="25"/>
  <c r="T627" i="25" s="1"/>
  <c r="U627" i="25" s="1"/>
  <c r="V627" i="25" s="1"/>
  <c r="S628" i="25"/>
  <c r="W628" i="25" s="1"/>
  <c r="X628" i="25" s="1"/>
  <c r="S629" i="25"/>
  <c r="S630" i="25"/>
  <c r="S631" i="25"/>
  <c r="T631" i="25" s="1"/>
  <c r="U631" i="25" s="1"/>
  <c r="V631" i="25" s="1"/>
  <c r="S632" i="25"/>
  <c r="S633" i="25"/>
  <c r="T633" i="25" s="1"/>
  <c r="U633" i="25" s="1"/>
  <c r="V633" i="25" s="1"/>
  <c r="S634" i="25"/>
  <c r="T634" i="25" s="1"/>
  <c r="U634" i="25" s="1"/>
  <c r="V634" i="25" s="1"/>
  <c r="S635" i="25"/>
  <c r="T635" i="25" s="1"/>
  <c r="U635" i="25" s="1"/>
  <c r="V635" i="25" s="1"/>
  <c r="S636" i="25"/>
  <c r="W636" i="25" s="1"/>
  <c r="X636" i="25" s="1"/>
  <c r="S637" i="25"/>
  <c r="S638" i="25"/>
  <c r="W638" i="25" s="1"/>
  <c r="X638" i="25" s="1"/>
  <c r="S639" i="25"/>
  <c r="T639" i="25" s="1"/>
  <c r="U639" i="25" s="1"/>
  <c r="V639" i="25" s="1"/>
  <c r="S640" i="25"/>
  <c r="S641" i="25"/>
  <c r="S642" i="25"/>
  <c r="W642" i="25" s="1"/>
  <c r="X642" i="25" s="1"/>
  <c r="S643" i="25"/>
  <c r="T643" i="25" s="1"/>
  <c r="U643" i="25" s="1"/>
  <c r="V643" i="25" s="1"/>
  <c r="S644" i="25"/>
  <c r="W644" i="25" s="1"/>
  <c r="X644" i="25" s="1"/>
  <c r="S645" i="25"/>
  <c r="T645" i="25" s="1"/>
  <c r="U645" i="25" s="1"/>
  <c r="V645" i="25" s="1"/>
  <c r="S646" i="25"/>
  <c r="W646" i="25" s="1"/>
  <c r="X646" i="25" s="1"/>
  <c r="S647" i="25"/>
  <c r="T647" i="25" s="1"/>
  <c r="U647" i="25" s="1"/>
  <c r="V647" i="25" s="1"/>
  <c r="S648" i="25"/>
  <c r="S649" i="25"/>
  <c r="T649" i="25" s="1"/>
  <c r="U649" i="25" s="1"/>
  <c r="V649" i="25" s="1"/>
  <c r="S650" i="25"/>
  <c r="T650" i="25" s="1"/>
  <c r="U650" i="25" s="1"/>
  <c r="V650" i="25" s="1"/>
  <c r="S651" i="25"/>
  <c r="T651" i="25" s="1"/>
  <c r="U651" i="25" s="1"/>
  <c r="V651" i="25" s="1"/>
  <c r="S652" i="25"/>
  <c r="S653" i="25"/>
  <c r="T653" i="25" s="1"/>
  <c r="U653" i="25" s="1"/>
  <c r="V653" i="25" s="1"/>
  <c r="S654" i="25"/>
  <c r="T654" i="25" s="1"/>
  <c r="U654" i="25" s="1"/>
  <c r="V654" i="25" s="1"/>
  <c r="S655" i="25"/>
  <c r="S656" i="25"/>
  <c r="T656" i="25" s="1"/>
  <c r="U656" i="25" s="1"/>
  <c r="V656" i="25" s="1"/>
  <c r="S657" i="25"/>
  <c r="W657" i="25" s="1"/>
  <c r="X657" i="25" s="1"/>
  <c r="S658" i="25"/>
  <c r="T658" i="25" s="1"/>
  <c r="U658" i="25" s="1"/>
  <c r="V658" i="25" s="1"/>
  <c r="S659" i="25"/>
  <c r="W659" i="25" s="1"/>
  <c r="X659" i="25" s="1"/>
  <c r="S660" i="25"/>
  <c r="T660" i="25" s="1"/>
  <c r="U660" i="25" s="1"/>
  <c r="V660" i="25" s="1"/>
  <c r="S661" i="25"/>
  <c r="W661" i="25" s="1"/>
  <c r="X661" i="25" s="1"/>
  <c r="S662" i="25"/>
  <c r="W662" i="25" s="1"/>
  <c r="X662" i="25" s="1"/>
  <c r="S663" i="25"/>
  <c r="T663" i="25" s="1"/>
  <c r="U663" i="25" s="1"/>
  <c r="V663" i="25" s="1"/>
  <c r="S664" i="25"/>
  <c r="W664" i="25" s="1"/>
  <c r="X664" i="25" s="1"/>
  <c r="S665" i="25"/>
  <c r="W665" i="25" s="1"/>
  <c r="X665" i="25" s="1"/>
  <c r="S666" i="25"/>
  <c r="S667" i="25"/>
  <c r="W667" i="25" s="1"/>
  <c r="X667" i="25" s="1"/>
  <c r="S668" i="25"/>
  <c r="T668" i="25" s="1"/>
  <c r="U668" i="25" s="1"/>
  <c r="V668" i="25" s="1"/>
  <c r="S669" i="25"/>
  <c r="S670" i="25"/>
  <c r="W670" i="25" s="1"/>
  <c r="X670" i="25" s="1"/>
  <c r="S671" i="25"/>
  <c r="W671" i="25" s="1"/>
  <c r="X671" i="25" s="1"/>
  <c r="S672" i="25"/>
  <c r="W672" i="25" s="1"/>
  <c r="X672" i="25" s="1"/>
  <c r="S673" i="25"/>
  <c r="T673" i="25" s="1"/>
  <c r="U673" i="25" s="1"/>
  <c r="V673" i="25" s="1"/>
  <c r="S674" i="25"/>
  <c r="W674" i="25" s="1"/>
  <c r="X674" i="25" s="1"/>
  <c r="S675" i="25"/>
  <c r="W675" i="25" s="1"/>
  <c r="X675" i="25" s="1"/>
  <c r="S676" i="25"/>
  <c r="S677" i="25"/>
  <c r="W677" i="25" s="1"/>
  <c r="X677" i="25" s="1"/>
  <c r="S678" i="25"/>
  <c r="T678" i="25" s="1"/>
  <c r="U678" i="25" s="1"/>
  <c r="V678" i="25" s="1"/>
  <c r="S680" i="25"/>
  <c r="T680" i="25" s="1"/>
  <c r="U680" i="25" s="1"/>
  <c r="V680" i="25" s="1"/>
  <c r="S681" i="25"/>
  <c r="T681" i="25" s="1"/>
  <c r="U681" i="25" s="1"/>
  <c r="V681" i="25" s="1"/>
  <c r="S682" i="25"/>
  <c r="S683" i="25"/>
  <c r="T683" i="25" s="1"/>
  <c r="U683" i="25" s="1"/>
  <c r="V683" i="25" s="1"/>
  <c r="S684" i="25"/>
  <c r="S685" i="25"/>
  <c r="W685" i="25" s="1"/>
  <c r="X685" i="25" s="1"/>
  <c r="S686" i="25"/>
  <c r="S687" i="25"/>
  <c r="W687" i="25" s="1"/>
  <c r="X687" i="25" s="1"/>
  <c r="S688" i="25"/>
  <c r="T688" i="25" s="1"/>
  <c r="U688" i="25" s="1"/>
  <c r="V688" i="25" s="1"/>
  <c r="S689" i="25"/>
  <c r="W689" i="25" s="1"/>
  <c r="X689" i="25" s="1"/>
  <c r="S691" i="25"/>
  <c r="T691" i="25" s="1"/>
  <c r="U691" i="25" s="1"/>
  <c r="V691" i="25" s="1"/>
  <c r="S692" i="25"/>
  <c r="W692" i="25" s="1"/>
  <c r="X692" i="25" s="1"/>
  <c r="S693" i="25"/>
  <c r="T693" i="25" s="1"/>
  <c r="U693" i="25" s="1"/>
  <c r="V693" i="25" s="1"/>
  <c r="S694" i="25"/>
  <c r="W694" i="25" s="1"/>
  <c r="X694" i="25" s="1"/>
  <c r="S394" i="25"/>
  <c r="T394" i="25" s="1"/>
  <c r="U394" i="25" s="1"/>
  <c r="V394" i="25" s="1"/>
  <c r="S395" i="25"/>
  <c r="W395" i="25" s="1"/>
  <c r="X395" i="25" s="1"/>
  <c r="S396" i="25"/>
  <c r="W396" i="25" s="1"/>
  <c r="X396" i="25" s="1"/>
  <c r="S397" i="25"/>
  <c r="T397" i="25" s="1"/>
  <c r="U397" i="25" s="1"/>
  <c r="V397" i="25" s="1"/>
  <c r="S4" i="25"/>
  <c r="T4" i="25" s="1"/>
  <c r="U4" i="25" s="1"/>
  <c r="V4" i="25" s="1"/>
  <c r="S5" i="25"/>
  <c r="W5" i="25" s="1"/>
  <c r="X5" i="25" s="1"/>
  <c r="S6" i="25"/>
  <c r="T6" i="25" s="1"/>
  <c r="U6" i="25" s="1"/>
  <c r="V6" i="25" s="1"/>
  <c r="S7" i="25"/>
  <c r="W7" i="25" s="1"/>
  <c r="X7" i="25" s="1"/>
  <c r="S8" i="25"/>
  <c r="S9" i="25"/>
  <c r="W9" i="25" s="1"/>
  <c r="X9" i="25" s="1"/>
  <c r="S10" i="25"/>
  <c r="T10" i="25" s="1"/>
  <c r="U10" i="25" s="1"/>
  <c r="V10" i="25" s="1"/>
  <c r="S11" i="25"/>
  <c r="T11" i="25" s="1"/>
  <c r="U11" i="25" s="1"/>
  <c r="V11" i="25" s="1"/>
  <c r="S14" i="25"/>
  <c r="W14" i="25" s="1"/>
  <c r="X14" i="25" s="1"/>
  <c r="S15" i="25"/>
  <c r="T15" i="25" s="1"/>
  <c r="U15" i="25" s="1"/>
  <c r="V15" i="25" s="1"/>
  <c r="S16" i="25"/>
  <c r="T16" i="25" s="1"/>
  <c r="U16" i="25" s="1"/>
  <c r="V16" i="25" s="1"/>
  <c r="S17" i="25"/>
  <c r="W17" i="25" s="1"/>
  <c r="X17" i="25" s="1"/>
  <c r="S18" i="25"/>
  <c r="T18" i="25" s="1"/>
  <c r="U18" i="25" s="1"/>
  <c r="V18" i="25" s="1"/>
  <c r="S19" i="25"/>
  <c r="W19" i="25" s="1"/>
  <c r="X19" i="25" s="1"/>
  <c r="S20" i="25"/>
  <c r="T20" i="25" s="1"/>
  <c r="U20" i="25" s="1"/>
  <c r="V20" i="25" s="1"/>
  <c r="S21" i="25"/>
  <c r="W21" i="25" s="1"/>
  <c r="X21" i="25" s="1"/>
  <c r="S24" i="25"/>
  <c r="W24" i="25" s="1"/>
  <c r="X24" i="25" s="1"/>
  <c r="S25" i="25"/>
  <c r="T25" i="25" s="1"/>
  <c r="U25" i="25" s="1"/>
  <c r="V25" i="25" s="1"/>
  <c r="S26" i="25"/>
  <c r="W26" i="25" s="1"/>
  <c r="X26" i="25" s="1"/>
  <c r="S27" i="25"/>
  <c r="T27" i="25" s="1"/>
  <c r="U27" i="25" s="1"/>
  <c r="V27" i="25" s="1"/>
  <c r="S28" i="25"/>
  <c r="W28" i="25" s="1"/>
  <c r="X28" i="25" s="1"/>
  <c r="S29" i="25"/>
  <c r="S30" i="25"/>
  <c r="W30" i="25" s="1"/>
  <c r="X30" i="25" s="1"/>
  <c r="S31" i="25"/>
  <c r="W31" i="25" s="1"/>
  <c r="X31" i="25" s="1"/>
  <c r="S391" i="25"/>
  <c r="T391" i="25" s="1"/>
  <c r="U391" i="25" s="1"/>
  <c r="V391" i="25" s="1"/>
  <c r="S392" i="25"/>
  <c r="W392" i="25" s="1"/>
  <c r="X392" i="25" s="1"/>
  <c r="S389" i="25"/>
  <c r="W389" i="25" s="1"/>
  <c r="X389" i="25" s="1"/>
  <c r="S390" i="25"/>
  <c r="W390" i="25" s="1"/>
  <c r="X390" i="25" s="1"/>
  <c r="S388" i="25"/>
  <c r="W388" i="25" s="1"/>
  <c r="X388" i="25" s="1"/>
  <c r="S387" i="25"/>
  <c r="W387" i="25" s="1"/>
  <c r="X387" i="25" s="1"/>
  <c r="S386" i="25"/>
  <c r="T386" i="25" s="1"/>
  <c r="U386" i="25" s="1"/>
  <c r="V386" i="25" s="1"/>
  <c r="S349" i="25"/>
  <c r="W349" i="25" s="1"/>
  <c r="X349" i="25" s="1"/>
  <c r="S350" i="25"/>
  <c r="W350" i="25" s="1"/>
  <c r="X350" i="25" s="1"/>
  <c r="S351" i="25"/>
  <c r="W351" i="25" s="1"/>
  <c r="X351" i="25" s="1"/>
  <c r="S352" i="25"/>
  <c r="S353" i="25"/>
  <c r="S354" i="25"/>
  <c r="T354" i="25" s="1"/>
  <c r="U354" i="25" s="1"/>
  <c r="V354" i="25" s="1"/>
  <c r="S355" i="25"/>
  <c r="W355" i="25" s="1"/>
  <c r="X355" i="25" s="1"/>
  <c r="S356" i="25"/>
  <c r="S357" i="25"/>
  <c r="W357" i="25" s="1"/>
  <c r="X357" i="25" s="1"/>
  <c r="S358" i="25"/>
  <c r="T358" i="25" s="1"/>
  <c r="U358" i="25" s="1"/>
  <c r="V358" i="25" s="1"/>
  <c r="S359" i="25"/>
  <c r="W359" i="25" s="1"/>
  <c r="X359" i="25" s="1"/>
  <c r="S360" i="25"/>
  <c r="W360" i="25" s="1"/>
  <c r="X360" i="25" s="1"/>
  <c r="S361" i="25"/>
  <c r="T361" i="25" s="1"/>
  <c r="U361" i="25" s="1"/>
  <c r="V361" i="25" s="1"/>
  <c r="S362" i="25"/>
  <c r="W362" i="25" s="1"/>
  <c r="X362" i="25" s="1"/>
  <c r="S363" i="25"/>
  <c r="T363" i="25" s="1"/>
  <c r="U363" i="25" s="1"/>
  <c r="V363" i="25" s="1"/>
  <c r="S364" i="25"/>
  <c r="T364" i="25" s="1"/>
  <c r="U364" i="25" s="1"/>
  <c r="V364" i="25" s="1"/>
  <c r="S365" i="25"/>
  <c r="W365" i="25" s="1"/>
  <c r="X365" i="25" s="1"/>
  <c r="S366" i="25"/>
  <c r="W366" i="25" s="1"/>
  <c r="X366" i="25" s="1"/>
  <c r="S367" i="25"/>
  <c r="S368" i="25"/>
  <c r="T368" i="25" s="1"/>
  <c r="U368" i="25" s="1"/>
  <c r="V368" i="25" s="1"/>
  <c r="S369" i="25"/>
  <c r="T369" i="25" s="1"/>
  <c r="U369" i="25" s="1"/>
  <c r="V369" i="25" s="1"/>
  <c r="S370" i="25"/>
  <c r="W370" i="25" s="1"/>
  <c r="X370" i="25" s="1"/>
  <c r="S371" i="25"/>
  <c r="T371" i="25" s="1"/>
  <c r="U371" i="25" s="1"/>
  <c r="V371" i="25" s="1"/>
  <c r="S372" i="25"/>
  <c r="W372" i="25" s="1"/>
  <c r="X372" i="25" s="1"/>
  <c r="S373" i="25"/>
  <c r="T373" i="25" s="1"/>
  <c r="U373" i="25" s="1"/>
  <c r="V373" i="25" s="1"/>
  <c r="S374" i="25"/>
  <c r="S375" i="25"/>
  <c r="W375" i="25" s="1"/>
  <c r="X375" i="25" s="1"/>
  <c r="S376" i="25"/>
  <c r="T376" i="25" s="1"/>
  <c r="U376" i="25" s="1"/>
  <c r="V376" i="25" s="1"/>
  <c r="S377" i="25"/>
  <c r="S378" i="25"/>
  <c r="S379" i="25"/>
  <c r="W379" i="25" s="1"/>
  <c r="X379" i="25" s="1"/>
  <c r="S380" i="25"/>
  <c r="W380" i="25" s="1"/>
  <c r="X380" i="25" s="1"/>
  <c r="S381" i="25"/>
  <c r="T381" i="25" s="1"/>
  <c r="U381" i="25" s="1"/>
  <c r="V381" i="25" s="1"/>
  <c r="S383" i="25"/>
  <c r="T383" i="25" s="1"/>
  <c r="U383" i="25" s="1"/>
  <c r="V383" i="25" s="1"/>
  <c r="S384" i="25"/>
  <c r="T384" i="25" s="1"/>
  <c r="U384" i="25" s="1"/>
  <c r="V384" i="25" s="1"/>
  <c r="S385" i="25"/>
  <c r="W385" i="25" s="1"/>
  <c r="X385" i="25" s="1"/>
  <c r="S346" i="25"/>
  <c r="T346" i="25" s="1"/>
  <c r="U346" i="25" s="1"/>
  <c r="V346" i="25" s="1"/>
  <c r="S347" i="25"/>
  <c r="W347" i="25" s="1"/>
  <c r="X347" i="25" s="1"/>
  <c r="S348" i="25"/>
  <c r="W348" i="25" s="1"/>
  <c r="X348" i="25" s="1"/>
  <c r="S344" i="25"/>
  <c r="T344" i="25" s="1"/>
  <c r="U344" i="25" s="1"/>
  <c r="V344" i="25" s="1"/>
  <c r="S345" i="25"/>
  <c r="S343" i="25"/>
  <c r="T343" i="25" s="1"/>
  <c r="U343" i="25" s="1"/>
  <c r="V343" i="25" s="1"/>
  <c r="S300" i="25"/>
  <c r="S342" i="25"/>
  <c r="T342" i="25" s="1"/>
  <c r="U342" i="25" s="1"/>
  <c r="V342" i="25" s="1"/>
  <c r="S341" i="25"/>
  <c r="T341" i="25" s="1"/>
  <c r="U341" i="25" s="1"/>
  <c r="V341" i="25" s="1"/>
  <c r="S306" i="25"/>
  <c r="T306" i="25" s="1"/>
  <c r="U306" i="25" s="1"/>
  <c r="V306" i="25" s="1"/>
  <c r="S307" i="25"/>
  <c r="W307" i="25" s="1"/>
  <c r="X307" i="25" s="1"/>
  <c r="S308" i="25"/>
  <c r="S309" i="25"/>
  <c r="W309" i="25" s="1"/>
  <c r="X309" i="25" s="1"/>
  <c r="S310" i="25"/>
  <c r="T310" i="25" s="1"/>
  <c r="U310" i="25" s="1"/>
  <c r="V310" i="25" s="1"/>
  <c r="S311" i="25"/>
  <c r="W311" i="25" s="1"/>
  <c r="X311" i="25" s="1"/>
  <c r="S312" i="25"/>
  <c r="W312" i="25" s="1"/>
  <c r="X312" i="25" s="1"/>
  <c r="S313" i="25"/>
  <c r="W313" i="25" s="1"/>
  <c r="X313" i="25" s="1"/>
  <c r="S314" i="25"/>
  <c r="W314" i="25" s="1"/>
  <c r="X314" i="25" s="1"/>
  <c r="S315" i="25"/>
  <c r="S316" i="25"/>
  <c r="W316" i="25" s="1"/>
  <c r="X316" i="25" s="1"/>
  <c r="S317" i="25"/>
  <c r="W317" i="25" s="1"/>
  <c r="X317" i="25" s="1"/>
  <c r="S318" i="25"/>
  <c r="W318" i="25" s="1"/>
  <c r="X318" i="25" s="1"/>
  <c r="S319" i="25"/>
  <c r="W319" i="25" s="1"/>
  <c r="X319" i="25" s="1"/>
  <c r="S320" i="25"/>
  <c r="T320" i="25" s="1"/>
  <c r="U320" i="25" s="1"/>
  <c r="V320" i="25" s="1"/>
  <c r="S321" i="25"/>
  <c r="S322" i="25"/>
  <c r="T322" i="25" s="1"/>
  <c r="U322" i="25" s="1"/>
  <c r="V322" i="25" s="1"/>
  <c r="S323" i="25"/>
  <c r="S324" i="25"/>
  <c r="T324" i="25" s="1"/>
  <c r="U324" i="25" s="1"/>
  <c r="V324" i="25" s="1"/>
  <c r="S325" i="25"/>
  <c r="S326" i="25"/>
  <c r="W326" i="25" s="1"/>
  <c r="X326" i="25" s="1"/>
  <c r="S327" i="25"/>
  <c r="S328" i="25"/>
  <c r="W328" i="25" s="1"/>
  <c r="X328" i="25" s="1"/>
  <c r="S329" i="25"/>
  <c r="T329" i="25" s="1"/>
  <c r="U329" i="25" s="1"/>
  <c r="V329" i="25" s="1"/>
  <c r="S330" i="25"/>
  <c r="T330" i="25" s="1"/>
  <c r="U330" i="25" s="1"/>
  <c r="V330" i="25" s="1"/>
  <c r="S331" i="25"/>
  <c r="W331" i="25" s="1"/>
  <c r="X331" i="25" s="1"/>
  <c r="S332" i="25"/>
  <c r="S333" i="25"/>
  <c r="T333" i="25" s="1"/>
  <c r="U333" i="25" s="1"/>
  <c r="V333" i="25" s="1"/>
  <c r="S334" i="25"/>
  <c r="W334" i="25" s="1"/>
  <c r="X334" i="25" s="1"/>
  <c r="S335" i="25"/>
  <c r="W335" i="25" s="1"/>
  <c r="X335" i="25" s="1"/>
  <c r="S336" i="25"/>
  <c r="T336" i="25" s="1"/>
  <c r="U336" i="25" s="1"/>
  <c r="V336" i="25" s="1"/>
  <c r="S337" i="25"/>
  <c r="W337" i="25" s="1"/>
  <c r="X337" i="25" s="1"/>
  <c r="S338" i="25"/>
  <c r="T338" i="25" s="1"/>
  <c r="U338" i="25" s="1"/>
  <c r="V338" i="25" s="1"/>
  <c r="S339" i="25"/>
  <c r="T339" i="25" s="1"/>
  <c r="U339" i="25" s="1"/>
  <c r="V339" i="25" s="1"/>
  <c r="S340" i="25"/>
  <c r="W340" i="25" s="1"/>
  <c r="X340" i="25" s="1"/>
  <c r="S304" i="25"/>
  <c r="T304" i="25" s="1"/>
  <c r="U304" i="25" s="1"/>
  <c r="V304" i="25" s="1"/>
  <c r="S305" i="25"/>
  <c r="W305" i="25" s="1"/>
  <c r="X305" i="25" s="1"/>
  <c r="S302" i="25"/>
  <c r="T302" i="25" s="1"/>
  <c r="U302" i="25" s="1"/>
  <c r="V302" i="25" s="1"/>
  <c r="S303" i="25"/>
  <c r="W303" i="25" s="1"/>
  <c r="X303" i="25" s="1"/>
  <c r="S301" i="25"/>
  <c r="T301" i="25" s="1"/>
  <c r="U301" i="25" s="1"/>
  <c r="V301" i="25" s="1"/>
  <c r="S299" i="25"/>
  <c r="K248" i="25"/>
  <c r="K249" i="25"/>
  <c r="K250" i="25"/>
  <c r="P250" i="25" s="1"/>
  <c r="Q250" i="25" s="1"/>
  <c r="K251" i="25"/>
  <c r="P251" i="25" s="1"/>
  <c r="Q251" i="25" s="1"/>
  <c r="K252" i="25"/>
  <c r="P252" i="25" s="1"/>
  <c r="Q252" i="25" s="1"/>
  <c r="K253" i="25"/>
  <c r="K254" i="25"/>
  <c r="K255" i="25"/>
  <c r="L255" i="25" s="1"/>
  <c r="M255" i="25" s="1"/>
  <c r="N255" i="25" s="1"/>
  <c r="K256" i="25"/>
  <c r="P256" i="25" s="1"/>
  <c r="Q256" i="25" s="1"/>
  <c r="K257" i="25"/>
  <c r="K258" i="25"/>
  <c r="K259" i="25"/>
  <c r="K260" i="25"/>
  <c r="K261" i="25"/>
  <c r="K262" i="25"/>
  <c r="L262" i="25" s="1"/>
  <c r="M262" i="25" s="1"/>
  <c r="N262" i="25" s="1"/>
  <c r="K263" i="25"/>
  <c r="P263" i="25" s="1"/>
  <c r="Q263" i="25" s="1"/>
  <c r="K264" i="25"/>
  <c r="K265" i="25"/>
  <c r="L265" i="25" s="1"/>
  <c r="M265" i="25" s="1"/>
  <c r="N265" i="25" s="1"/>
  <c r="K266" i="25"/>
  <c r="P266" i="25" s="1"/>
  <c r="Q266" i="25" s="1"/>
  <c r="K267" i="25"/>
  <c r="L267" i="25" s="1"/>
  <c r="M267" i="25" s="1"/>
  <c r="N267" i="25" s="1"/>
  <c r="K268" i="25"/>
  <c r="P268" i="25" s="1"/>
  <c r="Q268" i="25" s="1"/>
  <c r="K269" i="25"/>
  <c r="K270" i="25"/>
  <c r="L270" i="25" s="1"/>
  <c r="M270" i="25" s="1"/>
  <c r="N270" i="25" s="1"/>
  <c r="K271" i="25"/>
  <c r="P271" i="25" s="1"/>
  <c r="Q271" i="25" s="1"/>
  <c r="K272" i="25"/>
  <c r="K273" i="25"/>
  <c r="L273" i="25" s="1"/>
  <c r="M273" i="25" s="1"/>
  <c r="N273" i="25" s="1"/>
  <c r="K274" i="25"/>
  <c r="K275" i="25"/>
  <c r="P275" i="25" s="1"/>
  <c r="Q275" i="25" s="1"/>
  <c r="K276" i="25"/>
  <c r="P276" i="25" s="1"/>
  <c r="Q276" i="25" s="1"/>
  <c r="K277" i="25"/>
  <c r="P277" i="25" s="1"/>
  <c r="Q277" i="25" s="1"/>
  <c r="K278" i="25"/>
  <c r="K279" i="25"/>
  <c r="K280" i="25"/>
  <c r="L280" i="25" s="1"/>
  <c r="M280" i="25" s="1"/>
  <c r="N280" i="25" s="1"/>
  <c r="K281" i="25"/>
  <c r="P281" i="25" s="1"/>
  <c r="Q281" i="25" s="1"/>
  <c r="K282" i="25"/>
  <c r="K284" i="25"/>
  <c r="K285" i="25"/>
  <c r="P285" i="25" s="1"/>
  <c r="Q285" i="25" s="1"/>
  <c r="K286" i="25"/>
  <c r="P286" i="25" s="1"/>
  <c r="Q286" i="25" s="1"/>
  <c r="K287" i="25"/>
  <c r="P287" i="25" s="1"/>
  <c r="Q287" i="25" s="1"/>
  <c r="K288" i="25"/>
  <c r="P288" i="25" s="1"/>
  <c r="Q288" i="25" s="1"/>
  <c r="K289" i="25"/>
  <c r="K290" i="25"/>
  <c r="K291" i="25"/>
  <c r="P291" i="25" s="1"/>
  <c r="Q291" i="25" s="1"/>
  <c r="K292" i="25"/>
  <c r="K293" i="25"/>
  <c r="P293" i="25" s="1"/>
  <c r="Q293" i="25" s="1"/>
  <c r="K295" i="25"/>
  <c r="P295" i="25" s="1"/>
  <c r="Q295" i="25" s="1"/>
  <c r="K296" i="25"/>
  <c r="P296" i="25" s="1"/>
  <c r="Q296" i="25" s="1"/>
  <c r="K297" i="25"/>
  <c r="L297" i="25" s="1"/>
  <c r="M297" i="25" s="1"/>
  <c r="N297" i="25" s="1"/>
  <c r="K298" i="25"/>
  <c r="K398" i="25"/>
  <c r="L398" i="25" s="1"/>
  <c r="M398" i="25" s="1"/>
  <c r="N398" i="25" s="1"/>
  <c r="K399" i="25"/>
  <c r="P399" i="25" s="1"/>
  <c r="Q399" i="25" s="1"/>
  <c r="K400" i="25"/>
  <c r="K401" i="25"/>
  <c r="P401" i="25" s="1"/>
  <c r="Q401" i="25" s="1"/>
  <c r="K402" i="25"/>
  <c r="K403" i="25"/>
  <c r="K404" i="25"/>
  <c r="P404" i="25" s="1"/>
  <c r="Q404" i="25" s="1"/>
  <c r="K405" i="25"/>
  <c r="K406" i="25"/>
  <c r="K407" i="25"/>
  <c r="L407" i="25" s="1"/>
  <c r="M407" i="25" s="1"/>
  <c r="N407" i="25" s="1"/>
  <c r="K408" i="25"/>
  <c r="K409" i="25"/>
  <c r="L409" i="25" s="1"/>
  <c r="M409" i="25" s="1"/>
  <c r="N409" i="25" s="1"/>
  <c r="K410" i="25"/>
  <c r="K411" i="25"/>
  <c r="K412" i="25"/>
  <c r="K413" i="25"/>
  <c r="K414" i="25"/>
  <c r="P414" i="25" s="1"/>
  <c r="Q414" i="25" s="1"/>
  <c r="K415" i="25"/>
  <c r="L415" i="25" s="1"/>
  <c r="M415" i="25" s="1"/>
  <c r="N415" i="25" s="1"/>
  <c r="K416" i="25"/>
  <c r="K417" i="25"/>
  <c r="K418" i="25"/>
  <c r="L418" i="25" s="1"/>
  <c r="M418" i="25" s="1"/>
  <c r="N418" i="25" s="1"/>
  <c r="K419" i="25"/>
  <c r="K420" i="25"/>
  <c r="P420" i="25" s="1"/>
  <c r="Q420" i="25" s="1"/>
  <c r="K421" i="25"/>
  <c r="L421" i="25" s="1"/>
  <c r="M421" i="25" s="1"/>
  <c r="N421" i="25" s="1"/>
  <c r="K422" i="25"/>
  <c r="P422" i="25" s="1"/>
  <c r="Q422" i="25" s="1"/>
  <c r="K423" i="25"/>
  <c r="L423" i="25" s="1"/>
  <c r="M423" i="25" s="1"/>
  <c r="N423" i="25" s="1"/>
  <c r="K424" i="25"/>
  <c r="K425" i="25"/>
  <c r="K426" i="25"/>
  <c r="P426" i="25" s="1"/>
  <c r="Q426" i="25" s="1"/>
  <c r="K427" i="25"/>
  <c r="P427" i="25" s="1"/>
  <c r="Q427" i="25" s="1"/>
  <c r="K428" i="25"/>
  <c r="L428" i="25" s="1"/>
  <c r="M428" i="25" s="1"/>
  <c r="N428" i="25" s="1"/>
  <c r="K429" i="25"/>
  <c r="K430" i="25"/>
  <c r="K431" i="25"/>
  <c r="K432" i="25"/>
  <c r="K433" i="25"/>
  <c r="P433" i="25" s="1"/>
  <c r="Q433" i="25" s="1"/>
  <c r="K434" i="25"/>
  <c r="K435" i="25"/>
  <c r="K436" i="25"/>
  <c r="L436" i="25" s="1"/>
  <c r="M436" i="25" s="1"/>
  <c r="N436" i="25" s="1"/>
  <c r="K437" i="25"/>
  <c r="P437" i="25" s="1"/>
  <c r="Q437" i="25" s="1"/>
  <c r="K438" i="25"/>
  <c r="P438" i="25" s="1"/>
  <c r="Q438" i="25" s="1"/>
  <c r="K439" i="25"/>
  <c r="K440" i="25"/>
  <c r="L440" i="25" s="1"/>
  <c r="M440" i="25" s="1"/>
  <c r="N440" i="25" s="1"/>
  <c r="K441" i="25"/>
  <c r="K442" i="25"/>
  <c r="L442" i="25" s="1"/>
  <c r="M442" i="25" s="1"/>
  <c r="N442" i="25" s="1"/>
  <c r="K443" i="25"/>
  <c r="K444" i="25"/>
  <c r="K445" i="25"/>
  <c r="P445" i="25" s="1"/>
  <c r="Q445" i="25" s="1"/>
  <c r="K446" i="25"/>
  <c r="K447" i="25"/>
  <c r="P447" i="25" s="1"/>
  <c r="Q447" i="25" s="1"/>
  <c r="K448" i="25"/>
  <c r="K449" i="25"/>
  <c r="K450" i="25"/>
  <c r="P450" i="25" s="1"/>
  <c r="Q450" i="25" s="1"/>
  <c r="K451" i="25"/>
  <c r="L451" i="25" s="1"/>
  <c r="M451" i="25" s="1"/>
  <c r="N451" i="25" s="1"/>
  <c r="K452" i="25"/>
  <c r="L452" i="25" s="1"/>
  <c r="M452" i="25" s="1"/>
  <c r="N452" i="25" s="1"/>
  <c r="K453" i="25"/>
  <c r="K454" i="25"/>
  <c r="K455" i="25"/>
  <c r="K456" i="25"/>
  <c r="K457" i="25"/>
  <c r="K458" i="25"/>
  <c r="L458" i="25" s="1"/>
  <c r="M458" i="25" s="1"/>
  <c r="N458" i="25" s="1"/>
  <c r="K459" i="25"/>
  <c r="K460" i="25"/>
  <c r="P460" i="25" s="1"/>
  <c r="Q460" i="25" s="1"/>
  <c r="K461" i="25"/>
  <c r="P461" i="25" s="1"/>
  <c r="Q461" i="25" s="1"/>
  <c r="K462" i="25"/>
  <c r="L462" i="25" s="1"/>
  <c r="M462" i="25" s="1"/>
  <c r="N462" i="25" s="1"/>
  <c r="K463" i="25"/>
  <c r="L463" i="25" s="1"/>
  <c r="M463" i="25" s="1"/>
  <c r="N463" i="25" s="1"/>
  <c r="K464" i="25"/>
  <c r="K465" i="25"/>
  <c r="K466" i="25"/>
  <c r="L466" i="25" s="1"/>
  <c r="M466" i="25" s="1"/>
  <c r="N466" i="25" s="1"/>
  <c r="K467" i="25"/>
  <c r="K468" i="25"/>
  <c r="P468" i="25" s="1"/>
  <c r="Q468" i="25" s="1"/>
  <c r="K469" i="25"/>
  <c r="K470" i="25"/>
  <c r="K471" i="25"/>
  <c r="P471" i="25" s="1"/>
  <c r="Q471" i="25" s="1"/>
  <c r="K472" i="25"/>
  <c r="L472" i="25" s="1"/>
  <c r="M472" i="25" s="1"/>
  <c r="N472" i="25" s="1"/>
  <c r="K473" i="25"/>
  <c r="P473" i="25" s="1"/>
  <c r="Q473" i="25" s="1"/>
  <c r="K474" i="25"/>
  <c r="K475" i="25"/>
  <c r="P475" i="25" s="1"/>
  <c r="Q475" i="25" s="1"/>
  <c r="K476" i="25"/>
  <c r="K477" i="25"/>
  <c r="K478" i="25"/>
  <c r="L478" i="25" s="1"/>
  <c r="M478" i="25" s="1"/>
  <c r="N478" i="25" s="1"/>
  <c r="K479" i="25"/>
  <c r="K480" i="25"/>
  <c r="K482" i="25"/>
  <c r="K483" i="25"/>
  <c r="P483" i="25" s="1"/>
  <c r="Q483" i="25" s="1"/>
  <c r="K484" i="25"/>
  <c r="K485" i="25"/>
  <c r="P485" i="25" s="1"/>
  <c r="Q485" i="25" s="1"/>
  <c r="K486" i="25"/>
  <c r="L486" i="25" s="1"/>
  <c r="M486" i="25" s="1"/>
  <c r="N486" i="25" s="1"/>
  <c r="K487" i="25"/>
  <c r="P487" i="25" s="1"/>
  <c r="Q487" i="25" s="1"/>
  <c r="K488" i="25"/>
  <c r="P488" i="25" s="1"/>
  <c r="Q488" i="25" s="1"/>
  <c r="K489" i="25"/>
  <c r="K490" i="25"/>
  <c r="K491" i="25"/>
  <c r="L491" i="25" s="1"/>
  <c r="M491" i="25" s="1"/>
  <c r="N491" i="25" s="1"/>
  <c r="K493" i="25"/>
  <c r="L493" i="25" s="1"/>
  <c r="M493" i="25" s="1"/>
  <c r="N493" i="25" s="1"/>
  <c r="K494" i="25"/>
  <c r="K495" i="25"/>
  <c r="P495" i="25" s="1"/>
  <c r="Q495" i="25" s="1"/>
  <c r="K496" i="25"/>
  <c r="L496" i="25" s="1"/>
  <c r="M496" i="25" s="1"/>
  <c r="N496" i="25" s="1"/>
  <c r="K497" i="25"/>
  <c r="P497" i="25" s="1"/>
  <c r="Q497" i="25" s="1"/>
  <c r="K498" i="25"/>
  <c r="P498" i="25" s="1"/>
  <c r="Q498" i="25" s="1"/>
  <c r="K499" i="25"/>
  <c r="K500" i="25"/>
  <c r="L500" i="25" s="1"/>
  <c r="M500" i="25" s="1"/>
  <c r="N500" i="25" s="1"/>
  <c r="K501" i="25"/>
  <c r="K502" i="25"/>
  <c r="L502" i="25" s="1"/>
  <c r="M502" i="25" s="1"/>
  <c r="N502" i="25" s="1"/>
  <c r="K503" i="25"/>
  <c r="P503" i="25" s="1"/>
  <c r="Q503" i="25" s="1"/>
  <c r="K504" i="25"/>
  <c r="K505" i="25"/>
  <c r="L505" i="25" s="1"/>
  <c r="M505" i="25" s="1"/>
  <c r="N505" i="25" s="1"/>
  <c r="K506" i="25"/>
  <c r="P506" i="25" s="1"/>
  <c r="Q506" i="25" s="1"/>
  <c r="K507" i="25"/>
  <c r="P507" i="25" s="1"/>
  <c r="Q507" i="25" s="1"/>
  <c r="K508" i="25"/>
  <c r="P508" i="25" s="1"/>
  <c r="Q508" i="25" s="1"/>
  <c r="K509" i="25"/>
  <c r="K510" i="25"/>
  <c r="P510" i="25" s="1"/>
  <c r="Q510" i="25" s="1"/>
  <c r="K511" i="25"/>
  <c r="K512" i="25"/>
  <c r="K513" i="25"/>
  <c r="L513" i="25" s="1"/>
  <c r="M513" i="25" s="1"/>
  <c r="N513" i="25" s="1"/>
  <c r="K514" i="25"/>
  <c r="L514" i="25" s="1"/>
  <c r="M514" i="25" s="1"/>
  <c r="N514" i="25" s="1"/>
  <c r="K515" i="25"/>
  <c r="L515" i="25" s="1"/>
  <c r="M515" i="25" s="1"/>
  <c r="N515" i="25" s="1"/>
  <c r="K516" i="25"/>
  <c r="L516" i="25" s="1"/>
  <c r="M516" i="25" s="1"/>
  <c r="N516" i="25" s="1"/>
  <c r="K517" i="25"/>
  <c r="P517" i="25" s="1"/>
  <c r="Q517" i="25" s="1"/>
  <c r="K518" i="25"/>
  <c r="L518" i="25" s="1"/>
  <c r="M518" i="25" s="1"/>
  <c r="N518" i="25" s="1"/>
  <c r="K519" i="25"/>
  <c r="P519" i="25" s="1"/>
  <c r="Q519" i="25" s="1"/>
  <c r="K520" i="25"/>
  <c r="P520" i="25" s="1"/>
  <c r="Q520" i="25" s="1"/>
  <c r="K521" i="25"/>
  <c r="K522" i="25"/>
  <c r="L522" i="25" s="1"/>
  <c r="M522" i="25" s="1"/>
  <c r="N522" i="25" s="1"/>
  <c r="K523" i="25"/>
  <c r="L523" i="25" s="1"/>
  <c r="M523" i="25" s="1"/>
  <c r="N523" i="25" s="1"/>
  <c r="K524" i="25"/>
  <c r="L524" i="25" s="1"/>
  <c r="M524" i="25" s="1"/>
  <c r="N524" i="25" s="1"/>
  <c r="K525" i="25"/>
  <c r="L525" i="25" s="1"/>
  <c r="M525" i="25" s="1"/>
  <c r="N525" i="25" s="1"/>
  <c r="K526" i="25"/>
  <c r="P526" i="25" s="1"/>
  <c r="Q526" i="25" s="1"/>
  <c r="K527" i="25"/>
  <c r="P527" i="25" s="1"/>
  <c r="Q527" i="25" s="1"/>
  <c r="K528" i="25"/>
  <c r="L528" i="25" s="1"/>
  <c r="M528" i="25" s="1"/>
  <c r="N528" i="25" s="1"/>
  <c r="K529" i="25"/>
  <c r="K530" i="25"/>
  <c r="L530" i="25" s="1"/>
  <c r="M530" i="25" s="1"/>
  <c r="N530" i="25" s="1"/>
  <c r="K531" i="25"/>
  <c r="P531" i="25" s="1"/>
  <c r="Q531" i="25" s="1"/>
  <c r="K532" i="25"/>
  <c r="L532" i="25" s="1"/>
  <c r="M532" i="25" s="1"/>
  <c r="N532" i="25" s="1"/>
  <c r="K533" i="25"/>
  <c r="P533" i="25" s="1"/>
  <c r="Q533" i="25" s="1"/>
  <c r="K534" i="25"/>
  <c r="P534" i="25" s="1"/>
  <c r="Q534" i="25" s="1"/>
  <c r="K535" i="25"/>
  <c r="K536" i="25"/>
  <c r="P536" i="25" s="1"/>
  <c r="Q536" i="25" s="1"/>
  <c r="K537" i="25"/>
  <c r="K538" i="25"/>
  <c r="L538" i="25" s="1"/>
  <c r="M538" i="25" s="1"/>
  <c r="N538" i="25" s="1"/>
  <c r="K539" i="25"/>
  <c r="K540" i="25"/>
  <c r="P540" i="25" s="1"/>
  <c r="Q540" i="25" s="1"/>
  <c r="K541" i="25"/>
  <c r="K542" i="25"/>
  <c r="P542" i="25" s="1"/>
  <c r="Q542" i="25" s="1"/>
  <c r="K543" i="25"/>
  <c r="P543" i="25" s="1"/>
  <c r="Q543" i="25" s="1"/>
  <c r="K544" i="25"/>
  <c r="K545" i="25"/>
  <c r="K546" i="25"/>
  <c r="L546" i="25" s="1"/>
  <c r="M546" i="25" s="1"/>
  <c r="N546" i="25" s="1"/>
  <c r="K547" i="25"/>
  <c r="L547" i="25" s="1"/>
  <c r="M547" i="25" s="1"/>
  <c r="N547" i="25" s="1"/>
  <c r="K548" i="25"/>
  <c r="K549" i="25"/>
  <c r="L549" i="25" s="1"/>
  <c r="M549" i="25" s="1"/>
  <c r="N549" i="25" s="1"/>
  <c r="K550" i="25"/>
  <c r="P550" i="25" s="1"/>
  <c r="Q550" i="25" s="1"/>
  <c r="K551" i="25"/>
  <c r="K552" i="25"/>
  <c r="L552" i="25" s="1"/>
  <c r="M552" i="25" s="1"/>
  <c r="N552" i="25" s="1"/>
  <c r="K553" i="25"/>
  <c r="P553" i="25" s="1"/>
  <c r="Q553" i="25" s="1"/>
  <c r="K554" i="25"/>
  <c r="P554" i="25" s="1"/>
  <c r="Q554" i="25" s="1"/>
  <c r="K555" i="25"/>
  <c r="L555" i="25" s="1"/>
  <c r="M555" i="25" s="1"/>
  <c r="N555" i="25" s="1"/>
  <c r="K556" i="25"/>
  <c r="P556" i="25" s="1"/>
  <c r="Q556" i="25" s="1"/>
  <c r="K557" i="25"/>
  <c r="P557" i="25" s="1"/>
  <c r="Q557" i="25" s="1"/>
  <c r="K558" i="25"/>
  <c r="L558" i="25" s="1"/>
  <c r="M558" i="25" s="1"/>
  <c r="N558" i="25" s="1"/>
  <c r="K559" i="25"/>
  <c r="P559" i="25" s="1"/>
  <c r="Q559" i="25" s="1"/>
  <c r="K560" i="25"/>
  <c r="P560" i="25" s="1"/>
  <c r="Q560" i="25" s="1"/>
  <c r="K561" i="25"/>
  <c r="L561" i="25" s="1"/>
  <c r="M561" i="25" s="1"/>
  <c r="N561" i="25" s="1"/>
  <c r="K562" i="25"/>
  <c r="K563" i="25"/>
  <c r="K564" i="25"/>
  <c r="K565" i="25"/>
  <c r="L565" i="25" s="1"/>
  <c r="M565" i="25" s="1"/>
  <c r="N565" i="25" s="1"/>
  <c r="K566" i="25"/>
  <c r="K567" i="25"/>
  <c r="K568" i="25"/>
  <c r="P568" i="25" s="1"/>
  <c r="Q568" i="25" s="1"/>
  <c r="K569" i="25"/>
  <c r="P569" i="25" s="1"/>
  <c r="Q569" i="25" s="1"/>
  <c r="K570" i="25"/>
  <c r="K571" i="25"/>
  <c r="K572" i="25"/>
  <c r="K573" i="25"/>
  <c r="P573" i="25" s="1"/>
  <c r="Q573" i="25" s="1"/>
  <c r="K574" i="25"/>
  <c r="P574" i="25" s="1"/>
  <c r="Q574" i="25" s="1"/>
  <c r="K575" i="25"/>
  <c r="L575" i="25" s="1"/>
  <c r="M575" i="25" s="1"/>
  <c r="N575" i="25" s="1"/>
  <c r="K576" i="25"/>
  <c r="L576" i="25" s="1"/>
  <c r="M576" i="25" s="1"/>
  <c r="N576" i="25" s="1"/>
  <c r="K577" i="25"/>
  <c r="L577" i="25" s="1"/>
  <c r="M577" i="25" s="1"/>
  <c r="N577" i="25" s="1"/>
  <c r="K578" i="25"/>
  <c r="L578" i="25" s="1"/>
  <c r="M578" i="25" s="1"/>
  <c r="N578" i="25" s="1"/>
  <c r="K579" i="25"/>
  <c r="P579" i="25" s="1"/>
  <c r="Q579" i="25" s="1"/>
  <c r="K581" i="25"/>
  <c r="L581" i="25" s="1"/>
  <c r="M581" i="25" s="1"/>
  <c r="N581" i="25" s="1"/>
  <c r="K582" i="25"/>
  <c r="P582" i="25" s="1"/>
  <c r="Q582" i="25" s="1"/>
  <c r="K583" i="25"/>
  <c r="L583" i="25" s="1"/>
  <c r="M583" i="25" s="1"/>
  <c r="N583" i="25" s="1"/>
  <c r="K584" i="25"/>
  <c r="P584" i="25" s="1"/>
  <c r="Q584" i="25" s="1"/>
  <c r="K585" i="25"/>
  <c r="P585" i="25" s="1"/>
  <c r="Q585" i="25" s="1"/>
  <c r="K586" i="25"/>
  <c r="P586" i="25" s="1"/>
  <c r="Q586" i="25" s="1"/>
  <c r="K587" i="25"/>
  <c r="P587" i="25" s="1"/>
  <c r="Q587" i="25" s="1"/>
  <c r="K588" i="25"/>
  <c r="K589" i="25"/>
  <c r="K590" i="25"/>
  <c r="K592" i="25"/>
  <c r="L592" i="25" s="1"/>
  <c r="M592" i="25" s="1"/>
  <c r="N592" i="25" s="1"/>
  <c r="K593" i="25"/>
  <c r="K594" i="25"/>
  <c r="K595" i="25"/>
  <c r="L595" i="25" s="1"/>
  <c r="M595" i="25" s="1"/>
  <c r="N595" i="25" s="1"/>
  <c r="K695" i="25"/>
  <c r="K696" i="25"/>
  <c r="L696" i="25" s="1"/>
  <c r="M696" i="25" s="1"/>
  <c r="N696" i="25" s="1"/>
  <c r="K697" i="25"/>
  <c r="K698" i="25"/>
  <c r="L698" i="25" s="1"/>
  <c r="M698" i="25" s="1"/>
  <c r="N698" i="25" s="1"/>
  <c r="K699" i="25"/>
  <c r="K700" i="25"/>
  <c r="L700" i="25" s="1"/>
  <c r="M700" i="25" s="1"/>
  <c r="N700" i="25" s="1"/>
  <c r="K701" i="25"/>
  <c r="P701" i="25" s="1"/>
  <c r="Q701" i="25" s="1"/>
  <c r="K702" i="25"/>
  <c r="K703" i="25"/>
  <c r="L703" i="25" s="1"/>
  <c r="M703" i="25" s="1"/>
  <c r="N703" i="25" s="1"/>
  <c r="K704" i="25"/>
  <c r="L704" i="25" s="1"/>
  <c r="M704" i="25" s="1"/>
  <c r="N704" i="25" s="1"/>
  <c r="K705" i="25"/>
  <c r="P705" i="25" s="1"/>
  <c r="Q705" i="25" s="1"/>
  <c r="K706" i="25"/>
  <c r="P706" i="25" s="1"/>
  <c r="Q706" i="25" s="1"/>
  <c r="K707" i="25"/>
  <c r="P707" i="25" s="1"/>
  <c r="Q707" i="25" s="1"/>
  <c r="K708" i="25"/>
  <c r="L708" i="25" s="1"/>
  <c r="M708" i="25" s="1"/>
  <c r="N708" i="25" s="1"/>
  <c r="K709" i="25"/>
  <c r="K710" i="25"/>
  <c r="K711" i="25"/>
  <c r="K712" i="25"/>
  <c r="L712" i="25" s="1"/>
  <c r="M712" i="25" s="1"/>
  <c r="N712" i="25" s="1"/>
  <c r="K713" i="25"/>
  <c r="K714" i="25"/>
  <c r="P714" i="25" s="1"/>
  <c r="Q714" i="25" s="1"/>
  <c r="K715" i="25"/>
  <c r="P715" i="25" s="1"/>
  <c r="Q715" i="25" s="1"/>
  <c r="K716" i="25"/>
  <c r="P716" i="25" s="1"/>
  <c r="Q716" i="25" s="1"/>
  <c r="K717" i="25"/>
  <c r="K718" i="25"/>
  <c r="K719" i="25"/>
  <c r="P719" i="25" s="1"/>
  <c r="Q719" i="25" s="1"/>
  <c r="K720" i="25"/>
  <c r="P720" i="25" s="1"/>
  <c r="Q720" i="25" s="1"/>
  <c r="K721" i="25"/>
  <c r="L721" i="25" s="1"/>
  <c r="M721" i="25" s="1"/>
  <c r="N721" i="25" s="1"/>
  <c r="K722" i="25"/>
  <c r="P722" i="25" s="1"/>
  <c r="Q722" i="25" s="1"/>
  <c r="K723" i="25"/>
  <c r="L723" i="25" s="1"/>
  <c r="M723" i="25" s="1"/>
  <c r="N723" i="25" s="1"/>
  <c r="K724" i="25"/>
  <c r="P724" i="25" s="1"/>
  <c r="Q724" i="25" s="1"/>
  <c r="K725" i="25"/>
  <c r="P725" i="25" s="1"/>
  <c r="Q725" i="25" s="1"/>
  <c r="K726" i="25"/>
  <c r="K727" i="25"/>
  <c r="P727" i="25" s="1"/>
  <c r="Q727" i="25" s="1"/>
  <c r="K728" i="25"/>
  <c r="L728" i="25" s="1"/>
  <c r="M728" i="25" s="1"/>
  <c r="N728" i="25" s="1"/>
  <c r="K729" i="25"/>
  <c r="K730" i="25"/>
  <c r="P730" i="25" s="1"/>
  <c r="Q730" i="25" s="1"/>
  <c r="K731" i="25"/>
  <c r="L731" i="25" s="1"/>
  <c r="M731" i="25" s="1"/>
  <c r="N731" i="25" s="1"/>
  <c r="K732" i="25"/>
  <c r="P732" i="25" s="1"/>
  <c r="Q732" i="25" s="1"/>
  <c r="K733" i="25"/>
  <c r="K734" i="25"/>
  <c r="K735" i="25"/>
  <c r="L735" i="25" s="1"/>
  <c r="M735" i="25" s="1"/>
  <c r="N735" i="25" s="1"/>
  <c r="K736" i="25"/>
  <c r="K737" i="25"/>
  <c r="L737" i="25" s="1"/>
  <c r="M737" i="25" s="1"/>
  <c r="N737" i="25" s="1"/>
  <c r="K738" i="25"/>
  <c r="K739" i="25"/>
  <c r="P739" i="25" s="1"/>
  <c r="Q739" i="25" s="1"/>
  <c r="K740" i="25"/>
  <c r="K741" i="25"/>
  <c r="L741" i="25" s="1"/>
  <c r="M741" i="25" s="1"/>
  <c r="N741" i="25" s="1"/>
  <c r="K742" i="25"/>
  <c r="K743" i="25"/>
  <c r="L743" i="25" s="1"/>
  <c r="M743" i="25" s="1"/>
  <c r="N743" i="25" s="1"/>
  <c r="K744" i="25"/>
  <c r="K745" i="25"/>
  <c r="L745" i="25" s="1"/>
  <c r="M745" i="25" s="1"/>
  <c r="N745" i="25" s="1"/>
  <c r="K746" i="25"/>
  <c r="K747" i="25"/>
  <c r="L747" i="25" s="1"/>
  <c r="M747" i="25" s="1"/>
  <c r="N747" i="25" s="1"/>
  <c r="K748" i="25"/>
  <c r="L748" i="25" s="1"/>
  <c r="M748" i="25" s="1"/>
  <c r="N748" i="25" s="1"/>
  <c r="K749" i="25"/>
  <c r="P749" i="25" s="1"/>
  <c r="Q749" i="25" s="1"/>
  <c r="K750" i="25"/>
  <c r="K751" i="25"/>
  <c r="P751" i="25" s="1"/>
  <c r="Q751" i="25" s="1"/>
  <c r="K752" i="25"/>
  <c r="P752" i="25" s="1"/>
  <c r="Q752" i="25" s="1"/>
  <c r="K753" i="25"/>
  <c r="L753" i="25" s="1"/>
  <c r="M753" i="25" s="1"/>
  <c r="N753" i="25" s="1"/>
  <c r="K754" i="25"/>
  <c r="P754" i="25" s="1"/>
  <c r="Q754" i="25" s="1"/>
  <c r="K755" i="25"/>
  <c r="L755" i="25" s="1"/>
  <c r="M755" i="25" s="1"/>
  <c r="N755" i="25" s="1"/>
  <c r="K756" i="25"/>
  <c r="L756" i="25" s="1"/>
  <c r="M756" i="25" s="1"/>
  <c r="N756" i="25" s="1"/>
  <c r="K757" i="25"/>
  <c r="P757" i="25" s="1"/>
  <c r="Q757" i="25" s="1"/>
  <c r="K758" i="25"/>
  <c r="L758" i="25" s="1"/>
  <c r="M758" i="25" s="1"/>
  <c r="N758" i="25" s="1"/>
  <c r="K759" i="25"/>
  <c r="P759" i="25" s="1"/>
  <c r="Q759" i="25" s="1"/>
  <c r="K760" i="25"/>
  <c r="P760" i="25" s="1"/>
  <c r="Q760" i="25" s="1"/>
  <c r="K761" i="25"/>
  <c r="L761" i="25" s="1"/>
  <c r="M761" i="25" s="1"/>
  <c r="N761" i="25" s="1"/>
  <c r="K762" i="25"/>
  <c r="K763" i="25"/>
  <c r="P763" i="25" s="1"/>
  <c r="Q763" i="25" s="1"/>
  <c r="K764" i="25"/>
  <c r="K765" i="25"/>
  <c r="P765" i="25" s="1"/>
  <c r="Q765" i="25" s="1"/>
  <c r="K766" i="25"/>
  <c r="K767" i="25"/>
  <c r="P767" i="25" s="1"/>
  <c r="Q767" i="25" s="1"/>
  <c r="K768" i="25"/>
  <c r="P768" i="25" s="1"/>
  <c r="Q768" i="25" s="1"/>
  <c r="K769" i="25"/>
  <c r="K770" i="25"/>
  <c r="K771" i="25"/>
  <c r="P771" i="25" s="1"/>
  <c r="Q771" i="25" s="1"/>
  <c r="K772" i="25"/>
  <c r="K773" i="25"/>
  <c r="L773" i="25" s="1"/>
  <c r="M773" i="25" s="1"/>
  <c r="N773" i="25" s="1"/>
  <c r="K774" i="25"/>
  <c r="P774" i="25" s="1"/>
  <c r="Q774" i="25" s="1"/>
  <c r="K775" i="25"/>
  <c r="L775" i="25" s="1"/>
  <c r="M775" i="25" s="1"/>
  <c r="N775" i="25" s="1"/>
  <c r="K776" i="25"/>
  <c r="P776" i="25" s="1"/>
  <c r="Q776" i="25" s="1"/>
  <c r="K777" i="25"/>
  <c r="L777" i="25" s="1"/>
  <c r="M777" i="25" s="1"/>
  <c r="N777" i="25" s="1"/>
  <c r="K779" i="25"/>
  <c r="K780" i="25"/>
  <c r="K781" i="25"/>
  <c r="L781" i="25" s="1"/>
  <c r="M781" i="25" s="1"/>
  <c r="N781" i="25" s="1"/>
  <c r="K782" i="25"/>
  <c r="L782" i="25" s="1"/>
  <c r="M782" i="25" s="1"/>
  <c r="N782" i="25" s="1"/>
  <c r="K783" i="25"/>
  <c r="L783" i="25" s="1"/>
  <c r="M783" i="25" s="1"/>
  <c r="N783" i="25" s="1"/>
  <c r="K784" i="25"/>
  <c r="P784" i="25" s="1"/>
  <c r="Q784" i="25" s="1"/>
  <c r="K785" i="25"/>
  <c r="P785" i="25" s="1"/>
  <c r="Q785" i="25" s="1"/>
  <c r="K786" i="25"/>
  <c r="P786" i="25" s="1"/>
  <c r="Q786" i="25" s="1"/>
  <c r="K787" i="25"/>
  <c r="K788" i="25"/>
  <c r="P788" i="25" s="1"/>
  <c r="Q788" i="25" s="1"/>
  <c r="K790" i="25"/>
  <c r="K791" i="25"/>
  <c r="L791" i="25" s="1"/>
  <c r="M791" i="25" s="1"/>
  <c r="N791" i="25" s="1"/>
  <c r="K792" i="25"/>
  <c r="K793" i="25"/>
  <c r="K596" i="25"/>
  <c r="K597" i="25"/>
  <c r="P597" i="25" s="1"/>
  <c r="Q597" i="25" s="1"/>
  <c r="K598" i="25"/>
  <c r="K599" i="25"/>
  <c r="P599" i="25" s="1"/>
  <c r="Q599" i="25" s="1"/>
  <c r="K600" i="25"/>
  <c r="P600" i="25" s="1"/>
  <c r="Q600" i="25" s="1"/>
  <c r="K601" i="25"/>
  <c r="L601" i="25" s="1"/>
  <c r="M601" i="25" s="1"/>
  <c r="N601" i="25" s="1"/>
  <c r="K602" i="25"/>
  <c r="K603" i="25"/>
  <c r="P603" i="25" s="1"/>
  <c r="Q603" i="25" s="1"/>
  <c r="K604" i="25"/>
  <c r="P604" i="25" s="1"/>
  <c r="Q604" i="25" s="1"/>
  <c r="K605" i="25"/>
  <c r="P605" i="25" s="1"/>
  <c r="Q605" i="25" s="1"/>
  <c r="K606" i="25"/>
  <c r="L606" i="25" s="1"/>
  <c r="M606" i="25" s="1"/>
  <c r="N606" i="25" s="1"/>
  <c r="K607" i="25"/>
  <c r="K608" i="25"/>
  <c r="L608" i="25" s="1"/>
  <c r="M608" i="25" s="1"/>
  <c r="N608" i="25" s="1"/>
  <c r="K609" i="25"/>
  <c r="P609" i="25" s="1"/>
  <c r="Q609" i="25" s="1"/>
  <c r="K610" i="25"/>
  <c r="P610" i="25" s="1"/>
  <c r="Q610" i="25" s="1"/>
  <c r="K611" i="25"/>
  <c r="K612" i="25"/>
  <c r="K613" i="25"/>
  <c r="P613" i="25" s="1"/>
  <c r="Q613" i="25" s="1"/>
  <c r="K614" i="25"/>
  <c r="P614" i="25" s="1"/>
  <c r="Q614" i="25" s="1"/>
  <c r="K615" i="25"/>
  <c r="P615" i="25" s="1"/>
  <c r="Q615" i="25" s="1"/>
  <c r="K616" i="25"/>
  <c r="L616" i="25" s="1"/>
  <c r="M616" i="25" s="1"/>
  <c r="N616" i="25" s="1"/>
  <c r="K617" i="25"/>
  <c r="P617" i="25" s="1"/>
  <c r="Q617" i="25" s="1"/>
  <c r="K618" i="25"/>
  <c r="P618" i="25" s="1"/>
  <c r="Q618" i="25" s="1"/>
  <c r="K619" i="25"/>
  <c r="L619" i="25" s="1"/>
  <c r="M619" i="25" s="1"/>
  <c r="N619" i="25" s="1"/>
  <c r="K620" i="25"/>
  <c r="K621" i="25"/>
  <c r="L621" i="25" s="1"/>
  <c r="M621" i="25" s="1"/>
  <c r="N621" i="25" s="1"/>
  <c r="K622" i="25"/>
  <c r="K623" i="25"/>
  <c r="P623" i="25" s="1"/>
  <c r="Q623" i="25" s="1"/>
  <c r="K624" i="25"/>
  <c r="L624" i="25" s="1"/>
  <c r="M624" i="25" s="1"/>
  <c r="N624" i="25" s="1"/>
  <c r="K625" i="25"/>
  <c r="K626" i="25"/>
  <c r="K627" i="25"/>
  <c r="P627" i="25" s="1"/>
  <c r="Q627" i="25" s="1"/>
  <c r="K628" i="25"/>
  <c r="P628" i="25" s="1"/>
  <c r="Q628" i="25" s="1"/>
  <c r="K629" i="25"/>
  <c r="K630" i="25"/>
  <c r="L630" i="25" s="1"/>
  <c r="M630" i="25" s="1"/>
  <c r="N630" i="25" s="1"/>
  <c r="K631" i="25"/>
  <c r="K632" i="25"/>
  <c r="P632" i="25" s="1"/>
  <c r="Q632" i="25" s="1"/>
  <c r="K633" i="25"/>
  <c r="K634" i="25"/>
  <c r="K635" i="25"/>
  <c r="P635" i="25" s="1"/>
  <c r="Q635" i="25" s="1"/>
  <c r="K636" i="25"/>
  <c r="P636" i="25" s="1"/>
  <c r="Q636" i="25" s="1"/>
  <c r="K637" i="25"/>
  <c r="P637" i="25" s="1"/>
  <c r="Q637" i="25" s="1"/>
  <c r="K638" i="25"/>
  <c r="L638" i="25" s="1"/>
  <c r="M638" i="25" s="1"/>
  <c r="N638" i="25" s="1"/>
  <c r="K639" i="25"/>
  <c r="K640" i="25"/>
  <c r="L640" i="25" s="1"/>
  <c r="M640" i="25" s="1"/>
  <c r="N640" i="25" s="1"/>
  <c r="K641" i="25"/>
  <c r="L641" i="25" s="1"/>
  <c r="M641" i="25" s="1"/>
  <c r="N641" i="25" s="1"/>
  <c r="K642" i="25"/>
  <c r="P642" i="25" s="1"/>
  <c r="Q642" i="25" s="1"/>
  <c r="K643" i="25"/>
  <c r="L643" i="25" s="1"/>
  <c r="M643" i="25" s="1"/>
  <c r="N643" i="25" s="1"/>
  <c r="K644" i="25"/>
  <c r="K645" i="25"/>
  <c r="L645" i="25" s="1"/>
  <c r="M645" i="25" s="1"/>
  <c r="N645" i="25" s="1"/>
  <c r="K646" i="25"/>
  <c r="K647" i="25"/>
  <c r="P647" i="25" s="1"/>
  <c r="Q647" i="25" s="1"/>
  <c r="K648" i="25"/>
  <c r="L648" i="25" s="1"/>
  <c r="M648" i="25" s="1"/>
  <c r="N648" i="25" s="1"/>
  <c r="K649" i="25"/>
  <c r="K650" i="25"/>
  <c r="L650" i="25" s="1"/>
  <c r="M650" i="25" s="1"/>
  <c r="N650" i="25" s="1"/>
  <c r="K651" i="25"/>
  <c r="P651" i="25" s="1"/>
  <c r="Q651" i="25" s="1"/>
  <c r="K652" i="25"/>
  <c r="P652" i="25" s="1"/>
  <c r="Q652" i="25" s="1"/>
  <c r="K653" i="25"/>
  <c r="K654" i="25"/>
  <c r="K655" i="25"/>
  <c r="L655" i="25" s="1"/>
  <c r="M655" i="25" s="1"/>
  <c r="N655" i="25" s="1"/>
  <c r="K656" i="25"/>
  <c r="K657" i="25"/>
  <c r="P657" i="25" s="1"/>
  <c r="Q657" i="25" s="1"/>
  <c r="K658" i="25"/>
  <c r="L658" i="25" s="1"/>
  <c r="M658" i="25" s="1"/>
  <c r="N658" i="25" s="1"/>
  <c r="K659" i="25"/>
  <c r="K660" i="25"/>
  <c r="P660" i="25" s="1"/>
  <c r="Q660" i="25" s="1"/>
  <c r="K661" i="25"/>
  <c r="L661" i="25" s="1"/>
  <c r="M661" i="25" s="1"/>
  <c r="N661" i="25" s="1"/>
  <c r="K662" i="25"/>
  <c r="P662" i="25" s="1"/>
  <c r="Q662" i="25" s="1"/>
  <c r="K663" i="25"/>
  <c r="L663" i="25" s="1"/>
  <c r="M663" i="25" s="1"/>
  <c r="N663" i="25" s="1"/>
  <c r="K664" i="25"/>
  <c r="K665" i="25"/>
  <c r="P665" i="25" s="1"/>
  <c r="Q665" i="25" s="1"/>
  <c r="K666" i="25"/>
  <c r="P666" i="25" s="1"/>
  <c r="Q666" i="25" s="1"/>
  <c r="K667" i="25"/>
  <c r="P667" i="25" s="1"/>
  <c r="Q667" i="25" s="1"/>
  <c r="K668" i="25"/>
  <c r="L668" i="25" s="1"/>
  <c r="M668" i="25" s="1"/>
  <c r="N668" i="25" s="1"/>
  <c r="K669" i="25"/>
  <c r="K670" i="25"/>
  <c r="P670" i="25" s="1"/>
  <c r="Q670" i="25" s="1"/>
  <c r="K671" i="25"/>
  <c r="L671" i="25" s="1"/>
  <c r="M671" i="25" s="1"/>
  <c r="N671" i="25" s="1"/>
  <c r="K672" i="25"/>
  <c r="P672" i="25" s="1"/>
  <c r="Q672" i="25" s="1"/>
  <c r="K673" i="25"/>
  <c r="L673" i="25" s="1"/>
  <c r="M673" i="25" s="1"/>
  <c r="N673" i="25" s="1"/>
  <c r="K674" i="25"/>
  <c r="K675" i="25"/>
  <c r="L675" i="25" s="1"/>
  <c r="M675" i="25" s="1"/>
  <c r="N675" i="25" s="1"/>
  <c r="K676" i="25"/>
  <c r="L676" i="25" s="1"/>
  <c r="M676" i="25" s="1"/>
  <c r="N676" i="25" s="1"/>
  <c r="K677" i="25"/>
  <c r="P677" i="25" s="1"/>
  <c r="Q677" i="25" s="1"/>
  <c r="K678" i="25"/>
  <c r="L678" i="25" s="1"/>
  <c r="M678" i="25" s="1"/>
  <c r="N678" i="25" s="1"/>
  <c r="K680" i="25"/>
  <c r="L680" i="25" s="1"/>
  <c r="M680" i="25" s="1"/>
  <c r="N680" i="25" s="1"/>
  <c r="K681" i="25"/>
  <c r="L681" i="25" s="1"/>
  <c r="M681" i="25" s="1"/>
  <c r="N681" i="25" s="1"/>
  <c r="K682" i="25"/>
  <c r="P682" i="25" s="1"/>
  <c r="Q682" i="25" s="1"/>
  <c r="K683" i="25"/>
  <c r="K684" i="25"/>
  <c r="K685" i="25"/>
  <c r="P685" i="25" s="1"/>
  <c r="Q685" i="25" s="1"/>
  <c r="K686" i="25"/>
  <c r="L686" i="25" s="1"/>
  <c r="M686" i="25" s="1"/>
  <c r="N686" i="25" s="1"/>
  <c r="K687" i="25"/>
  <c r="P687" i="25" s="1"/>
  <c r="Q687" i="25" s="1"/>
  <c r="K688" i="25"/>
  <c r="L688" i="25" s="1"/>
  <c r="M688" i="25" s="1"/>
  <c r="N688" i="25" s="1"/>
  <c r="K689" i="25"/>
  <c r="K691" i="25"/>
  <c r="P691" i="25" s="1"/>
  <c r="Q691" i="25" s="1"/>
  <c r="K692" i="25"/>
  <c r="P692" i="25" s="1"/>
  <c r="Q692" i="25" s="1"/>
  <c r="K693" i="25"/>
  <c r="K694" i="25"/>
  <c r="P694" i="25" s="1"/>
  <c r="Q694" i="25" s="1"/>
  <c r="K300" i="25"/>
  <c r="L300" i="25" s="1"/>
  <c r="M300" i="25" s="1"/>
  <c r="N300" i="25" s="1"/>
  <c r="K301" i="25"/>
  <c r="K302" i="25"/>
  <c r="K303" i="25"/>
  <c r="L303" i="25" s="1"/>
  <c r="M303" i="25" s="1"/>
  <c r="N303" i="25" s="1"/>
  <c r="K304" i="25"/>
  <c r="P304" i="25" s="1"/>
  <c r="Q304" i="25" s="1"/>
  <c r="K305" i="25"/>
  <c r="K306" i="25"/>
  <c r="K307" i="25"/>
  <c r="L307" i="25" s="1"/>
  <c r="M307" i="25" s="1"/>
  <c r="N307" i="25" s="1"/>
  <c r="K308" i="25"/>
  <c r="K309" i="25"/>
  <c r="L309" i="25" s="1"/>
  <c r="M309" i="25" s="1"/>
  <c r="N309" i="25" s="1"/>
  <c r="K310" i="25"/>
  <c r="K311" i="25"/>
  <c r="K312" i="25"/>
  <c r="L312" i="25" s="1"/>
  <c r="M312" i="25" s="1"/>
  <c r="N312" i="25" s="1"/>
  <c r="K313" i="25"/>
  <c r="K314" i="25"/>
  <c r="L314" i="25" s="1"/>
  <c r="M314" i="25" s="1"/>
  <c r="N314" i="25" s="1"/>
  <c r="K315" i="25"/>
  <c r="K316" i="25"/>
  <c r="P316" i="25" s="1"/>
  <c r="Q316" i="25" s="1"/>
  <c r="K317" i="25"/>
  <c r="K318" i="25"/>
  <c r="P318" i="25" s="1"/>
  <c r="Q318" i="25" s="1"/>
  <c r="K319" i="25"/>
  <c r="L319" i="25" s="1"/>
  <c r="M319" i="25" s="1"/>
  <c r="N319" i="25" s="1"/>
  <c r="K320" i="25"/>
  <c r="K321" i="25"/>
  <c r="P321" i="25" s="1"/>
  <c r="Q321" i="25" s="1"/>
  <c r="K322" i="25"/>
  <c r="K323" i="25"/>
  <c r="K324" i="25"/>
  <c r="K325" i="25"/>
  <c r="P325" i="25" s="1"/>
  <c r="Q325" i="25" s="1"/>
  <c r="K326" i="25"/>
  <c r="P326" i="25" s="1"/>
  <c r="Q326" i="25" s="1"/>
  <c r="K327" i="25"/>
  <c r="K328" i="25"/>
  <c r="L328" i="25" s="1"/>
  <c r="M328" i="25" s="1"/>
  <c r="N328" i="25" s="1"/>
  <c r="K329" i="25"/>
  <c r="K330" i="25"/>
  <c r="L330" i="25" s="1"/>
  <c r="M330" i="25" s="1"/>
  <c r="N330" i="25" s="1"/>
  <c r="K331" i="25"/>
  <c r="L331" i="25" s="1"/>
  <c r="M331" i="25" s="1"/>
  <c r="N331" i="25" s="1"/>
  <c r="K332" i="25"/>
  <c r="K333" i="25"/>
  <c r="K334" i="25"/>
  <c r="L334" i="25" s="1"/>
  <c r="M334" i="25" s="1"/>
  <c r="N334" i="25" s="1"/>
  <c r="K335" i="25"/>
  <c r="K336" i="25"/>
  <c r="P336" i="25" s="1"/>
  <c r="Q336" i="25" s="1"/>
  <c r="K337" i="25"/>
  <c r="K338" i="25"/>
  <c r="K339" i="25"/>
  <c r="L339" i="25" s="1"/>
  <c r="M339" i="25" s="1"/>
  <c r="N339" i="25" s="1"/>
  <c r="K340" i="25"/>
  <c r="K341" i="25"/>
  <c r="K342" i="25"/>
  <c r="L342" i="25" s="1"/>
  <c r="M342" i="25" s="1"/>
  <c r="N342" i="25" s="1"/>
  <c r="K343" i="25"/>
  <c r="K344" i="25"/>
  <c r="P344" i="25" s="1"/>
  <c r="Q344" i="25" s="1"/>
  <c r="K345" i="25"/>
  <c r="P345" i="25" s="1"/>
  <c r="Q345" i="25" s="1"/>
  <c r="K346" i="25"/>
  <c r="L346" i="25" s="1"/>
  <c r="M346" i="25" s="1"/>
  <c r="N346" i="25" s="1"/>
  <c r="K347" i="25"/>
  <c r="L347" i="25" s="1"/>
  <c r="M347" i="25" s="1"/>
  <c r="N347" i="25" s="1"/>
  <c r="K348" i="25"/>
  <c r="K349" i="25"/>
  <c r="L349" i="25" s="1"/>
  <c r="M349" i="25" s="1"/>
  <c r="N349" i="25" s="1"/>
  <c r="K350" i="25"/>
  <c r="L350" i="25" s="1"/>
  <c r="M350" i="25" s="1"/>
  <c r="N350" i="25" s="1"/>
  <c r="K351" i="25"/>
  <c r="L351" i="25" s="1"/>
  <c r="M351" i="25" s="1"/>
  <c r="N351" i="25" s="1"/>
  <c r="K352" i="25"/>
  <c r="L352" i="25" s="1"/>
  <c r="M352" i="25" s="1"/>
  <c r="N352" i="25" s="1"/>
  <c r="K353" i="25"/>
  <c r="K354" i="25"/>
  <c r="P354" i="25" s="1"/>
  <c r="Q354" i="25" s="1"/>
  <c r="K355" i="25"/>
  <c r="K356" i="25"/>
  <c r="P356" i="25" s="1"/>
  <c r="Q356" i="25" s="1"/>
  <c r="K357" i="25"/>
  <c r="K358" i="25"/>
  <c r="K359" i="25"/>
  <c r="L359" i="25" s="1"/>
  <c r="M359" i="25" s="1"/>
  <c r="N359" i="25" s="1"/>
  <c r="K360" i="25"/>
  <c r="L360" i="25" s="1"/>
  <c r="M360" i="25" s="1"/>
  <c r="N360" i="25" s="1"/>
  <c r="K361" i="25"/>
  <c r="K362" i="25"/>
  <c r="L362" i="25" s="1"/>
  <c r="M362" i="25" s="1"/>
  <c r="N362" i="25" s="1"/>
  <c r="K363" i="25"/>
  <c r="K364" i="25"/>
  <c r="P364" i="25" s="1"/>
  <c r="Q364" i="25" s="1"/>
  <c r="K365" i="25"/>
  <c r="P365" i="25" s="1"/>
  <c r="Q365" i="25" s="1"/>
  <c r="K366" i="25"/>
  <c r="K367" i="25"/>
  <c r="P367" i="25" s="1"/>
  <c r="Q367" i="25" s="1"/>
  <c r="K368" i="25"/>
  <c r="K369" i="25"/>
  <c r="L369" i="25" s="1"/>
  <c r="M369" i="25" s="1"/>
  <c r="N369" i="25" s="1"/>
  <c r="K370" i="25"/>
  <c r="P370" i="25" s="1"/>
  <c r="Q370" i="25" s="1"/>
  <c r="K371" i="25"/>
  <c r="K372" i="25"/>
  <c r="P372" i="25" s="1"/>
  <c r="Q372" i="25" s="1"/>
  <c r="K373" i="25"/>
  <c r="L373" i="25" s="1"/>
  <c r="M373" i="25" s="1"/>
  <c r="N373" i="25" s="1"/>
  <c r="K374" i="25"/>
  <c r="K375" i="25"/>
  <c r="K376" i="25"/>
  <c r="L376" i="25" s="1"/>
  <c r="M376" i="25" s="1"/>
  <c r="N376" i="25" s="1"/>
  <c r="K377" i="25"/>
  <c r="P377" i="25" s="1"/>
  <c r="Q377" i="25" s="1"/>
  <c r="K378" i="25"/>
  <c r="K379" i="25"/>
  <c r="P379" i="25" s="1"/>
  <c r="Q379" i="25" s="1"/>
  <c r="K380" i="25"/>
  <c r="L380" i="25" s="1"/>
  <c r="M380" i="25" s="1"/>
  <c r="N380" i="25" s="1"/>
  <c r="K381" i="25"/>
  <c r="K383" i="25"/>
  <c r="K384" i="25"/>
  <c r="K385" i="25"/>
  <c r="P385" i="25" s="1"/>
  <c r="Q385" i="25" s="1"/>
  <c r="K386" i="25"/>
  <c r="P386" i="25" s="1"/>
  <c r="Q386" i="25" s="1"/>
  <c r="K387" i="25"/>
  <c r="K388" i="25"/>
  <c r="L388" i="25" s="1"/>
  <c r="M388" i="25" s="1"/>
  <c r="N388" i="25" s="1"/>
  <c r="K389" i="25"/>
  <c r="P389" i="25" s="1"/>
  <c r="Q389" i="25" s="1"/>
  <c r="K390" i="25"/>
  <c r="L390" i="25" s="1"/>
  <c r="M390" i="25" s="1"/>
  <c r="N390" i="25" s="1"/>
  <c r="K391" i="25"/>
  <c r="L391" i="25" s="1"/>
  <c r="M391" i="25" s="1"/>
  <c r="N391" i="25" s="1"/>
  <c r="K392" i="25"/>
  <c r="P392" i="25" s="1"/>
  <c r="Q392" i="25" s="1"/>
  <c r="K394" i="25"/>
  <c r="K395" i="25"/>
  <c r="L395" i="25" s="1"/>
  <c r="M395" i="25" s="1"/>
  <c r="N395" i="25" s="1"/>
  <c r="K396" i="25"/>
  <c r="P396" i="25" s="1"/>
  <c r="Q396" i="25" s="1"/>
  <c r="K397" i="25"/>
  <c r="L397" i="25" s="1"/>
  <c r="M397" i="25" s="1"/>
  <c r="N397" i="25" s="1"/>
  <c r="K2" i="25"/>
  <c r="P2" i="25" s="1"/>
  <c r="Q2" i="25" s="1"/>
  <c r="K3" i="25"/>
  <c r="K4" i="25"/>
  <c r="P4" i="25" s="1"/>
  <c r="Q4" i="25" s="1"/>
  <c r="K5" i="25"/>
  <c r="P5" i="25" s="1"/>
  <c r="Q5" i="25" s="1"/>
  <c r="K6" i="25"/>
  <c r="L6" i="25" s="1"/>
  <c r="M6" i="25" s="1"/>
  <c r="N6" i="25" s="1"/>
  <c r="K7" i="25"/>
  <c r="L7" i="25" s="1"/>
  <c r="M7" i="25" s="1"/>
  <c r="N7" i="25" s="1"/>
  <c r="K8" i="25"/>
  <c r="K9" i="25"/>
  <c r="P9" i="25" s="1"/>
  <c r="Q9" i="25" s="1"/>
  <c r="K10" i="25"/>
  <c r="L10" i="25" s="1"/>
  <c r="M10" i="25" s="1"/>
  <c r="N10" i="25" s="1"/>
  <c r="K11" i="25"/>
  <c r="L11" i="25" s="1"/>
  <c r="M11" i="25" s="1"/>
  <c r="N11" i="25" s="1"/>
  <c r="K12" i="25"/>
  <c r="P12" i="25" s="1"/>
  <c r="Q12" i="25" s="1"/>
  <c r="K13" i="25"/>
  <c r="K14" i="25"/>
  <c r="P14" i="25" s="1"/>
  <c r="Q14" i="25" s="1"/>
  <c r="K15" i="25"/>
  <c r="L15" i="25" s="1"/>
  <c r="M15" i="25" s="1"/>
  <c r="N15" i="25" s="1"/>
  <c r="K16" i="25"/>
  <c r="P16" i="25" s="1"/>
  <c r="Q16" i="25" s="1"/>
  <c r="K17" i="25"/>
  <c r="L17" i="25" s="1"/>
  <c r="M17" i="25" s="1"/>
  <c r="N17" i="25" s="1"/>
  <c r="K18" i="25"/>
  <c r="L18" i="25" s="1"/>
  <c r="M18" i="25" s="1"/>
  <c r="N18" i="25" s="1"/>
  <c r="K19" i="25"/>
  <c r="L19" i="25" s="1"/>
  <c r="M19" i="25" s="1"/>
  <c r="N19" i="25" s="1"/>
  <c r="K20" i="25"/>
  <c r="K21" i="25"/>
  <c r="P21" i="25" s="1"/>
  <c r="Q21" i="25" s="1"/>
  <c r="K22" i="25"/>
  <c r="P22" i="25" s="1"/>
  <c r="Q22" i="25" s="1"/>
  <c r="K23" i="25"/>
  <c r="P23" i="25" s="1"/>
  <c r="Q23" i="25" s="1"/>
  <c r="K24" i="25"/>
  <c r="L24" i="25" s="1"/>
  <c r="M24" i="25" s="1"/>
  <c r="N24" i="25" s="1"/>
  <c r="K25" i="25"/>
  <c r="L25" i="25" s="1"/>
  <c r="M25" i="25" s="1"/>
  <c r="N25" i="25" s="1"/>
  <c r="K26" i="25"/>
  <c r="P26" i="25" s="1"/>
  <c r="Q26" i="25" s="1"/>
  <c r="K27" i="25"/>
  <c r="L27" i="25" s="1"/>
  <c r="M27" i="25" s="1"/>
  <c r="N27" i="25" s="1"/>
  <c r="K28" i="25"/>
  <c r="P28" i="25" s="1"/>
  <c r="Q28" i="25" s="1"/>
  <c r="K29" i="25"/>
  <c r="L29" i="25" s="1"/>
  <c r="M29" i="25" s="1"/>
  <c r="N29" i="25" s="1"/>
  <c r="K30" i="25"/>
  <c r="P30" i="25" s="1"/>
  <c r="Q30" i="25" s="1"/>
  <c r="K31" i="25"/>
  <c r="L31" i="25" s="1"/>
  <c r="M31" i="25" s="1"/>
  <c r="N31" i="25" s="1"/>
  <c r="K32" i="25"/>
  <c r="P32" i="25" s="1"/>
  <c r="Q32" i="25" s="1"/>
  <c r="K33" i="25"/>
  <c r="P33" i="25" s="1"/>
  <c r="Q33" i="25" s="1"/>
  <c r="K34" i="25"/>
  <c r="L34" i="25" s="1"/>
  <c r="M34" i="25" s="1"/>
  <c r="N34" i="25" s="1"/>
  <c r="K35" i="25"/>
  <c r="L35" i="25" s="1"/>
  <c r="M35" i="25" s="1"/>
  <c r="N35" i="25" s="1"/>
  <c r="K36" i="25"/>
  <c r="L36" i="25" s="1"/>
  <c r="M36" i="25" s="1"/>
  <c r="N36" i="25" s="1"/>
  <c r="K37" i="25"/>
  <c r="L37" i="25" s="1"/>
  <c r="M37" i="25" s="1"/>
  <c r="N37" i="25" s="1"/>
  <c r="K38" i="25"/>
  <c r="L38" i="25" s="1"/>
  <c r="M38" i="25" s="1"/>
  <c r="N38" i="25" s="1"/>
  <c r="K39" i="25"/>
  <c r="L39" i="25" s="1"/>
  <c r="M39" i="25" s="1"/>
  <c r="N39" i="25" s="1"/>
  <c r="K40" i="25"/>
  <c r="P40" i="25" s="1"/>
  <c r="Q40" i="25" s="1"/>
  <c r="K41" i="25"/>
  <c r="P41" i="25" s="1"/>
  <c r="Q41" i="25" s="1"/>
  <c r="K42" i="25"/>
  <c r="L42" i="25" s="1"/>
  <c r="M42" i="25" s="1"/>
  <c r="N42" i="25" s="1"/>
  <c r="K43" i="25"/>
  <c r="P43" i="25" s="1"/>
  <c r="Q43" i="25" s="1"/>
  <c r="K44" i="25"/>
  <c r="L44" i="25" s="1"/>
  <c r="M44" i="25" s="1"/>
  <c r="N44" i="25" s="1"/>
  <c r="K45" i="25"/>
  <c r="K46" i="25"/>
  <c r="P46" i="25" s="1"/>
  <c r="Q46" i="25" s="1"/>
  <c r="K47" i="25"/>
  <c r="P47" i="25" s="1"/>
  <c r="Q47" i="25" s="1"/>
  <c r="K48" i="25"/>
  <c r="P48" i="25" s="1"/>
  <c r="Q48" i="25" s="1"/>
  <c r="K49" i="25"/>
  <c r="L49" i="25" s="1"/>
  <c r="M49" i="25" s="1"/>
  <c r="N49" i="25" s="1"/>
  <c r="K50" i="25"/>
  <c r="P50" i="25" s="1"/>
  <c r="Q50" i="25" s="1"/>
  <c r="K51" i="25"/>
  <c r="L51" i="25" s="1"/>
  <c r="M51" i="25" s="1"/>
  <c r="N51" i="25" s="1"/>
  <c r="K52" i="25"/>
  <c r="P52" i="25" s="1"/>
  <c r="Q52" i="25" s="1"/>
  <c r="K53" i="25"/>
  <c r="L53" i="25" s="1"/>
  <c r="M53" i="25" s="1"/>
  <c r="N53" i="25" s="1"/>
  <c r="K54" i="25"/>
  <c r="P54" i="25" s="1"/>
  <c r="Q54" i="25" s="1"/>
  <c r="K55" i="25"/>
  <c r="P55" i="25" s="1"/>
  <c r="Q55" i="25" s="1"/>
  <c r="K56" i="25"/>
  <c r="L56" i="25" s="1"/>
  <c r="M56" i="25" s="1"/>
  <c r="N56" i="25" s="1"/>
  <c r="K57" i="25"/>
  <c r="P57" i="25" s="1"/>
  <c r="Q57" i="25" s="1"/>
  <c r="K58" i="25"/>
  <c r="L58" i="25" s="1"/>
  <c r="M58" i="25" s="1"/>
  <c r="N58" i="25" s="1"/>
  <c r="K59" i="25"/>
  <c r="K60" i="25"/>
  <c r="P60" i="25" s="1"/>
  <c r="Q60" i="25" s="1"/>
  <c r="K61" i="25"/>
  <c r="P61" i="25" s="1"/>
  <c r="Q61" i="25" s="1"/>
  <c r="K62" i="25"/>
  <c r="L62" i="25" s="1"/>
  <c r="M62" i="25" s="1"/>
  <c r="N62" i="25" s="1"/>
  <c r="K63" i="25"/>
  <c r="K64" i="25"/>
  <c r="P64" i="25" s="1"/>
  <c r="Q64" i="25" s="1"/>
  <c r="K65" i="25"/>
  <c r="P65" i="25" s="1"/>
  <c r="Q65" i="25" s="1"/>
  <c r="K66" i="25"/>
  <c r="P66" i="25" s="1"/>
  <c r="Q66" i="25" s="1"/>
  <c r="K67" i="25"/>
  <c r="P67" i="25" s="1"/>
  <c r="Q67" i="25" s="1"/>
  <c r="K68" i="25"/>
  <c r="P68" i="25" s="1"/>
  <c r="Q68" i="25" s="1"/>
  <c r="K69" i="25"/>
  <c r="K70" i="25"/>
  <c r="K71" i="25"/>
  <c r="L71" i="25" s="1"/>
  <c r="M71" i="25" s="1"/>
  <c r="N71" i="25" s="1"/>
  <c r="K72" i="25"/>
  <c r="L72" i="25" s="1"/>
  <c r="M72" i="25" s="1"/>
  <c r="N72" i="25" s="1"/>
  <c r="K73" i="25"/>
  <c r="L73" i="25" s="1"/>
  <c r="M73" i="25" s="1"/>
  <c r="N73" i="25" s="1"/>
  <c r="K74" i="25"/>
  <c r="K75" i="25"/>
  <c r="P75" i="25" s="1"/>
  <c r="Q75" i="25" s="1"/>
  <c r="K76" i="25"/>
  <c r="L76" i="25" s="1"/>
  <c r="M76" i="25" s="1"/>
  <c r="N76" i="25" s="1"/>
  <c r="K77" i="25"/>
  <c r="P77" i="25" s="1"/>
  <c r="Q77" i="25" s="1"/>
  <c r="K78" i="25"/>
  <c r="L78" i="25" s="1"/>
  <c r="M78" i="25" s="1"/>
  <c r="N78" i="25" s="1"/>
  <c r="K79" i="25"/>
  <c r="L79" i="25" s="1"/>
  <c r="M79" i="25" s="1"/>
  <c r="N79" i="25" s="1"/>
  <c r="K80" i="25"/>
  <c r="K81" i="25"/>
  <c r="L81" i="25" s="1"/>
  <c r="M81" i="25" s="1"/>
  <c r="N81" i="25" s="1"/>
  <c r="K82" i="25"/>
  <c r="P82" i="25" s="1"/>
  <c r="Q82" i="25" s="1"/>
  <c r="K83" i="25"/>
  <c r="K84" i="25"/>
  <c r="P84" i="25" s="1"/>
  <c r="Q84" i="25" s="1"/>
  <c r="K86" i="25"/>
  <c r="P86" i="25" s="1"/>
  <c r="Q86" i="25" s="1"/>
  <c r="K87" i="25"/>
  <c r="L87" i="25" s="1"/>
  <c r="M87" i="25" s="1"/>
  <c r="N87" i="25" s="1"/>
  <c r="K88" i="25"/>
  <c r="K89" i="25"/>
  <c r="L89" i="25" s="1"/>
  <c r="M89" i="25" s="1"/>
  <c r="N89" i="25" s="1"/>
  <c r="K90" i="25"/>
  <c r="P90" i="25" s="1"/>
  <c r="Q90" i="25" s="1"/>
  <c r="K91" i="25"/>
  <c r="P91" i="25" s="1"/>
  <c r="Q91" i="25" s="1"/>
  <c r="K92" i="25"/>
  <c r="L92" i="25" s="1"/>
  <c r="M92" i="25" s="1"/>
  <c r="N92" i="25" s="1"/>
  <c r="K93" i="25"/>
  <c r="P93" i="25" s="1"/>
  <c r="Q93" i="25" s="1"/>
  <c r="K94" i="25"/>
  <c r="L94" i="25" s="1"/>
  <c r="M94" i="25" s="1"/>
  <c r="N94" i="25" s="1"/>
  <c r="K95" i="25"/>
  <c r="K97" i="25"/>
  <c r="L97" i="25" s="1"/>
  <c r="M97" i="25" s="1"/>
  <c r="N97" i="25" s="1"/>
  <c r="K98" i="25"/>
  <c r="L98" i="25" s="1"/>
  <c r="M98" i="25" s="1"/>
  <c r="N98" i="25" s="1"/>
  <c r="K99" i="25"/>
  <c r="P99" i="25" s="1"/>
  <c r="Q99" i="25" s="1"/>
  <c r="K100" i="25"/>
  <c r="L100" i="25" s="1"/>
  <c r="M100" i="25" s="1"/>
  <c r="N100" i="25" s="1"/>
  <c r="K101" i="25"/>
  <c r="P101" i="25" s="1"/>
  <c r="Q101" i="25" s="1"/>
  <c r="K102" i="25"/>
  <c r="L102" i="25" s="1"/>
  <c r="M102" i="25" s="1"/>
  <c r="N102" i="25" s="1"/>
  <c r="K103" i="25"/>
  <c r="K104" i="25"/>
  <c r="L104" i="25" s="1"/>
  <c r="M104" i="25" s="1"/>
  <c r="N104" i="25" s="1"/>
  <c r="K105" i="25"/>
  <c r="P105" i="25" s="1"/>
  <c r="Q105" i="25" s="1"/>
  <c r="K106" i="25"/>
  <c r="P106" i="25" s="1"/>
  <c r="Q106" i="25" s="1"/>
  <c r="K107" i="25"/>
  <c r="K108" i="25"/>
  <c r="L108" i="25" s="1"/>
  <c r="M108" i="25" s="1"/>
  <c r="N108" i="25" s="1"/>
  <c r="K109" i="25"/>
  <c r="P109" i="25" s="1"/>
  <c r="Q109" i="25" s="1"/>
  <c r="K110" i="25"/>
  <c r="P110" i="25" s="1"/>
  <c r="Q110" i="25" s="1"/>
  <c r="K111" i="25"/>
  <c r="L111" i="25" s="1"/>
  <c r="M111" i="25" s="1"/>
  <c r="N111" i="25" s="1"/>
  <c r="K112" i="25"/>
  <c r="K113" i="25"/>
  <c r="P113" i="25" s="1"/>
  <c r="Q113" i="25" s="1"/>
  <c r="K114" i="25"/>
  <c r="L114" i="25" s="1"/>
  <c r="M114" i="25" s="1"/>
  <c r="N114" i="25" s="1"/>
  <c r="K115" i="25"/>
  <c r="P115" i="25" s="1"/>
  <c r="Q115" i="25" s="1"/>
  <c r="K116" i="25"/>
  <c r="L116" i="25" s="1"/>
  <c r="M116" i="25" s="1"/>
  <c r="N116" i="25" s="1"/>
  <c r="K117" i="25"/>
  <c r="K118" i="25"/>
  <c r="L118" i="25" s="1"/>
  <c r="M118" i="25" s="1"/>
  <c r="N118" i="25" s="1"/>
  <c r="K119" i="25"/>
  <c r="L119" i="25" s="1"/>
  <c r="M119" i="25" s="1"/>
  <c r="N119" i="25" s="1"/>
  <c r="K120" i="25"/>
  <c r="P120" i="25" s="1"/>
  <c r="Q120" i="25" s="1"/>
  <c r="K121" i="25"/>
  <c r="L121" i="25" s="1"/>
  <c r="M121" i="25" s="1"/>
  <c r="N121" i="25" s="1"/>
  <c r="K122" i="25"/>
  <c r="K123" i="25"/>
  <c r="K124" i="25"/>
  <c r="P124" i="25" s="1"/>
  <c r="Q124" i="25" s="1"/>
  <c r="K125" i="25"/>
  <c r="L125" i="25" s="1"/>
  <c r="M125" i="25" s="1"/>
  <c r="N125" i="25" s="1"/>
  <c r="K126" i="25"/>
  <c r="K127" i="25"/>
  <c r="P127" i="25" s="1"/>
  <c r="Q127" i="25" s="1"/>
  <c r="K128" i="25"/>
  <c r="P128" i="25" s="1"/>
  <c r="Q128" i="25" s="1"/>
  <c r="K129" i="25"/>
  <c r="P129" i="25" s="1"/>
  <c r="Q129" i="25" s="1"/>
  <c r="K130" i="25"/>
  <c r="L130" i="25" s="1"/>
  <c r="M130" i="25" s="1"/>
  <c r="N130" i="25" s="1"/>
  <c r="K131" i="25"/>
  <c r="L131" i="25" s="1"/>
  <c r="M131" i="25" s="1"/>
  <c r="N131" i="25" s="1"/>
  <c r="K132" i="25"/>
  <c r="L132" i="25" s="1"/>
  <c r="M132" i="25" s="1"/>
  <c r="N132" i="25" s="1"/>
  <c r="K133" i="25"/>
  <c r="P133" i="25" s="1"/>
  <c r="Q133" i="25" s="1"/>
  <c r="K134" i="25"/>
  <c r="P134" i="25" s="1"/>
  <c r="Q134" i="25" s="1"/>
  <c r="K135" i="25"/>
  <c r="L135" i="25" s="1"/>
  <c r="M135" i="25" s="1"/>
  <c r="N135" i="25" s="1"/>
  <c r="K136" i="25"/>
  <c r="L136" i="25" s="1"/>
  <c r="M136" i="25" s="1"/>
  <c r="N136" i="25" s="1"/>
  <c r="K137" i="25"/>
  <c r="L137" i="25" s="1"/>
  <c r="M137" i="25" s="1"/>
  <c r="N137" i="25" s="1"/>
  <c r="K138" i="25"/>
  <c r="P138" i="25" s="1"/>
  <c r="Q138" i="25" s="1"/>
  <c r="K139" i="25"/>
  <c r="L139" i="25" s="1"/>
  <c r="M139" i="25" s="1"/>
  <c r="N139" i="25" s="1"/>
  <c r="K140" i="25"/>
  <c r="L140" i="25" s="1"/>
  <c r="M140" i="25" s="1"/>
  <c r="N140" i="25" s="1"/>
  <c r="K141" i="25"/>
  <c r="L141" i="25" s="1"/>
  <c r="M141" i="25" s="1"/>
  <c r="N141" i="25" s="1"/>
  <c r="K142" i="25"/>
  <c r="L142" i="25" s="1"/>
  <c r="M142" i="25" s="1"/>
  <c r="N142" i="25" s="1"/>
  <c r="K143" i="25"/>
  <c r="P143" i="25" s="1"/>
  <c r="Q143" i="25" s="1"/>
  <c r="K144" i="25"/>
  <c r="L144" i="25" s="1"/>
  <c r="M144" i="25" s="1"/>
  <c r="N144" i="25" s="1"/>
  <c r="K145" i="25"/>
  <c r="L145" i="25" s="1"/>
  <c r="M145" i="25" s="1"/>
  <c r="N145" i="25" s="1"/>
  <c r="K146" i="25"/>
  <c r="P146" i="25" s="1"/>
  <c r="Q146" i="25" s="1"/>
  <c r="K147" i="25"/>
  <c r="P147" i="25" s="1"/>
  <c r="Q147" i="25" s="1"/>
  <c r="K148" i="25"/>
  <c r="P148" i="25" s="1"/>
  <c r="Q148" i="25" s="1"/>
  <c r="K149" i="25"/>
  <c r="L149" i="25" s="1"/>
  <c r="M149" i="25" s="1"/>
  <c r="N149" i="25" s="1"/>
  <c r="K150" i="25"/>
  <c r="L150" i="25" s="1"/>
  <c r="M150" i="25" s="1"/>
  <c r="N150" i="25" s="1"/>
  <c r="K151" i="25"/>
  <c r="L151" i="25" s="1"/>
  <c r="M151" i="25" s="1"/>
  <c r="N151" i="25" s="1"/>
  <c r="K152" i="25"/>
  <c r="L152" i="25" s="1"/>
  <c r="M152" i="25" s="1"/>
  <c r="N152" i="25" s="1"/>
  <c r="K153" i="25"/>
  <c r="P153" i="25" s="1"/>
  <c r="Q153" i="25" s="1"/>
  <c r="K154" i="25"/>
  <c r="K155" i="25"/>
  <c r="L155" i="25" s="1"/>
  <c r="M155" i="25" s="1"/>
  <c r="N155" i="25" s="1"/>
  <c r="K156" i="25"/>
  <c r="L156" i="25" s="1"/>
  <c r="M156" i="25" s="1"/>
  <c r="N156" i="25" s="1"/>
  <c r="K157" i="25"/>
  <c r="L157" i="25" s="1"/>
  <c r="M157" i="25" s="1"/>
  <c r="N157" i="25" s="1"/>
  <c r="K158" i="25"/>
  <c r="P158" i="25" s="1"/>
  <c r="Q158" i="25" s="1"/>
  <c r="K159" i="25"/>
  <c r="L159" i="25" s="1"/>
  <c r="M159" i="25" s="1"/>
  <c r="N159" i="25" s="1"/>
  <c r="K160" i="25"/>
  <c r="L160" i="25" s="1"/>
  <c r="M160" i="25" s="1"/>
  <c r="N160" i="25" s="1"/>
  <c r="K161" i="25"/>
  <c r="L161" i="25" s="1"/>
  <c r="M161" i="25" s="1"/>
  <c r="N161" i="25" s="1"/>
  <c r="K162" i="25"/>
  <c r="P162" i="25" s="1"/>
  <c r="Q162" i="25" s="1"/>
  <c r="K163" i="25"/>
  <c r="P163" i="25" s="1"/>
  <c r="Q163" i="25" s="1"/>
  <c r="K164" i="25"/>
  <c r="L164" i="25" s="1"/>
  <c r="M164" i="25" s="1"/>
  <c r="N164" i="25" s="1"/>
  <c r="K165" i="25"/>
  <c r="L165" i="25" s="1"/>
  <c r="M165" i="25" s="1"/>
  <c r="N165" i="25" s="1"/>
  <c r="K166" i="25"/>
  <c r="P166" i="25" s="1"/>
  <c r="Q166" i="25" s="1"/>
  <c r="K167" i="25"/>
  <c r="P167" i="25" s="1"/>
  <c r="Q167" i="25" s="1"/>
  <c r="K168" i="25"/>
  <c r="P168" i="25" s="1"/>
  <c r="Q168" i="25" s="1"/>
  <c r="K169" i="25"/>
  <c r="L169" i="25" s="1"/>
  <c r="M169" i="25" s="1"/>
  <c r="N169" i="25" s="1"/>
  <c r="K170" i="25"/>
  <c r="L170" i="25" s="1"/>
  <c r="M170" i="25" s="1"/>
  <c r="N170" i="25" s="1"/>
  <c r="K171" i="25"/>
  <c r="L171" i="25" s="1"/>
  <c r="M171" i="25" s="1"/>
  <c r="N171" i="25" s="1"/>
  <c r="K172" i="25"/>
  <c r="P172" i="25" s="1"/>
  <c r="Q172" i="25" s="1"/>
  <c r="K173" i="25"/>
  <c r="P173" i="25" s="1"/>
  <c r="Q173" i="25" s="1"/>
  <c r="K174" i="25"/>
  <c r="L174" i="25" s="1"/>
  <c r="M174" i="25" s="1"/>
  <c r="N174" i="25" s="1"/>
  <c r="K175" i="25"/>
  <c r="K176" i="25"/>
  <c r="L176" i="25" s="1"/>
  <c r="M176" i="25" s="1"/>
  <c r="N176" i="25" s="1"/>
  <c r="K177" i="25"/>
  <c r="L177" i="25" s="1"/>
  <c r="M177" i="25" s="1"/>
  <c r="N177" i="25" s="1"/>
  <c r="K178" i="25"/>
  <c r="P178" i="25" s="1"/>
  <c r="Q178" i="25" s="1"/>
  <c r="K179" i="25"/>
  <c r="L179" i="25" s="1"/>
  <c r="M179" i="25" s="1"/>
  <c r="N179" i="25" s="1"/>
  <c r="K180" i="25"/>
  <c r="L180" i="25" s="1"/>
  <c r="M180" i="25" s="1"/>
  <c r="N180" i="25" s="1"/>
  <c r="K181" i="25"/>
  <c r="L181" i="25" s="1"/>
  <c r="M181" i="25" s="1"/>
  <c r="N181" i="25" s="1"/>
  <c r="K182" i="25"/>
  <c r="L182" i="25" s="1"/>
  <c r="M182" i="25" s="1"/>
  <c r="N182" i="25" s="1"/>
  <c r="K183" i="25"/>
  <c r="P183" i="25" s="1"/>
  <c r="Q183" i="25" s="1"/>
  <c r="K185" i="25"/>
  <c r="L185" i="25" s="1"/>
  <c r="M185" i="25" s="1"/>
  <c r="N185" i="25" s="1"/>
  <c r="K186" i="25"/>
  <c r="L186" i="25" s="1"/>
  <c r="M186" i="25" s="1"/>
  <c r="N186" i="25" s="1"/>
  <c r="K187" i="25"/>
  <c r="L187" i="25" s="1"/>
  <c r="M187" i="25" s="1"/>
  <c r="N187" i="25" s="1"/>
  <c r="K188" i="25"/>
  <c r="P188" i="25" s="1"/>
  <c r="Q188" i="25" s="1"/>
  <c r="K189" i="25"/>
  <c r="L189" i="25" s="1"/>
  <c r="M189" i="25" s="1"/>
  <c r="N189" i="25" s="1"/>
  <c r="K190" i="25"/>
  <c r="L190" i="25" s="1"/>
  <c r="M190" i="25" s="1"/>
  <c r="N190" i="25" s="1"/>
  <c r="K191" i="25"/>
  <c r="L191" i="25" s="1"/>
  <c r="M191" i="25" s="1"/>
  <c r="N191" i="25" s="1"/>
  <c r="K192" i="25"/>
  <c r="P192" i="25" s="1"/>
  <c r="Q192" i="25" s="1"/>
  <c r="K193" i="25"/>
  <c r="P193" i="25" s="1"/>
  <c r="Q193" i="25" s="1"/>
  <c r="K194" i="25"/>
  <c r="P194" i="25" s="1"/>
  <c r="Q194" i="25" s="1"/>
  <c r="K196" i="25"/>
  <c r="L196" i="25" s="1"/>
  <c r="M196" i="25" s="1"/>
  <c r="N196" i="25" s="1"/>
  <c r="K197" i="25"/>
  <c r="L197" i="25" s="1"/>
  <c r="M197" i="25" s="1"/>
  <c r="N197" i="25" s="1"/>
  <c r="K198" i="25"/>
  <c r="L198" i="25" s="1"/>
  <c r="M198" i="25" s="1"/>
  <c r="N198" i="25" s="1"/>
  <c r="K199" i="25"/>
  <c r="L199" i="25" s="1"/>
  <c r="M199" i="25" s="1"/>
  <c r="N199" i="25" s="1"/>
  <c r="K200" i="25"/>
  <c r="L200" i="25" s="1"/>
  <c r="M200" i="25" s="1"/>
  <c r="N200" i="25" s="1"/>
  <c r="K201" i="25"/>
  <c r="L201" i="25" s="1"/>
  <c r="M201" i="25" s="1"/>
  <c r="N201" i="25" s="1"/>
  <c r="K202" i="25"/>
  <c r="P202" i="25" s="1"/>
  <c r="Q202" i="25" s="1"/>
  <c r="K203" i="25"/>
  <c r="K204" i="25"/>
  <c r="L204" i="25" s="1"/>
  <c r="M204" i="25" s="1"/>
  <c r="N204" i="25" s="1"/>
  <c r="K205" i="25"/>
  <c r="P205" i="25" s="1"/>
  <c r="Q205" i="25" s="1"/>
  <c r="K206" i="25"/>
  <c r="P206" i="25" s="1"/>
  <c r="Q206" i="25" s="1"/>
  <c r="K207" i="25"/>
  <c r="L207" i="25" s="1"/>
  <c r="M207" i="25" s="1"/>
  <c r="N207" i="25" s="1"/>
  <c r="K208" i="25"/>
  <c r="L208" i="25" s="1"/>
  <c r="M208" i="25" s="1"/>
  <c r="N208" i="25" s="1"/>
  <c r="K209" i="25"/>
  <c r="L209" i="25" s="1"/>
  <c r="M209" i="25" s="1"/>
  <c r="N209" i="25" s="1"/>
  <c r="K210" i="25"/>
  <c r="L210" i="25" s="1"/>
  <c r="M210" i="25" s="1"/>
  <c r="N210" i="25" s="1"/>
  <c r="K211" i="25"/>
  <c r="P211" i="25" s="1"/>
  <c r="Q211" i="25" s="1"/>
  <c r="K212" i="25"/>
  <c r="L212" i="25" s="1"/>
  <c r="M212" i="25" s="1"/>
  <c r="N212" i="25" s="1"/>
  <c r="K213" i="25"/>
  <c r="L213" i="25" s="1"/>
  <c r="M213" i="25" s="1"/>
  <c r="N213" i="25" s="1"/>
  <c r="K214" i="25"/>
  <c r="L214" i="25" s="1"/>
  <c r="M214" i="25" s="1"/>
  <c r="N214" i="25" s="1"/>
  <c r="K215" i="25"/>
  <c r="P215" i="25" s="1"/>
  <c r="Q215" i="25" s="1"/>
  <c r="K216" i="25"/>
  <c r="P216" i="25" s="1"/>
  <c r="Q216" i="25" s="1"/>
  <c r="K217" i="25"/>
  <c r="L217" i="25" s="1"/>
  <c r="M217" i="25" s="1"/>
  <c r="N217" i="25" s="1"/>
  <c r="K218" i="25"/>
  <c r="L218" i="25" s="1"/>
  <c r="M218" i="25" s="1"/>
  <c r="N218" i="25" s="1"/>
  <c r="K219" i="25"/>
  <c r="L219" i="25" s="1"/>
  <c r="M219" i="25" s="1"/>
  <c r="N219" i="25" s="1"/>
  <c r="K220" i="25"/>
  <c r="L220" i="25" s="1"/>
  <c r="M220" i="25" s="1"/>
  <c r="N220" i="25" s="1"/>
  <c r="K221" i="25"/>
  <c r="P221" i="25" s="1"/>
  <c r="Q221" i="25" s="1"/>
  <c r="K222" i="25"/>
  <c r="P222" i="25" s="1"/>
  <c r="Q222" i="25" s="1"/>
  <c r="K223" i="25"/>
  <c r="P223" i="25" s="1"/>
  <c r="Q223" i="25" s="1"/>
  <c r="K224" i="25"/>
  <c r="L224" i="25" s="1"/>
  <c r="M224" i="25" s="1"/>
  <c r="N224" i="25" s="1"/>
  <c r="K225" i="25"/>
  <c r="P225" i="25" s="1"/>
  <c r="Q225" i="25" s="1"/>
  <c r="K226" i="25"/>
  <c r="L226" i="25" s="1"/>
  <c r="M226" i="25" s="1"/>
  <c r="N226" i="25" s="1"/>
  <c r="K227" i="25"/>
  <c r="L227" i="25" s="1"/>
  <c r="M227" i="25" s="1"/>
  <c r="N227" i="25" s="1"/>
  <c r="K228" i="25"/>
  <c r="L228" i="25" s="1"/>
  <c r="M228" i="25" s="1"/>
  <c r="N228" i="25" s="1"/>
  <c r="K229" i="25"/>
  <c r="L229" i="25" s="1"/>
  <c r="M229" i="25" s="1"/>
  <c r="N229" i="25" s="1"/>
  <c r="K230" i="25"/>
  <c r="P230" i="25" s="1"/>
  <c r="Q230" i="25" s="1"/>
  <c r="K231" i="25"/>
  <c r="P231" i="25" s="1"/>
  <c r="Q231" i="25" s="1"/>
  <c r="K232" i="25"/>
  <c r="L232" i="25" s="1"/>
  <c r="M232" i="25" s="1"/>
  <c r="N232" i="25" s="1"/>
  <c r="K233" i="25"/>
  <c r="L233" i="25" s="1"/>
  <c r="M233" i="25" s="1"/>
  <c r="N233" i="25" s="1"/>
  <c r="K234" i="25"/>
  <c r="P234" i="25" s="1"/>
  <c r="Q234" i="25" s="1"/>
  <c r="K235" i="25"/>
  <c r="L235" i="25" s="1"/>
  <c r="M235" i="25" s="1"/>
  <c r="N235" i="25" s="1"/>
  <c r="K236" i="25"/>
  <c r="L236" i="25" s="1"/>
  <c r="M236" i="25" s="1"/>
  <c r="N236" i="25" s="1"/>
  <c r="K237" i="25"/>
  <c r="L237" i="25" s="1"/>
  <c r="M237" i="25" s="1"/>
  <c r="N237" i="25" s="1"/>
  <c r="K238" i="25"/>
  <c r="L238" i="25" s="1"/>
  <c r="M238" i="25" s="1"/>
  <c r="N238" i="25" s="1"/>
  <c r="K239" i="25"/>
  <c r="L239" i="25" s="1"/>
  <c r="M239" i="25" s="1"/>
  <c r="N239" i="25" s="1"/>
  <c r="K240" i="25"/>
  <c r="P240" i="25" s="1"/>
  <c r="Q240" i="25" s="1"/>
  <c r="K241" i="25"/>
  <c r="L241" i="25" s="1"/>
  <c r="M241" i="25" s="1"/>
  <c r="N241" i="25" s="1"/>
  <c r="K242" i="25"/>
  <c r="P242" i="25" s="1"/>
  <c r="Q242" i="25" s="1"/>
  <c r="K243" i="25"/>
  <c r="L243" i="25" s="1"/>
  <c r="M243" i="25" s="1"/>
  <c r="N243" i="25" s="1"/>
  <c r="K244" i="25"/>
  <c r="P244" i="25" s="1"/>
  <c r="Q244" i="25" s="1"/>
  <c r="K245" i="25"/>
  <c r="L245" i="25" s="1"/>
  <c r="M245" i="25" s="1"/>
  <c r="N245" i="25" s="1"/>
  <c r="K246" i="25"/>
  <c r="L246" i="25" s="1"/>
  <c r="M246" i="25" s="1"/>
  <c r="N246" i="25" s="1"/>
  <c r="K247" i="25"/>
  <c r="L247" i="25" s="1"/>
  <c r="M247" i="25" s="1"/>
  <c r="N247" i="25" s="1"/>
  <c r="K299" i="25"/>
  <c r="I690" i="25"/>
  <c r="K690" i="25" s="1"/>
  <c r="I679" i="25"/>
  <c r="K679" i="25" s="1"/>
  <c r="I789" i="25"/>
  <c r="K789" i="25" s="1"/>
  <c r="I778" i="25"/>
  <c r="K778" i="25" s="1"/>
  <c r="I591" i="25"/>
  <c r="K591" i="25" s="1"/>
  <c r="I580" i="25"/>
  <c r="K580" i="25" s="1"/>
  <c r="I492" i="25"/>
  <c r="K492" i="25" s="1"/>
  <c r="I481" i="25"/>
  <c r="K481" i="25" s="1"/>
  <c r="I294" i="25"/>
  <c r="K294" i="25" s="1"/>
  <c r="I283" i="25"/>
  <c r="K283" i="25" s="1"/>
  <c r="I195" i="25"/>
  <c r="K195" i="25" s="1"/>
  <c r="I184" i="25"/>
  <c r="K184" i="25" s="1"/>
  <c r="K96" i="25"/>
  <c r="I393" i="25"/>
  <c r="K393" i="25" s="1"/>
  <c r="I382" i="25"/>
  <c r="K382" i="25" s="1"/>
  <c r="N53" i="19"/>
  <c r="O53" i="19"/>
  <c r="P53" i="19"/>
  <c r="Q53" i="19"/>
  <c r="R53" i="19"/>
  <c r="S53" i="19"/>
  <c r="T53" i="19"/>
  <c r="U53" i="19"/>
  <c r="V53" i="19"/>
  <c r="W53" i="19"/>
  <c r="X53" i="19"/>
  <c r="Y53" i="19" s="1"/>
  <c r="AD53" i="19"/>
  <c r="AE53" i="19" s="1"/>
  <c r="AJ53" i="19"/>
  <c r="AK53" i="19" s="1"/>
  <c r="AP53" i="19"/>
  <c r="AQ53" i="19" s="1"/>
  <c r="AV53" i="19"/>
  <c r="AW53" i="19" s="1"/>
  <c r="AY53" i="19" s="1"/>
  <c r="AZ53" i="19" s="1"/>
  <c r="BB53" i="19"/>
  <c r="BC53" i="19" s="1"/>
  <c r="BD53" i="19" s="1"/>
  <c r="BG53" i="19" s="1"/>
  <c r="BH53" i="19"/>
  <c r="BI53" i="19" s="1"/>
  <c r="BN53" i="19"/>
  <c r="BO53" i="19" s="1"/>
  <c r="BQ53" i="19" s="1"/>
  <c r="BR53" i="19" s="1"/>
  <c r="BT53" i="19"/>
  <c r="BU53" i="19" s="1"/>
  <c r="BV53" i="19" s="1"/>
  <c r="BW53" i="19"/>
  <c r="BX53" i="19" s="1"/>
  <c r="BY53" i="19" s="1"/>
  <c r="N70" i="19"/>
  <c r="O70" i="19"/>
  <c r="P70" i="19"/>
  <c r="Q70" i="19"/>
  <c r="R70" i="19"/>
  <c r="S70" i="19"/>
  <c r="T70" i="19"/>
  <c r="U70" i="19"/>
  <c r="V70" i="19"/>
  <c r="W70" i="19"/>
  <c r="X70" i="19"/>
  <c r="Y70" i="19" s="1"/>
  <c r="AD70" i="19"/>
  <c r="AE70" i="19" s="1"/>
  <c r="AJ70" i="19"/>
  <c r="AK70" i="19" s="1"/>
  <c r="AP70" i="19"/>
  <c r="AQ70" i="19" s="1"/>
  <c r="AV70" i="19"/>
  <c r="AW70" i="19" s="1"/>
  <c r="BB70" i="19"/>
  <c r="BC70" i="19" s="1"/>
  <c r="BH70" i="19"/>
  <c r="BI70" i="19" s="1"/>
  <c r="BN70" i="19"/>
  <c r="BO70" i="19" s="1"/>
  <c r="BT70" i="19"/>
  <c r="BU70" i="19" s="1"/>
  <c r="BV70" i="19" s="1"/>
  <c r="BW70" i="19"/>
  <c r="BX70" i="19" s="1"/>
  <c r="BY70" i="19" s="1"/>
  <c r="N58" i="19"/>
  <c r="O58" i="19"/>
  <c r="P58" i="19"/>
  <c r="Q58" i="19"/>
  <c r="R58" i="19"/>
  <c r="S58" i="19"/>
  <c r="T58" i="19"/>
  <c r="U58" i="19"/>
  <c r="V58" i="19"/>
  <c r="W58" i="19"/>
  <c r="X58" i="19"/>
  <c r="Y58" i="19" s="1"/>
  <c r="AD58" i="19"/>
  <c r="AE58" i="19" s="1"/>
  <c r="AJ58" i="19"/>
  <c r="AK58" i="19" s="1"/>
  <c r="AP58" i="19"/>
  <c r="AQ58" i="19" s="1"/>
  <c r="AV58" i="19"/>
  <c r="AW58" i="19" s="1"/>
  <c r="BB58" i="19"/>
  <c r="BC58" i="19" s="1"/>
  <c r="BH58" i="19"/>
  <c r="BI58" i="19" s="1"/>
  <c r="BN58" i="19"/>
  <c r="BO58" i="19" s="1"/>
  <c r="BT58" i="19"/>
  <c r="BU58" i="19" s="1"/>
  <c r="BV58" i="19" s="1"/>
  <c r="BW58" i="19"/>
  <c r="BX58" i="19" s="1"/>
  <c r="BY58" i="19" s="1"/>
  <c r="N57" i="19"/>
  <c r="O57" i="19"/>
  <c r="P57" i="19"/>
  <c r="Q57" i="19"/>
  <c r="R57" i="19"/>
  <c r="S57" i="19"/>
  <c r="T57" i="19"/>
  <c r="U57" i="19"/>
  <c r="V57" i="19"/>
  <c r="W57" i="19"/>
  <c r="X57" i="19"/>
  <c r="Y57" i="19" s="1"/>
  <c r="AD57" i="19"/>
  <c r="AE57" i="19" s="1"/>
  <c r="AJ57" i="19"/>
  <c r="AK57" i="19" s="1"/>
  <c r="AP57" i="19"/>
  <c r="AQ57" i="19" s="1"/>
  <c r="AV57" i="19"/>
  <c r="AW57" i="19" s="1"/>
  <c r="BB57" i="19"/>
  <c r="BC57" i="19" s="1"/>
  <c r="BH57" i="19"/>
  <c r="BI57" i="19" s="1"/>
  <c r="BN57" i="19"/>
  <c r="BO57" i="19" s="1"/>
  <c r="BQ57" i="19" s="1"/>
  <c r="BR57" i="19" s="1"/>
  <c r="BT57" i="19"/>
  <c r="BU57" i="19" s="1"/>
  <c r="BV57" i="19" s="1"/>
  <c r="BW57" i="19"/>
  <c r="BX57" i="19" s="1"/>
  <c r="BY57" i="19" s="1"/>
  <c r="N69" i="19"/>
  <c r="O69" i="19"/>
  <c r="P69" i="19"/>
  <c r="Q69" i="19"/>
  <c r="R69" i="19"/>
  <c r="S69" i="19"/>
  <c r="T69" i="19"/>
  <c r="U69" i="19"/>
  <c r="V69" i="19"/>
  <c r="W69" i="19"/>
  <c r="X69" i="19"/>
  <c r="Y69" i="19" s="1"/>
  <c r="AD69" i="19"/>
  <c r="AE69" i="19" s="1"/>
  <c r="AJ69" i="19"/>
  <c r="AK69" i="19" s="1"/>
  <c r="AP69" i="19"/>
  <c r="AQ69" i="19" s="1"/>
  <c r="AV69" i="19"/>
  <c r="AW69" i="19" s="1"/>
  <c r="BB69" i="19"/>
  <c r="BC69" i="19" s="1"/>
  <c r="BH69" i="19"/>
  <c r="BI69" i="19" s="1"/>
  <c r="BN69" i="19"/>
  <c r="BO69" i="19" s="1"/>
  <c r="BT69" i="19"/>
  <c r="BU69" i="19" s="1"/>
  <c r="BV69" i="19" s="1"/>
  <c r="BW69" i="19"/>
  <c r="BX69" i="19" s="1"/>
  <c r="BY69" i="19" s="1"/>
  <c r="N64" i="19"/>
  <c r="O64" i="19"/>
  <c r="P64" i="19"/>
  <c r="Q64" i="19"/>
  <c r="R64" i="19"/>
  <c r="S64" i="19"/>
  <c r="T64" i="19"/>
  <c r="U64" i="19"/>
  <c r="V64" i="19"/>
  <c r="W64" i="19"/>
  <c r="X64" i="19"/>
  <c r="Y64" i="19" s="1"/>
  <c r="AD64" i="19"/>
  <c r="AE64" i="19" s="1"/>
  <c r="AJ64" i="19"/>
  <c r="AK64" i="19" s="1"/>
  <c r="AP64" i="19"/>
  <c r="AQ64" i="19" s="1"/>
  <c r="AV64" i="19"/>
  <c r="AW64" i="19" s="1"/>
  <c r="BB64" i="19"/>
  <c r="BC64" i="19" s="1"/>
  <c r="BH64" i="19"/>
  <c r="BI64" i="19" s="1"/>
  <c r="BJ64" i="19" s="1"/>
  <c r="BM64" i="19" s="1"/>
  <c r="BN64" i="19"/>
  <c r="BO64" i="19" s="1"/>
  <c r="BP64" i="19" s="1"/>
  <c r="BS64" i="19" s="1"/>
  <c r="BT64" i="19"/>
  <c r="BU64" i="19" s="1"/>
  <c r="BV64" i="19" s="1"/>
  <c r="BW64" i="19"/>
  <c r="BX64" i="19" s="1"/>
  <c r="BY64" i="19" s="1"/>
  <c r="N54" i="19"/>
  <c r="O54" i="19"/>
  <c r="P54" i="19"/>
  <c r="Q54" i="19"/>
  <c r="R54" i="19"/>
  <c r="S54" i="19"/>
  <c r="T54" i="19"/>
  <c r="U54" i="19"/>
  <c r="V54" i="19"/>
  <c r="W54" i="19"/>
  <c r="X54" i="19"/>
  <c r="Y54" i="19" s="1"/>
  <c r="AD54" i="19"/>
  <c r="AE54" i="19" s="1"/>
  <c r="AJ54" i="19"/>
  <c r="AK54" i="19" s="1"/>
  <c r="AP54" i="19"/>
  <c r="AQ54" i="19" s="1"/>
  <c r="AV54" i="19"/>
  <c r="AW54" i="19" s="1"/>
  <c r="AX54" i="19" s="1"/>
  <c r="BA54" i="19" s="1"/>
  <c r="BB54" i="19"/>
  <c r="BC54" i="19" s="1"/>
  <c r="BH54" i="19"/>
  <c r="BI54" i="19" s="1"/>
  <c r="BN54" i="19"/>
  <c r="BO54" i="19" s="1"/>
  <c r="BP54" i="19" s="1"/>
  <c r="BS54" i="19" s="1"/>
  <c r="BT54" i="19"/>
  <c r="BU54" i="19" s="1"/>
  <c r="BV54" i="19" s="1"/>
  <c r="BW54" i="19"/>
  <c r="BX54" i="19" s="1"/>
  <c r="BY54" i="19" s="1"/>
  <c r="N49" i="19"/>
  <c r="O49" i="19"/>
  <c r="P49" i="19"/>
  <c r="Q49" i="19"/>
  <c r="R49" i="19"/>
  <c r="S49" i="19"/>
  <c r="T49" i="19"/>
  <c r="U49" i="19"/>
  <c r="V49" i="19"/>
  <c r="W49" i="19"/>
  <c r="X49" i="19"/>
  <c r="Y49" i="19" s="1"/>
  <c r="AD49" i="19"/>
  <c r="AE49" i="19" s="1"/>
  <c r="AJ49" i="19"/>
  <c r="AK49" i="19" s="1"/>
  <c r="AP49" i="19"/>
  <c r="AQ49" i="19" s="1"/>
  <c r="AV49" i="19"/>
  <c r="AW49" i="19" s="1"/>
  <c r="BB49" i="19"/>
  <c r="BC49" i="19" s="1"/>
  <c r="BD49" i="19" s="1"/>
  <c r="BG49" i="19" s="1"/>
  <c r="BH49" i="19"/>
  <c r="BI49" i="19" s="1"/>
  <c r="BK49" i="19" s="1"/>
  <c r="BL49" i="19" s="1"/>
  <c r="BN49" i="19"/>
  <c r="BO49" i="19" s="1"/>
  <c r="BT49" i="19"/>
  <c r="BU49" i="19" s="1"/>
  <c r="BV49" i="19" s="1"/>
  <c r="BW49" i="19"/>
  <c r="BX49" i="19" s="1"/>
  <c r="BY49" i="19" s="1"/>
  <c r="N67" i="19"/>
  <c r="O67" i="19"/>
  <c r="P67" i="19"/>
  <c r="Q67" i="19"/>
  <c r="R67" i="19"/>
  <c r="S67" i="19"/>
  <c r="T67" i="19"/>
  <c r="U67" i="19"/>
  <c r="V67" i="19"/>
  <c r="W67" i="19"/>
  <c r="X67" i="19"/>
  <c r="Y67" i="19" s="1"/>
  <c r="AD67" i="19"/>
  <c r="AE67" i="19" s="1"/>
  <c r="AJ67" i="19"/>
  <c r="AK67" i="19" s="1"/>
  <c r="AP67" i="19"/>
  <c r="AQ67" i="19" s="1"/>
  <c r="AV67" i="19"/>
  <c r="AW67" i="19" s="1"/>
  <c r="AX67" i="19" s="1"/>
  <c r="BA67" i="19" s="1"/>
  <c r="BB67" i="19"/>
  <c r="BC67" i="19" s="1"/>
  <c r="BH67" i="19"/>
  <c r="BI67" i="19" s="1"/>
  <c r="BJ67" i="19" s="1"/>
  <c r="BM67" i="19" s="1"/>
  <c r="BN67" i="19"/>
  <c r="BO67" i="19" s="1"/>
  <c r="BT67" i="19"/>
  <c r="BU67" i="19" s="1"/>
  <c r="BV67" i="19" s="1"/>
  <c r="BW67" i="19"/>
  <c r="BX67" i="19" s="1"/>
  <c r="BY67" i="19" s="1"/>
  <c r="N65" i="19"/>
  <c r="O65" i="19"/>
  <c r="P65" i="19"/>
  <c r="Q65" i="19"/>
  <c r="R65" i="19"/>
  <c r="S65" i="19"/>
  <c r="T65" i="19"/>
  <c r="U65" i="19"/>
  <c r="V65" i="19"/>
  <c r="W65" i="19"/>
  <c r="X65" i="19"/>
  <c r="Y65" i="19" s="1"/>
  <c r="AD65" i="19"/>
  <c r="AE65" i="19" s="1"/>
  <c r="AJ65" i="19"/>
  <c r="AK65" i="19" s="1"/>
  <c r="AP65" i="19"/>
  <c r="AQ65" i="19" s="1"/>
  <c r="AV65" i="19"/>
  <c r="AW65" i="19" s="1"/>
  <c r="BB65" i="19"/>
  <c r="BC65" i="19" s="1"/>
  <c r="BD65" i="19" s="1"/>
  <c r="BG65" i="19" s="1"/>
  <c r="BH65" i="19"/>
  <c r="BI65" i="19" s="1"/>
  <c r="BN65" i="19"/>
  <c r="BO65" i="19" s="1"/>
  <c r="BP65" i="19" s="1"/>
  <c r="BS65" i="19" s="1"/>
  <c r="BT65" i="19"/>
  <c r="BU65" i="19" s="1"/>
  <c r="BV65" i="19" s="1"/>
  <c r="BW65" i="19"/>
  <c r="BX65" i="19" s="1"/>
  <c r="BY65" i="19" s="1"/>
  <c r="N51" i="19"/>
  <c r="O51" i="19"/>
  <c r="P51" i="19"/>
  <c r="Q51" i="19"/>
  <c r="R51" i="19"/>
  <c r="S51" i="19"/>
  <c r="T51" i="19"/>
  <c r="U51" i="19"/>
  <c r="V51" i="19"/>
  <c r="W51" i="19"/>
  <c r="X51" i="19"/>
  <c r="Y51" i="19" s="1"/>
  <c r="AD51" i="19"/>
  <c r="AE51" i="19" s="1"/>
  <c r="AJ51" i="19"/>
  <c r="AK51" i="19" s="1"/>
  <c r="AP51" i="19"/>
  <c r="AQ51" i="19" s="1"/>
  <c r="AV51" i="19"/>
  <c r="AW51" i="19" s="1"/>
  <c r="BB51" i="19"/>
  <c r="BC51" i="19" s="1"/>
  <c r="BH51" i="19"/>
  <c r="BI51" i="19" s="1"/>
  <c r="BN51" i="19"/>
  <c r="BO51" i="19" s="1"/>
  <c r="BT51" i="19"/>
  <c r="BU51" i="19" s="1"/>
  <c r="BV51" i="19" s="1"/>
  <c r="BW51" i="19"/>
  <c r="BX51" i="19" s="1"/>
  <c r="BY51" i="19" s="1"/>
  <c r="N55" i="19"/>
  <c r="O55" i="19"/>
  <c r="P55" i="19"/>
  <c r="Q55" i="19"/>
  <c r="R55" i="19"/>
  <c r="S55" i="19"/>
  <c r="T55" i="19"/>
  <c r="U55" i="19"/>
  <c r="V55" i="19"/>
  <c r="W55" i="19"/>
  <c r="X55" i="19"/>
  <c r="Y55" i="19" s="1"/>
  <c r="AD55" i="19"/>
  <c r="AE55" i="19" s="1"/>
  <c r="AJ55" i="19"/>
  <c r="AK55" i="19" s="1"/>
  <c r="AP55" i="19"/>
  <c r="AQ55" i="19" s="1"/>
  <c r="AV55" i="19"/>
  <c r="AW55" i="19" s="1"/>
  <c r="AX55" i="19" s="1"/>
  <c r="BA55" i="19" s="1"/>
  <c r="BB55" i="19"/>
  <c r="BC55" i="19" s="1"/>
  <c r="BH55" i="19"/>
  <c r="BI55" i="19" s="1"/>
  <c r="BN55" i="19"/>
  <c r="BO55" i="19" s="1"/>
  <c r="BP55" i="19" s="1"/>
  <c r="BS55" i="19" s="1"/>
  <c r="BT55" i="19"/>
  <c r="BU55" i="19" s="1"/>
  <c r="BV55" i="19" s="1"/>
  <c r="BW55" i="19"/>
  <c r="BX55" i="19" s="1"/>
  <c r="BY55" i="19" s="1"/>
  <c r="N71" i="19"/>
  <c r="O71" i="19"/>
  <c r="P71" i="19"/>
  <c r="Q71" i="19"/>
  <c r="R71" i="19"/>
  <c r="S71" i="19"/>
  <c r="T71" i="19"/>
  <c r="U71" i="19"/>
  <c r="V71" i="19"/>
  <c r="W71" i="19"/>
  <c r="X71" i="19"/>
  <c r="Y71" i="19" s="1"/>
  <c r="AD71" i="19"/>
  <c r="AE71" i="19" s="1"/>
  <c r="AJ71" i="19"/>
  <c r="AK71" i="19" s="1"/>
  <c r="AP71" i="19"/>
  <c r="AQ71" i="19" s="1"/>
  <c r="AV71" i="19"/>
  <c r="AW71" i="19" s="1"/>
  <c r="BB71" i="19"/>
  <c r="BC71" i="19" s="1"/>
  <c r="BE71" i="19" s="1"/>
  <c r="BF71" i="19" s="1"/>
  <c r="BH71" i="19"/>
  <c r="BI71" i="19" s="1"/>
  <c r="BK71" i="19" s="1"/>
  <c r="BL71" i="19" s="1"/>
  <c r="BN71" i="19"/>
  <c r="BO71" i="19" s="1"/>
  <c r="BT71" i="19"/>
  <c r="BU71" i="19" s="1"/>
  <c r="BV71" i="19" s="1"/>
  <c r="BW71" i="19"/>
  <c r="BX71" i="19" s="1"/>
  <c r="BY71" i="19" s="1"/>
  <c r="N78" i="19"/>
  <c r="O78" i="19"/>
  <c r="P78" i="19"/>
  <c r="Q78" i="19"/>
  <c r="R78" i="19"/>
  <c r="S78" i="19"/>
  <c r="T78" i="19"/>
  <c r="U78" i="19"/>
  <c r="V78" i="19"/>
  <c r="W78" i="19"/>
  <c r="X78" i="19"/>
  <c r="Y78" i="19" s="1"/>
  <c r="AD78" i="19"/>
  <c r="AE78" i="19" s="1"/>
  <c r="AJ78" i="19"/>
  <c r="AK78" i="19" s="1"/>
  <c r="AP78" i="19"/>
  <c r="AQ78" i="19" s="1"/>
  <c r="AV78" i="19"/>
  <c r="AW78" i="19" s="1"/>
  <c r="AX78" i="19" s="1"/>
  <c r="BA78" i="19" s="1"/>
  <c r="BB78" i="19"/>
  <c r="BC78" i="19" s="1"/>
  <c r="BD78" i="19" s="1"/>
  <c r="BG78" i="19" s="1"/>
  <c r="BH78" i="19"/>
  <c r="BI78" i="19" s="1"/>
  <c r="BN78" i="19"/>
  <c r="BO78" i="19" s="1"/>
  <c r="BQ78" i="19" s="1"/>
  <c r="BR78" i="19" s="1"/>
  <c r="BT78" i="19"/>
  <c r="BU78" i="19" s="1"/>
  <c r="BV78" i="19" s="1"/>
  <c r="BW78" i="19"/>
  <c r="BX78" i="19" s="1"/>
  <c r="BY78" i="19" s="1"/>
  <c r="N63" i="19"/>
  <c r="O63" i="19"/>
  <c r="P63" i="19"/>
  <c r="Q63" i="19"/>
  <c r="R63" i="19"/>
  <c r="S63" i="19"/>
  <c r="T63" i="19"/>
  <c r="U63" i="19"/>
  <c r="V63" i="19"/>
  <c r="W63" i="19"/>
  <c r="X63" i="19"/>
  <c r="Y63" i="19" s="1"/>
  <c r="AD63" i="19"/>
  <c r="AE63" i="19" s="1"/>
  <c r="AJ63" i="19"/>
  <c r="AK63" i="19" s="1"/>
  <c r="AP63" i="19"/>
  <c r="AQ63" i="19" s="1"/>
  <c r="AV63" i="19"/>
  <c r="AW63" i="19" s="1"/>
  <c r="BB63" i="19"/>
  <c r="BC63" i="19" s="1"/>
  <c r="BD63" i="19" s="1"/>
  <c r="BG63" i="19" s="1"/>
  <c r="BH63" i="19"/>
  <c r="BI63" i="19" s="1"/>
  <c r="BN63" i="19"/>
  <c r="BO63" i="19" s="1"/>
  <c r="BT63" i="19"/>
  <c r="BU63" i="19" s="1"/>
  <c r="BV63" i="19" s="1"/>
  <c r="BW63" i="19"/>
  <c r="BX63" i="19" s="1"/>
  <c r="BY63" i="19" s="1"/>
  <c r="N68" i="19"/>
  <c r="O68" i="19"/>
  <c r="P68" i="19"/>
  <c r="Q68" i="19"/>
  <c r="R68" i="19"/>
  <c r="S68" i="19"/>
  <c r="T68" i="19"/>
  <c r="U68" i="19"/>
  <c r="V68" i="19"/>
  <c r="W68" i="19"/>
  <c r="X68" i="19"/>
  <c r="Y68" i="19" s="1"/>
  <c r="AD68" i="19"/>
  <c r="AE68" i="19" s="1"/>
  <c r="AJ68" i="19"/>
  <c r="AK68" i="19" s="1"/>
  <c r="AP68" i="19"/>
  <c r="AQ68" i="19" s="1"/>
  <c r="AV68" i="19"/>
  <c r="AW68" i="19" s="1"/>
  <c r="BB68" i="19"/>
  <c r="BC68" i="19" s="1"/>
  <c r="BH68" i="19"/>
  <c r="BI68" i="19" s="1"/>
  <c r="BJ68" i="19" s="1"/>
  <c r="BM68" i="19" s="1"/>
  <c r="BN68" i="19"/>
  <c r="BO68" i="19" s="1"/>
  <c r="BT68" i="19"/>
  <c r="BU68" i="19" s="1"/>
  <c r="BV68" i="19" s="1"/>
  <c r="BW68" i="19"/>
  <c r="BX68" i="19" s="1"/>
  <c r="BY68" i="19" s="1"/>
  <c r="N75" i="19"/>
  <c r="O75" i="19"/>
  <c r="P75" i="19"/>
  <c r="Q75" i="19"/>
  <c r="R75" i="19"/>
  <c r="S75" i="19"/>
  <c r="T75" i="19"/>
  <c r="U75" i="19"/>
  <c r="V75" i="19"/>
  <c r="W75" i="19"/>
  <c r="X75" i="19"/>
  <c r="Y75" i="19" s="1"/>
  <c r="AD75" i="19"/>
  <c r="AE75" i="19" s="1"/>
  <c r="AJ75" i="19"/>
  <c r="AK75" i="19" s="1"/>
  <c r="AP75" i="19"/>
  <c r="AQ75" i="19" s="1"/>
  <c r="AV75" i="19"/>
  <c r="AW75" i="19" s="1"/>
  <c r="BB75" i="19"/>
  <c r="BC75" i="19" s="1"/>
  <c r="BE75" i="19" s="1"/>
  <c r="BF75" i="19" s="1"/>
  <c r="BH75" i="19"/>
  <c r="BI75" i="19" s="1"/>
  <c r="BN75" i="19"/>
  <c r="BO75" i="19" s="1"/>
  <c r="BT75" i="19"/>
  <c r="BU75" i="19" s="1"/>
  <c r="BV75" i="19" s="1"/>
  <c r="BW75" i="19"/>
  <c r="BX75" i="19" s="1"/>
  <c r="BY75" i="19" s="1"/>
  <c r="N73" i="19"/>
  <c r="O73" i="19"/>
  <c r="P73" i="19"/>
  <c r="Q73" i="19"/>
  <c r="R73" i="19"/>
  <c r="S73" i="19"/>
  <c r="T73" i="19"/>
  <c r="U73" i="19"/>
  <c r="V73" i="19"/>
  <c r="W73" i="19"/>
  <c r="X73" i="19"/>
  <c r="Y73" i="19" s="1"/>
  <c r="AD73" i="19"/>
  <c r="AE73" i="19" s="1"/>
  <c r="AJ73" i="19"/>
  <c r="AK73" i="19" s="1"/>
  <c r="AP73" i="19"/>
  <c r="AQ73" i="19" s="1"/>
  <c r="AV73" i="19"/>
  <c r="AW73" i="19" s="1"/>
  <c r="AY73" i="19" s="1"/>
  <c r="AZ73" i="19" s="1"/>
  <c r="BB73" i="19"/>
  <c r="BC73" i="19" s="1"/>
  <c r="BH73" i="19"/>
  <c r="BI73" i="19" s="1"/>
  <c r="BN73" i="19"/>
  <c r="BO73" i="19" s="1"/>
  <c r="BT73" i="19"/>
  <c r="BU73" i="19" s="1"/>
  <c r="BV73" i="19" s="1"/>
  <c r="BW73" i="19"/>
  <c r="BX73" i="19" s="1"/>
  <c r="BY73" i="19" s="1"/>
  <c r="N82" i="19"/>
  <c r="O82" i="19"/>
  <c r="P82" i="19"/>
  <c r="Q82" i="19"/>
  <c r="R82" i="19"/>
  <c r="S82" i="19"/>
  <c r="T82" i="19"/>
  <c r="U82" i="19"/>
  <c r="V82" i="19"/>
  <c r="W82" i="19"/>
  <c r="X82" i="19"/>
  <c r="Y82" i="19" s="1"/>
  <c r="AD82" i="19"/>
  <c r="AE82" i="19" s="1"/>
  <c r="AJ82" i="19"/>
  <c r="AK82" i="19" s="1"/>
  <c r="AP82" i="19"/>
  <c r="AQ82" i="19" s="1"/>
  <c r="AV82" i="19"/>
  <c r="AW82" i="19" s="1"/>
  <c r="BB82" i="19"/>
  <c r="BC82" i="19" s="1"/>
  <c r="BH82" i="19"/>
  <c r="BI82" i="19" s="1"/>
  <c r="BN82" i="19"/>
  <c r="BO82" i="19" s="1"/>
  <c r="BT82" i="19"/>
  <c r="BU82" i="19" s="1"/>
  <c r="BV82" i="19" s="1"/>
  <c r="BW82" i="19"/>
  <c r="BX82" i="19" s="1"/>
  <c r="BY82" i="19" s="1"/>
  <c r="N14" i="19"/>
  <c r="O14" i="19"/>
  <c r="P14" i="19"/>
  <c r="Q14" i="19"/>
  <c r="R14" i="19"/>
  <c r="S14" i="19"/>
  <c r="T14" i="19"/>
  <c r="U14" i="19"/>
  <c r="V14" i="19"/>
  <c r="W14" i="19"/>
  <c r="X14" i="19"/>
  <c r="Y14" i="19" s="1"/>
  <c r="AD14" i="19"/>
  <c r="AE14" i="19" s="1"/>
  <c r="AJ14" i="19"/>
  <c r="AK14" i="19" s="1"/>
  <c r="AP14" i="19"/>
  <c r="AQ14" i="19" s="1"/>
  <c r="AV14" i="19"/>
  <c r="AW14" i="19" s="1"/>
  <c r="AX14" i="19" s="1"/>
  <c r="BA14" i="19" s="1"/>
  <c r="BB14" i="19"/>
  <c r="BC14" i="19" s="1"/>
  <c r="BH14" i="19"/>
  <c r="BI14" i="19" s="1"/>
  <c r="BN14" i="19"/>
  <c r="BO14" i="19" s="1"/>
  <c r="BT14" i="19"/>
  <c r="BU14" i="19" s="1"/>
  <c r="BV14" i="19" s="1"/>
  <c r="BW14" i="19"/>
  <c r="BX14" i="19" s="1"/>
  <c r="BY14" i="19" s="1"/>
  <c r="N84" i="19"/>
  <c r="O84" i="19"/>
  <c r="P84" i="19"/>
  <c r="Q84" i="19"/>
  <c r="R84" i="19"/>
  <c r="S84" i="19"/>
  <c r="T84" i="19"/>
  <c r="U84" i="19"/>
  <c r="V84" i="19"/>
  <c r="W84" i="19"/>
  <c r="X84" i="19"/>
  <c r="Y84" i="19" s="1"/>
  <c r="AD84" i="19"/>
  <c r="AE84" i="19" s="1"/>
  <c r="AJ84" i="19"/>
  <c r="AK84" i="19" s="1"/>
  <c r="AP84" i="19"/>
  <c r="AQ84" i="19" s="1"/>
  <c r="AV84" i="19"/>
  <c r="AW84" i="19" s="1"/>
  <c r="BB84" i="19"/>
  <c r="BC84" i="19" s="1"/>
  <c r="BH84" i="19"/>
  <c r="BI84" i="19" s="1"/>
  <c r="BN84" i="19"/>
  <c r="BO84" i="19" s="1"/>
  <c r="BT84" i="19"/>
  <c r="BU84" i="19" s="1"/>
  <c r="BV84" i="19" s="1"/>
  <c r="BW84" i="19"/>
  <c r="BX84" i="19" s="1"/>
  <c r="BY84" i="19" s="1"/>
  <c r="N80" i="19"/>
  <c r="O80" i="19"/>
  <c r="P80" i="19"/>
  <c r="Q80" i="19"/>
  <c r="R80" i="19"/>
  <c r="S80" i="19"/>
  <c r="T80" i="19"/>
  <c r="U80" i="19"/>
  <c r="V80" i="19"/>
  <c r="W80" i="19"/>
  <c r="X80" i="19"/>
  <c r="Y80" i="19" s="1"/>
  <c r="AD80" i="19"/>
  <c r="AE80" i="19" s="1"/>
  <c r="AJ80" i="19"/>
  <c r="AK80" i="19" s="1"/>
  <c r="AP80" i="19"/>
  <c r="AQ80" i="19" s="1"/>
  <c r="AV80" i="19"/>
  <c r="AW80" i="19" s="1"/>
  <c r="AY80" i="19" s="1"/>
  <c r="AZ80" i="19" s="1"/>
  <c r="BB80" i="19"/>
  <c r="BC80" i="19" s="1"/>
  <c r="BH80" i="19"/>
  <c r="BI80" i="19" s="1"/>
  <c r="BK80" i="19" s="1"/>
  <c r="BL80" i="19" s="1"/>
  <c r="BN80" i="19"/>
  <c r="BO80" i="19" s="1"/>
  <c r="BT80" i="19"/>
  <c r="BU80" i="19" s="1"/>
  <c r="BV80" i="19" s="1"/>
  <c r="BW80" i="19"/>
  <c r="BX80" i="19" s="1"/>
  <c r="BY80" i="19" s="1"/>
  <c r="N40" i="19"/>
  <c r="O40" i="19"/>
  <c r="P40" i="19"/>
  <c r="Q40" i="19"/>
  <c r="R40" i="19"/>
  <c r="S40" i="19"/>
  <c r="T40" i="19"/>
  <c r="U40" i="19"/>
  <c r="V40" i="19"/>
  <c r="W40" i="19"/>
  <c r="X40" i="19"/>
  <c r="Y40" i="19" s="1"/>
  <c r="AD40" i="19"/>
  <c r="AE40" i="19" s="1"/>
  <c r="AJ40" i="19"/>
  <c r="AK40" i="19" s="1"/>
  <c r="AP40" i="19"/>
  <c r="AQ40" i="19" s="1"/>
  <c r="AV40" i="19"/>
  <c r="AW40" i="19" s="1"/>
  <c r="AX40" i="19" s="1"/>
  <c r="BA40" i="19" s="1"/>
  <c r="BB40" i="19"/>
  <c r="BC40" i="19" s="1"/>
  <c r="BD40" i="19" s="1"/>
  <c r="BG40" i="19" s="1"/>
  <c r="BH40" i="19"/>
  <c r="BI40" i="19" s="1"/>
  <c r="BN40" i="19"/>
  <c r="BO40" i="19" s="1"/>
  <c r="BT40" i="19"/>
  <c r="BU40" i="19" s="1"/>
  <c r="BV40" i="19" s="1"/>
  <c r="BW40" i="19"/>
  <c r="BX40" i="19" s="1"/>
  <c r="BY40" i="19" s="1"/>
  <c r="N72" i="19"/>
  <c r="O72" i="19"/>
  <c r="P72" i="19"/>
  <c r="Q72" i="19"/>
  <c r="R72" i="19"/>
  <c r="S72" i="19"/>
  <c r="T72" i="19"/>
  <c r="U72" i="19"/>
  <c r="V72" i="19"/>
  <c r="W72" i="19"/>
  <c r="X72" i="19"/>
  <c r="Y72" i="19" s="1"/>
  <c r="AD72" i="19"/>
  <c r="AE72" i="19" s="1"/>
  <c r="AJ72" i="19"/>
  <c r="AK72" i="19" s="1"/>
  <c r="AP72" i="19"/>
  <c r="AQ72" i="19" s="1"/>
  <c r="AV72" i="19"/>
  <c r="AW72" i="19" s="1"/>
  <c r="BB72" i="19"/>
  <c r="BC72" i="19" s="1"/>
  <c r="BD72" i="19" s="1"/>
  <c r="BG72" i="19" s="1"/>
  <c r="BH72" i="19"/>
  <c r="BI72" i="19" s="1"/>
  <c r="BJ72" i="19" s="1"/>
  <c r="BM72" i="19" s="1"/>
  <c r="BN72" i="19"/>
  <c r="BO72" i="19" s="1"/>
  <c r="BQ72" i="19" s="1"/>
  <c r="BR72" i="19" s="1"/>
  <c r="BT72" i="19"/>
  <c r="BU72" i="19" s="1"/>
  <c r="BV72" i="19" s="1"/>
  <c r="BW72" i="19"/>
  <c r="BX72" i="19" s="1"/>
  <c r="BY72" i="19" s="1"/>
  <c r="N18" i="19"/>
  <c r="O18" i="19"/>
  <c r="P18" i="19"/>
  <c r="Q18" i="19"/>
  <c r="R18" i="19"/>
  <c r="S18" i="19"/>
  <c r="T18" i="19"/>
  <c r="U18" i="19"/>
  <c r="V18" i="19"/>
  <c r="W18" i="19"/>
  <c r="X18" i="19"/>
  <c r="Y18" i="19" s="1"/>
  <c r="AD18" i="19"/>
  <c r="AE18" i="19" s="1"/>
  <c r="AJ18" i="19"/>
  <c r="AK18" i="19" s="1"/>
  <c r="AP18" i="19"/>
  <c r="AQ18" i="19" s="1"/>
  <c r="AV18" i="19"/>
  <c r="AW18" i="19" s="1"/>
  <c r="AX18" i="19" s="1"/>
  <c r="BA18" i="19" s="1"/>
  <c r="BB18" i="19"/>
  <c r="BC18" i="19" s="1"/>
  <c r="BH18" i="19"/>
  <c r="BI18" i="19" s="1"/>
  <c r="BN18" i="19"/>
  <c r="BO18" i="19" s="1"/>
  <c r="BT18" i="19"/>
  <c r="BU18" i="19" s="1"/>
  <c r="BV18" i="19" s="1"/>
  <c r="BW18" i="19"/>
  <c r="BX18" i="19" s="1"/>
  <c r="BY18" i="19" s="1"/>
  <c r="N34" i="19"/>
  <c r="O34" i="19"/>
  <c r="P34" i="19"/>
  <c r="Q34" i="19"/>
  <c r="R34" i="19"/>
  <c r="S34" i="19"/>
  <c r="T34" i="19"/>
  <c r="U34" i="19"/>
  <c r="V34" i="19"/>
  <c r="W34" i="19"/>
  <c r="X34" i="19"/>
  <c r="Y34" i="19" s="1"/>
  <c r="AD34" i="19"/>
  <c r="AE34" i="19" s="1"/>
  <c r="AJ34" i="19"/>
  <c r="AK34" i="19" s="1"/>
  <c r="AP34" i="19"/>
  <c r="AQ34" i="19" s="1"/>
  <c r="AV34" i="19"/>
  <c r="AW34" i="19" s="1"/>
  <c r="AX34" i="19" s="1"/>
  <c r="BA34" i="19" s="1"/>
  <c r="BB34" i="19"/>
  <c r="BC34" i="19" s="1"/>
  <c r="BD34" i="19" s="1"/>
  <c r="BG34" i="19" s="1"/>
  <c r="BH34" i="19"/>
  <c r="BI34" i="19" s="1"/>
  <c r="BJ34" i="19" s="1"/>
  <c r="BM34" i="19" s="1"/>
  <c r="BN34" i="19"/>
  <c r="BO34" i="19" s="1"/>
  <c r="BP34" i="19" s="1"/>
  <c r="BS34" i="19" s="1"/>
  <c r="BT34" i="19"/>
  <c r="BU34" i="19" s="1"/>
  <c r="BV34" i="19" s="1"/>
  <c r="BW34" i="19"/>
  <c r="BX34" i="19" s="1"/>
  <c r="BY34" i="19" s="1"/>
  <c r="N22" i="19"/>
  <c r="O22" i="19"/>
  <c r="P22" i="19"/>
  <c r="Q22" i="19"/>
  <c r="R22" i="19"/>
  <c r="S22" i="19"/>
  <c r="T22" i="19"/>
  <c r="U22" i="19"/>
  <c r="V22" i="19"/>
  <c r="W22" i="19"/>
  <c r="X22" i="19"/>
  <c r="Y22" i="19" s="1"/>
  <c r="AD22" i="19"/>
  <c r="AE22" i="19" s="1"/>
  <c r="AJ22" i="19"/>
  <c r="AK22" i="19" s="1"/>
  <c r="AP22" i="19"/>
  <c r="AQ22" i="19" s="1"/>
  <c r="AV22" i="19"/>
  <c r="AW22" i="19" s="1"/>
  <c r="BB22" i="19"/>
  <c r="BC22" i="19" s="1"/>
  <c r="BD22" i="19" s="1"/>
  <c r="BG22" i="19" s="1"/>
  <c r="BH22" i="19"/>
  <c r="BI22" i="19" s="1"/>
  <c r="BJ22" i="19" s="1"/>
  <c r="BM22" i="19" s="1"/>
  <c r="BN22" i="19"/>
  <c r="BO22" i="19" s="1"/>
  <c r="BP22" i="19" s="1"/>
  <c r="BS22" i="19" s="1"/>
  <c r="BT22" i="19"/>
  <c r="BU22" i="19" s="1"/>
  <c r="BV22" i="19" s="1"/>
  <c r="BW22" i="19"/>
  <c r="BX22" i="19" s="1"/>
  <c r="BY22" i="19" s="1"/>
  <c r="N28" i="19"/>
  <c r="O28" i="19"/>
  <c r="P28" i="19"/>
  <c r="Q28" i="19"/>
  <c r="R28" i="19"/>
  <c r="S28" i="19"/>
  <c r="T28" i="19"/>
  <c r="U28" i="19"/>
  <c r="V28" i="19"/>
  <c r="W28" i="19"/>
  <c r="X28" i="19"/>
  <c r="Y28" i="19" s="1"/>
  <c r="AD28" i="19"/>
  <c r="AE28" i="19" s="1"/>
  <c r="AJ28" i="19"/>
  <c r="AK28" i="19" s="1"/>
  <c r="AP28" i="19"/>
  <c r="AQ28" i="19" s="1"/>
  <c r="AV28" i="19"/>
  <c r="AW28" i="19" s="1"/>
  <c r="AY28" i="19" s="1"/>
  <c r="AZ28" i="19" s="1"/>
  <c r="BB28" i="19"/>
  <c r="BC28" i="19" s="1"/>
  <c r="BH28" i="19"/>
  <c r="BI28" i="19" s="1"/>
  <c r="BJ28" i="19" s="1"/>
  <c r="BM28" i="19" s="1"/>
  <c r="BN28" i="19"/>
  <c r="BO28" i="19" s="1"/>
  <c r="BP28" i="19" s="1"/>
  <c r="BS28" i="19" s="1"/>
  <c r="BT28" i="19"/>
  <c r="BU28" i="19" s="1"/>
  <c r="BV28" i="19" s="1"/>
  <c r="BW28" i="19"/>
  <c r="BX28" i="19" s="1"/>
  <c r="BY28" i="19" s="1"/>
  <c r="N76" i="19"/>
  <c r="O76" i="19"/>
  <c r="P76" i="19"/>
  <c r="Q76" i="19"/>
  <c r="R76" i="19"/>
  <c r="S76" i="19"/>
  <c r="T76" i="19"/>
  <c r="U76" i="19"/>
  <c r="V76" i="19"/>
  <c r="W76" i="19"/>
  <c r="X76" i="19"/>
  <c r="Y76" i="19" s="1"/>
  <c r="AD76" i="19"/>
  <c r="AE76" i="19" s="1"/>
  <c r="AJ76" i="19"/>
  <c r="AK76" i="19" s="1"/>
  <c r="AP76" i="19"/>
  <c r="AQ76" i="19" s="1"/>
  <c r="AV76" i="19"/>
  <c r="AW76" i="19" s="1"/>
  <c r="BB76" i="19"/>
  <c r="BC76" i="19" s="1"/>
  <c r="BH76" i="19"/>
  <c r="BI76" i="19" s="1"/>
  <c r="BN76" i="19"/>
  <c r="BO76" i="19" s="1"/>
  <c r="BP76" i="19" s="1"/>
  <c r="BS76" i="19" s="1"/>
  <c r="BT76" i="19"/>
  <c r="BU76" i="19" s="1"/>
  <c r="BV76" i="19" s="1"/>
  <c r="BW76" i="19"/>
  <c r="BX76" i="19" s="1"/>
  <c r="BY76" i="19" s="1"/>
  <c r="N12" i="19"/>
  <c r="O12" i="19"/>
  <c r="P12" i="19"/>
  <c r="Q12" i="19"/>
  <c r="R12" i="19"/>
  <c r="S12" i="19"/>
  <c r="T12" i="19"/>
  <c r="U12" i="19"/>
  <c r="V12" i="19"/>
  <c r="W12" i="19"/>
  <c r="X12" i="19"/>
  <c r="Y12" i="19" s="1"/>
  <c r="AD12" i="19"/>
  <c r="AE12" i="19" s="1"/>
  <c r="AJ12" i="19"/>
  <c r="AK12" i="19" s="1"/>
  <c r="AP12" i="19"/>
  <c r="AQ12" i="19" s="1"/>
  <c r="AV12" i="19"/>
  <c r="AW12" i="19" s="1"/>
  <c r="BB12" i="19"/>
  <c r="BC12" i="19" s="1"/>
  <c r="BD12" i="19" s="1"/>
  <c r="BG12" i="19" s="1"/>
  <c r="BH12" i="19"/>
  <c r="BI12" i="19" s="1"/>
  <c r="BN12" i="19"/>
  <c r="BO12" i="19" s="1"/>
  <c r="BT12" i="19"/>
  <c r="BU12" i="19" s="1"/>
  <c r="BV12" i="19" s="1"/>
  <c r="BW12" i="19"/>
  <c r="BX12" i="19" s="1"/>
  <c r="BY12" i="19" s="1"/>
  <c r="N4" i="19"/>
  <c r="O4" i="19"/>
  <c r="P4" i="19"/>
  <c r="Q4" i="19"/>
  <c r="R4" i="19"/>
  <c r="S4" i="19"/>
  <c r="T4" i="19"/>
  <c r="U4" i="19"/>
  <c r="V4" i="19"/>
  <c r="W4" i="19"/>
  <c r="X4" i="19"/>
  <c r="Y4" i="19" s="1"/>
  <c r="AD4" i="19"/>
  <c r="AE4" i="19" s="1"/>
  <c r="AJ4" i="19"/>
  <c r="AK4" i="19" s="1"/>
  <c r="AP4" i="19"/>
  <c r="AQ4" i="19" s="1"/>
  <c r="AV4" i="19"/>
  <c r="AW4" i="19" s="1"/>
  <c r="BB4" i="19"/>
  <c r="BC4" i="19" s="1"/>
  <c r="BD4" i="19" s="1"/>
  <c r="BG4" i="19" s="1"/>
  <c r="BH4" i="19"/>
  <c r="BI4" i="19" s="1"/>
  <c r="BN4" i="19"/>
  <c r="BO4" i="19" s="1"/>
  <c r="BP4" i="19" s="1"/>
  <c r="BS4" i="19" s="1"/>
  <c r="BT4" i="19"/>
  <c r="BU4" i="19" s="1"/>
  <c r="BV4" i="19" s="1"/>
  <c r="BW4" i="19"/>
  <c r="BX4" i="19" s="1"/>
  <c r="BY4" i="19" s="1"/>
  <c r="N81" i="19"/>
  <c r="O81" i="19"/>
  <c r="P81" i="19"/>
  <c r="Q81" i="19"/>
  <c r="R81" i="19"/>
  <c r="S81" i="19"/>
  <c r="T81" i="19"/>
  <c r="U81" i="19"/>
  <c r="V81" i="19"/>
  <c r="W81" i="19"/>
  <c r="X81" i="19"/>
  <c r="Y81" i="19" s="1"/>
  <c r="AD81" i="19"/>
  <c r="AE81" i="19" s="1"/>
  <c r="AJ81" i="19"/>
  <c r="AK81" i="19" s="1"/>
  <c r="AP81" i="19"/>
  <c r="AQ81" i="19" s="1"/>
  <c r="AV81" i="19"/>
  <c r="AW81" i="19" s="1"/>
  <c r="BB81" i="19"/>
  <c r="BC81" i="19" s="1"/>
  <c r="BD81" i="19" s="1"/>
  <c r="BG81" i="19" s="1"/>
  <c r="BH81" i="19"/>
  <c r="BI81" i="19" s="1"/>
  <c r="BN81" i="19"/>
  <c r="BO81" i="19" s="1"/>
  <c r="BT81" i="19"/>
  <c r="BU81" i="19" s="1"/>
  <c r="BV81" i="19" s="1"/>
  <c r="BW81" i="19"/>
  <c r="BX81" i="19" s="1"/>
  <c r="BY81" i="19" s="1"/>
  <c r="N85" i="19"/>
  <c r="O85" i="19"/>
  <c r="P85" i="19"/>
  <c r="Q85" i="19"/>
  <c r="R85" i="19"/>
  <c r="S85" i="19"/>
  <c r="T85" i="19"/>
  <c r="U85" i="19"/>
  <c r="V85" i="19"/>
  <c r="W85" i="19"/>
  <c r="X85" i="19"/>
  <c r="Y85" i="19" s="1"/>
  <c r="AD85" i="19"/>
  <c r="AE85" i="19" s="1"/>
  <c r="AJ85" i="19"/>
  <c r="AK85" i="19" s="1"/>
  <c r="AP85" i="19"/>
  <c r="AQ85" i="19" s="1"/>
  <c r="AV85" i="19"/>
  <c r="AW85" i="19" s="1"/>
  <c r="BB85" i="19"/>
  <c r="BC85" i="19" s="1"/>
  <c r="BH85" i="19"/>
  <c r="BI85" i="19" s="1"/>
  <c r="BN85" i="19"/>
  <c r="BO85" i="19" s="1"/>
  <c r="BT85" i="19"/>
  <c r="BU85" i="19" s="1"/>
  <c r="BV85" i="19" s="1"/>
  <c r="BW85" i="19"/>
  <c r="BX85" i="19" s="1"/>
  <c r="BY85" i="19" s="1"/>
  <c r="N92" i="19"/>
  <c r="O92" i="19"/>
  <c r="P92" i="19"/>
  <c r="Q92" i="19"/>
  <c r="R92" i="19"/>
  <c r="S92" i="19"/>
  <c r="T92" i="19"/>
  <c r="U92" i="19"/>
  <c r="V92" i="19"/>
  <c r="W92" i="19"/>
  <c r="X92" i="19"/>
  <c r="Y92" i="19" s="1"/>
  <c r="AD92" i="19"/>
  <c r="AE92" i="19" s="1"/>
  <c r="AJ92" i="19"/>
  <c r="AK92" i="19" s="1"/>
  <c r="AP92" i="19"/>
  <c r="AQ92" i="19" s="1"/>
  <c r="AV92" i="19"/>
  <c r="AW92" i="19" s="1"/>
  <c r="AY92" i="19" s="1"/>
  <c r="AZ92" i="19" s="1"/>
  <c r="BB92" i="19"/>
  <c r="BC92" i="19" s="1"/>
  <c r="BD92" i="19" s="1"/>
  <c r="BG92" i="19" s="1"/>
  <c r="BH92" i="19"/>
  <c r="BI92" i="19" s="1"/>
  <c r="BK92" i="19" s="1"/>
  <c r="BL92" i="19" s="1"/>
  <c r="BN92" i="19"/>
  <c r="BO92" i="19" s="1"/>
  <c r="BT92" i="19"/>
  <c r="BU92" i="19" s="1"/>
  <c r="BV92" i="19" s="1"/>
  <c r="BW92" i="19"/>
  <c r="BX92" i="19" s="1"/>
  <c r="BY92" i="19" s="1"/>
  <c r="N87" i="19"/>
  <c r="O87" i="19"/>
  <c r="P87" i="19"/>
  <c r="Q87" i="19"/>
  <c r="R87" i="19"/>
  <c r="S87" i="19"/>
  <c r="T87" i="19"/>
  <c r="U87" i="19"/>
  <c r="V87" i="19"/>
  <c r="W87" i="19"/>
  <c r="X87" i="19"/>
  <c r="Y87" i="19" s="1"/>
  <c r="AD87" i="19"/>
  <c r="AE87" i="19" s="1"/>
  <c r="AJ87" i="19"/>
  <c r="AK87" i="19" s="1"/>
  <c r="AP87" i="19"/>
  <c r="AQ87" i="19" s="1"/>
  <c r="AV87" i="19"/>
  <c r="AW87" i="19" s="1"/>
  <c r="BB87" i="19"/>
  <c r="BC87" i="19" s="1"/>
  <c r="BH87" i="19"/>
  <c r="BI87" i="19" s="1"/>
  <c r="BJ87" i="19" s="1"/>
  <c r="BM87" i="19" s="1"/>
  <c r="BN87" i="19"/>
  <c r="BO87" i="19" s="1"/>
  <c r="BT87" i="19"/>
  <c r="BU87" i="19" s="1"/>
  <c r="BV87" i="19" s="1"/>
  <c r="BW87" i="19"/>
  <c r="BX87" i="19" s="1"/>
  <c r="BY87" i="19" s="1"/>
  <c r="N44" i="19"/>
  <c r="O44" i="19"/>
  <c r="P44" i="19"/>
  <c r="Q44" i="19"/>
  <c r="R44" i="19"/>
  <c r="S44" i="19"/>
  <c r="T44" i="19"/>
  <c r="U44" i="19"/>
  <c r="V44" i="19"/>
  <c r="W44" i="19"/>
  <c r="X44" i="19"/>
  <c r="Y44" i="19" s="1"/>
  <c r="AD44" i="19"/>
  <c r="AE44" i="19" s="1"/>
  <c r="AJ44" i="19"/>
  <c r="AK44" i="19" s="1"/>
  <c r="AP44" i="19"/>
  <c r="AQ44" i="19" s="1"/>
  <c r="AV44" i="19"/>
  <c r="AW44" i="19" s="1"/>
  <c r="BB44" i="19"/>
  <c r="BC44" i="19" s="1"/>
  <c r="BD44" i="19" s="1"/>
  <c r="BG44" i="19" s="1"/>
  <c r="BH44" i="19"/>
  <c r="BI44" i="19" s="1"/>
  <c r="BN44" i="19"/>
  <c r="BO44" i="19" s="1"/>
  <c r="BP44" i="19" s="1"/>
  <c r="BS44" i="19" s="1"/>
  <c r="BT44" i="19"/>
  <c r="BU44" i="19" s="1"/>
  <c r="BV44" i="19" s="1"/>
  <c r="BW44" i="19"/>
  <c r="BX44" i="19" s="1"/>
  <c r="BY44" i="19" s="1"/>
  <c r="X93" i="19"/>
  <c r="Y93" i="19" s="1"/>
  <c r="AD93" i="19"/>
  <c r="AE93" i="19" s="1"/>
  <c r="AJ93" i="19"/>
  <c r="AK93" i="19" s="1"/>
  <c r="AP93" i="19"/>
  <c r="AQ93" i="19" s="1"/>
  <c r="AV93" i="19"/>
  <c r="AW93" i="19" s="1"/>
  <c r="BB93" i="19"/>
  <c r="BC93" i="19" s="1"/>
  <c r="BH93" i="19"/>
  <c r="BI93" i="19" s="1"/>
  <c r="BJ93" i="19" s="1"/>
  <c r="BM93" i="19" s="1"/>
  <c r="BN93" i="19"/>
  <c r="BO93" i="19" s="1"/>
  <c r="BT93" i="19"/>
  <c r="BU93" i="19" s="1"/>
  <c r="BV93" i="19" s="1"/>
  <c r="BW93" i="19"/>
  <c r="BX93" i="19" s="1"/>
  <c r="BY93" i="19" s="1"/>
  <c r="N41" i="19"/>
  <c r="O41" i="19"/>
  <c r="P41" i="19"/>
  <c r="Q41" i="19"/>
  <c r="R41" i="19"/>
  <c r="S41" i="19"/>
  <c r="T41" i="19"/>
  <c r="U41" i="19"/>
  <c r="V41" i="19"/>
  <c r="W41" i="19"/>
  <c r="X41" i="19"/>
  <c r="Y41" i="19" s="1"/>
  <c r="AD41" i="19"/>
  <c r="AE41" i="19" s="1"/>
  <c r="AJ41" i="19"/>
  <c r="AK41" i="19" s="1"/>
  <c r="AP41" i="19"/>
  <c r="AQ41" i="19" s="1"/>
  <c r="AV41" i="19"/>
  <c r="AW41" i="19" s="1"/>
  <c r="BB41" i="19"/>
  <c r="BC41" i="19" s="1"/>
  <c r="BD41" i="19" s="1"/>
  <c r="BG41" i="19" s="1"/>
  <c r="BH41" i="19"/>
  <c r="BI41" i="19" s="1"/>
  <c r="BN41" i="19"/>
  <c r="BO41" i="19" s="1"/>
  <c r="BP41" i="19" s="1"/>
  <c r="BS41" i="19" s="1"/>
  <c r="BT41" i="19"/>
  <c r="BU41" i="19" s="1"/>
  <c r="BV41" i="19" s="1"/>
  <c r="BW41" i="19"/>
  <c r="BX41" i="19" s="1"/>
  <c r="BY41" i="19" s="1"/>
  <c r="N90" i="19"/>
  <c r="O90" i="19"/>
  <c r="P90" i="19"/>
  <c r="Q90" i="19"/>
  <c r="R90" i="19"/>
  <c r="S90" i="19"/>
  <c r="T90" i="19"/>
  <c r="U90" i="19"/>
  <c r="V90" i="19"/>
  <c r="W90" i="19"/>
  <c r="X90" i="19"/>
  <c r="Y90" i="19" s="1"/>
  <c r="AD90" i="19"/>
  <c r="AE90" i="19" s="1"/>
  <c r="AJ90" i="19"/>
  <c r="AK90" i="19" s="1"/>
  <c r="AP90" i="19"/>
  <c r="AQ90" i="19" s="1"/>
  <c r="AV90" i="19"/>
  <c r="AW90" i="19" s="1"/>
  <c r="BB90" i="19"/>
  <c r="BC90" i="19" s="1"/>
  <c r="BH90" i="19"/>
  <c r="BI90" i="19" s="1"/>
  <c r="BJ90" i="19" s="1"/>
  <c r="BM90" i="19" s="1"/>
  <c r="BN90" i="19"/>
  <c r="BO90" i="19" s="1"/>
  <c r="BT90" i="19"/>
  <c r="BU90" i="19" s="1"/>
  <c r="BV90" i="19" s="1"/>
  <c r="BW90" i="19"/>
  <c r="BX90" i="19" s="1"/>
  <c r="BY90" i="19" s="1"/>
  <c r="N23" i="19"/>
  <c r="O23" i="19"/>
  <c r="P23" i="19"/>
  <c r="Q23" i="19"/>
  <c r="R23" i="19"/>
  <c r="S23" i="19"/>
  <c r="T23" i="19"/>
  <c r="U23" i="19"/>
  <c r="V23" i="19"/>
  <c r="W23" i="19"/>
  <c r="X23" i="19"/>
  <c r="Y23" i="19" s="1"/>
  <c r="AD23" i="19"/>
  <c r="AE23" i="19" s="1"/>
  <c r="AJ23" i="19"/>
  <c r="AK23" i="19" s="1"/>
  <c r="AP23" i="19"/>
  <c r="AQ23" i="19" s="1"/>
  <c r="AV23" i="19"/>
  <c r="AW23" i="19" s="1"/>
  <c r="AY23" i="19" s="1"/>
  <c r="AZ23" i="19" s="1"/>
  <c r="BB23" i="19"/>
  <c r="BC23" i="19" s="1"/>
  <c r="BH23" i="19"/>
  <c r="BI23" i="19" s="1"/>
  <c r="BN23" i="19"/>
  <c r="BO23" i="19" s="1"/>
  <c r="BQ23" i="19" s="1"/>
  <c r="BR23" i="19" s="1"/>
  <c r="BT23" i="19"/>
  <c r="BU23" i="19" s="1"/>
  <c r="BV23" i="19" s="1"/>
  <c r="BW23" i="19"/>
  <c r="BX23" i="19" s="1"/>
  <c r="BY23" i="19" s="1"/>
  <c r="N10" i="19"/>
  <c r="O10" i="19"/>
  <c r="P10" i="19"/>
  <c r="Q10" i="19"/>
  <c r="R10" i="19"/>
  <c r="S10" i="19"/>
  <c r="T10" i="19"/>
  <c r="U10" i="19"/>
  <c r="V10" i="19"/>
  <c r="W10" i="19"/>
  <c r="X10" i="19"/>
  <c r="Y10" i="19" s="1"/>
  <c r="AD10" i="19"/>
  <c r="AE10" i="19" s="1"/>
  <c r="AJ10" i="19"/>
  <c r="AK10" i="19" s="1"/>
  <c r="AP10" i="19"/>
  <c r="AQ10" i="19" s="1"/>
  <c r="AV10" i="19"/>
  <c r="AW10" i="19" s="1"/>
  <c r="BB10" i="19"/>
  <c r="BC10" i="19" s="1"/>
  <c r="BH10" i="19"/>
  <c r="BI10" i="19" s="1"/>
  <c r="BN10" i="19"/>
  <c r="BO10" i="19" s="1"/>
  <c r="BP10" i="19" s="1"/>
  <c r="BS10" i="19" s="1"/>
  <c r="BT10" i="19"/>
  <c r="BU10" i="19" s="1"/>
  <c r="BV10" i="19" s="1"/>
  <c r="BW10" i="19"/>
  <c r="BX10" i="19" s="1"/>
  <c r="BY10" i="19" s="1"/>
  <c r="N15" i="19"/>
  <c r="O15" i="19"/>
  <c r="P15" i="19"/>
  <c r="Q15" i="19"/>
  <c r="R15" i="19"/>
  <c r="S15" i="19"/>
  <c r="T15" i="19"/>
  <c r="U15" i="19"/>
  <c r="V15" i="19"/>
  <c r="W15" i="19"/>
  <c r="X15" i="19"/>
  <c r="Y15" i="19" s="1"/>
  <c r="AD15" i="19"/>
  <c r="AE15" i="19" s="1"/>
  <c r="AJ15" i="19"/>
  <c r="AK15" i="19" s="1"/>
  <c r="AP15" i="19"/>
  <c r="AQ15" i="19" s="1"/>
  <c r="AV15" i="19"/>
  <c r="AW15" i="19" s="1"/>
  <c r="AX15" i="19" s="1"/>
  <c r="BA15" i="19" s="1"/>
  <c r="BB15" i="19"/>
  <c r="BC15" i="19" s="1"/>
  <c r="BH15" i="19"/>
  <c r="BI15" i="19" s="1"/>
  <c r="BJ15" i="19" s="1"/>
  <c r="BM15" i="19" s="1"/>
  <c r="BN15" i="19"/>
  <c r="BO15" i="19" s="1"/>
  <c r="BT15" i="19"/>
  <c r="BU15" i="19" s="1"/>
  <c r="BV15" i="19" s="1"/>
  <c r="BW15" i="19"/>
  <c r="BX15" i="19" s="1"/>
  <c r="BY15" i="19" s="1"/>
  <c r="N39" i="19"/>
  <c r="O39" i="19"/>
  <c r="P39" i="19"/>
  <c r="Q39" i="19"/>
  <c r="R39" i="19"/>
  <c r="S39" i="19"/>
  <c r="T39" i="19"/>
  <c r="U39" i="19"/>
  <c r="V39" i="19"/>
  <c r="W39" i="19"/>
  <c r="X39" i="19"/>
  <c r="Y39" i="19" s="1"/>
  <c r="AD39" i="19"/>
  <c r="AE39" i="19" s="1"/>
  <c r="AJ39" i="19"/>
  <c r="AK39" i="19" s="1"/>
  <c r="AP39" i="19"/>
  <c r="AQ39" i="19" s="1"/>
  <c r="AV39" i="19"/>
  <c r="AW39" i="19" s="1"/>
  <c r="BB39" i="19"/>
  <c r="BC39" i="19" s="1"/>
  <c r="BH39" i="19"/>
  <c r="BI39" i="19" s="1"/>
  <c r="BN39" i="19"/>
  <c r="BO39" i="19" s="1"/>
  <c r="BP39" i="19" s="1"/>
  <c r="BS39" i="19" s="1"/>
  <c r="BT39" i="19"/>
  <c r="BU39" i="19" s="1"/>
  <c r="BV39" i="19" s="1"/>
  <c r="BW39" i="19"/>
  <c r="BX39" i="19" s="1"/>
  <c r="BY39" i="19" s="1"/>
  <c r="N27" i="19"/>
  <c r="O27" i="19"/>
  <c r="P27" i="19"/>
  <c r="Q27" i="19"/>
  <c r="R27" i="19"/>
  <c r="S27" i="19"/>
  <c r="T27" i="19"/>
  <c r="U27" i="19"/>
  <c r="V27" i="19"/>
  <c r="W27" i="19"/>
  <c r="X27" i="19"/>
  <c r="Y27" i="19" s="1"/>
  <c r="AD27" i="19"/>
  <c r="AE27" i="19" s="1"/>
  <c r="AJ27" i="19"/>
  <c r="AK27" i="19" s="1"/>
  <c r="AP27" i="19"/>
  <c r="AQ27" i="19" s="1"/>
  <c r="AV27" i="19"/>
  <c r="AW27" i="19" s="1"/>
  <c r="AX27" i="19" s="1"/>
  <c r="BA27" i="19" s="1"/>
  <c r="BB27" i="19"/>
  <c r="BC27" i="19" s="1"/>
  <c r="BD27" i="19" s="1"/>
  <c r="BG27" i="19" s="1"/>
  <c r="BH27" i="19"/>
  <c r="BI27" i="19" s="1"/>
  <c r="BN27" i="19"/>
  <c r="BO27" i="19" s="1"/>
  <c r="BT27" i="19"/>
  <c r="BU27" i="19" s="1"/>
  <c r="BV27" i="19" s="1"/>
  <c r="BW27" i="19"/>
  <c r="BX27" i="19" s="1"/>
  <c r="BY27" i="19" s="1"/>
  <c r="N32" i="19"/>
  <c r="O32" i="19"/>
  <c r="P32" i="19"/>
  <c r="Q32" i="19"/>
  <c r="R32" i="19"/>
  <c r="S32" i="19"/>
  <c r="T32" i="19"/>
  <c r="U32" i="19"/>
  <c r="V32" i="19"/>
  <c r="W32" i="19"/>
  <c r="X32" i="19"/>
  <c r="Y32" i="19" s="1"/>
  <c r="AD32" i="19"/>
  <c r="AE32" i="19" s="1"/>
  <c r="AJ32" i="19"/>
  <c r="AK32" i="19" s="1"/>
  <c r="AP32" i="19"/>
  <c r="AQ32" i="19" s="1"/>
  <c r="AV32" i="19"/>
  <c r="AW32" i="19" s="1"/>
  <c r="AX32" i="19" s="1"/>
  <c r="BA32" i="19" s="1"/>
  <c r="BB32" i="19"/>
  <c r="BC32" i="19" s="1"/>
  <c r="BH32" i="19"/>
  <c r="BI32" i="19" s="1"/>
  <c r="BN32" i="19"/>
  <c r="BO32" i="19" s="1"/>
  <c r="BT32" i="19"/>
  <c r="BU32" i="19" s="1"/>
  <c r="BV32" i="19" s="1"/>
  <c r="BW32" i="19"/>
  <c r="BX32" i="19" s="1"/>
  <c r="BY32" i="19" s="1"/>
  <c r="N45" i="19"/>
  <c r="O45" i="19"/>
  <c r="P45" i="19"/>
  <c r="Q45" i="19"/>
  <c r="R45" i="19"/>
  <c r="S45" i="19"/>
  <c r="T45" i="19"/>
  <c r="U45" i="19"/>
  <c r="V45" i="19"/>
  <c r="W45" i="19"/>
  <c r="X45" i="19"/>
  <c r="Y45" i="19" s="1"/>
  <c r="AD45" i="19"/>
  <c r="AE45" i="19" s="1"/>
  <c r="AJ45" i="19"/>
  <c r="AK45" i="19" s="1"/>
  <c r="AP45" i="19"/>
  <c r="AQ45" i="19" s="1"/>
  <c r="AV45" i="19"/>
  <c r="AW45" i="19" s="1"/>
  <c r="BB45" i="19"/>
  <c r="BC45" i="19" s="1"/>
  <c r="BD45" i="19" s="1"/>
  <c r="BG45" i="19" s="1"/>
  <c r="BH45" i="19"/>
  <c r="BI45" i="19" s="1"/>
  <c r="BJ45" i="19" s="1"/>
  <c r="BM45" i="19" s="1"/>
  <c r="BN45" i="19"/>
  <c r="BO45" i="19" s="1"/>
  <c r="BT45" i="19"/>
  <c r="BU45" i="19" s="1"/>
  <c r="BV45" i="19" s="1"/>
  <c r="BW45" i="19"/>
  <c r="BX45" i="19" s="1"/>
  <c r="BY45" i="19" s="1"/>
  <c r="N31" i="19"/>
  <c r="O31" i="19"/>
  <c r="P31" i="19"/>
  <c r="Q31" i="19"/>
  <c r="R31" i="19"/>
  <c r="S31" i="19"/>
  <c r="T31" i="19"/>
  <c r="U31" i="19"/>
  <c r="V31" i="19"/>
  <c r="W31" i="19"/>
  <c r="X31" i="19"/>
  <c r="Y31" i="19" s="1"/>
  <c r="AD31" i="19"/>
  <c r="AE31" i="19" s="1"/>
  <c r="AJ31" i="19"/>
  <c r="AK31" i="19" s="1"/>
  <c r="AP31" i="19"/>
  <c r="AQ31" i="19" s="1"/>
  <c r="AV31" i="19"/>
  <c r="AW31" i="19" s="1"/>
  <c r="BB31" i="19"/>
  <c r="BC31" i="19" s="1"/>
  <c r="BH31" i="19"/>
  <c r="BI31" i="19" s="1"/>
  <c r="BN31" i="19"/>
  <c r="BO31" i="19" s="1"/>
  <c r="BT31" i="19"/>
  <c r="BU31" i="19" s="1"/>
  <c r="BV31" i="19" s="1"/>
  <c r="BW31" i="19"/>
  <c r="BX31" i="19" s="1"/>
  <c r="BY31" i="19" s="1"/>
  <c r="N61" i="19"/>
  <c r="O61" i="19"/>
  <c r="P61" i="19"/>
  <c r="Q61" i="19"/>
  <c r="R61" i="19"/>
  <c r="S61" i="19"/>
  <c r="T61" i="19"/>
  <c r="U61" i="19"/>
  <c r="V61" i="19"/>
  <c r="W61" i="19"/>
  <c r="X61" i="19"/>
  <c r="Y61" i="19" s="1"/>
  <c r="AD61" i="19"/>
  <c r="AE61" i="19" s="1"/>
  <c r="AJ61" i="19"/>
  <c r="AK61" i="19" s="1"/>
  <c r="AP61" i="19"/>
  <c r="AQ61" i="19" s="1"/>
  <c r="AV61" i="19"/>
  <c r="AW61" i="19" s="1"/>
  <c r="BB61" i="19"/>
  <c r="BC61" i="19" s="1"/>
  <c r="BD61" i="19" s="1"/>
  <c r="BG61" i="19" s="1"/>
  <c r="BH61" i="19"/>
  <c r="BI61" i="19" s="1"/>
  <c r="BJ61" i="19" s="1"/>
  <c r="BM61" i="19" s="1"/>
  <c r="BN61" i="19"/>
  <c r="BO61" i="19" s="1"/>
  <c r="BT61" i="19"/>
  <c r="BU61" i="19" s="1"/>
  <c r="BV61" i="19" s="1"/>
  <c r="BW61" i="19"/>
  <c r="BX61" i="19" s="1"/>
  <c r="BY61" i="19" s="1"/>
  <c r="N29" i="19"/>
  <c r="O29" i="19"/>
  <c r="P29" i="19"/>
  <c r="Q29" i="19"/>
  <c r="R29" i="19"/>
  <c r="S29" i="19"/>
  <c r="T29" i="19"/>
  <c r="U29" i="19"/>
  <c r="V29" i="19"/>
  <c r="W29" i="19"/>
  <c r="X29" i="19"/>
  <c r="Y29" i="19" s="1"/>
  <c r="AD29" i="19"/>
  <c r="AE29" i="19" s="1"/>
  <c r="AJ29" i="19"/>
  <c r="AK29" i="19" s="1"/>
  <c r="AP29" i="19"/>
  <c r="AQ29" i="19" s="1"/>
  <c r="AV29" i="19"/>
  <c r="AW29" i="19" s="1"/>
  <c r="AX29" i="19" s="1"/>
  <c r="BA29" i="19" s="1"/>
  <c r="BB29" i="19"/>
  <c r="BC29" i="19" s="1"/>
  <c r="BH29" i="19"/>
  <c r="BI29" i="19" s="1"/>
  <c r="BN29" i="19"/>
  <c r="BO29" i="19" s="1"/>
  <c r="BT29" i="19"/>
  <c r="BU29" i="19" s="1"/>
  <c r="BV29" i="19" s="1"/>
  <c r="BW29" i="19"/>
  <c r="BX29" i="19" s="1"/>
  <c r="BY29" i="19" s="1"/>
  <c r="N35" i="19"/>
  <c r="O35" i="19"/>
  <c r="P35" i="19"/>
  <c r="Q35" i="19"/>
  <c r="R35" i="19"/>
  <c r="S35" i="19"/>
  <c r="T35" i="19"/>
  <c r="U35" i="19"/>
  <c r="V35" i="19"/>
  <c r="W35" i="19"/>
  <c r="X35" i="19"/>
  <c r="Y35" i="19" s="1"/>
  <c r="AD35" i="19"/>
  <c r="AE35" i="19" s="1"/>
  <c r="AJ35" i="19"/>
  <c r="AK35" i="19" s="1"/>
  <c r="AP35" i="19"/>
  <c r="AQ35" i="19" s="1"/>
  <c r="AV35" i="19"/>
  <c r="AW35" i="19" s="1"/>
  <c r="AX35" i="19" s="1"/>
  <c r="BA35" i="19" s="1"/>
  <c r="BB35" i="19"/>
  <c r="BC35" i="19" s="1"/>
  <c r="BH35" i="19"/>
  <c r="BI35" i="19" s="1"/>
  <c r="BN35" i="19"/>
  <c r="BO35" i="19" s="1"/>
  <c r="BT35" i="19"/>
  <c r="BU35" i="19" s="1"/>
  <c r="BV35" i="19" s="1"/>
  <c r="BW35" i="19"/>
  <c r="BX35" i="19" s="1"/>
  <c r="BY35" i="19" s="1"/>
  <c r="N42" i="19"/>
  <c r="O42" i="19"/>
  <c r="P42" i="19"/>
  <c r="Q42" i="19"/>
  <c r="R42" i="19"/>
  <c r="S42" i="19"/>
  <c r="T42" i="19"/>
  <c r="U42" i="19"/>
  <c r="V42" i="19"/>
  <c r="W42" i="19"/>
  <c r="X42" i="19"/>
  <c r="Y42" i="19" s="1"/>
  <c r="AD42" i="19"/>
  <c r="AE42" i="19" s="1"/>
  <c r="AJ42" i="19"/>
  <c r="AK42" i="19" s="1"/>
  <c r="AP42" i="19"/>
  <c r="AQ42" i="19" s="1"/>
  <c r="AV42" i="19"/>
  <c r="AW42" i="19" s="1"/>
  <c r="BB42" i="19"/>
  <c r="BC42" i="19" s="1"/>
  <c r="BH42" i="19"/>
  <c r="BI42" i="19" s="1"/>
  <c r="BN42" i="19"/>
  <c r="BO42" i="19" s="1"/>
  <c r="BT42" i="19"/>
  <c r="BU42" i="19" s="1"/>
  <c r="BV42" i="19" s="1"/>
  <c r="BW42" i="19"/>
  <c r="BX42" i="19" s="1"/>
  <c r="BY42" i="19" s="1"/>
  <c r="N7" i="19"/>
  <c r="O7" i="19"/>
  <c r="P7" i="19"/>
  <c r="Q7" i="19"/>
  <c r="R7" i="19"/>
  <c r="S7" i="19"/>
  <c r="T7" i="19"/>
  <c r="U7" i="19"/>
  <c r="V7" i="19"/>
  <c r="W7" i="19"/>
  <c r="X7" i="19"/>
  <c r="Y7" i="19" s="1"/>
  <c r="AD7" i="19"/>
  <c r="AE7" i="19" s="1"/>
  <c r="AJ7" i="19"/>
  <c r="AK7" i="19" s="1"/>
  <c r="AP7" i="19"/>
  <c r="AQ7" i="19" s="1"/>
  <c r="AR7" i="19" s="1"/>
  <c r="AU7" i="19" s="1"/>
  <c r="AV7" i="19"/>
  <c r="AW7" i="19" s="1"/>
  <c r="AY7" i="19" s="1"/>
  <c r="AZ7" i="19" s="1"/>
  <c r="BB7" i="19"/>
  <c r="BC7" i="19" s="1"/>
  <c r="BH7" i="19"/>
  <c r="BI7" i="19" s="1"/>
  <c r="BN7" i="19"/>
  <c r="BO7" i="19" s="1"/>
  <c r="BT7" i="19"/>
  <c r="BU7" i="19" s="1"/>
  <c r="BV7" i="19" s="1"/>
  <c r="BW7" i="19"/>
  <c r="BX7" i="19" s="1"/>
  <c r="BY7" i="19" s="1"/>
  <c r="N19" i="19"/>
  <c r="O19" i="19"/>
  <c r="P19" i="19"/>
  <c r="Q19" i="19"/>
  <c r="R19" i="19"/>
  <c r="S19" i="19"/>
  <c r="T19" i="19"/>
  <c r="U19" i="19"/>
  <c r="V19" i="19"/>
  <c r="W19" i="19"/>
  <c r="X19" i="19"/>
  <c r="Y19" i="19" s="1"/>
  <c r="AD19" i="19"/>
  <c r="AE19" i="19" s="1"/>
  <c r="AJ19" i="19"/>
  <c r="AK19" i="19" s="1"/>
  <c r="AP19" i="19"/>
  <c r="AQ19" i="19" s="1"/>
  <c r="AV19" i="19"/>
  <c r="AW19" i="19" s="1"/>
  <c r="BB19" i="19"/>
  <c r="BC19" i="19" s="1"/>
  <c r="BE19" i="19" s="1"/>
  <c r="BF19" i="19" s="1"/>
  <c r="BH19" i="19"/>
  <c r="BI19" i="19" s="1"/>
  <c r="BN19" i="19"/>
  <c r="BO19" i="19" s="1"/>
  <c r="BT19" i="19"/>
  <c r="BU19" i="19" s="1"/>
  <c r="BV19" i="19" s="1"/>
  <c r="BW19" i="19"/>
  <c r="BX19" i="19" s="1"/>
  <c r="BY19" i="19" s="1"/>
  <c r="N9" i="19"/>
  <c r="O9" i="19"/>
  <c r="P9" i="19"/>
  <c r="Q9" i="19"/>
  <c r="R9" i="19"/>
  <c r="S9" i="19"/>
  <c r="T9" i="19"/>
  <c r="U9" i="19"/>
  <c r="V9" i="19"/>
  <c r="W9" i="19"/>
  <c r="X9" i="19"/>
  <c r="Y9" i="19" s="1"/>
  <c r="AD9" i="19"/>
  <c r="AE9" i="19" s="1"/>
  <c r="AJ9" i="19"/>
  <c r="AK9" i="19" s="1"/>
  <c r="AP9" i="19"/>
  <c r="AQ9" i="19" s="1"/>
  <c r="AR9" i="19" s="1"/>
  <c r="AU9" i="19" s="1"/>
  <c r="AV9" i="19"/>
  <c r="AW9" i="19" s="1"/>
  <c r="BB9" i="19"/>
  <c r="BC9" i="19" s="1"/>
  <c r="BD9" i="19" s="1"/>
  <c r="BG9" i="19" s="1"/>
  <c r="BH9" i="19"/>
  <c r="BI9" i="19" s="1"/>
  <c r="BN9" i="19"/>
  <c r="BO9" i="19" s="1"/>
  <c r="BP9" i="19" s="1"/>
  <c r="BS9" i="19" s="1"/>
  <c r="BT9" i="19"/>
  <c r="BU9" i="19" s="1"/>
  <c r="BV9" i="19" s="1"/>
  <c r="BW9" i="19"/>
  <c r="BX9" i="19" s="1"/>
  <c r="BY9" i="19" s="1"/>
  <c r="N16" i="19"/>
  <c r="O16" i="19"/>
  <c r="P16" i="19"/>
  <c r="Q16" i="19"/>
  <c r="R16" i="19"/>
  <c r="S16" i="19"/>
  <c r="T16" i="19"/>
  <c r="U16" i="19"/>
  <c r="V16" i="19"/>
  <c r="W16" i="19"/>
  <c r="X16" i="19"/>
  <c r="Y16" i="19" s="1"/>
  <c r="AD16" i="19"/>
  <c r="AE16" i="19" s="1"/>
  <c r="AJ16" i="19"/>
  <c r="AK16" i="19" s="1"/>
  <c r="AP16" i="19"/>
  <c r="AQ16" i="19" s="1"/>
  <c r="AV16" i="19"/>
  <c r="AW16" i="19" s="1"/>
  <c r="BB16" i="19"/>
  <c r="BC16" i="19" s="1"/>
  <c r="BE16" i="19" s="1"/>
  <c r="BF16" i="19" s="1"/>
  <c r="BH16" i="19"/>
  <c r="BI16" i="19" s="1"/>
  <c r="BK16" i="19" s="1"/>
  <c r="BL16" i="19" s="1"/>
  <c r="BN16" i="19"/>
  <c r="BO16" i="19" s="1"/>
  <c r="BP16" i="19" s="1"/>
  <c r="BS16" i="19" s="1"/>
  <c r="BT16" i="19"/>
  <c r="BU16" i="19" s="1"/>
  <c r="BV16" i="19" s="1"/>
  <c r="BW16" i="19"/>
  <c r="BX16" i="19" s="1"/>
  <c r="BY16" i="19" s="1"/>
  <c r="N24" i="19"/>
  <c r="O24" i="19"/>
  <c r="P24" i="19"/>
  <c r="Q24" i="19"/>
  <c r="R24" i="19"/>
  <c r="S24" i="19"/>
  <c r="T24" i="19"/>
  <c r="U24" i="19"/>
  <c r="V24" i="19"/>
  <c r="W24" i="19"/>
  <c r="X24" i="19"/>
  <c r="Y24" i="19" s="1"/>
  <c r="AD24" i="19"/>
  <c r="AE24" i="19" s="1"/>
  <c r="AJ24" i="19"/>
  <c r="AK24" i="19" s="1"/>
  <c r="AP24" i="19"/>
  <c r="AQ24" i="19" s="1"/>
  <c r="AR24" i="19" s="1"/>
  <c r="AU24" i="19" s="1"/>
  <c r="AV24" i="19"/>
  <c r="AW24" i="19" s="1"/>
  <c r="BB24" i="19"/>
  <c r="BC24" i="19" s="1"/>
  <c r="BD24" i="19" s="1"/>
  <c r="BG24" i="19" s="1"/>
  <c r="BH24" i="19"/>
  <c r="BI24" i="19" s="1"/>
  <c r="BN24" i="19"/>
  <c r="BO24" i="19" s="1"/>
  <c r="BT24" i="19"/>
  <c r="BU24" i="19" s="1"/>
  <c r="BV24" i="19" s="1"/>
  <c r="BW24" i="19"/>
  <c r="BX24" i="19" s="1"/>
  <c r="BY24" i="19" s="1"/>
  <c r="N11" i="19"/>
  <c r="O11" i="19"/>
  <c r="P11" i="19"/>
  <c r="Q11" i="19"/>
  <c r="R11" i="19"/>
  <c r="S11" i="19"/>
  <c r="T11" i="19"/>
  <c r="U11" i="19"/>
  <c r="V11" i="19"/>
  <c r="W11" i="19"/>
  <c r="X11" i="19"/>
  <c r="Y11" i="19" s="1"/>
  <c r="AD11" i="19"/>
  <c r="AE11" i="19" s="1"/>
  <c r="AJ11" i="19"/>
  <c r="AK11" i="19" s="1"/>
  <c r="AP11" i="19"/>
  <c r="AQ11" i="19" s="1"/>
  <c r="AV11" i="19"/>
  <c r="AW11" i="19" s="1"/>
  <c r="BB11" i="19"/>
  <c r="BC11" i="19" s="1"/>
  <c r="BH11" i="19"/>
  <c r="BI11" i="19" s="1"/>
  <c r="BN11" i="19"/>
  <c r="BO11" i="19" s="1"/>
  <c r="BT11" i="19"/>
  <c r="BU11" i="19" s="1"/>
  <c r="BV11" i="19" s="1"/>
  <c r="BW11" i="19"/>
  <c r="BX11" i="19" s="1"/>
  <c r="BY11" i="19" s="1"/>
  <c r="N13" i="19"/>
  <c r="O13" i="19"/>
  <c r="P13" i="19"/>
  <c r="Q13" i="19"/>
  <c r="R13" i="19"/>
  <c r="S13" i="19"/>
  <c r="T13" i="19"/>
  <c r="U13" i="19"/>
  <c r="V13" i="19"/>
  <c r="W13" i="19"/>
  <c r="X13" i="19"/>
  <c r="Y13" i="19" s="1"/>
  <c r="AD13" i="19"/>
  <c r="AE13" i="19" s="1"/>
  <c r="AJ13" i="19"/>
  <c r="AK13" i="19" s="1"/>
  <c r="AP13" i="19"/>
  <c r="AQ13" i="19" s="1"/>
  <c r="AR13" i="19" s="1"/>
  <c r="AU13" i="19" s="1"/>
  <c r="AV13" i="19"/>
  <c r="AW13" i="19" s="1"/>
  <c r="BB13" i="19"/>
  <c r="BC13" i="19" s="1"/>
  <c r="BD13" i="19" s="1"/>
  <c r="BG13" i="19" s="1"/>
  <c r="BH13" i="19"/>
  <c r="BI13" i="19" s="1"/>
  <c r="BN13" i="19"/>
  <c r="BO13" i="19" s="1"/>
  <c r="BQ13" i="19" s="1"/>
  <c r="BR13" i="19" s="1"/>
  <c r="BT13" i="19"/>
  <c r="BU13" i="19" s="1"/>
  <c r="BV13" i="19" s="1"/>
  <c r="BW13" i="19"/>
  <c r="BX13" i="19" s="1"/>
  <c r="BY13" i="19" s="1"/>
  <c r="N36" i="19"/>
  <c r="O36" i="19"/>
  <c r="P36" i="19"/>
  <c r="Q36" i="19"/>
  <c r="R36" i="19"/>
  <c r="S36" i="19"/>
  <c r="T36" i="19"/>
  <c r="U36" i="19"/>
  <c r="V36" i="19"/>
  <c r="W36" i="19"/>
  <c r="X36" i="19"/>
  <c r="Y36" i="19" s="1"/>
  <c r="AD36" i="19"/>
  <c r="AE36" i="19" s="1"/>
  <c r="AJ36" i="19"/>
  <c r="AK36" i="19" s="1"/>
  <c r="AP36" i="19"/>
  <c r="AQ36" i="19" s="1"/>
  <c r="AV36" i="19"/>
  <c r="AW36" i="19" s="1"/>
  <c r="AX36" i="19" s="1"/>
  <c r="BA36" i="19" s="1"/>
  <c r="BB36" i="19"/>
  <c r="BC36" i="19" s="1"/>
  <c r="BH36" i="19"/>
  <c r="BI36" i="19" s="1"/>
  <c r="BK36" i="19" s="1"/>
  <c r="BL36" i="19" s="1"/>
  <c r="BN36" i="19"/>
  <c r="BO36" i="19" s="1"/>
  <c r="BT36" i="19"/>
  <c r="BU36" i="19" s="1"/>
  <c r="BV36" i="19" s="1"/>
  <c r="BW36" i="19"/>
  <c r="BX36" i="19" s="1"/>
  <c r="BY36" i="19" s="1"/>
  <c r="N21" i="19"/>
  <c r="O21" i="19"/>
  <c r="P21" i="19"/>
  <c r="Q21" i="19"/>
  <c r="R21" i="19"/>
  <c r="S21" i="19"/>
  <c r="T21" i="19"/>
  <c r="U21" i="19"/>
  <c r="V21" i="19"/>
  <c r="W21" i="19"/>
  <c r="X21" i="19"/>
  <c r="Y21" i="19" s="1"/>
  <c r="AD21" i="19"/>
  <c r="AE21" i="19" s="1"/>
  <c r="AJ21" i="19"/>
  <c r="AK21" i="19" s="1"/>
  <c r="AP21" i="19"/>
  <c r="AQ21" i="19" s="1"/>
  <c r="AR21" i="19" s="1"/>
  <c r="AU21" i="19" s="1"/>
  <c r="AV21" i="19"/>
  <c r="AW21" i="19" s="1"/>
  <c r="AX21" i="19" s="1"/>
  <c r="BA21" i="19" s="1"/>
  <c r="BB21" i="19"/>
  <c r="BC21" i="19" s="1"/>
  <c r="BD21" i="19" s="1"/>
  <c r="BG21" i="19" s="1"/>
  <c r="BH21" i="19"/>
  <c r="BI21" i="19" s="1"/>
  <c r="BJ21" i="19" s="1"/>
  <c r="BM21" i="19" s="1"/>
  <c r="BN21" i="19"/>
  <c r="BO21" i="19" s="1"/>
  <c r="BT21" i="19"/>
  <c r="BU21" i="19" s="1"/>
  <c r="BV21" i="19" s="1"/>
  <c r="BW21" i="19"/>
  <c r="BX21" i="19" s="1"/>
  <c r="BY21" i="19" s="1"/>
  <c r="N47" i="19"/>
  <c r="O47" i="19"/>
  <c r="P47" i="19"/>
  <c r="Q47" i="19"/>
  <c r="R47" i="19"/>
  <c r="S47" i="19"/>
  <c r="T47" i="19"/>
  <c r="U47" i="19"/>
  <c r="V47" i="19"/>
  <c r="W47" i="19"/>
  <c r="X47" i="19"/>
  <c r="Y47" i="19" s="1"/>
  <c r="AD47" i="19"/>
  <c r="AE47" i="19" s="1"/>
  <c r="AJ47" i="19"/>
  <c r="AK47" i="19" s="1"/>
  <c r="AP47" i="19"/>
  <c r="AQ47" i="19" s="1"/>
  <c r="AV47" i="19"/>
  <c r="AW47" i="19" s="1"/>
  <c r="AX47" i="19" s="1"/>
  <c r="BA47" i="19" s="1"/>
  <c r="BB47" i="19"/>
  <c r="BC47" i="19" s="1"/>
  <c r="BH47" i="19"/>
  <c r="BI47" i="19" s="1"/>
  <c r="BJ47" i="19" s="1"/>
  <c r="BM47" i="19" s="1"/>
  <c r="BN47" i="19"/>
  <c r="BO47" i="19" s="1"/>
  <c r="BT47" i="19"/>
  <c r="BU47" i="19" s="1"/>
  <c r="BV47" i="19" s="1"/>
  <c r="BW47" i="19"/>
  <c r="BX47" i="19" s="1"/>
  <c r="BY47" i="19" s="1"/>
  <c r="N59" i="19"/>
  <c r="O59" i="19"/>
  <c r="P59" i="19"/>
  <c r="Q59" i="19"/>
  <c r="R59" i="19"/>
  <c r="S59" i="19"/>
  <c r="T59" i="19"/>
  <c r="U59" i="19"/>
  <c r="V59" i="19"/>
  <c r="W59" i="19"/>
  <c r="X59" i="19"/>
  <c r="Y59" i="19" s="1"/>
  <c r="AD59" i="19"/>
  <c r="AE59" i="19" s="1"/>
  <c r="AJ59" i="19"/>
  <c r="AK59" i="19" s="1"/>
  <c r="AP59" i="19"/>
  <c r="AQ59" i="19" s="1"/>
  <c r="AR59" i="19" s="1"/>
  <c r="AU59" i="19" s="1"/>
  <c r="AV59" i="19"/>
  <c r="AW59" i="19" s="1"/>
  <c r="BB59" i="19"/>
  <c r="BC59" i="19" s="1"/>
  <c r="BH59" i="19"/>
  <c r="BI59" i="19" s="1"/>
  <c r="BN59" i="19"/>
  <c r="BO59" i="19" s="1"/>
  <c r="BT59" i="19"/>
  <c r="BU59" i="19" s="1"/>
  <c r="BV59" i="19" s="1"/>
  <c r="BW59" i="19"/>
  <c r="BX59" i="19" s="1"/>
  <c r="BY59" i="19" s="1"/>
  <c r="N56" i="19"/>
  <c r="O56" i="19"/>
  <c r="P56" i="19"/>
  <c r="Q56" i="19"/>
  <c r="R56" i="19"/>
  <c r="S56" i="19"/>
  <c r="T56" i="19"/>
  <c r="U56" i="19"/>
  <c r="V56" i="19"/>
  <c r="W56" i="19"/>
  <c r="X56" i="19"/>
  <c r="Y56" i="19" s="1"/>
  <c r="AD56" i="19"/>
  <c r="AE56" i="19" s="1"/>
  <c r="AJ56" i="19"/>
  <c r="AK56" i="19" s="1"/>
  <c r="AP56" i="19"/>
  <c r="AQ56" i="19" s="1"/>
  <c r="AV56" i="19"/>
  <c r="AW56" i="19" s="1"/>
  <c r="AX56" i="19" s="1"/>
  <c r="BA56" i="19" s="1"/>
  <c r="BB56" i="19"/>
  <c r="BC56" i="19" s="1"/>
  <c r="BH56" i="19"/>
  <c r="BI56" i="19" s="1"/>
  <c r="BJ56" i="19" s="1"/>
  <c r="BM56" i="19" s="1"/>
  <c r="BN56" i="19"/>
  <c r="BO56" i="19" s="1"/>
  <c r="BQ56" i="19" s="1"/>
  <c r="BR56" i="19" s="1"/>
  <c r="BT56" i="19"/>
  <c r="BU56" i="19" s="1"/>
  <c r="BV56" i="19" s="1"/>
  <c r="BW56" i="19"/>
  <c r="BX56" i="19" s="1"/>
  <c r="BY56" i="19" s="1"/>
  <c r="N33" i="19"/>
  <c r="O33" i="19"/>
  <c r="P33" i="19"/>
  <c r="Q33" i="19"/>
  <c r="R33" i="19"/>
  <c r="S33" i="19"/>
  <c r="T33" i="19"/>
  <c r="U33" i="19"/>
  <c r="V33" i="19"/>
  <c r="W33" i="19"/>
  <c r="X33" i="19"/>
  <c r="Y33" i="19" s="1"/>
  <c r="AD33" i="19"/>
  <c r="AE33" i="19" s="1"/>
  <c r="AJ33" i="19"/>
  <c r="AK33" i="19" s="1"/>
  <c r="AP33" i="19"/>
  <c r="AQ33" i="19" s="1"/>
  <c r="AR33" i="19" s="1"/>
  <c r="AU33" i="19" s="1"/>
  <c r="AV33" i="19"/>
  <c r="AW33" i="19" s="1"/>
  <c r="AY33" i="19" s="1"/>
  <c r="AZ33" i="19" s="1"/>
  <c r="BB33" i="19"/>
  <c r="BC33" i="19" s="1"/>
  <c r="BD33" i="19" s="1"/>
  <c r="BG33" i="19" s="1"/>
  <c r="BH33" i="19"/>
  <c r="BI33" i="19" s="1"/>
  <c r="BN33" i="19"/>
  <c r="BO33" i="19" s="1"/>
  <c r="BT33" i="19"/>
  <c r="BU33" i="19" s="1"/>
  <c r="BV33" i="19" s="1"/>
  <c r="BW33" i="19"/>
  <c r="BX33" i="19" s="1"/>
  <c r="BY33" i="19" s="1"/>
  <c r="N2" i="19"/>
  <c r="O2" i="19"/>
  <c r="P2" i="19"/>
  <c r="Q2" i="19"/>
  <c r="R2" i="19"/>
  <c r="S2" i="19"/>
  <c r="T2" i="19"/>
  <c r="U2" i="19"/>
  <c r="V2" i="19"/>
  <c r="W2" i="19"/>
  <c r="X2" i="19"/>
  <c r="Y2" i="19" s="1"/>
  <c r="AD2" i="19"/>
  <c r="AE2" i="19" s="1"/>
  <c r="AJ2" i="19"/>
  <c r="AK2" i="19" s="1"/>
  <c r="AP2" i="19"/>
  <c r="AQ2" i="19" s="1"/>
  <c r="AV2" i="19"/>
  <c r="AW2" i="19" s="1"/>
  <c r="AX2" i="19" s="1"/>
  <c r="BA2" i="19" s="1"/>
  <c r="BB2" i="19"/>
  <c r="BC2" i="19" s="1"/>
  <c r="BH2" i="19"/>
  <c r="BI2" i="19" s="1"/>
  <c r="BK2" i="19" s="1"/>
  <c r="BL2" i="19" s="1"/>
  <c r="BN2" i="19"/>
  <c r="BO2" i="19" s="1"/>
  <c r="BT2" i="19"/>
  <c r="BU2" i="19" s="1"/>
  <c r="BV2" i="19" s="1"/>
  <c r="BW2" i="19"/>
  <c r="BX2" i="19" s="1"/>
  <c r="BY2" i="19" s="1"/>
  <c r="N17" i="19"/>
  <c r="O17" i="19"/>
  <c r="P17" i="19"/>
  <c r="Q17" i="19"/>
  <c r="R17" i="19"/>
  <c r="S17" i="19"/>
  <c r="T17" i="19"/>
  <c r="U17" i="19"/>
  <c r="V17" i="19"/>
  <c r="W17" i="19"/>
  <c r="X17" i="19"/>
  <c r="Y17" i="19" s="1"/>
  <c r="AD17" i="19"/>
  <c r="AE17" i="19" s="1"/>
  <c r="AJ17" i="19"/>
  <c r="AK17" i="19" s="1"/>
  <c r="AP17" i="19"/>
  <c r="AQ17" i="19" s="1"/>
  <c r="AR17" i="19" s="1"/>
  <c r="AU17" i="19" s="1"/>
  <c r="AV17" i="19"/>
  <c r="AW17" i="19" s="1"/>
  <c r="AY17" i="19" s="1"/>
  <c r="AZ17" i="19" s="1"/>
  <c r="BB17" i="19"/>
  <c r="BC17" i="19" s="1"/>
  <c r="BE17" i="19" s="1"/>
  <c r="BF17" i="19" s="1"/>
  <c r="BH17" i="19"/>
  <c r="BI17" i="19" s="1"/>
  <c r="BN17" i="19"/>
  <c r="BO17" i="19" s="1"/>
  <c r="BT17" i="19"/>
  <c r="BU17" i="19" s="1"/>
  <c r="BV17" i="19" s="1"/>
  <c r="BW17" i="19"/>
  <c r="BX17" i="19" s="1"/>
  <c r="BY17" i="19" s="1"/>
  <c r="N25" i="19"/>
  <c r="O25" i="19"/>
  <c r="P25" i="19"/>
  <c r="Q25" i="19"/>
  <c r="R25" i="19"/>
  <c r="S25" i="19"/>
  <c r="T25" i="19"/>
  <c r="U25" i="19"/>
  <c r="V25" i="19"/>
  <c r="W25" i="19"/>
  <c r="X25" i="19"/>
  <c r="Y25" i="19" s="1"/>
  <c r="AD25" i="19"/>
  <c r="AE25" i="19" s="1"/>
  <c r="AJ25" i="19"/>
  <c r="AK25" i="19" s="1"/>
  <c r="AP25" i="19"/>
  <c r="AQ25" i="19" s="1"/>
  <c r="AV25" i="19"/>
  <c r="AW25" i="19" s="1"/>
  <c r="BB25" i="19"/>
  <c r="BC25" i="19" s="1"/>
  <c r="BH25" i="19"/>
  <c r="BI25" i="19" s="1"/>
  <c r="BN25" i="19"/>
  <c r="BO25" i="19" s="1"/>
  <c r="BT25" i="19"/>
  <c r="BU25" i="19" s="1"/>
  <c r="BV25" i="19" s="1"/>
  <c r="BW25" i="19"/>
  <c r="BX25" i="19" s="1"/>
  <c r="BY25" i="19" s="1"/>
  <c r="N77" i="19"/>
  <c r="O77" i="19"/>
  <c r="P77" i="19"/>
  <c r="Q77" i="19"/>
  <c r="R77" i="19"/>
  <c r="S77" i="19"/>
  <c r="T77" i="19"/>
  <c r="U77" i="19"/>
  <c r="V77" i="19"/>
  <c r="W77" i="19"/>
  <c r="X77" i="19"/>
  <c r="Y77" i="19" s="1"/>
  <c r="AD77" i="19"/>
  <c r="AE77" i="19" s="1"/>
  <c r="AJ77" i="19"/>
  <c r="AK77" i="19" s="1"/>
  <c r="AP77" i="19"/>
  <c r="AQ77" i="19" s="1"/>
  <c r="AR77" i="19" s="1"/>
  <c r="AU77" i="19" s="1"/>
  <c r="AV77" i="19"/>
  <c r="AW77" i="19" s="1"/>
  <c r="BB77" i="19"/>
  <c r="BC77" i="19" s="1"/>
  <c r="BD77" i="19" s="1"/>
  <c r="BG77" i="19" s="1"/>
  <c r="BH77" i="19"/>
  <c r="BI77" i="19" s="1"/>
  <c r="BN77" i="19"/>
  <c r="BO77" i="19" s="1"/>
  <c r="BQ77" i="19" s="1"/>
  <c r="BR77" i="19" s="1"/>
  <c r="BT77" i="19"/>
  <c r="BU77" i="19" s="1"/>
  <c r="BV77" i="19" s="1"/>
  <c r="BW77" i="19"/>
  <c r="BX77" i="19" s="1"/>
  <c r="BY77" i="19" s="1"/>
  <c r="N60" i="19"/>
  <c r="O60" i="19"/>
  <c r="P60" i="19"/>
  <c r="Q60" i="19"/>
  <c r="R60" i="19"/>
  <c r="S60" i="19"/>
  <c r="T60" i="19"/>
  <c r="U60" i="19"/>
  <c r="V60" i="19"/>
  <c r="W60" i="19"/>
  <c r="X60" i="19"/>
  <c r="Y60" i="19" s="1"/>
  <c r="AD60" i="19"/>
  <c r="AE60" i="19" s="1"/>
  <c r="AJ60" i="19"/>
  <c r="AK60" i="19" s="1"/>
  <c r="AP60" i="19"/>
  <c r="AQ60" i="19" s="1"/>
  <c r="AV60" i="19"/>
  <c r="AW60" i="19" s="1"/>
  <c r="BB60" i="19"/>
  <c r="BC60" i="19" s="1"/>
  <c r="BH60" i="19"/>
  <c r="BI60" i="19" s="1"/>
  <c r="BJ60" i="19" s="1"/>
  <c r="BM60" i="19" s="1"/>
  <c r="BN60" i="19"/>
  <c r="BO60" i="19" s="1"/>
  <c r="BT60" i="19"/>
  <c r="BU60" i="19" s="1"/>
  <c r="BV60" i="19" s="1"/>
  <c r="BW60" i="19"/>
  <c r="BX60" i="19" s="1"/>
  <c r="BY60" i="19" s="1"/>
  <c r="N66" i="19"/>
  <c r="O66" i="19"/>
  <c r="P66" i="19"/>
  <c r="Q66" i="19"/>
  <c r="R66" i="19"/>
  <c r="S66" i="19"/>
  <c r="T66" i="19"/>
  <c r="U66" i="19"/>
  <c r="V66" i="19"/>
  <c r="W66" i="19"/>
  <c r="X66" i="19"/>
  <c r="Y66" i="19" s="1"/>
  <c r="AD66" i="19"/>
  <c r="AE66" i="19" s="1"/>
  <c r="AJ66" i="19"/>
  <c r="AK66" i="19" s="1"/>
  <c r="AP66" i="19"/>
  <c r="AQ66" i="19" s="1"/>
  <c r="AR66" i="19" s="1"/>
  <c r="AU66" i="19" s="1"/>
  <c r="AV66" i="19"/>
  <c r="AW66" i="19" s="1"/>
  <c r="BB66" i="19"/>
  <c r="BC66" i="19" s="1"/>
  <c r="BH66" i="19"/>
  <c r="BI66" i="19" s="1"/>
  <c r="BK66" i="19" s="1"/>
  <c r="BL66" i="19" s="1"/>
  <c r="BN66" i="19"/>
  <c r="BO66" i="19" s="1"/>
  <c r="BT66" i="19"/>
  <c r="BU66" i="19" s="1"/>
  <c r="BV66" i="19" s="1"/>
  <c r="BW66" i="19"/>
  <c r="BX66" i="19" s="1"/>
  <c r="BY66" i="19" s="1"/>
  <c r="N62" i="19"/>
  <c r="O62" i="19"/>
  <c r="P62" i="19"/>
  <c r="Q62" i="19"/>
  <c r="R62" i="19"/>
  <c r="S62" i="19"/>
  <c r="T62" i="19"/>
  <c r="U62" i="19"/>
  <c r="V62" i="19"/>
  <c r="W62" i="19"/>
  <c r="X62" i="19"/>
  <c r="Y62" i="19" s="1"/>
  <c r="AD62" i="19"/>
  <c r="AE62" i="19" s="1"/>
  <c r="AJ62" i="19"/>
  <c r="AK62" i="19" s="1"/>
  <c r="AP62" i="19"/>
  <c r="AQ62" i="19" s="1"/>
  <c r="AV62" i="19"/>
  <c r="AW62" i="19" s="1"/>
  <c r="BB62" i="19"/>
  <c r="BC62" i="19" s="1"/>
  <c r="BH62" i="19"/>
  <c r="BI62" i="19" s="1"/>
  <c r="BN62" i="19"/>
  <c r="BO62" i="19" s="1"/>
  <c r="BQ62" i="19" s="1"/>
  <c r="BR62" i="19" s="1"/>
  <c r="BT62" i="19"/>
  <c r="BU62" i="19" s="1"/>
  <c r="BV62" i="19" s="1"/>
  <c r="BW62" i="19"/>
  <c r="BX62" i="19" s="1"/>
  <c r="BY62" i="19" s="1"/>
  <c r="N94" i="19"/>
  <c r="O94" i="19"/>
  <c r="P94" i="19"/>
  <c r="Q94" i="19"/>
  <c r="R94" i="19"/>
  <c r="S94" i="19"/>
  <c r="T94" i="19"/>
  <c r="U94" i="19"/>
  <c r="V94" i="19"/>
  <c r="W94" i="19"/>
  <c r="X94" i="19"/>
  <c r="Y94" i="19" s="1"/>
  <c r="AD94" i="19"/>
  <c r="AE94" i="19" s="1"/>
  <c r="AJ94" i="19"/>
  <c r="AK94" i="19" s="1"/>
  <c r="AP94" i="19"/>
  <c r="AQ94" i="19" s="1"/>
  <c r="AR94" i="19" s="1"/>
  <c r="AU94" i="19" s="1"/>
  <c r="AV94" i="19"/>
  <c r="AW94" i="19" s="1"/>
  <c r="AX94" i="19" s="1"/>
  <c r="BA94" i="19" s="1"/>
  <c r="BB94" i="19"/>
  <c r="BC94" i="19" s="1"/>
  <c r="BE94" i="19" s="1"/>
  <c r="BF94" i="19" s="1"/>
  <c r="BH94" i="19"/>
  <c r="BI94" i="19" s="1"/>
  <c r="BN94" i="19"/>
  <c r="BO94" i="19" s="1"/>
  <c r="BT94" i="19"/>
  <c r="BU94" i="19" s="1"/>
  <c r="BV94" i="19" s="1"/>
  <c r="BW94" i="19"/>
  <c r="BX94" i="19" s="1"/>
  <c r="BY94" i="19" s="1"/>
  <c r="N52" i="19"/>
  <c r="O52" i="19"/>
  <c r="P52" i="19"/>
  <c r="Q52" i="19"/>
  <c r="R52" i="19"/>
  <c r="S52" i="19"/>
  <c r="T52" i="19"/>
  <c r="U52" i="19"/>
  <c r="V52" i="19"/>
  <c r="W52" i="19"/>
  <c r="X52" i="19"/>
  <c r="Y52" i="19" s="1"/>
  <c r="AD52" i="19"/>
  <c r="AE52" i="19" s="1"/>
  <c r="AJ52" i="19"/>
  <c r="AK52" i="19" s="1"/>
  <c r="AP52" i="19"/>
  <c r="AQ52" i="19" s="1"/>
  <c r="AV52" i="19"/>
  <c r="AW52" i="19" s="1"/>
  <c r="AY52" i="19" s="1"/>
  <c r="AZ52" i="19" s="1"/>
  <c r="BB52" i="19"/>
  <c r="BC52" i="19" s="1"/>
  <c r="BD52" i="19" s="1"/>
  <c r="BG52" i="19" s="1"/>
  <c r="BH52" i="19"/>
  <c r="BI52" i="19" s="1"/>
  <c r="BN52" i="19"/>
  <c r="BO52" i="19" s="1"/>
  <c r="BT52" i="19"/>
  <c r="BU52" i="19" s="1"/>
  <c r="BV52" i="19" s="1"/>
  <c r="BW52" i="19"/>
  <c r="BX52" i="19" s="1"/>
  <c r="BY52" i="19" s="1"/>
  <c r="N89" i="19"/>
  <c r="O89" i="19"/>
  <c r="P89" i="19"/>
  <c r="Q89" i="19"/>
  <c r="R89" i="19"/>
  <c r="S89" i="19"/>
  <c r="T89" i="19"/>
  <c r="U89" i="19"/>
  <c r="V89" i="19"/>
  <c r="W89" i="19"/>
  <c r="X89" i="19"/>
  <c r="Y89" i="19" s="1"/>
  <c r="AD89" i="19"/>
  <c r="AE89" i="19" s="1"/>
  <c r="AJ89" i="19"/>
  <c r="AK89" i="19" s="1"/>
  <c r="AP89" i="19"/>
  <c r="AQ89" i="19" s="1"/>
  <c r="AR89" i="19" s="1"/>
  <c r="AU89" i="19" s="1"/>
  <c r="AV89" i="19"/>
  <c r="AW89" i="19" s="1"/>
  <c r="AY89" i="19" s="1"/>
  <c r="AZ89" i="19" s="1"/>
  <c r="BB89" i="19"/>
  <c r="BC89" i="19" s="1"/>
  <c r="BD89" i="19" s="1"/>
  <c r="BG89" i="19" s="1"/>
  <c r="BH89" i="19"/>
  <c r="BI89" i="19" s="1"/>
  <c r="BJ89" i="19" s="1"/>
  <c r="BM89" i="19" s="1"/>
  <c r="BN89" i="19"/>
  <c r="BO89" i="19" s="1"/>
  <c r="BT89" i="19"/>
  <c r="BU89" i="19" s="1"/>
  <c r="BV89" i="19" s="1"/>
  <c r="BW89" i="19"/>
  <c r="BX89" i="19" s="1"/>
  <c r="BY89" i="19" s="1"/>
  <c r="N26" i="19"/>
  <c r="O26" i="19"/>
  <c r="P26" i="19"/>
  <c r="Q26" i="19"/>
  <c r="R26" i="19"/>
  <c r="S26" i="19"/>
  <c r="T26" i="19"/>
  <c r="U26" i="19"/>
  <c r="V26" i="19"/>
  <c r="W26" i="19"/>
  <c r="X26" i="19"/>
  <c r="Y26" i="19" s="1"/>
  <c r="AD26" i="19"/>
  <c r="AE26" i="19" s="1"/>
  <c r="AJ26" i="19"/>
  <c r="AK26" i="19" s="1"/>
  <c r="AP26" i="19"/>
  <c r="AQ26" i="19" s="1"/>
  <c r="AV26" i="19"/>
  <c r="AW26" i="19" s="1"/>
  <c r="AY26" i="19" s="1"/>
  <c r="AZ26" i="19" s="1"/>
  <c r="BB26" i="19"/>
  <c r="BC26" i="19" s="1"/>
  <c r="BE26" i="19" s="1"/>
  <c r="BF26" i="19" s="1"/>
  <c r="BH26" i="19"/>
  <c r="BI26" i="19" s="1"/>
  <c r="BN26" i="19"/>
  <c r="BO26" i="19" s="1"/>
  <c r="BQ26" i="19" s="1"/>
  <c r="BR26" i="19" s="1"/>
  <c r="BT26" i="19"/>
  <c r="BU26" i="19" s="1"/>
  <c r="BV26" i="19" s="1"/>
  <c r="BW26" i="19"/>
  <c r="BX26" i="19" s="1"/>
  <c r="BY26" i="19" s="1"/>
  <c r="N98" i="19"/>
  <c r="O98" i="19"/>
  <c r="P98" i="19"/>
  <c r="Q98" i="19"/>
  <c r="R98" i="19"/>
  <c r="S98" i="19"/>
  <c r="T98" i="19"/>
  <c r="U98" i="19"/>
  <c r="V98" i="19"/>
  <c r="W98" i="19"/>
  <c r="X98" i="19"/>
  <c r="Y98" i="19" s="1"/>
  <c r="AD98" i="19"/>
  <c r="AE98" i="19" s="1"/>
  <c r="AJ98" i="19"/>
  <c r="AK98" i="19" s="1"/>
  <c r="AP98" i="19"/>
  <c r="AQ98" i="19" s="1"/>
  <c r="AR98" i="19" s="1"/>
  <c r="AU98" i="19" s="1"/>
  <c r="AV98" i="19"/>
  <c r="AW98" i="19" s="1"/>
  <c r="BB98" i="19"/>
  <c r="BC98" i="19" s="1"/>
  <c r="BH98" i="19"/>
  <c r="BI98" i="19" s="1"/>
  <c r="BN98" i="19"/>
  <c r="BO98" i="19" s="1"/>
  <c r="BQ98" i="19" s="1"/>
  <c r="BR98" i="19" s="1"/>
  <c r="BT98" i="19"/>
  <c r="BU98" i="19" s="1"/>
  <c r="BV98" i="19" s="1"/>
  <c r="BW98" i="19"/>
  <c r="BX98" i="19" s="1"/>
  <c r="BY98" i="19" s="1"/>
  <c r="N95" i="19"/>
  <c r="O95" i="19"/>
  <c r="P95" i="19"/>
  <c r="Q95" i="19"/>
  <c r="R95" i="19"/>
  <c r="S95" i="19"/>
  <c r="T95" i="19"/>
  <c r="U95" i="19"/>
  <c r="V95" i="19"/>
  <c r="W95" i="19"/>
  <c r="X95" i="19"/>
  <c r="Y95" i="19" s="1"/>
  <c r="AD95" i="19"/>
  <c r="AE95" i="19" s="1"/>
  <c r="AJ95" i="19"/>
  <c r="AK95" i="19" s="1"/>
  <c r="AP95" i="19"/>
  <c r="AQ95" i="19" s="1"/>
  <c r="AV95" i="19"/>
  <c r="AW95" i="19" s="1"/>
  <c r="AY95" i="19" s="1"/>
  <c r="AZ95" i="19" s="1"/>
  <c r="BB95" i="19"/>
  <c r="BC95" i="19" s="1"/>
  <c r="BH95" i="19"/>
  <c r="BI95" i="19" s="1"/>
  <c r="BK95" i="19" s="1"/>
  <c r="BL95" i="19" s="1"/>
  <c r="BN95" i="19"/>
  <c r="BO95" i="19" s="1"/>
  <c r="BT95" i="19"/>
  <c r="BU95" i="19" s="1"/>
  <c r="BV95" i="19" s="1"/>
  <c r="BW95" i="19"/>
  <c r="BX95" i="19" s="1"/>
  <c r="BY95" i="19" s="1"/>
  <c r="N30" i="19"/>
  <c r="O30" i="19"/>
  <c r="P30" i="19"/>
  <c r="Q30" i="19"/>
  <c r="R30" i="19"/>
  <c r="S30" i="19"/>
  <c r="T30" i="19"/>
  <c r="U30" i="19"/>
  <c r="V30" i="19"/>
  <c r="W30" i="19"/>
  <c r="X30" i="19"/>
  <c r="Y30" i="19" s="1"/>
  <c r="AD30" i="19"/>
  <c r="AE30" i="19" s="1"/>
  <c r="AJ30" i="19"/>
  <c r="AK30" i="19" s="1"/>
  <c r="AP30" i="19"/>
  <c r="AQ30" i="19" s="1"/>
  <c r="AR30" i="19" s="1"/>
  <c r="AU30" i="19" s="1"/>
  <c r="AV30" i="19"/>
  <c r="AW30" i="19" s="1"/>
  <c r="BB30" i="19"/>
  <c r="BC30" i="19" s="1"/>
  <c r="BD30" i="19" s="1"/>
  <c r="BG30" i="19" s="1"/>
  <c r="BH30" i="19"/>
  <c r="BI30" i="19" s="1"/>
  <c r="BN30" i="19"/>
  <c r="BO30" i="19" s="1"/>
  <c r="BT30" i="19"/>
  <c r="BU30" i="19" s="1"/>
  <c r="BV30" i="19" s="1"/>
  <c r="BW30" i="19"/>
  <c r="BX30" i="19" s="1"/>
  <c r="BY30" i="19" s="1"/>
  <c r="N97" i="19"/>
  <c r="O97" i="19"/>
  <c r="P97" i="19"/>
  <c r="Q97" i="19"/>
  <c r="R97" i="19"/>
  <c r="S97" i="19"/>
  <c r="T97" i="19"/>
  <c r="U97" i="19"/>
  <c r="V97" i="19"/>
  <c r="W97" i="19"/>
  <c r="X97" i="19"/>
  <c r="Y97" i="19" s="1"/>
  <c r="AD97" i="19"/>
  <c r="AE97" i="19" s="1"/>
  <c r="AJ97" i="19"/>
  <c r="AK97" i="19" s="1"/>
  <c r="AP97" i="19"/>
  <c r="AQ97" i="19" s="1"/>
  <c r="AV97" i="19"/>
  <c r="AW97" i="19" s="1"/>
  <c r="BB97" i="19"/>
  <c r="BC97" i="19" s="1"/>
  <c r="BE97" i="19" s="1"/>
  <c r="BF97" i="19" s="1"/>
  <c r="BH97" i="19"/>
  <c r="BI97" i="19" s="1"/>
  <c r="BK97" i="19" s="1"/>
  <c r="BL97" i="19" s="1"/>
  <c r="BN97" i="19"/>
  <c r="BO97" i="19" s="1"/>
  <c r="BQ97" i="19" s="1"/>
  <c r="BR97" i="19" s="1"/>
  <c r="BT97" i="19"/>
  <c r="BU97" i="19" s="1"/>
  <c r="BV97" i="19" s="1"/>
  <c r="BW97" i="19"/>
  <c r="BX97" i="19" s="1"/>
  <c r="BY97" i="19" s="1"/>
  <c r="N6" i="19"/>
  <c r="O6" i="19"/>
  <c r="P6" i="19"/>
  <c r="Q6" i="19"/>
  <c r="R6" i="19"/>
  <c r="S6" i="19"/>
  <c r="T6" i="19"/>
  <c r="U6" i="19"/>
  <c r="V6" i="19"/>
  <c r="W6" i="19"/>
  <c r="X6" i="19"/>
  <c r="Y6" i="19" s="1"/>
  <c r="AD6" i="19"/>
  <c r="AE6" i="19" s="1"/>
  <c r="AJ6" i="19"/>
  <c r="AK6" i="19" s="1"/>
  <c r="AP6" i="19"/>
  <c r="AQ6" i="19" s="1"/>
  <c r="AR6" i="19" s="1"/>
  <c r="AU6" i="19" s="1"/>
  <c r="AV6" i="19"/>
  <c r="AW6" i="19" s="1"/>
  <c r="AX6" i="19" s="1"/>
  <c r="BA6" i="19" s="1"/>
  <c r="BB6" i="19"/>
  <c r="BC6" i="19" s="1"/>
  <c r="BE6" i="19" s="1"/>
  <c r="BF6" i="19" s="1"/>
  <c r="BH6" i="19"/>
  <c r="BI6" i="19" s="1"/>
  <c r="BJ6" i="19" s="1"/>
  <c r="BM6" i="19" s="1"/>
  <c r="BN6" i="19"/>
  <c r="BO6" i="19" s="1"/>
  <c r="BP6" i="19" s="1"/>
  <c r="BS6" i="19" s="1"/>
  <c r="BT6" i="19"/>
  <c r="BU6" i="19" s="1"/>
  <c r="BV6" i="19" s="1"/>
  <c r="BW6" i="19"/>
  <c r="BX6" i="19" s="1"/>
  <c r="BY6" i="19" s="1"/>
  <c r="N88" i="19"/>
  <c r="O88" i="19"/>
  <c r="P88" i="19"/>
  <c r="Q88" i="19"/>
  <c r="R88" i="19"/>
  <c r="S88" i="19"/>
  <c r="T88" i="19"/>
  <c r="U88" i="19"/>
  <c r="V88" i="19"/>
  <c r="W88" i="19"/>
  <c r="X88" i="19"/>
  <c r="Y88" i="19" s="1"/>
  <c r="AD88" i="19"/>
  <c r="AE88" i="19" s="1"/>
  <c r="AJ88" i="19"/>
  <c r="AK88" i="19" s="1"/>
  <c r="AP88" i="19"/>
  <c r="AQ88" i="19" s="1"/>
  <c r="AV88" i="19"/>
  <c r="AW88" i="19" s="1"/>
  <c r="BB88" i="19"/>
  <c r="BC88" i="19" s="1"/>
  <c r="BE88" i="19" s="1"/>
  <c r="BF88" i="19" s="1"/>
  <c r="BH88" i="19"/>
  <c r="BI88" i="19" s="1"/>
  <c r="BN88" i="19"/>
  <c r="BO88" i="19" s="1"/>
  <c r="BP88" i="19" s="1"/>
  <c r="BS88" i="19" s="1"/>
  <c r="BT88" i="19"/>
  <c r="BU88" i="19" s="1"/>
  <c r="BV88" i="19" s="1"/>
  <c r="BW88" i="19"/>
  <c r="BX88" i="19" s="1"/>
  <c r="BY88" i="19" s="1"/>
  <c r="N100" i="19"/>
  <c r="O100" i="19"/>
  <c r="P100" i="19"/>
  <c r="Q100" i="19"/>
  <c r="R100" i="19"/>
  <c r="S100" i="19"/>
  <c r="T100" i="19"/>
  <c r="U100" i="19"/>
  <c r="V100" i="19"/>
  <c r="W100" i="19"/>
  <c r="X100" i="19"/>
  <c r="Y100" i="19" s="1"/>
  <c r="AD100" i="19"/>
  <c r="AE100" i="19" s="1"/>
  <c r="AJ100" i="19"/>
  <c r="AK100" i="19" s="1"/>
  <c r="AP100" i="19"/>
  <c r="AQ100" i="19" s="1"/>
  <c r="AR100" i="19" s="1"/>
  <c r="AU100" i="19" s="1"/>
  <c r="AV100" i="19"/>
  <c r="AW100" i="19" s="1"/>
  <c r="AX100" i="19" s="1"/>
  <c r="BA100" i="19" s="1"/>
  <c r="BB100" i="19"/>
  <c r="BC100" i="19" s="1"/>
  <c r="BH100" i="19"/>
  <c r="BI100" i="19" s="1"/>
  <c r="BK100" i="19" s="1"/>
  <c r="BL100" i="19" s="1"/>
  <c r="BN100" i="19"/>
  <c r="BO100" i="19" s="1"/>
  <c r="BT100" i="19"/>
  <c r="BU100" i="19" s="1"/>
  <c r="BV100" i="19" s="1"/>
  <c r="BW100" i="19"/>
  <c r="BX100" i="19" s="1"/>
  <c r="BY100" i="19" s="1"/>
  <c r="N86" i="19"/>
  <c r="O86" i="19"/>
  <c r="P86" i="19"/>
  <c r="Q86" i="19"/>
  <c r="R86" i="19"/>
  <c r="S86" i="19"/>
  <c r="T86" i="19"/>
  <c r="U86" i="19"/>
  <c r="V86" i="19"/>
  <c r="W86" i="19"/>
  <c r="X86" i="19"/>
  <c r="AD86" i="19"/>
  <c r="AJ86" i="19"/>
  <c r="AP86" i="19"/>
  <c r="AV86" i="19"/>
  <c r="BB86" i="19"/>
  <c r="BH86" i="19"/>
  <c r="BN86" i="19"/>
  <c r="BT86" i="19"/>
  <c r="BW86" i="19"/>
  <c r="N99" i="19"/>
  <c r="O99" i="19"/>
  <c r="P99" i="19"/>
  <c r="Q99" i="19"/>
  <c r="R99" i="19"/>
  <c r="S99" i="19"/>
  <c r="T99" i="19"/>
  <c r="U99" i="19"/>
  <c r="V99" i="19"/>
  <c r="W99" i="19"/>
  <c r="X99" i="19"/>
  <c r="Y99" i="19" s="1"/>
  <c r="AD99" i="19"/>
  <c r="AE99" i="19" s="1"/>
  <c r="AJ99" i="19"/>
  <c r="AK99" i="19" s="1"/>
  <c r="AP99" i="19"/>
  <c r="AQ99" i="19" s="1"/>
  <c r="AR99" i="19" s="1"/>
  <c r="AU99" i="19" s="1"/>
  <c r="AV99" i="19"/>
  <c r="AW99" i="19" s="1"/>
  <c r="BB99" i="19"/>
  <c r="BC99" i="19" s="1"/>
  <c r="BH99" i="19"/>
  <c r="BI99" i="19" s="1"/>
  <c r="BK99" i="19" s="1"/>
  <c r="BL99" i="19" s="1"/>
  <c r="BN99" i="19"/>
  <c r="BO99" i="19" s="1"/>
  <c r="BT99" i="19"/>
  <c r="BU99" i="19" s="1"/>
  <c r="BV99" i="19" s="1"/>
  <c r="BW99" i="19"/>
  <c r="BX99" i="19" s="1"/>
  <c r="BY99" i="19" s="1"/>
  <c r="N50" i="19"/>
  <c r="O50" i="19"/>
  <c r="P50" i="19"/>
  <c r="Q50" i="19"/>
  <c r="R50" i="19"/>
  <c r="S50" i="19"/>
  <c r="T50" i="19"/>
  <c r="U50" i="19"/>
  <c r="V50" i="19"/>
  <c r="W50" i="19"/>
  <c r="X50" i="19"/>
  <c r="Y50" i="19" s="1"/>
  <c r="AD50" i="19"/>
  <c r="AE50" i="19" s="1"/>
  <c r="AJ50" i="19"/>
  <c r="AK50" i="19" s="1"/>
  <c r="AP50" i="19"/>
  <c r="AQ50" i="19" s="1"/>
  <c r="AV50" i="19"/>
  <c r="AW50" i="19" s="1"/>
  <c r="BB50" i="19"/>
  <c r="BC50" i="19" s="1"/>
  <c r="BH50" i="19"/>
  <c r="BI50" i="19" s="1"/>
  <c r="BN50" i="19"/>
  <c r="BO50" i="19" s="1"/>
  <c r="BT50" i="19"/>
  <c r="BU50" i="19" s="1"/>
  <c r="BV50" i="19" s="1"/>
  <c r="BW50" i="19"/>
  <c r="BX50" i="19" s="1"/>
  <c r="BY50" i="19" s="1"/>
  <c r="N46" i="19"/>
  <c r="O46" i="19"/>
  <c r="P46" i="19"/>
  <c r="Q46" i="19"/>
  <c r="R46" i="19"/>
  <c r="S46" i="19"/>
  <c r="T46" i="19"/>
  <c r="U46" i="19"/>
  <c r="V46" i="19"/>
  <c r="W46" i="19"/>
  <c r="X46" i="19"/>
  <c r="Y46" i="19" s="1"/>
  <c r="AD46" i="19"/>
  <c r="AE46" i="19" s="1"/>
  <c r="AJ46" i="19"/>
  <c r="AK46" i="19" s="1"/>
  <c r="AP46" i="19"/>
  <c r="AQ46" i="19" s="1"/>
  <c r="AR46" i="19" s="1"/>
  <c r="AU46" i="19" s="1"/>
  <c r="AV46" i="19"/>
  <c r="AW46" i="19" s="1"/>
  <c r="AY46" i="19" s="1"/>
  <c r="AZ46" i="19" s="1"/>
  <c r="BB46" i="19"/>
  <c r="BC46" i="19" s="1"/>
  <c r="BE46" i="19" s="1"/>
  <c r="BF46" i="19" s="1"/>
  <c r="BH46" i="19"/>
  <c r="BI46" i="19" s="1"/>
  <c r="BK46" i="19" s="1"/>
  <c r="BL46" i="19" s="1"/>
  <c r="BN46" i="19"/>
  <c r="BO46" i="19" s="1"/>
  <c r="BT46" i="19"/>
  <c r="BU46" i="19" s="1"/>
  <c r="BV46" i="19" s="1"/>
  <c r="BW46" i="19"/>
  <c r="BX46" i="19" s="1"/>
  <c r="BY46" i="19" s="1"/>
  <c r="N20" i="19"/>
  <c r="O20" i="19"/>
  <c r="P20" i="19"/>
  <c r="Q20" i="19"/>
  <c r="R20" i="19"/>
  <c r="S20" i="19"/>
  <c r="T20" i="19"/>
  <c r="U20" i="19"/>
  <c r="V20" i="19"/>
  <c r="W20" i="19"/>
  <c r="X20" i="19"/>
  <c r="Y20" i="19" s="1"/>
  <c r="AD20" i="19"/>
  <c r="AE20" i="19" s="1"/>
  <c r="AJ20" i="19"/>
  <c r="AK20" i="19" s="1"/>
  <c r="AP20" i="19"/>
  <c r="AQ20" i="19" s="1"/>
  <c r="AV20" i="19"/>
  <c r="AW20" i="19" s="1"/>
  <c r="AY20" i="19" s="1"/>
  <c r="AZ20" i="19" s="1"/>
  <c r="BB20" i="19"/>
  <c r="BC20" i="19" s="1"/>
  <c r="BH20" i="19"/>
  <c r="BI20" i="19" s="1"/>
  <c r="BN20" i="19"/>
  <c r="BO20" i="19" s="1"/>
  <c r="BQ20" i="19" s="1"/>
  <c r="BR20" i="19" s="1"/>
  <c r="BT20" i="19"/>
  <c r="BU20" i="19" s="1"/>
  <c r="BV20" i="19" s="1"/>
  <c r="BW20" i="19"/>
  <c r="BX20" i="19" s="1"/>
  <c r="BY20" i="19" s="1"/>
  <c r="N83" i="19"/>
  <c r="O83" i="19"/>
  <c r="P83" i="19"/>
  <c r="Q83" i="19"/>
  <c r="R83" i="19"/>
  <c r="S83" i="19"/>
  <c r="T83" i="19"/>
  <c r="U83" i="19"/>
  <c r="V83" i="19"/>
  <c r="W83" i="19"/>
  <c r="X83" i="19"/>
  <c r="Y83" i="19" s="1"/>
  <c r="AD83" i="19"/>
  <c r="AE83" i="19" s="1"/>
  <c r="AJ83" i="19"/>
  <c r="AK83" i="19" s="1"/>
  <c r="AP83" i="19"/>
  <c r="AQ83" i="19" s="1"/>
  <c r="AR83" i="19" s="1"/>
  <c r="AU83" i="19" s="1"/>
  <c r="AV83" i="19"/>
  <c r="AW83" i="19" s="1"/>
  <c r="BB83" i="19"/>
  <c r="BC83" i="19" s="1"/>
  <c r="BH83" i="19"/>
  <c r="BI83" i="19" s="1"/>
  <c r="BK83" i="19" s="1"/>
  <c r="BL83" i="19" s="1"/>
  <c r="BN83" i="19"/>
  <c r="BO83" i="19" s="1"/>
  <c r="BP83" i="19" s="1"/>
  <c r="BS83" i="19" s="1"/>
  <c r="BT83" i="19"/>
  <c r="BU83" i="19" s="1"/>
  <c r="BV83" i="19" s="1"/>
  <c r="BW83" i="19"/>
  <c r="BX83" i="19" s="1"/>
  <c r="BY83" i="19" s="1"/>
  <c r="N38" i="19"/>
  <c r="O38" i="19"/>
  <c r="P38" i="19"/>
  <c r="Q38" i="19"/>
  <c r="R38" i="19"/>
  <c r="S38" i="19"/>
  <c r="T38" i="19"/>
  <c r="U38" i="19"/>
  <c r="V38" i="19"/>
  <c r="W38" i="19"/>
  <c r="X38" i="19"/>
  <c r="Y38" i="19" s="1"/>
  <c r="AD38" i="19"/>
  <c r="AE38" i="19" s="1"/>
  <c r="AJ38" i="19"/>
  <c r="AK38" i="19" s="1"/>
  <c r="AP38" i="19"/>
  <c r="AQ38" i="19" s="1"/>
  <c r="AV38" i="19"/>
  <c r="AW38" i="19" s="1"/>
  <c r="AX38" i="19" s="1"/>
  <c r="BA38" i="19" s="1"/>
  <c r="BB38" i="19"/>
  <c r="BC38" i="19" s="1"/>
  <c r="BH38" i="19"/>
  <c r="BI38" i="19" s="1"/>
  <c r="BN38" i="19"/>
  <c r="BO38" i="19" s="1"/>
  <c r="BT38" i="19"/>
  <c r="BU38" i="19" s="1"/>
  <c r="BV38" i="19" s="1"/>
  <c r="BW38" i="19"/>
  <c r="BX38" i="19" s="1"/>
  <c r="BY38" i="19" s="1"/>
  <c r="N74" i="19"/>
  <c r="O74" i="19"/>
  <c r="P74" i="19"/>
  <c r="Q74" i="19"/>
  <c r="R74" i="19"/>
  <c r="S74" i="19"/>
  <c r="T74" i="19"/>
  <c r="U74" i="19"/>
  <c r="V74" i="19"/>
  <c r="W74" i="19"/>
  <c r="X74" i="19"/>
  <c r="Y74" i="19" s="1"/>
  <c r="AD74" i="19"/>
  <c r="AE74" i="19" s="1"/>
  <c r="AJ74" i="19"/>
  <c r="AK74" i="19" s="1"/>
  <c r="AP74" i="19"/>
  <c r="AQ74" i="19" s="1"/>
  <c r="AR74" i="19" s="1"/>
  <c r="AU74" i="19" s="1"/>
  <c r="AV74" i="19"/>
  <c r="AW74" i="19" s="1"/>
  <c r="AX74" i="19" s="1"/>
  <c r="BA74" i="19" s="1"/>
  <c r="BB74" i="19"/>
  <c r="BC74" i="19" s="1"/>
  <c r="BH74" i="19"/>
  <c r="BI74" i="19" s="1"/>
  <c r="BN74" i="19"/>
  <c r="BO74" i="19" s="1"/>
  <c r="BT74" i="19"/>
  <c r="BU74" i="19" s="1"/>
  <c r="BV74" i="19" s="1"/>
  <c r="BW74" i="19"/>
  <c r="BX74" i="19" s="1"/>
  <c r="BY74" i="19" s="1"/>
  <c r="N3" i="19"/>
  <c r="O3" i="19"/>
  <c r="P3" i="19"/>
  <c r="Q3" i="19"/>
  <c r="R3" i="19"/>
  <c r="S3" i="19"/>
  <c r="T3" i="19"/>
  <c r="U3" i="19"/>
  <c r="V3" i="19"/>
  <c r="W3" i="19"/>
  <c r="X3" i="19"/>
  <c r="Y3" i="19" s="1"/>
  <c r="AD3" i="19"/>
  <c r="AE3" i="19" s="1"/>
  <c r="AJ3" i="19"/>
  <c r="AK3" i="19" s="1"/>
  <c r="AP3" i="19"/>
  <c r="AQ3" i="19" s="1"/>
  <c r="AV3" i="19"/>
  <c r="AW3" i="19" s="1"/>
  <c r="BB3" i="19"/>
  <c r="BC3" i="19" s="1"/>
  <c r="BD3" i="19" s="1"/>
  <c r="BG3" i="19" s="1"/>
  <c r="BH3" i="19"/>
  <c r="BI3" i="19" s="1"/>
  <c r="BN3" i="19"/>
  <c r="BO3" i="19" s="1"/>
  <c r="BT3" i="19"/>
  <c r="BU3" i="19" s="1"/>
  <c r="BV3" i="19" s="1"/>
  <c r="BW3" i="19"/>
  <c r="BX3" i="19" s="1"/>
  <c r="BY3" i="19" s="1"/>
  <c r="N91" i="19"/>
  <c r="O91" i="19"/>
  <c r="P91" i="19"/>
  <c r="Q91" i="19"/>
  <c r="R91" i="19"/>
  <c r="S91" i="19"/>
  <c r="T91" i="19"/>
  <c r="U91" i="19"/>
  <c r="V91" i="19"/>
  <c r="W91" i="19"/>
  <c r="X91" i="19"/>
  <c r="Y91" i="19" s="1"/>
  <c r="AD91" i="19"/>
  <c r="AE91" i="19" s="1"/>
  <c r="AJ91" i="19"/>
  <c r="AK91" i="19" s="1"/>
  <c r="AP91" i="19"/>
  <c r="AQ91" i="19" s="1"/>
  <c r="AR91" i="19" s="1"/>
  <c r="AU91" i="19" s="1"/>
  <c r="AV91" i="19"/>
  <c r="AW91" i="19" s="1"/>
  <c r="AY91" i="19" s="1"/>
  <c r="AZ91" i="19" s="1"/>
  <c r="BB91" i="19"/>
  <c r="BC91" i="19" s="1"/>
  <c r="BH91" i="19"/>
  <c r="BI91" i="19" s="1"/>
  <c r="BJ91" i="19" s="1"/>
  <c r="BM91" i="19" s="1"/>
  <c r="BN91" i="19"/>
  <c r="BO91" i="19" s="1"/>
  <c r="BP91" i="19" s="1"/>
  <c r="BS91" i="19" s="1"/>
  <c r="BT91" i="19"/>
  <c r="BU91" i="19" s="1"/>
  <c r="BV91" i="19" s="1"/>
  <c r="BW91" i="19"/>
  <c r="BX91" i="19" s="1"/>
  <c r="BY91" i="19" s="1"/>
  <c r="N5" i="19"/>
  <c r="O5" i="19"/>
  <c r="P5" i="19"/>
  <c r="Q5" i="19"/>
  <c r="R5" i="19"/>
  <c r="S5" i="19"/>
  <c r="T5" i="19"/>
  <c r="U5" i="19"/>
  <c r="V5" i="19"/>
  <c r="W5" i="19"/>
  <c r="X5" i="19"/>
  <c r="Y5" i="19" s="1"/>
  <c r="AD5" i="19"/>
  <c r="AE5" i="19" s="1"/>
  <c r="AJ5" i="19"/>
  <c r="AK5" i="19" s="1"/>
  <c r="AP5" i="19"/>
  <c r="AQ5" i="19" s="1"/>
  <c r="AV5" i="19"/>
  <c r="AW5" i="19" s="1"/>
  <c r="BB5" i="19"/>
  <c r="BC5" i="19" s="1"/>
  <c r="BE5" i="19" s="1"/>
  <c r="BF5" i="19" s="1"/>
  <c r="BH5" i="19"/>
  <c r="BI5" i="19" s="1"/>
  <c r="BN5" i="19"/>
  <c r="BO5" i="19" s="1"/>
  <c r="BT5" i="19"/>
  <c r="BU5" i="19" s="1"/>
  <c r="BV5" i="19" s="1"/>
  <c r="BW5" i="19"/>
  <c r="BX5" i="19" s="1"/>
  <c r="BY5" i="19" s="1"/>
  <c r="N48" i="19"/>
  <c r="O48" i="19"/>
  <c r="P48" i="19"/>
  <c r="Q48" i="19"/>
  <c r="R48" i="19"/>
  <c r="S48" i="19"/>
  <c r="T48" i="19"/>
  <c r="U48" i="19"/>
  <c r="V48" i="19"/>
  <c r="W48" i="19"/>
  <c r="X48" i="19"/>
  <c r="AD48" i="19"/>
  <c r="AJ48" i="19"/>
  <c r="AP48" i="19"/>
  <c r="AV48" i="19"/>
  <c r="BB48" i="19"/>
  <c r="BH48" i="19"/>
  <c r="BN48" i="19"/>
  <c r="BT48" i="19"/>
  <c r="BW48" i="19"/>
  <c r="N43" i="19"/>
  <c r="O43" i="19"/>
  <c r="P43" i="19"/>
  <c r="Q43" i="19"/>
  <c r="R43" i="19"/>
  <c r="S43" i="19"/>
  <c r="T43" i="19"/>
  <c r="U43" i="19"/>
  <c r="V43" i="19"/>
  <c r="W43" i="19"/>
  <c r="X43" i="19"/>
  <c r="Y43" i="19" s="1"/>
  <c r="AD43" i="19"/>
  <c r="AE43" i="19" s="1"/>
  <c r="AJ43" i="19"/>
  <c r="AK43" i="19" s="1"/>
  <c r="AP43" i="19"/>
  <c r="AQ43" i="19" s="1"/>
  <c r="AV43" i="19"/>
  <c r="AW43" i="19" s="1"/>
  <c r="BB43" i="19"/>
  <c r="BC43" i="19" s="1"/>
  <c r="BD43" i="19" s="1"/>
  <c r="BG43" i="19" s="1"/>
  <c r="BH43" i="19"/>
  <c r="BI43" i="19" s="1"/>
  <c r="BN43" i="19"/>
  <c r="BO43" i="19" s="1"/>
  <c r="BT43" i="19"/>
  <c r="BU43" i="19" s="1"/>
  <c r="BV43" i="19" s="1"/>
  <c r="BW43" i="19"/>
  <c r="BX43" i="19" s="1"/>
  <c r="BY43" i="19" s="1"/>
  <c r="N8" i="19"/>
  <c r="O8" i="19"/>
  <c r="P8" i="19"/>
  <c r="Q8" i="19"/>
  <c r="R8" i="19"/>
  <c r="S8" i="19"/>
  <c r="T8" i="19"/>
  <c r="U8" i="19"/>
  <c r="V8" i="19"/>
  <c r="W8" i="19"/>
  <c r="X8" i="19"/>
  <c r="Y8" i="19" s="1"/>
  <c r="AD8" i="19"/>
  <c r="AE8" i="19" s="1"/>
  <c r="AJ8" i="19"/>
  <c r="AK8" i="19" s="1"/>
  <c r="AP8" i="19"/>
  <c r="AQ8" i="19" s="1"/>
  <c r="AR8" i="19" s="1"/>
  <c r="AU8" i="19" s="1"/>
  <c r="AV8" i="19"/>
  <c r="AW8" i="19" s="1"/>
  <c r="BB8" i="19"/>
  <c r="BC8" i="19" s="1"/>
  <c r="BD8" i="19" s="1"/>
  <c r="BG8" i="19" s="1"/>
  <c r="BH8" i="19"/>
  <c r="BI8" i="19" s="1"/>
  <c r="BJ8" i="19" s="1"/>
  <c r="BM8" i="19" s="1"/>
  <c r="BN8" i="19"/>
  <c r="BO8" i="19" s="1"/>
  <c r="BT8" i="19"/>
  <c r="BU8" i="19" s="1"/>
  <c r="BV8" i="19" s="1"/>
  <c r="BW8" i="19"/>
  <c r="BX8" i="19" s="1"/>
  <c r="BY8" i="19" s="1"/>
  <c r="N96" i="19"/>
  <c r="O96" i="19"/>
  <c r="P96" i="19"/>
  <c r="Q96" i="19"/>
  <c r="R96" i="19"/>
  <c r="S96" i="19"/>
  <c r="T96" i="19"/>
  <c r="U96" i="19"/>
  <c r="V96" i="19"/>
  <c r="W96" i="19"/>
  <c r="X96" i="19"/>
  <c r="Y96" i="19" s="1"/>
  <c r="AD96" i="19"/>
  <c r="AE96" i="19" s="1"/>
  <c r="AJ96" i="19"/>
  <c r="AK96" i="19" s="1"/>
  <c r="AP96" i="19"/>
  <c r="AQ96" i="19" s="1"/>
  <c r="AR96" i="19" s="1"/>
  <c r="AU96" i="19" s="1"/>
  <c r="AV96" i="19"/>
  <c r="AW96" i="19" s="1"/>
  <c r="BB96" i="19"/>
  <c r="BC96" i="19" s="1"/>
  <c r="BD96" i="19" s="1"/>
  <c r="BG96" i="19" s="1"/>
  <c r="BH96" i="19"/>
  <c r="BI96" i="19" s="1"/>
  <c r="BN96" i="19"/>
  <c r="BO96" i="19" s="1"/>
  <c r="BT96" i="19"/>
  <c r="BU96" i="19" s="1"/>
  <c r="BV96" i="19" s="1"/>
  <c r="BW96" i="19"/>
  <c r="BX96" i="19" s="1"/>
  <c r="BY96" i="19" s="1"/>
  <c r="N37" i="19"/>
  <c r="O37" i="19"/>
  <c r="P37" i="19"/>
  <c r="Q37" i="19"/>
  <c r="R37" i="19"/>
  <c r="S37" i="19"/>
  <c r="T37" i="19"/>
  <c r="U37" i="19"/>
  <c r="V37" i="19"/>
  <c r="W37" i="19"/>
  <c r="X37" i="19"/>
  <c r="Y37" i="19" s="1"/>
  <c r="AD37" i="19"/>
  <c r="AE37" i="19" s="1"/>
  <c r="AJ37" i="19"/>
  <c r="AK37" i="19" s="1"/>
  <c r="AP37" i="19"/>
  <c r="AQ37" i="19" s="1"/>
  <c r="AV37" i="19"/>
  <c r="AW37" i="19" s="1"/>
  <c r="BB37" i="19"/>
  <c r="BC37" i="19" s="1"/>
  <c r="BH37" i="19"/>
  <c r="BI37" i="19" s="1"/>
  <c r="BN37" i="19"/>
  <c r="BO37" i="19" s="1"/>
  <c r="BT37" i="19"/>
  <c r="BU37" i="19" s="1"/>
  <c r="BV37" i="19" s="1"/>
  <c r="BW37" i="19"/>
  <c r="BX37" i="19" s="1"/>
  <c r="BY37" i="19" s="1"/>
  <c r="O79" i="19"/>
  <c r="P79" i="19"/>
  <c r="R79" i="19"/>
  <c r="S79" i="19"/>
  <c r="T79" i="19"/>
  <c r="U79" i="19"/>
  <c r="V79" i="19"/>
  <c r="W79" i="19"/>
  <c r="G48" i="19"/>
  <c r="G86" i="19"/>
  <c r="K94" i="24"/>
  <c r="K74" i="24"/>
  <c r="O74" i="24" s="1"/>
  <c r="P74" i="24" s="1"/>
  <c r="K75" i="24"/>
  <c r="O75" i="24" s="1"/>
  <c r="P75" i="24" s="1"/>
  <c r="K76" i="24"/>
  <c r="O76" i="24" s="1"/>
  <c r="P76" i="24" s="1"/>
  <c r="K77" i="24"/>
  <c r="O77" i="24" s="1"/>
  <c r="P77" i="24" s="1"/>
  <c r="K78" i="24"/>
  <c r="O78" i="24" s="1"/>
  <c r="P78" i="24" s="1"/>
  <c r="K79" i="24"/>
  <c r="O79" i="24" s="1"/>
  <c r="P79" i="24" s="1"/>
  <c r="K80" i="24"/>
  <c r="L80" i="24" s="1"/>
  <c r="M80" i="24" s="1"/>
  <c r="N80" i="24" s="1"/>
  <c r="K81" i="24"/>
  <c r="O81" i="24" s="1"/>
  <c r="P81" i="24" s="1"/>
  <c r="K82" i="24"/>
  <c r="O82" i="24" s="1"/>
  <c r="P82" i="24" s="1"/>
  <c r="K83" i="24"/>
  <c r="L83" i="24" s="1"/>
  <c r="M83" i="24" s="1"/>
  <c r="N83" i="24" s="1"/>
  <c r="K84" i="24"/>
  <c r="O84" i="24" s="1"/>
  <c r="P84" i="24" s="1"/>
  <c r="K85" i="24"/>
  <c r="L85" i="24" s="1"/>
  <c r="M85" i="24" s="1"/>
  <c r="N85" i="24" s="1"/>
  <c r="K86" i="24"/>
  <c r="L86" i="24" s="1"/>
  <c r="M86" i="24" s="1"/>
  <c r="N86" i="24" s="1"/>
  <c r="K87" i="24"/>
  <c r="O87" i="24" s="1"/>
  <c r="P87" i="24" s="1"/>
  <c r="K88" i="24"/>
  <c r="L88" i="24" s="1"/>
  <c r="M88" i="24" s="1"/>
  <c r="N88" i="24" s="1"/>
  <c r="K89" i="24"/>
  <c r="O89" i="24" s="1"/>
  <c r="P89" i="24" s="1"/>
  <c r="K92" i="24"/>
  <c r="L92" i="24" s="1"/>
  <c r="M92" i="24" s="1"/>
  <c r="N92" i="24" s="1"/>
  <c r="K95" i="24"/>
  <c r="K96" i="24"/>
  <c r="O96" i="24" s="1"/>
  <c r="P96" i="24" s="1"/>
  <c r="K97" i="24"/>
  <c r="O97" i="24" s="1"/>
  <c r="P97" i="24" s="1"/>
  <c r="K98" i="24"/>
  <c r="O98" i="24" s="1"/>
  <c r="P98" i="24" s="1"/>
  <c r="K99" i="24"/>
  <c r="O99" i="24" s="1"/>
  <c r="P99" i="24" s="1"/>
  <c r="K100" i="24"/>
  <c r="L100" i="24" s="1"/>
  <c r="M100" i="24" s="1"/>
  <c r="N100" i="24" s="1"/>
  <c r="K101" i="24"/>
  <c r="O101" i="24" s="1"/>
  <c r="P101" i="24" s="1"/>
  <c r="K102" i="24"/>
  <c r="L102" i="24" s="1"/>
  <c r="M102" i="24" s="1"/>
  <c r="N102" i="24" s="1"/>
  <c r="K103" i="24"/>
  <c r="O103" i="24" s="1"/>
  <c r="P103" i="24" s="1"/>
  <c r="K104" i="24"/>
  <c r="K105" i="24"/>
  <c r="L105" i="24" s="1"/>
  <c r="M105" i="24" s="1"/>
  <c r="N105" i="24" s="1"/>
  <c r="K106" i="24"/>
  <c r="O106" i="24" s="1"/>
  <c r="P106" i="24" s="1"/>
  <c r="K107" i="24"/>
  <c r="K108" i="24"/>
  <c r="O108" i="24" s="1"/>
  <c r="P108" i="24" s="1"/>
  <c r="K109" i="24"/>
  <c r="L109" i="24" s="1"/>
  <c r="M109" i="24" s="1"/>
  <c r="N109" i="24" s="1"/>
  <c r="K90" i="24"/>
  <c r="O90" i="24" s="1"/>
  <c r="P90" i="24" s="1"/>
  <c r="K91" i="24"/>
  <c r="L91" i="24" s="1"/>
  <c r="M91" i="24" s="1"/>
  <c r="N91" i="24" s="1"/>
  <c r="K21" i="24"/>
  <c r="O21" i="24" s="1"/>
  <c r="P21" i="24" s="1"/>
  <c r="K22" i="24"/>
  <c r="L22" i="24" s="1"/>
  <c r="M22" i="24" s="1"/>
  <c r="N22" i="24" s="1"/>
  <c r="K2" i="24"/>
  <c r="L2" i="24" s="1"/>
  <c r="M2" i="24" s="1"/>
  <c r="N2" i="24" s="1"/>
  <c r="K3" i="24"/>
  <c r="O3" i="24" s="1"/>
  <c r="P3" i="24" s="1"/>
  <c r="K4" i="24"/>
  <c r="O4" i="24" s="1"/>
  <c r="P4" i="24" s="1"/>
  <c r="K5" i="24"/>
  <c r="O5" i="24" s="1"/>
  <c r="P5" i="24" s="1"/>
  <c r="K6" i="24"/>
  <c r="L6" i="24" s="1"/>
  <c r="M6" i="24" s="1"/>
  <c r="N6" i="24" s="1"/>
  <c r="K7" i="24"/>
  <c r="O7" i="24" s="1"/>
  <c r="P7" i="24" s="1"/>
  <c r="K8" i="24"/>
  <c r="O8" i="24" s="1"/>
  <c r="P8" i="24" s="1"/>
  <c r="K9" i="24"/>
  <c r="O9" i="24" s="1"/>
  <c r="P9" i="24" s="1"/>
  <c r="K10" i="24"/>
  <c r="O10" i="24" s="1"/>
  <c r="P10" i="24" s="1"/>
  <c r="K11" i="24"/>
  <c r="L11" i="24" s="1"/>
  <c r="M11" i="24" s="1"/>
  <c r="N11" i="24" s="1"/>
  <c r="K12" i="24"/>
  <c r="L12" i="24" s="1"/>
  <c r="M12" i="24" s="1"/>
  <c r="N12" i="24" s="1"/>
  <c r="K13" i="24"/>
  <c r="O13" i="24" s="1"/>
  <c r="P13" i="24" s="1"/>
  <c r="K14" i="24"/>
  <c r="O14" i="24" s="1"/>
  <c r="P14" i="24" s="1"/>
  <c r="K15" i="24"/>
  <c r="O15" i="24" s="1"/>
  <c r="P15" i="24" s="1"/>
  <c r="K16" i="24"/>
  <c r="L16" i="24" s="1"/>
  <c r="M16" i="24" s="1"/>
  <c r="N16" i="24" s="1"/>
  <c r="K17" i="24"/>
  <c r="O17" i="24" s="1"/>
  <c r="P17" i="24" s="1"/>
  <c r="K20" i="24"/>
  <c r="O20" i="24" s="1"/>
  <c r="P20" i="24" s="1"/>
  <c r="K23" i="24"/>
  <c r="K24" i="24"/>
  <c r="O24" i="24" s="1"/>
  <c r="P24" i="24" s="1"/>
  <c r="K25" i="24"/>
  <c r="L25" i="24" s="1"/>
  <c r="M25" i="24" s="1"/>
  <c r="N25" i="24" s="1"/>
  <c r="K26" i="24"/>
  <c r="L26" i="24" s="1"/>
  <c r="M26" i="24" s="1"/>
  <c r="N26" i="24" s="1"/>
  <c r="K27" i="24"/>
  <c r="O27" i="24" s="1"/>
  <c r="P27" i="24" s="1"/>
  <c r="K28" i="24"/>
  <c r="O28" i="24" s="1"/>
  <c r="P28" i="24" s="1"/>
  <c r="K29" i="24"/>
  <c r="O29" i="24" s="1"/>
  <c r="P29" i="24" s="1"/>
  <c r="K30" i="24"/>
  <c r="L30" i="24" s="1"/>
  <c r="M30" i="24" s="1"/>
  <c r="N30" i="24" s="1"/>
  <c r="K31" i="24"/>
  <c r="O31" i="24" s="1"/>
  <c r="P31" i="24" s="1"/>
  <c r="K32" i="24"/>
  <c r="O32" i="24" s="1"/>
  <c r="P32" i="24" s="1"/>
  <c r="K33" i="24"/>
  <c r="O33" i="24" s="1"/>
  <c r="P33" i="24" s="1"/>
  <c r="K34" i="24"/>
  <c r="O34" i="24" s="1"/>
  <c r="P34" i="24" s="1"/>
  <c r="K35" i="24"/>
  <c r="O35" i="24" s="1"/>
  <c r="P35" i="24" s="1"/>
  <c r="K36" i="24"/>
  <c r="L36" i="24" s="1"/>
  <c r="M36" i="24" s="1"/>
  <c r="N36" i="24" s="1"/>
  <c r="K37" i="24"/>
  <c r="O37" i="24" s="1"/>
  <c r="P37" i="24" s="1"/>
  <c r="K18" i="24"/>
  <c r="O18" i="24" s="1"/>
  <c r="P18" i="24" s="1"/>
  <c r="K19" i="24"/>
  <c r="O19" i="24" s="1"/>
  <c r="P19" i="24" s="1"/>
  <c r="K57" i="24"/>
  <c r="O57" i="24" s="1"/>
  <c r="P57" i="24" s="1"/>
  <c r="K58" i="24"/>
  <c r="O58" i="24" s="1"/>
  <c r="P58" i="24" s="1"/>
  <c r="K38" i="24"/>
  <c r="L38" i="24" s="1"/>
  <c r="M38" i="24" s="1"/>
  <c r="N38" i="24" s="1"/>
  <c r="K39" i="24"/>
  <c r="O39" i="24" s="1"/>
  <c r="P39" i="24" s="1"/>
  <c r="K40" i="24"/>
  <c r="O40" i="24" s="1"/>
  <c r="P40" i="24" s="1"/>
  <c r="K41" i="24"/>
  <c r="O41" i="24" s="1"/>
  <c r="P41" i="24" s="1"/>
  <c r="K42" i="24"/>
  <c r="K43" i="24"/>
  <c r="L43" i="24" s="1"/>
  <c r="M43" i="24" s="1"/>
  <c r="N43" i="24" s="1"/>
  <c r="O43" i="24"/>
  <c r="P43" i="24" s="1"/>
  <c r="K44" i="24"/>
  <c r="O44" i="24" s="1"/>
  <c r="P44" i="24" s="1"/>
  <c r="K45" i="24"/>
  <c r="L45" i="24" s="1"/>
  <c r="M45" i="24" s="1"/>
  <c r="N45" i="24" s="1"/>
  <c r="K46" i="24"/>
  <c r="L46" i="24" s="1"/>
  <c r="M46" i="24" s="1"/>
  <c r="N46" i="24" s="1"/>
  <c r="K47" i="24"/>
  <c r="L47" i="24" s="1"/>
  <c r="M47" i="24" s="1"/>
  <c r="N47" i="24" s="1"/>
  <c r="K48" i="24"/>
  <c r="L48" i="24" s="1"/>
  <c r="M48" i="24" s="1"/>
  <c r="N48" i="24" s="1"/>
  <c r="K49" i="24"/>
  <c r="O49" i="24" s="1"/>
  <c r="P49" i="24" s="1"/>
  <c r="K50" i="24"/>
  <c r="O50" i="24" s="1"/>
  <c r="P50" i="24" s="1"/>
  <c r="K51" i="24"/>
  <c r="O51" i="24" s="1"/>
  <c r="P51" i="24" s="1"/>
  <c r="K52" i="24"/>
  <c r="L52" i="24" s="1"/>
  <c r="M52" i="24" s="1"/>
  <c r="N52" i="24" s="1"/>
  <c r="K53" i="24"/>
  <c r="L53" i="24" s="1"/>
  <c r="M53" i="24" s="1"/>
  <c r="N53" i="24" s="1"/>
  <c r="K56" i="24"/>
  <c r="O56" i="24" s="1"/>
  <c r="P56" i="24"/>
  <c r="K59" i="24"/>
  <c r="L59" i="24" s="1"/>
  <c r="M59" i="24" s="1"/>
  <c r="N59" i="24" s="1"/>
  <c r="K60" i="24"/>
  <c r="L60" i="24" s="1"/>
  <c r="M60" i="24" s="1"/>
  <c r="N60" i="24" s="1"/>
  <c r="K61" i="24"/>
  <c r="O61" i="24" s="1"/>
  <c r="P61" i="24" s="1"/>
  <c r="K62" i="24"/>
  <c r="L62" i="24" s="1"/>
  <c r="M62" i="24" s="1"/>
  <c r="N62" i="24" s="1"/>
  <c r="K63" i="24"/>
  <c r="O63" i="24" s="1"/>
  <c r="P63" i="24" s="1"/>
  <c r="K64" i="24"/>
  <c r="O64" i="24" s="1"/>
  <c r="P64" i="24" s="1"/>
  <c r="K65" i="24"/>
  <c r="L65" i="24" s="1"/>
  <c r="M65" i="24" s="1"/>
  <c r="N65" i="24" s="1"/>
  <c r="K66" i="24"/>
  <c r="L66" i="24" s="1"/>
  <c r="M66" i="24" s="1"/>
  <c r="N66" i="24" s="1"/>
  <c r="K67" i="24"/>
  <c r="L67" i="24" s="1"/>
  <c r="M67" i="24" s="1"/>
  <c r="N67" i="24" s="1"/>
  <c r="K68" i="24"/>
  <c r="O68" i="24" s="1"/>
  <c r="P68" i="24" s="1"/>
  <c r="K69" i="24"/>
  <c r="O69" i="24" s="1"/>
  <c r="P69" i="24" s="1"/>
  <c r="K70" i="24"/>
  <c r="O70" i="24" s="1"/>
  <c r="P70" i="24" s="1"/>
  <c r="K71" i="24"/>
  <c r="O71" i="24" s="1"/>
  <c r="P71" i="24" s="1"/>
  <c r="K72" i="24"/>
  <c r="L72" i="24" s="1"/>
  <c r="M72" i="24" s="1"/>
  <c r="N72" i="24" s="1"/>
  <c r="K73" i="24"/>
  <c r="O73" i="24" s="1"/>
  <c r="P73" i="24" s="1"/>
  <c r="K54" i="24"/>
  <c r="L54" i="24" s="1"/>
  <c r="M54" i="24" s="1"/>
  <c r="N54" i="24" s="1"/>
  <c r="K55" i="24"/>
  <c r="L55" i="24" s="1"/>
  <c r="M55" i="24" s="1"/>
  <c r="N55" i="24" s="1"/>
  <c r="K129" i="24"/>
  <c r="L129" i="24" s="1"/>
  <c r="M129" i="24" s="1"/>
  <c r="N129" i="24" s="1"/>
  <c r="O129" i="24"/>
  <c r="P129" i="24" s="1"/>
  <c r="K130" i="24"/>
  <c r="O130" i="24" s="1"/>
  <c r="P130" i="24" s="1"/>
  <c r="K110" i="24"/>
  <c r="O110" i="24" s="1"/>
  <c r="P110" i="24" s="1"/>
  <c r="K111" i="24"/>
  <c r="O111" i="24" s="1"/>
  <c r="P111" i="24" s="1"/>
  <c r="K112" i="24"/>
  <c r="L112" i="24" s="1"/>
  <c r="M112" i="24" s="1"/>
  <c r="N112" i="24" s="1"/>
  <c r="K113" i="24"/>
  <c r="L113" i="24" s="1"/>
  <c r="M113" i="24" s="1"/>
  <c r="N113" i="24" s="1"/>
  <c r="K114" i="24"/>
  <c r="O114" i="24" s="1"/>
  <c r="P114" i="24" s="1"/>
  <c r="K115" i="24"/>
  <c r="L115" i="24" s="1"/>
  <c r="M115" i="24" s="1"/>
  <c r="N115" i="24" s="1"/>
  <c r="K116" i="24"/>
  <c r="L116" i="24" s="1"/>
  <c r="M116" i="24" s="1"/>
  <c r="N116" i="24" s="1"/>
  <c r="K117" i="24"/>
  <c r="L117" i="24" s="1"/>
  <c r="M117" i="24" s="1"/>
  <c r="N117" i="24" s="1"/>
  <c r="K118" i="24"/>
  <c r="O118" i="24" s="1"/>
  <c r="P118" i="24" s="1"/>
  <c r="K119" i="24"/>
  <c r="O119" i="24" s="1"/>
  <c r="P119" i="24" s="1"/>
  <c r="K120" i="24"/>
  <c r="O120" i="24" s="1"/>
  <c r="P120" i="24" s="1"/>
  <c r="K121" i="24"/>
  <c r="K122" i="24"/>
  <c r="L122" i="24" s="1"/>
  <c r="M122" i="24" s="1"/>
  <c r="N122" i="24" s="1"/>
  <c r="K123" i="24"/>
  <c r="L123" i="24" s="1"/>
  <c r="M123" i="24" s="1"/>
  <c r="N123" i="24" s="1"/>
  <c r="K124" i="24"/>
  <c r="O124" i="24" s="1"/>
  <c r="P124" i="24" s="1"/>
  <c r="K125" i="24"/>
  <c r="O125" i="24" s="1"/>
  <c r="P125" i="24" s="1"/>
  <c r="K128" i="24"/>
  <c r="O128" i="24" s="1"/>
  <c r="P128" i="24" s="1"/>
  <c r="K131" i="24"/>
  <c r="O131" i="24" s="1"/>
  <c r="P131" i="24" s="1"/>
  <c r="K132" i="24"/>
  <c r="L132" i="24" s="1"/>
  <c r="M132" i="24" s="1"/>
  <c r="N132" i="24" s="1"/>
  <c r="K133" i="24"/>
  <c r="O133" i="24" s="1"/>
  <c r="P133" i="24" s="1"/>
  <c r="K134" i="24"/>
  <c r="L134" i="24" s="1"/>
  <c r="M134" i="24" s="1"/>
  <c r="N134" i="24" s="1"/>
  <c r="K135" i="24"/>
  <c r="L135" i="24" s="1"/>
  <c r="M135" i="24" s="1"/>
  <c r="N135" i="24" s="1"/>
  <c r="K136" i="24"/>
  <c r="L136" i="24" s="1"/>
  <c r="M136" i="24" s="1"/>
  <c r="N136" i="24" s="1"/>
  <c r="K137" i="24"/>
  <c r="O137" i="24" s="1"/>
  <c r="P137" i="24" s="1"/>
  <c r="K138" i="24"/>
  <c r="O138" i="24" s="1"/>
  <c r="P138" i="24" s="1"/>
  <c r="K139" i="24"/>
  <c r="O139" i="24" s="1"/>
  <c r="P139" i="24" s="1"/>
  <c r="K140" i="24"/>
  <c r="O140" i="24" s="1"/>
  <c r="P140" i="24" s="1"/>
  <c r="K141" i="24"/>
  <c r="L141" i="24" s="1"/>
  <c r="M141" i="24" s="1"/>
  <c r="N141" i="24" s="1"/>
  <c r="K142" i="24"/>
  <c r="L142" i="24" s="1"/>
  <c r="M142" i="24" s="1"/>
  <c r="N142" i="24" s="1"/>
  <c r="K143" i="24"/>
  <c r="O143" i="24" s="1"/>
  <c r="P143" i="24" s="1"/>
  <c r="K144" i="24"/>
  <c r="K145" i="24"/>
  <c r="L145" i="24" s="1"/>
  <c r="M145" i="24" s="1"/>
  <c r="N145" i="24" s="1"/>
  <c r="K126" i="24"/>
  <c r="L126" i="24" s="1"/>
  <c r="M126" i="24" s="1"/>
  <c r="N126" i="24" s="1"/>
  <c r="K127" i="24"/>
  <c r="O127" i="24" s="1"/>
  <c r="P127" i="24" s="1"/>
  <c r="K165" i="24"/>
  <c r="K166" i="24"/>
  <c r="L166" i="24" s="1"/>
  <c r="M166" i="24" s="1"/>
  <c r="N166" i="24" s="1"/>
  <c r="K146" i="24"/>
  <c r="L146" i="24" s="1"/>
  <c r="M146" i="24" s="1"/>
  <c r="N146" i="24" s="1"/>
  <c r="K147" i="24"/>
  <c r="L147" i="24" s="1"/>
  <c r="M147" i="24" s="1"/>
  <c r="N147" i="24" s="1"/>
  <c r="K148" i="24"/>
  <c r="O148" i="24" s="1"/>
  <c r="P148" i="24" s="1"/>
  <c r="K149" i="24"/>
  <c r="O149" i="24" s="1"/>
  <c r="P149" i="24" s="1"/>
  <c r="K150" i="24"/>
  <c r="K151" i="24"/>
  <c r="O151" i="24" s="1"/>
  <c r="P151" i="24" s="1"/>
  <c r="K152" i="24"/>
  <c r="L152" i="24" s="1"/>
  <c r="M152" i="24" s="1"/>
  <c r="N152" i="24" s="1"/>
  <c r="K153" i="24"/>
  <c r="O153" i="24" s="1"/>
  <c r="P153" i="24" s="1"/>
  <c r="K154" i="24"/>
  <c r="L154" i="24" s="1"/>
  <c r="M154" i="24" s="1"/>
  <c r="N154" i="24" s="1"/>
  <c r="K155" i="24"/>
  <c r="L155" i="24" s="1"/>
  <c r="M155" i="24" s="1"/>
  <c r="N155" i="24" s="1"/>
  <c r="K156" i="24"/>
  <c r="L156" i="24" s="1"/>
  <c r="M156" i="24" s="1"/>
  <c r="N156" i="24" s="1"/>
  <c r="K157" i="24"/>
  <c r="K158" i="24"/>
  <c r="O158" i="24" s="1"/>
  <c r="P158" i="24" s="1"/>
  <c r="K159" i="24"/>
  <c r="O159" i="24" s="1"/>
  <c r="P159" i="24" s="1"/>
  <c r="K160" i="24"/>
  <c r="O160" i="24" s="1"/>
  <c r="P160" i="24" s="1"/>
  <c r="K161" i="24"/>
  <c r="L161" i="24" s="1"/>
  <c r="M161" i="24" s="1"/>
  <c r="N161" i="24" s="1"/>
  <c r="K164" i="24"/>
  <c r="K167" i="24"/>
  <c r="O167" i="24" s="1"/>
  <c r="P167" i="24" s="1"/>
  <c r="K168" i="24"/>
  <c r="L168" i="24" s="1"/>
  <c r="M168" i="24" s="1"/>
  <c r="N168" i="24" s="1"/>
  <c r="K169" i="24"/>
  <c r="L169" i="24" s="1"/>
  <c r="M169" i="24" s="1"/>
  <c r="N169" i="24" s="1"/>
  <c r="K170" i="24"/>
  <c r="L170" i="24" s="1"/>
  <c r="M170" i="24" s="1"/>
  <c r="N170" i="24" s="1"/>
  <c r="K171" i="24"/>
  <c r="L171" i="24" s="1"/>
  <c r="M171" i="24" s="1"/>
  <c r="N171" i="24" s="1"/>
  <c r="K172" i="24"/>
  <c r="O172" i="24" s="1"/>
  <c r="P172" i="24" s="1"/>
  <c r="K173" i="24"/>
  <c r="K174" i="24"/>
  <c r="L174" i="24" s="1"/>
  <c r="M174" i="24" s="1"/>
  <c r="N174" i="24" s="1"/>
  <c r="K175" i="24"/>
  <c r="L175" i="24" s="1"/>
  <c r="M175" i="24" s="1"/>
  <c r="N175" i="24" s="1"/>
  <c r="K176" i="24"/>
  <c r="L176" i="24" s="1"/>
  <c r="M176" i="24" s="1"/>
  <c r="N176" i="24" s="1"/>
  <c r="K177" i="24"/>
  <c r="O177" i="24" s="1"/>
  <c r="P177" i="24" s="1"/>
  <c r="K178" i="24"/>
  <c r="O178" i="24" s="1"/>
  <c r="P178" i="24" s="1"/>
  <c r="K179" i="24"/>
  <c r="K180" i="24"/>
  <c r="O180" i="24" s="1"/>
  <c r="P180" i="24" s="1"/>
  <c r="K181" i="24"/>
  <c r="L181" i="24" s="1"/>
  <c r="M181" i="24" s="1"/>
  <c r="N181" i="24" s="1"/>
  <c r="K162" i="24"/>
  <c r="L162" i="24" s="1"/>
  <c r="M162" i="24" s="1"/>
  <c r="N162" i="24" s="1"/>
  <c r="K163" i="24"/>
  <c r="L163" i="24" s="1"/>
  <c r="M163" i="24" s="1"/>
  <c r="N163" i="24" s="1"/>
  <c r="K201" i="24"/>
  <c r="L201" i="24" s="1"/>
  <c r="M201" i="24" s="1"/>
  <c r="N201" i="24" s="1"/>
  <c r="K202" i="24"/>
  <c r="L202" i="24" s="1"/>
  <c r="M202" i="24" s="1"/>
  <c r="N202" i="24" s="1"/>
  <c r="K182" i="24"/>
  <c r="O182" i="24" s="1"/>
  <c r="P182" i="24" s="1"/>
  <c r="K183" i="24"/>
  <c r="O183" i="24" s="1"/>
  <c r="P183" i="24" s="1"/>
  <c r="K184" i="24"/>
  <c r="O184" i="24" s="1"/>
  <c r="P184" i="24" s="1"/>
  <c r="K185" i="24"/>
  <c r="L185" i="24" s="1"/>
  <c r="M185" i="24" s="1"/>
  <c r="N185" i="24" s="1"/>
  <c r="K186" i="24"/>
  <c r="L186" i="24" s="1"/>
  <c r="M186" i="24" s="1"/>
  <c r="N186" i="24" s="1"/>
  <c r="K187" i="24"/>
  <c r="O187" i="24" s="1"/>
  <c r="P187" i="24" s="1"/>
  <c r="K188" i="24"/>
  <c r="L188" i="24" s="1"/>
  <c r="M188" i="24" s="1"/>
  <c r="N188" i="24" s="1"/>
  <c r="K189" i="24"/>
  <c r="L189" i="24" s="1"/>
  <c r="M189" i="24" s="1"/>
  <c r="N189" i="24" s="1"/>
  <c r="K190" i="24"/>
  <c r="L190" i="24" s="1"/>
  <c r="M190" i="24" s="1"/>
  <c r="N190" i="24" s="1"/>
  <c r="K191" i="24"/>
  <c r="L191" i="24" s="1"/>
  <c r="M191" i="24" s="1"/>
  <c r="N191" i="24" s="1"/>
  <c r="K192" i="24"/>
  <c r="O192" i="24" s="1"/>
  <c r="P192" i="24" s="1"/>
  <c r="K193" i="24"/>
  <c r="O193" i="24" s="1"/>
  <c r="P193" i="24" s="1"/>
  <c r="K194" i="24"/>
  <c r="L194" i="24" s="1"/>
  <c r="M194" i="24" s="1"/>
  <c r="N194" i="24" s="1"/>
  <c r="K195" i="24"/>
  <c r="L195" i="24" s="1"/>
  <c r="M195" i="24" s="1"/>
  <c r="N195" i="24" s="1"/>
  <c r="K196" i="24"/>
  <c r="L196" i="24" s="1"/>
  <c r="M196" i="24" s="1"/>
  <c r="N196" i="24" s="1"/>
  <c r="K197" i="24"/>
  <c r="O197" i="24" s="1"/>
  <c r="P197" i="24" s="1"/>
  <c r="K200" i="24"/>
  <c r="O200" i="24" s="1"/>
  <c r="P200" i="24" s="1"/>
  <c r="K203" i="24"/>
  <c r="O203" i="24" s="1"/>
  <c r="P203" i="24" s="1"/>
  <c r="K204" i="24"/>
  <c r="O204" i="24" s="1"/>
  <c r="P204" i="24" s="1"/>
  <c r="K205" i="24"/>
  <c r="L205" i="24" s="1"/>
  <c r="M205" i="24" s="1"/>
  <c r="N205" i="24" s="1"/>
  <c r="K206" i="24"/>
  <c r="O206" i="24" s="1"/>
  <c r="P206" i="24" s="1"/>
  <c r="K207" i="24"/>
  <c r="L207" i="24" s="1"/>
  <c r="M207" i="24" s="1"/>
  <c r="N207" i="24" s="1"/>
  <c r="K208" i="24"/>
  <c r="L208" i="24" s="1"/>
  <c r="M208" i="24" s="1"/>
  <c r="N208" i="24" s="1"/>
  <c r="K209" i="24"/>
  <c r="L209" i="24" s="1"/>
  <c r="M209" i="24" s="1"/>
  <c r="N209" i="24" s="1"/>
  <c r="K210" i="24"/>
  <c r="O210" i="24" s="1"/>
  <c r="P210" i="24" s="1"/>
  <c r="K211" i="24"/>
  <c r="O211" i="24" s="1"/>
  <c r="P211" i="24" s="1"/>
  <c r="K212" i="24"/>
  <c r="O212" i="24" s="1"/>
  <c r="P212" i="24" s="1"/>
  <c r="K213" i="24"/>
  <c r="O213" i="24" s="1"/>
  <c r="P213" i="24" s="1"/>
  <c r="K214" i="24"/>
  <c r="L214" i="24" s="1"/>
  <c r="M214" i="24" s="1"/>
  <c r="N214" i="24" s="1"/>
  <c r="K215" i="24"/>
  <c r="L215" i="24" s="1"/>
  <c r="M215" i="24" s="1"/>
  <c r="N215" i="24" s="1"/>
  <c r="K216" i="24"/>
  <c r="O216" i="24" s="1"/>
  <c r="P216" i="24" s="1"/>
  <c r="K217" i="24"/>
  <c r="O217" i="24" s="1"/>
  <c r="P217" i="24" s="1"/>
  <c r="K198" i="24"/>
  <c r="L198" i="24" s="1"/>
  <c r="M198" i="24" s="1"/>
  <c r="N198" i="24" s="1"/>
  <c r="K199" i="24"/>
  <c r="L199" i="24" s="1"/>
  <c r="M199" i="24" s="1"/>
  <c r="N199" i="24" s="1"/>
  <c r="R165" i="24"/>
  <c r="S165" i="24" s="1"/>
  <c r="T165" i="24" s="1"/>
  <c r="U165" i="24" s="1"/>
  <c r="R166" i="24"/>
  <c r="V166" i="24" s="1"/>
  <c r="W166" i="24" s="1"/>
  <c r="R146" i="24"/>
  <c r="S146" i="24" s="1"/>
  <c r="T146" i="24" s="1"/>
  <c r="U146" i="24" s="1"/>
  <c r="R147" i="24"/>
  <c r="V147" i="24" s="1"/>
  <c r="W147" i="24" s="1"/>
  <c r="R148" i="24"/>
  <c r="S148" i="24" s="1"/>
  <c r="T148" i="24" s="1"/>
  <c r="U148" i="24" s="1"/>
  <c r="R149" i="24"/>
  <c r="V149" i="24" s="1"/>
  <c r="W149" i="24" s="1"/>
  <c r="R150" i="24"/>
  <c r="V150" i="24" s="1"/>
  <c r="W150" i="24" s="1"/>
  <c r="R151" i="24"/>
  <c r="V151" i="24" s="1"/>
  <c r="W151" i="24" s="1"/>
  <c r="R152" i="24"/>
  <c r="V152" i="24" s="1"/>
  <c r="W152" i="24" s="1"/>
  <c r="R153" i="24"/>
  <c r="S153" i="24" s="1"/>
  <c r="T153" i="24" s="1"/>
  <c r="U153" i="24" s="1"/>
  <c r="R154" i="24"/>
  <c r="V154" i="24" s="1"/>
  <c r="W154" i="24" s="1"/>
  <c r="R155" i="24"/>
  <c r="V155" i="24" s="1"/>
  <c r="W155" i="24" s="1"/>
  <c r="R156" i="24"/>
  <c r="R157" i="24"/>
  <c r="V157" i="24" s="1"/>
  <c r="W157" i="24" s="1"/>
  <c r="R158" i="24"/>
  <c r="S158" i="24" s="1"/>
  <c r="T158" i="24" s="1"/>
  <c r="U158" i="24" s="1"/>
  <c r="R159" i="24"/>
  <c r="V159" i="24" s="1"/>
  <c r="W159" i="24" s="1"/>
  <c r="R160" i="24"/>
  <c r="V160" i="24" s="1"/>
  <c r="W160" i="24" s="1"/>
  <c r="R161" i="24"/>
  <c r="S161" i="24" s="1"/>
  <c r="T161" i="24" s="1"/>
  <c r="U161" i="24" s="1"/>
  <c r="R164" i="24"/>
  <c r="V164" i="24" s="1"/>
  <c r="W164" i="24" s="1"/>
  <c r="R167" i="24"/>
  <c r="S167" i="24" s="1"/>
  <c r="T167" i="24" s="1"/>
  <c r="U167" i="24" s="1"/>
  <c r="R168" i="24"/>
  <c r="R169" i="24"/>
  <c r="V169" i="24" s="1"/>
  <c r="W169" i="24" s="1"/>
  <c r="R170" i="24"/>
  <c r="S170" i="24" s="1"/>
  <c r="T170" i="24" s="1"/>
  <c r="U170" i="24" s="1"/>
  <c r="R171" i="24"/>
  <c r="R172" i="24"/>
  <c r="S172" i="24" s="1"/>
  <c r="T172" i="24" s="1"/>
  <c r="U172" i="24" s="1"/>
  <c r="R173" i="24"/>
  <c r="V173" i="24" s="1"/>
  <c r="W173" i="24" s="1"/>
  <c r="R174" i="24"/>
  <c r="V174" i="24" s="1"/>
  <c r="W174" i="24" s="1"/>
  <c r="R175" i="24"/>
  <c r="S175" i="24" s="1"/>
  <c r="T175" i="24" s="1"/>
  <c r="U175" i="24" s="1"/>
  <c r="R176" i="24"/>
  <c r="V176" i="24" s="1"/>
  <c r="W176" i="24" s="1"/>
  <c r="R177" i="24"/>
  <c r="S177" i="24" s="1"/>
  <c r="T177" i="24" s="1"/>
  <c r="U177" i="24" s="1"/>
  <c r="R178" i="24"/>
  <c r="S178" i="24"/>
  <c r="T178" i="24" s="1"/>
  <c r="U178" i="24" s="1"/>
  <c r="V178" i="24"/>
  <c r="W178" i="24" s="1"/>
  <c r="R179" i="24"/>
  <c r="V179" i="24" s="1"/>
  <c r="W179" i="24" s="1"/>
  <c r="R180" i="24"/>
  <c r="V180" i="24" s="1"/>
  <c r="W180" i="24" s="1"/>
  <c r="R181" i="24"/>
  <c r="V181" i="24" s="1"/>
  <c r="W181" i="24" s="1"/>
  <c r="R162" i="24"/>
  <c r="S162" i="24" s="1"/>
  <c r="T162" i="24" s="1"/>
  <c r="U162" i="24" s="1"/>
  <c r="R163" i="24"/>
  <c r="V163" i="24" s="1"/>
  <c r="W163" i="24" s="1"/>
  <c r="R201" i="24"/>
  <c r="S201" i="24" s="1"/>
  <c r="T201" i="24" s="1"/>
  <c r="U201" i="24" s="1"/>
  <c r="R202" i="24"/>
  <c r="V202" i="24" s="1"/>
  <c r="W202" i="24" s="1"/>
  <c r="R182" i="24"/>
  <c r="R183" i="24"/>
  <c r="S183" i="24" s="1"/>
  <c r="T183" i="24" s="1"/>
  <c r="U183" i="24" s="1"/>
  <c r="V183" i="24"/>
  <c r="W183" i="24" s="1"/>
  <c r="R184" i="24"/>
  <c r="V184" i="24" s="1"/>
  <c r="W184" i="24" s="1"/>
  <c r="R185" i="24"/>
  <c r="V185" i="24" s="1"/>
  <c r="W185" i="24" s="1"/>
  <c r="R186" i="24"/>
  <c r="V186" i="24" s="1"/>
  <c r="W186" i="24" s="1"/>
  <c r="R187" i="24"/>
  <c r="S187" i="24" s="1"/>
  <c r="T187" i="24" s="1"/>
  <c r="U187" i="24" s="1"/>
  <c r="R188" i="24"/>
  <c r="S188" i="24" s="1"/>
  <c r="T188" i="24" s="1"/>
  <c r="U188" i="24" s="1"/>
  <c r="R189" i="24"/>
  <c r="V189" i="24" s="1"/>
  <c r="W189" i="24" s="1"/>
  <c r="R190" i="24"/>
  <c r="S190" i="24" s="1"/>
  <c r="T190" i="24" s="1"/>
  <c r="U190" i="24" s="1"/>
  <c r="R191" i="24"/>
  <c r="V191" i="24" s="1"/>
  <c r="W191" i="24" s="1"/>
  <c r="R192" i="24"/>
  <c r="S192" i="24" s="1"/>
  <c r="T192" i="24" s="1"/>
  <c r="U192" i="24" s="1"/>
  <c r="R193" i="24"/>
  <c r="S193" i="24" s="1"/>
  <c r="T193" i="24" s="1"/>
  <c r="U193" i="24" s="1"/>
  <c r="R194" i="24"/>
  <c r="V194" i="24" s="1"/>
  <c r="W194" i="24" s="1"/>
  <c r="R195" i="24"/>
  <c r="V195" i="24" s="1"/>
  <c r="W195" i="24" s="1"/>
  <c r="R196" i="24"/>
  <c r="V196" i="24" s="1"/>
  <c r="W196" i="24" s="1"/>
  <c r="R197" i="24"/>
  <c r="S197" i="24" s="1"/>
  <c r="T197" i="24" s="1"/>
  <c r="U197" i="24" s="1"/>
  <c r="R200" i="24"/>
  <c r="S200" i="24" s="1"/>
  <c r="T200" i="24" s="1"/>
  <c r="U200" i="24" s="1"/>
  <c r="R203" i="24"/>
  <c r="V203" i="24" s="1"/>
  <c r="W203" i="24" s="1"/>
  <c r="R204" i="24"/>
  <c r="S204" i="24" s="1"/>
  <c r="T204" i="24" s="1"/>
  <c r="U204" i="24" s="1"/>
  <c r="R205" i="24"/>
  <c r="V205" i="24" s="1"/>
  <c r="W205" i="24" s="1"/>
  <c r="R206" i="24"/>
  <c r="S206" i="24" s="1"/>
  <c r="T206" i="24" s="1"/>
  <c r="U206" i="24" s="1"/>
  <c r="R207" i="24"/>
  <c r="S207" i="24" s="1"/>
  <c r="T207" i="24" s="1"/>
  <c r="U207" i="24" s="1"/>
  <c r="R208" i="24"/>
  <c r="V208" i="24" s="1"/>
  <c r="W208" i="24" s="1"/>
  <c r="R209" i="24"/>
  <c r="S209" i="24" s="1"/>
  <c r="T209" i="24" s="1"/>
  <c r="U209" i="24" s="1"/>
  <c r="R210" i="24"/>
  <c r="V210" i="24" s="1"/>
  <c r="W210" i="24" s="1"/>
  <c r="R211" i="24"/>
  <c r="S211" i="24" s="1"/>
  <c r="T211" i="24" s="1"/>
  <c r="U211" i="24" s="1"/>
  <c r="R212" i="24"/>
  <c r="R213" i="24"/>
  <c r="V213" i="24" s="1"/>
  <c r="W213" i="24" s="1"/>
  <c r="R214" i="24"/>
  <c r="V214" i="24" s="1"/>
  <c r="W214" i="24" s="1"/>
  <c r="R215" i="24"/>
  <c r="R216" i="24"/>
  <c r="S216" i="24" s="1"/>
  <c r="T216" i="24" s="1"/>
  <c r="U216" i="24" s="1"/>
  <c r="V216" i="24"/>
  <c r="W216" i="24" s="1"/>
  <c r="R217" i="24"/>
  <c r="S217" i="24" s="1"/>
  <c r="T217" i="24" s="1"/>
  <c r="U217" i="24" s="1"/>
  <c r="R198" i="24"/>
  <c r="S198" i="24" s="1"/>
  <c r="T198" i="24" s="1"/>
  <c r="U198" i="24" s="1"/>
  <c r="R199" i="24"/>
  <c r="V199" i="24" s="1"/>
  <c r="W199" i="24" s="1"/>
  <c r="R128" i="24"/>
  <c r="V128" i="24" s="1"/>
  <c r="W128" i="24" s="1"/>
  <c r="R131" i="24"/>
  <c r="V131" i="24" s="1"/>
  <c r="W131" i="24" s="1"/>
  <c r="R132" i="24"/>
  <c r="S132" i="24" s="1"/>
  <c r="T132" i="24" s="1"/>
  <c r="U132" i="24" s="1"/>
  <c r="R133" i="24"/>
  <c r="V133" i="24" s="1"/>
  <c r="W133" i="24" s="1"/>
  <c r="R134" i="24"/>
  <c r="S134" i="24" s="1"/>
  <c r="T134" i="24" s="1"/>
  <c r="U134" i="24" s="1"/>
  <c r="R135" i="24"/>
  <c r="S135" i="24" s="1"/>
  <c r="T135" i="24" s="1"/>
  <c r="U135" i="24" s="1"/>
  <c r="R136" i="24"/>
  <c r="V136" i="24" s="1"/>
  <c r="W136" i="24" s="1"/>
  <c r="R137" i="24"/>
  <c r="S137" i="24" s="1"/>
  <c r="T137" i="24" s="1"/>
  <c r="U137" i="24" s="1"/>
  <c r="R138" i="24"/>
  <c r="S138" i="24" s="1"/>
  <c r="T138" i="24" s="1"/>
  <c r="U138" i="24" s="1"/>
  <c r="V138" i="24"/>
  <c r="W138" i="24" s="1"/>
  <c r="R139" i="24"/>
  <c r="S139" i="24" s="1"/>
  <c r="T139" i="24" s="1"/>
  <c r="U139" i="24" s="1"/>
  <c r="R140" i="24"/>
  <c r="V140" i="24" s="1"/>
  <c r="W140" i="24" s="1"/>
  <c r="R141" i="24"/>
  <c r="V141" i="24" s="1"/>
  <c r="W141" i="24" s="1"/>
  <c r="R142" i="24"/>
  <c r="S142" i="24" s="1"/>
  <c r="T142" i="24" s="1"/>
  <c r="U142" i="24" s="1"/>
  <c r="R143" i="24"/>
  <c r="S143" i="24" s="1"/>
  <c r="T143" i="24" s="1"/>
  <c r="U143" i="24" s="1"/>
  <c r="R144" i="24"/>
  <c r="S144" i="24" s="1"/>
  <c r="T144" i="24" s="1"/>
  <c r="U144" i="24" s="1"/>
  <c r="R145" i="24"/>
  <c r="V145" i="24" s="1"/>
  <c r="W145" i="24" s="1"/>
  <c r="R126" i="24"/>
  <c r="R127" i="24"/>
  <c r="V127" i="24" s="1"/>
  <c r="W127" i="24" s="1"/>
  <c r="R92" i="24"/>
  <c r="V92" i="24" s="1"/>
  <c r="W92" i="24" s="1"/>
  <c r="R95" i="24"/>
  <c r="V95" i="24" s="1"/>
  <c r="W95" i="24" s="1"/>
  <c r="R96" i="24"/>
  <c r="V96" i="24" s="1"/>
  <c r="W96" i="24" s="1"/>
  <c r="R97" i="24"/>
  <c r="V97" i="24" s="1"/>
  <c r="W97" i="24" s="1"/>
  <c r="R98" i="24"/>
  <c r="S98" i="24" s="1"/>
  <c r="T98" i="24" s="1"/>
  <c r="U98" i="24" s="1"/>
  <c r="R99" i="24"/>
  <c r="V99" i="24" s="1"/>
  <c r="W99" i="24" s="1"/>
  <c r="R100" i="24"/>
  <c r="V100" i="24" s="1"/>
  <c r="W100" i="24" s="1"/>
  <c r="R101" i="24"/>
  <c r="V101" i="24" s="1"/>
  <c r="W101" i="24" s="1"/>
  <c r="R102" i="24"/>
  <c r="V102" i="24" s="1"/>
  <c r="W102" i="24" s="1"/>
  <c r="R103" i="24"/>
  <c r="S103" i="24" s="1"/>
  <c r="T103" i="24" s="1"/>
  <c r="U103" i="24" s="1"/>
  <c r="R104" i="24"/>
  <c r="R105" i="24"/>
  <c r="V105" i="24" s="1"/>
  <c r="W105" i="24" s="1"/>
  <c r="R106" i="24"/>
  <c r="S106" i="24" s="1"/>
  <c r="T106" i="24" s="1"/>
  <c r="U106" i="24" s="1"/>
  <c r="R107" i="24"/>
  <c r="V107" i="24" s="1"/>
  <c r="W107" i="24" s="1"/>
  <c r="R108" i="24"/>
  <c r="S108" i="24" s="1"/>
  <c r="T108" i="24" s="1"/>
  <c r="U108" i="24" s="1"/>
  <c r="R109" i="24"/>
  <c r="S109" i="24" s="1"/>
  <c r="T109" i="24" s="1"/>
  <c r="U109" i="24" s="1"/>
  <c r="R90" i="24"/>
  <c r="S90" i="24" s="1"/>
  <c r="T90" i="24" s="1"/>
  <c r="U90" i="24" s="1"/>
  <c r="R91" i="24"/>
  <c r="S91" i="24" s="1"/>
  <c r="T91" i="24" s="1"/>
  <c r="U91" i="24" s="1"/>
  <c r="R21" i="24"/>
  <c r="S21" i="24" s="1"/>
  <c r="T21" i="24" s="1"/>
  <c r="U21" i="24" s="1"/>
  <c r="R22" i="24"/>
  <c r="S22" i="24" s="1"/>
  <c r="T22" i="24" s="1"/>
  <c r="U22" i="24" s="1"/>
  <c r="R2" i="24"/>
  <c r="V2" i="24" s="1"/>
  <c r="W2" i="24" s="1"/>
  <c r="R3" i="24"/>
  <c r="R4" i="24"/>
  <c r="S4" i="24" s="1"/>
  <c r="T4" i="24" s="1"/>
  <c r="U4" i="24" s="1"/>
  <c r="R5" i="24"/>
  <c r="S5" i="24" s="1"/>
  <c r="T5" i="24" s="1"/>
  <c r="U5" i="24" s="1"/>
  <c r="R6" i="24"/>
  <c r="R7" i="24"/>
  <c r="V7" i="24" s="1"/>
  <c r="W7" i="24" s="1"/>
  <c r="R8" i="24"/>
  <c r="S8" i="24" s="1"/>
  <c r="T8" i="24" s="1"/>
  <c r="U8" i="24" s="1"/>
  <c r="R9" i="24"/>
  <c r="V9" i="24" s="1"/>
  <c r="W9" i="24" s="1"/>
  <c r="R10" i="24"/>
  <c r="S10" i="24" s="1"/>
  <c r="T10" i="24" s="1"/>
  <c r="U10" i="24" s="1"/>
  <c r="R11" i="24"/>
  <c r="V11" i="24" s="1"/>
  <c r="W11" i="24" s="1"/>
  <c r="R12" i="24"/>
  <c r="V12" i="24" s="1"/>
  <c r="W12" i="24" s="1"/>
  <c r="R13" i="24"/>
  <c r="V13" i="24" s="1"/>
  <c r="W13" i="24" s="1"/>
  <c r="R14" i="24"/>
  <c r="V14" i="24" s="1"/>
  <c r="W14" i="24" s="1"/>
  <c r="R15" i="24"/>
  <c r="S15" i="24" s="1"/>
  <c r="T15" i="24" s="1"/>
  <c r="U15" i="24" s="1"/>
  <c r="R16" i="24"/>
  <c r="V16" i="24" s="1"/>
  <c r="W16" i="24" s="1"/>
  <c r="R17" i="24"/>
  <c r="V17" i="24" s="1"/>
  <c r="W17" i="24" s="1"/>
  <c r="R20" i="24"/>
  <c r="V20" i="24" s="1"/>
  <c r="W20" i="24" s="1"/>
  <c r="R23" i="24"/>
  <c r="S23" i="24" s="1"/>
  <c r="T23" i="24" s="1"/>
  <c r="U23" i="24" s="1"/>
  <c r="R24" i="24"/>
  <c r="S24" i="24" s="1"/>
  <c r="T24" i="24" s="1"/>
  <c r="U24" i="24" s="1"/>
  <c r="R25" i="24"/>
  <c r="R26" i="24"/>
  <c r="V26" i="24" s="1"/>
  <c r="W26" i="24" s="1"/>
  <c r="R27" i="24"/>
  <c r="S27" i="24" s="1"/>
  <c r="T27" i="24" s="1"/>
  <c r="U27" i="24" s="1"/>
  <c r="R28" i="24"/>
  <c r="S28" i="24" s="1"/>
  <c r="T28" i="24" s="1"/>
  <c r="U28" i="24" s="1"/>
  <c r="R29" i="24"/>
  <c r="S29" i="24" s="1"/>
  <c r="T29" i="24" s="1"/>
  <c r="U29" i="24" s="1"/>
  <c r="R30" i="24"/>
  <c r="S30" i="24" s="1"/>
  <c r="T30" i="24" s="1"/>
  <c r="U30" i="24" s="1"/>
  <c r="R31" i="24"/>
  <c r="V31" i="24" s="1"/>
  <c r="W31" i="24" s="1"/>
  <c r="R32" i="24"/>
  <c r="V32" i="24" s="1"/>
  <c r="W32" i="24" s="1"/>
  <c r="R33" i="24"/>
  <c r="S33" i="24" s="1"/>
  <c r="T33" i="24" s="1"/>
  <c r="U33" i="24" s="1"/>
  <c r="R34" i="24"/>
  <c r="S34" i="24" s="1"/>
  <c r="T34" i="24" s="1"/>
  <c r="U34" i="24" s="1"/>
  <c r="R35" i="24"/>
  <c r="S35" i="24" s="1"/>
  <c r="T35" i="24" s="1"/>
  <c r="U35" i="24" s="1"/>
  <c r="R36" i="24"/>
  <c r="V36" i="24" s="1"/>
  <c r="W36" i="24" s="1"/>
  <c r="R37" i="24"/>
  <c r="V37" i="24" s="1"/>
  <c r="W37" i="24" s="1"/>
  <c r="R18" i="24"/>
  <c r="S18" i="24" s="1"/>
  <c r="T18" i="24" s="1"/>
  <c r="U18" i="24" s="1"/>
  <c r="R19" i="24"/>
  <c r="V19" i="24" s="1"/>
  <c r="W19" i="24" s="1"/>
  <c r="R57" i="24"/>
  <c r="V57" i="24" s="1"/>
  <c r="W57" i="24" s="1"/>
  <c r="R58" i="24"/>
  <c r="S58" i="24" s="1"/>
  <c r="T58" i="24" s="1"/>
  <c r="U58" i="24" s="1"/>
  <c r="R38" i="24"/>
  <c r="R39" i="24"/>
  <c r="S39" i="24" s="1"/>
  <c r="T39" i="24" s="1"/>
  <c r="U39" i="24" s="1"/>
  <c r="R40" i="24"/>
  <c r="S40" i="24" s="1"/>
  <c r="T40" i="24" s="1"/>
  <c r="U40" i="24" s="1"/>
  <c r="R41" i="24"/>
  <c r="R42" i="24"/>
  <c r="S42" i="24" s="1"/>
  <c r="T42" i="24" s="1"/>
  <c r="U42" i="24" s="1"/>
  <c r="R43" i="24"/>
  <c r="S43" i="24" s="1"/>
  <c r="T43" i="24" s="1"/>
  <c r="U43" i="24" s="1"/>
  <c r="R44" i="24"/>
  <c r="S44" i="24" s="1"/>
  <c r="T44" i="24" s="1"/>
  <c r="U44" i="24" s="1"/>
  <c r="R45" i="24"/>
  <c r="S45" i="24" s="1"/>
  <c r="T45" i="24" s="1"/>
  <c r="U45" i="24" s="1"/>
  <c r="R46" i="24"/>
  <c r="V46" i="24" s="1"/>
  <c r="W46" i="24" s="1"/>
  <c r="R47" i="24"/>
  <c r="S47" i="24" s="1"/>
  <c r="T47" i="24" s="1"/>
  <c r="U47" i="24" s="1"/>
  <c r="R48" i="24"/>
  <c r="S48" i="24" s="1"/>
  <c r="T48" i="24" s="1"/>
  <c r="U48" i="24" s="1"/>
  <c r="R49" i="24"/>
  <c r="S49" i="24" s="1"/>
  <c r="T49" i="24" s="1"/>
  <c r="U49" i="24" s="1"/>
  <c r="R50" i="24"/>
  <c r="V50" i="24" s="1"/>
  <c r="W50" i="24" s="1"/>
  <c r="R51" i="24"/>
  <c r="V51" i="24" s="1"/>
  <c r="W51" i="24" s="1"/>
  <c r="R52" i="24"/>
  <c r="V52" i="24" s="1"/>
  <c r="W52" i="24" s="1"/>
  <c r="R53" i="24"/>
  <c r="S53" i="24" s="1"/>
  <c r="T53" i="24" s="1"/>
  <c r="U53" i="24" s="1"/>
  <c r="R56" i="24"/>
  <c r="S56" i="24" s="1"/>
  <c r="T56" i="24" s="1"/>
  <c r="U56" i="24" s="1"/>
  <c r="R59" i="24"/>
  <c r="S59" i="24" s="1"/>
  <c r="T59" i="24" s="1"/>
  <c r="U59" i="24" s="1"/>
  <c r="R60" i="24"/>
  <c r="V60" i="24" s="1"/>
  <c r="W60" i="24" s="1"/>
  <c r="R61" i="24"/>
  <c r="R62" i="24"/>
  <c r="S62" i="24" s="1"/>
  <c r="T62" i="24" s="1"/>
  <c r="U62" i="24" s="1"/>
  <c r="R63" i="24"/>
  <c r="S63" i="24" s="1"/>
  <c r="T63" i="24" s="1"/>
  <c r="U63" i="24" s="1"/>
  <c r="R64" i="24"/>
  <c r="V64" i="24" s="1"/>
  <c r="W64" i="24" s="1"/>
  <c r="R65" i="24"/>
  <c r="V65" i="24" s="1"/>
  <c r="W65" i="24" s="1"/>
  <c r="R66" i="24"/>
  <c r="S66" i="24" s="1"/>
  <c r="T66" i="24" s="1"/>
  <c r="U66" i="24" s="1"/>
  <c r="R67" i="24"/>
  <c r="R68" i="24"/>
  <c r="S68" i="24" s="1"/>
  <c r="T68" i="24" s="1"/>
  <c r="U68" i="24" s="1"/>
  <c r="R69" i="24"/>
  <c r="S69" i="24" s="1"/>
  <c r="T69" i="24" s="1"/>
  <c r="U69" i="24" s="1"/>
  <c r="R70" i="24"/>
  <c r="V70" i="24" s="1"/>
  <c r="W70" i="24" s="1"/>
  <c r="R71" i="24"/>
  <c r="V71" i="24" s="1"/>
  <c r="W71" i="24" s="1"/>
  <c r="R72" i="24"/>
  <c r="S72" i="24" s="1"/>
  <c r="T72" i="24" s="1"/>
  <c r="U72" i="24" s="1"/>
  <c r="R73" i="24"/>
  <c r="S73" i="24" s="1"/>
  <c r="T73" i="24" s="1"/>
  <c r="U73" i="24" s="1"/>
  <c r="R54" i="24"/>
  <c r="R55" i="24"/>
  <c r="S55" i="24" s="1"/>
  <c r="T55" i="24" s="1"/>
  <c r="U55" i="24" s="1"/>
  <c r="R129" i="24"/>
  <c r="S129" i="24" s="1"/>
  <c r="T129" i="24" s="1"/>
  <c r="U129" i="24" s="1"/>
  <c r="R130" i="24"/>
  <c r="S130" i="24" s="1"/>
  <c r="T130" i="24" s="1"/>
  <c r="U130" i="24" s="1"/>
  <c r="R110" i="24"/>
  <c r="S110" i="24" s="1"/>
  <c r="T110" i="24" s="1"/>
  <c r="U110" i="24" s="1"/>
  <c r="R111" i="24"/>
  <c r="V111" i="24" s="1"/>
  <c r="W111" i="24" s="1"/>
  <c r="R112" i="24"/>
  <c r="S112" i="24" s="1"/>
  <c r="T112" i="24" s="1"/>
  <c r="U112" i="24" s="1"/>
  <c r="R113" i="24"/>
  <c r="R114" i="24"/>
  <c r="S114" i="24" s="1"/>
  <c r="T114" i="24" s="1"/>
  <c r="U114" i="24" s="1"/>
  <c r="R115" i="24"/>
  <c r="S115" i="24" s="1"/>
  <c r="T115" i="24" s="1"/>
  <c r="U115" i="24" s="1"/>
  <c r="R116" i="24"/>
  <c r="V116" i="24" s="1"/>
  <c r="W116" i="24" s="1"/>
  <c r="R117" i="24"/>
  <c r="V117" i="24" s="1"/>
  <c r="W117" i="24" s="1"/>
  <c r="R118" i="24"/>
  <c r="S118" i="24" s="1"/>
  <c r="T118" i="24" s="1"/>
  <c r="U118" i="24" s="1"/>
  <c r="R119" i="24"/>
  <c r="S119" i="24" s="1"/>
  <c r="T119" i="24" s="1"/>
  <c r="U119" i="24" s="1"/>
  <c r="R120" i="24"/>
  <c r="S120" i="24" s="1"/>
  <c r="T120" i="24" s="1"/>
  <c r="U120" i="24" s="1"/>
  <c r="R121" i="24"/>
  <c r="R122" i="24"/>
  <c r="V122" i="24" s="1"/>
  <c r="W122" i="24" s="1"/>
  <c r="R123" i="24"/>
  <c r="S123" i="24" s="1"/>
  <c r="T123" i="24" s="1"/>
  <c r="U123" i="24" s="1"/>
  <c r="R124" i="24"/>
  <c r="S124" i="24" s="1"/>
  <c r="T124" i="24" s="1"/>
  <c r="U124" i="24" s="1"/>
  <c r="R125" i="24"/>
  <c r="S125" i="24" s="1"/>
  <c r="T125" i="24" s="1"/>
  <c r="U125" i="24" s="1"/>
  <c r="R94" i="24"/>
  <c r="V94" i="24" s="1"/>
  <c r="W94" i="24" s="1"/>
  <c r="R74" i="24"/>
  <c r="V74" i="24" s="1"/>
  <c r="W74" i="24" s="1"/>
  <c r="R75" i="24"/>
  <c r="R76" i="24"/>
  <c r="V76" i="24" s="1"/>
  <c r="W76" i="24" s="1"/>
  <c r="R77" i="24"/>
  <c r="S77" i="24" s="1"/>
  <c r="T77" i="24" s="1"/>
  <c r="U77" i="24" s="1"/>
  <c r="R78" i="24"/>
  <c r="V78" i="24" s="1"/>
  <c r="W78" i="24" s="1"/>
  <c r="R79" i="24"/>
  <c r="V79" i="24" s="1"/>
  <c r="W79" i="24" s="1"/>
  <c r="R80" i="24"/>
  <c r="S80" i="24" s="1"/>
  <c r="T80" i="24" s="1"/>
  <c r="U80" i="24" s="1"/>
  <c r="R81" i="24"/>
  <c r="V81" i="24" s="1"/>
  <c r="W81" i="24" s="1"/>
  <c r="R82" i="24"/>
  <c r="S82" i="24" s="1"/>
  <c r="T82" i="24" s="1"/>
  <c r="U82" i="24" s="1"/>
  <c r="R83" i="24"/>
  <c r="V83" i="24" s="1"/>
  <c r="W83" i="24" s="1"/>
  <c r="R84" i="24"/>
  <c r="V84" i="24" s="1"/>
  <c r="W84" i="24" s="1"/>
  <c r="R85" i="24"/>
  <c r="S85" i="24" s="1"/>
  <c r="T85" i="24" s="1"/>
  <c r="U85" i="24" s="1"/>
  <c r="R86" i="24"/>
  <c r="R87" i="24"/>
  <c r="S87" i="24" s="1"/>
  <c r="T87" i="24" s="1"/>
  <c r="U87" i="24" s="1"/>
  <c r="R88" i="24"/>
  <c r="S88" i="24" s="1"/>
  <c r="T88" i="24" s="1"/>
  <c r="U88" i="24" s="1"/>
  <c r="R89" i="24"/>
  <c r="R93" i="24"/>
  <c r="S93" i="24" s="1"/>
  <c r="T93" i="24" s="1"/>
  <c r="U93" i="24" s="1"/>
  <c r="AT36" i="18"/>
  <c r="AU36" i="18" s="1"/>
  <c r="AV36" i="18" s="1"/>
  <c r="AY36" i="18" s="1"/>
  <c r="AZ36" i="18"/>
  <c r="BA36" i="18" s="1"/>
  <c r="AT37" i="18"/>
  <c r="AU37" i="18" s="1"/>
  <c r="AZ37" i="18"/>
  <c r="BA37" i="18" s="1"/>
  <c r="R36" i="18"/>
  <c r="S36" i="18"/>
  <c r="R37" i="18"/>
  <c r="S37" i="18"/>
  <c r="V36" i="18"/>
  <c r="W36" i="18" s="1"/>
  <c r="X36" i="18" s="1"/>
  <c r="AA36" i="18" s="1"/>
  <c r="AB36" i="18"/>
  <c r="AC36" i="18" s="1"/>
  <c r="AH36" i="18"/>
  <c r="AI36" i="18" s="1"/>
  <c r="AN36" i="18"/>
  <c r="AS36" i="18" s="1"/>
  <c r="V37" i="18"/>
  <c r="W37" i="18" s="1"/>
  <c r="AB37" i="18"/>
  <c r="AC37" i="18" s="1"/>
  <c r="AD37" i="18" s="1"/>
  <c r="AG37" i="18" s="1"/>
  <c r="AH37" i="18"/>
  <c r="AI37" i="18" s="1"/>
  <c r="AN37" i="18"/>
  <c r="AO37" i="18" s="1"/>
  <c r="N36" i="18"/>
  <c r="O36" i="18"/>
  <c r="P36" i="18"/>
  <c r="Q36" i="18"/>
  <c r="N37" i="18"/>
  <c r="O37" i="18"/>
  <c r="P37" i="18"/>
  <c r="Q37" i="18"/>
  <c r="AZ20" i="17"/>
  <c r="BA20" i="17"/>
  <c r="BB20" i="17" s="1"/>
  <c r="BC20" i="17"/>
  <c r="BD20" i="17" s="1"/>
  <c r="BE20" i="17" s="1"/>
  <c r="BF20" i="17"/>
  <c r="BG20" i="17"/>
  <c r="BH20" i="17"/>
  <c r="S20" i="17"/>
  <c r="T20" i="17"/>
  <c r="U20" i="17"/>
  <c r="V20" i="17"/>
  <c r="W20" i="17" s="1"/>
  <c r="AB20" i="17"/>
  <c r="AC20" i="17" s="1"/>
  <c r="AH20" i="17"/>
  <c r="AI20" i="17" s="1"/>
  <c r="N20" i="17"/>
  <c r="O20" i="17"/>
  <c r="P20" i="17"/>
  <c r="N13" i="18"/>
  <c r="O13" i="18"/>
  <c r="P13" i="18"/>
  <c r="Q13" i="18"/>
  <c r="R13" i="18"/>
  <c r="S13" i="18"/>
  <c r="T13" i="18"/>
  <c r="U13" i="18"/>
  <c r="V13" i="18"/>
  <c r="W13" i="18" s="1"/>
  <c r="X13" i="18" s="1"/>
  <c r="AA13" i="18" s="1"/>
  <c r="AB13" i="18"/>
  <c r="AC13" i="18" s="1"/>
  <c r="AH13" i="18"/>
  <c r="AI13" i="18"/>
  <c r="AJ13" i="18" s="1"/>
  <c r="AM13" i="18" s="1"/>
  <c r="AN13" i="18"/>
  <c r="AS13" i="18" s="1"/>
  <c r="AT13" i="18"/>
  <c r="AU13" i="18" s="1"/>
  <c r="AV13" i="18" s="1"/>
  <c r="AY13" i="18" s="1"/>
  <c r="AZ13" i="18"/>
  <c r="BA13" i="18" s="1"/>
  <c r="BB13" i="18" s="1"/>
  <c r="BE13" i="18" s="1"/>
  <c r="BF13" i="18"/>
  <c r="BG13" i="18" s="1"/>
  <c r="BH13" i="18" s="1"/>
  <c r="BI13" i="18"/>
  <c r="BJ13" i="18" s="1"/>
  <c r="BK13" i="18" s="1"/>
  <c r="N14" i="18"/>
  <c r="O14" i="18"/>
  <c r="P14" i="18"/>
  <c r="Q14" i="18"/>
  <c r="R14" i="18"/>
  <c r="S14" i="18"/>
  <c r="T14" i="18"/>
  <c r="U14" i="18"/>
  <c r="V14" i="18"/>
  <c r="W14" i="18" s="1"/>
  <c r="X14" i="18" s="1"/>
  <c r="AA14" i="18" s="1"/>
  <c r="AB14" i="18"/>
  <c r="AC14" i="18" s="1"/>
  <c r="AD14" i="18" s="1"/>
  <c r="AG14" i="18" s="1"/>
  <c r="AH14" i="18"/>
  <c r="AI14" i="18" s="1"/>
  <c r="AN14" i="18"/>
  <c r="AS14" i="18" s="1"/>
  <c r="AT14" i="18"/>
  <c r="AU14" i="18" s="1"/>
  <c r="AZ14" i="18"/>
  <c r="BA14" i="18" s="1"/>
  <c r="BB14" i="18" s="1"/>
  <c r="BE14" i="18" s="1"/>
  <c r="BF14" i="18"/>
  <c r="BG14" i="18" s="1"/>
  <c r="BH14" i="18" s="1"/>
  <c r="BI14" i="18"/>
  <c r="BJ14" i="18" s="1"/>
  <c r="BK14" i="18" s="1"/>
  <c r="N15" i="18"/>
  <c r="O15" i="18"/>
  <c r="P15" i="18"/>
  <c r="Q15" i="18"/>
  <c r="R15" i="18"/>
  <c r="S15" i="18"/>
  <c r="T15" i="18"/>
  <c r="U15" i="18"/>
  <c r="V15" i="18"/>
  <c r="W15" i="18" s="1"/>
  <c r="X15" i="18" s="1"/>
  <c r="AA15" i="18" s="1"/>
  <c r="AB15" i="18"/>
  <c r="AC15" i="18" s="1"/>
  <c r="AH15" i="18"/>
  <c r="AI15" i="18"/>
  <c r="AJ15" i="18" s="1"/>
  <c r="AM15" i="18" s="1"/>
  <c r="AN15" i="18"/>
  <c r="AS15" i="18" s="1"/>
  <c r="AO15" i="18"/>
  <c r="AP15" i="18" s="1"/>
  <c r="AT15" i="18"/>
  <c r="AU15" i="18"/>
  <c r="AV15" i="18" s="1"/>
  <c r="AY15" i="18" s="1"/>
  <c r="AZ15" i="18"/>
  <c r="BA15" i="18" s="1"/>
  <c r="BB15" i="18" s="1"/>
  <c r="BE15" i="18" s="1"/>
  <c r="BF15" i="18"/>
  <c r="BG15" i="18" s="1"/>
  <c r="BH15" i="18" s="1"/>
  <c r="BI15" i="18"/>
  <c r="BJ15" i="18" s="1"/>
  <c r="BK15" i="18" s="1"/>
  <c r="N16" i="18"/>
  <c r="O16" i="18"/>
  <c r="P16" i="18"/>
  <c r="Q16" i="18"/>
  <c r="R16" i="18"/>
  <c r="S16" i="18"/>
  <c r="T16" i="18"/>
  <c r="U16" i="18"/>
  <c r="V16" i="18"/>
  <c r="W16" i="18" s="1"/>
  <c r="X16" i="18" s="1"/>
  <c r="AA16" i="18" s="1"/>
  <c r="AB16" i="18"/>
  <c r="AC16" i="18" s="1"/>
  <c r="AH16" i="18"/>
  <c r="AI16" i="18" s="1"/>
  <c r="AN16" i="18"/>
  <c r="AS16" i="18" s="1"/>
  <c r="AT16" i="18"/>
  <c r="AU16" i="18" s="1"/>
  <c r="AZ16" i="18"/>
  <c r="BA16" i="18" s="1"/>
  <c r="BB16" i="18" s="1"/>
  <c r="BE16" i="18" s="1"/>
  <c r="BF16" i="18"/>
  <c r="BG16" i="18" s="1"/>
  <c r="BH16" i="18" s="1"/>
  <c r="BI16" i="18"/>
  <c r="BJ16" i="18"/>
  <c r="BK16" i="18" s="1"/>
  <c r="N17" i="18"/>
  <c r="O17" i="18"/>
  <c r="P17" i="18"/>
  <c r="Q17" i="18"/>
  <c r="R17" i="18"/>
  <c r="S17" i="18"/>
  <c r="T17" i="18"/>
  <c r="U17" i="18"/>
  <c r="V17" i="18"/>
  <c r="W17" i="18" s="1"/>
  <c r="X17" i="18" s="1"/>
  <c r="AA17" i="18" s="1"/>
  <c r="AB17" i="18"/>
  <c r="AC17" i="18" s="1"/>
  <c r="AH17" i="18"/>
  <c r="AI17" i="18" s="1"/>
  <c r="AN17" i="18"/>
  <c r="AS17" i="18" s="1"/>
  <c r="AT17" i="18"/>
  <c r="AU17" i="18" s="1"/>
  <c r="AZ17" i="18"/>
  <c r="BA17" i="18" s="1"/>
  <c r="BB17" i="18" s="1"/>
  <c r="BE17" i="18" s="1"/>
  <c r="BF17" i="18"/>
  <c r="BG17" i="18"/>
  <c r="BH17" i="18" s="1"/>
  <c r="BI17" i="18"/>
  <c r="BJ17" i="18" s="1"/>
  <c r="BK17" i="18" s="1"/>
  <c r="N18" i="18"/>
  <c r="O18" i="18"/>
  <c r="P18" i="18"/>
  <c r="Q18" i="18"/>
  <c r="R18" i="18"/>
  <c r="S18" i="18"/>
  <c r="T18" i="18"/>
  <c r="U18" i="18"/>
  <c r="V18" i="18"/>
  <c r="W18" i="18" s="1"/>
  <c r="X18" i="18" s="1"/>
  <c r="AA18" i="18" s="1"/>
  <c r="AB18" i="18"/>
  <c r="AC18" i="18" s="1"/>
  <c r="AH18" i="18"/>
  <c r="AI18" i="18" s="1"/>
  <c r="AN18" i="18"/>
  <c r="AS18" i="18" s="1"/>
  <c r="AT18" i="18"/>
  <c r="AU18" i="18" s="1"/>
  <c r="AZ18" i="18"/>
  <c r="BA18" i="18" s="1"/>
  <c r="BB18" i="18" s="1"/>
  <c r="BE18" i="18" s="1"/>
  <c r="BF18" i="18"/>
  <c r="BG18" i="18" s="1"/>
  <c r="BH18" i="18" s="1"/>
  <c r="BI18" i="18"/>
  <c r="BJ18" i="18" s="1"/>
  <c r="BK18" i="18" s="1"/>
  <c r="N19" i="18"/>
  <c r="O19" i="18"/>
  <c r="P19" i="18"/>
  <c r="Q19" i="18"/>
  <c r="R19" i="18"/>
  <c r="S19" i="18"/>
  <c r="T19" i="18"/>
  <c r="U19" i="18"/>
  <c r="V19" i="18"/>
  <c r="W19" i="18" s="1"/>
  <c r="X19" i="18" s="1"/>
  <c r="AA19" i="18" s="1"/>
  <c r="AB19" i="18"/>
  <c r="AC19" i="18" s="1"/>
  <c r="AH19" i="18"/>
  <c r="AI19" i="18"/>
  <c r="AJ19" i="18"/>
  <c r="AM19" i="18" s="1"/>
  <c r="AK19" i="18"/>
  <c r="AL19" i="18" s="1"/>
  <c r="AN19" i="18"/>
  <c r="AS19" i="18" s="1"/>
  <c r="AT19" i="18"/>
  <c r="AU19" i="18" s="1"/>
  <c r="AZ19" i="18"/>
  <c r="BA19" i="18" s="1"/>
  <c r="BB19" i="18" s="1"/>
  <c r="BE19" i="18" s="1"/>
  <c r="BF19" i="18"/>
  <c r="BG19" i="18" s="1"/>
  <c r="BH19" i="18" s="1"/>
  <c r="BI19" i="18"/>
  <c r="BJ19" i="18" s="1"/>
  <c r="BK19" i="18" s="1"/>
  <c r="N20" i="18"/>
  <c r="O20" i="18"/>
  <c r="P20" i="18"/>
  <c r="Q20" i="18"/>
  <c r="R20" i="18"/>
  <c r="S20" i="18"/>
  <c r="T20" i="18"/>
  <c r="U20" i="18"/>
  <c r="V20" i="18"/>
  <c r="W20" i="18" s="1"/>
  <c r="X20" i="18" s="1"/>
  <c r="AA20" i="18" s="1"/>
  <c r="AB20" i="18"/>
  <c r="AC20" i="18" s="1"/>
  <c r="AH20" i="18"/>
  <c r="AI20" i="18" s="1"/>
  <c r="AN20" i="18"/>
  <c r="AS20" i="18" s="1"/>
  <c r="AT20" i="18"/>
  <c r="AU20" i="18" s="1"/>
  <c r="AZ20" i="18"/>
  <c r="BA20" i="18" s="1"/>
  <c r="BB20" i="18" s="1"/>
  <c r="BE20" i="18" s="1"/>
  <c r="BF20" i="18"/>
  <c r="BG20" i="18" s="1"/>
  <c r="BH20" i="18" s="1"/>
  <c r="BI20" i="18"/>
  <c r="BJ20" i="18" s="1"/>
  <c r="BK20" i="18" s="1"/>
  <c r="N21" i="18"/>
  <c r="O21" i="18"/>
  <c r="P21" i="18"/>
  <c r="Q21" i="18"/>
  <c r="R21" i="18"/>
  <c r="S21" i="18"/>
  <c r="T21" i="18"/>
  <c r="U21" i="18"/>
  <c r="V21" i="18"/>
  <c r="W21" i="18"/>
  <c r="X21" i="18" s="1"/>
  <c r="AA21" i="18" s="1"/>
  <c r="AB21" i="18"/>
  <c r="AC21" i="18" s="1"/>
  <c r="AH21" i="18"/>
  <c r="AI21" i="18" s="1"/>
  <c r="AJ21" i="18" s="1"/>
  <c r="AM21" i="18" s="1"/>
  <c r="AN21" i="18"/>
  <c r="AS21" i="18" s="1"/>
  <c r="AO21" i="18"/>
  <c r="AP21" i="18" s="1"/>
  <c r="AT21" i="18"/>
  <c r="AU21" i="18" s="1"/>
  <c r="AV21" i="18" s="1"/>
  <c r="AY21" i="18" s="1"/>
  <c r="AZ21" i="18"/>
  <c r="BA21" i="18" s="1"/>
  <c r="BB21" i="18" s="1"/>
  <c r="BE21" i="18" s="1"/>
  <c r="BF21" i="18"/>
  <c r="BG21" i="18" s="1"/>
  <c r="BH21" i="18" s="1"/>
  <c r="BI21" i="18"/>
  <c r="BJ21" i="18" s="1"/>
  <c r="BK21" i="18" s="1"/>
  <c r="N22" i="18"/>
  <c r="O22" i="18"/>
  <c r="P22" i="18"/>
  <c r="Q22" i="18"/>
  <c r="R22" i="18"/>
  <c r="S22" i="18"/>
  <c r="T22" i="18"/>
  <c r="U22" i="18"/>
  <c r="V22" i="18"/>
  <c r="W22" i="18"/>
  <c r="X22" i="18" s="1"/>
  <c r="AA22" i="18" s="1"/>
  <c r="AB22" i="18"/>
  <c r="AC22" i="18" s="1"/>
  <c r="AH22" i="18"/>
  <c r="AI22" i="18" s="1"/>
  <c r="AN22" i="18"/>
  <c r="AS22" i="18" s="1"/>
  <c r="AT22" i="18"/>
  <c r="AU22" i="18"/>
  <c r="AV22" i="18" s="1"/>
  <c r="AY22" i="18" s="1"/>
  <c r="AW22" i="18"/>
  <c r="AX22" i="18" s="1"/>
  <c r="AZ22" i="18"/>
  <c r="BA22" i="18" s="1"/>
  <c r="BB22" i="18" s="1"/>
  <c r="BE22" i="18" s="1"/>
  <c r="BF22" i="18"/>
  <c r="BG22" i="18" s="1"/>
  <c r="BH22" i="18" s="1"/>
  <c r="BI22" i="18"/>
  <c r="BJ22" i="18" s="1"/>
  <c r="BK22" i="18" s="1"/>
  <c r="N23" i="18"/>
  <c r="O23" i="18"/>
  <c r="P23" i="18"/>
  <c r="Q23" i="18"/>
  <c r="R23" i="18"/>
  <c r="S23" i="18"/>
  <c r="T23" i="18"/>
  <c r="U23" i="18"/>
  <c r="V23" i="18"/>
  <c r="W23" i="18" s="1"/>
  <c r="X23" i="18" s="1"/>
  <c r="AA23" i="18" s="1"/>
  <c r="AB23" i="18"/>
  <c r="AC23" i="18" s="1"/>
  <c r="AH23" i="18"/>
  <c r="AI23" i="18" s="1"/>
  <c r="AN23" i="18"/>
  <c r="AS23" i="18" s="1"/>
  <c r="AT23" i="18"/>
  <c r="AU23" i="18" s="1"/>
  <c r="AW23" i="18" s="1"/>
  <c r="AX23" i="18" s="1"/>
  <c r="AZ23" i="18"/>
  <c r="BA23" i="18" s="1"/>
  <c r="BB23" i="18" s="1"/>
  <c r="BE23" i="18" s="1"/>
  <c r="BF23" i="18"/>
  <c r="BG23" i="18" s="1"/>
  <c r="BH23" i="18" s="1"/>
  <c r="BI23" i="18"/>
  <c r="BJ23" i="18" s="1"/>
  <c r="BK23" i="18" s="1"/>
  <c r="N24" i="18"/>
  <c r="O24" i="18"/>
  <c r="P24" i="18"/>
  <c r="Q24" i="18"/>
  <c r="R24" i="18"/>
  <c r="S24" i="18"/>
  <c r="T24" i="18"/>
  <c r="U24" i="18"/>
  <c r="V24" i="18"/>
  <c r="W24" i="18" s="1"/>
  <c r="X24" i="18" s="1"/>
  <c r="AA24" i="18" s="1"/>
  <c r="AB24" i="18"/>
  <c r="AC24" i="18" s="1"/>
  <c r="AH24" i="18"/>
  <c r="AI24" i="18" s="1"/>
  <c r="AN24" i="18"/>
  <c r="AS24" i="18" s="1"/>
  <c r="AT24" i="18"/>
  <c r="AU24" i="18"/>
  <c r="AV24" i="18" s="1"/>
  <c r="AY24" i="18" s="1"/>
  <c r="AZ24" i="18"/>
  <c r="BA24" i="18"/>
  <c r="BB24" i="18" s="1"/>
  <c r="BE24" i="18" s="1"/>
  <c r="BF24" i="18"/>
  <c r="BG24" i="18" s="1"/>
  <c r="BH24" i="18" s="1"/>
  <c r="BI24" i="18"/>
  <c r="BJ24" i="18" s="1"/>
  <c r="BK24" i="18" s="1"/>
  <c r="N25" i="18"/>
  <c r="O25" i="18"/>
  <c r="P25" i="18"/>
  <c r="Q25" i="18"/>
  <c r="R25" i="18"/>
  <c r="S25" i="18"/>
  <c r="T25" i="18"/>
  <c r="U25" i="18"/>
  <c r="V25" i="18"/>
  <c r="W25" i="18" s="1"/>
  <c r="X25" i="18" s="1"/>
  <c r="AA25" i="18" s="1"/>
  <c r="AB25" i="18"/>
  <c r="AC25" i="18" s="1"/>
  <c r="AH25" i="18"/>
  <c r="AI25" i="18"/>
  <c r="AJ25" i="18" s="1"/>
  <c r="AM25" i="18" s="1"/>
  <c r="AN25" i="18"/>
  <c r="AS25" i="18" s="1"/>
  <c r="AT25" i="18"/>
  <c r="AU25" i="18" s="1"/>
  <c r="AW25" i="18" s="1"/>
  <c r="AX25" i="18" s="1"/>
  <c r="AZ25" i="18"/>
  <c r="BA25" i="18" s="1"/>
  <c r="BB25" i="18" s="1"/>
  <c r="BE25" i="18" s="1"/>
  <c r="BF25" i="18"/>
  <c r="BG25" i="18" s="1"/>
  <c r="BH25" i="18" s="1"/>
  <c r="BI25" i="18"/>
  <c r="BJ25" i="18" s="1"/>
  <c r="BK25" i="18" s="1"/>
  <c r="N26" i="18"/>
  <c r="O26" i="18"/>
  <c r="P26" i="18"/>
  <c r="Q26" i="18"/>
  <c r="R26" i="18"/>
  <c r="S26" i="18"/>
  <c r="T26" i="18"/>
  <c r="U26" i="18"/>
  <c r="V26" i="18"/>
  <c r="W26" i="18" s="1"/>
  <c r="X26" i="18" s="1"/>
  <c r="AA26" i="18" s="1"/>
  <c r="AB26" i="18"/>
  <c r="AC26" i="18" s="1"/>
  <c r="AH26" i="18"/>
  <c r="AI26" i="18" s="1"/>
  <c r="AN26" i="18"/>
  <c r="AS26" i="18" s="1"/>
  <c r="AO26" i="18"/>
  <c r="AP26" i="18" s="1"/>
  <c r="AT26" i="18"/>
  <c r="AU26" i="18"/>
  <c r="AV26" i="18" s="1"/>
  <c r="AY26" i="18" s="1"/>
  <c r="AZ26" i="18"/>
  <c r="BA26" i="18" s="1"/>
  <c r="BB26" i="18" s="1"/>
  <c r="BE26" i="18" s="1"/>
  <c r="BF26" i="18"/>
  <c r="BG26" i="18" s="1"/>
  <c r="BH26" i="18" s="1"/>
  <c r="BI26" i="18"/>
  <c r="BJ26" i="18" s="1"/>
  <c r="BK26" i="18" s="1"/>
  <c r="N27" i="18"/>
  <c r="O27" i="18"/>
  <c r="P27" i="18"/>
  <c r="Q27" i="18"/>
  <c r="R27" i="18"/>
  <c r="S27" i="18"/>
  <c r="T27" i="18"/>
  <c r="U27" i="18"/>
  <c r="V27" i="18"/>
  <c r="W27" i="18" s="1"/>
  <c r="X27" i="18" s="1"/>
  <c r="AA27" i="18" s="1"/>
  <c r="AB27" i="18"/>
  <c r="AC27" i="18" s="1"/>
  <c r="AH27" i="18"/>
  <c r="AI27" i="18"/>
  <c r="AJ27" i="18" s="1"/>
  <c r="AM27" i="18" s="1"/>
  <c r="AN27" i="18"/>
  <c r="AS27" i="18" s="1"/>
  <c r="AT27" i="18"/>
  <c r="AU27" i="18" s="1"/>
  <c r="AZ27" i="18"/>
  <c r="BA27" i="18" s="1"/>
  <c r="BB27" i="18" s="1"/>
  <c r="BE27" i="18" s="1"/>
  <c r="BF27" i="18"/>
  <c r="BG27" i="18" s="1"/>
  <c r="BH27" i="18" s="1"/>
  <c r="BI27" i="18"/>
  <c r="BJ27" i="18" s="1"/>
  <c r="BK27" i="18" s="1"/>
  <c r="N28" i="18"/>
  <c r="O28" i="18"/>
  <c r="P28" i="18"/>
  <c r="Q28" i="18"/>
  <c r="R28" i="18"/>
  <c r="S28" i="18"/>
  <c r="T28" i="18"/>
  <c r="U28" i="18"/>
  <c r="V28" i="18"/>
  <c r="W28" i="18" s="1"/>
  <c r="X28" i="18" s="1"/>
  <c r="AA28" i="18" s="1"/>
  <c r="AB28" i="18"/>
  <c r="AC28" i="18" s="1"/>
  <c r="AH28" i="18"/>
  <c r="AI28" i="18" s="1"/>
  <c r="AN28" i="18"/>
  <c r="AS28" i="18" s="1"/>
  <c r="AO28" i="18"/>
  <c r="AP28" i="18" s="1"/>
  <c r="AT28" i="18"/>
  <c r="AU28" i="18" s="1"/>
  <c r="AZ28" i="18"/>
  <c r="BA28" i="18" s="1"/>
  <c r="BB28" i="18" s="1"/>
  <c r="BE28" i="18" s="1"/>
  <c r="BF28" i="18"/>
  <c r="BG28" i="18" s="1"/>
  <c r="BH28" i="18" s="1"/>
  <c r="BI28" i="18"/>
  <c r="BJ28" i="18" s="1"/>
  <c r="BK28" i="18" s="1"/>
  <c r="N29" i="18"/>
  <c r="O29" i="18"/>
  <c r="P29" i="18"/>
  <c r="Q29" i="18"/>
  <c r="R29" i="18"/>
  <c r="S29" i="18"/>
  <c r="T29" i="18"/>
  <c r="U29" i="18"/>
  <c r="V29" i="18"/>
  <c r="W29" i="18"/>
  <c r="X29" i="18" s="1"/>
  <c r="AA29" i="18" s="1"/>
  <c r="AB29" i="18"/>
  <c r="AC29" i="18" s="1"/>
  <c r="AH29" i="18"/>
  <c r="AI29" i="18" s="1"/>
  <c r="AN29" i="18"/>
  <c r="AS29" i="18" s="1"/>
  <c r="AT29" i="18"/>
  <c r="AU29" i="18" s="1"/>
  <c r="AV29" i="18" s="1"/>
  <c r="AY29" i="18" s="1"/>
  <c r="AZ29" i="18"/>
  <c r="BA29" i="18" s="1"/>
  <c r="BB29" i="18" s="1"/>
  <c r="BE29" i="18" s="1"/>
  <c r="BF29" i="18"/>
  <c r="BG29" i="18" s="1"/>
  <c r="BH29" i="18" s="1"/>
  <c r="BI29" i="18"/>
  <c r="BJ29" i="18" s="1"/>
  <c r="BK29" i="18" s="1"/>
  <c r="N30" i="18"/>
  <c r="O30" i="18"/>
  <c r="P30" i="18"/>
  <c r="Q30" i="18"/>
  <c r="R30" i="18"/>
  <c r="S30" i="18"/>
  <c r="T30" i="18"/>
  <c r="U30" i="18"/>
  <c r="V30" i="18"/>
  <c r="W30" i="18"/>
  <c r="X30" i="18" s="1"/>
  <c r="AA30" i="18" s="1"/>
  <c r="AB30" i="18"/>
  <c r="AC30" i="18" s="1"/>
  <c r="AH30" i="18"/>
  <c r="AI30" i="18" s="1"/>
  <c r="AN30" i="18"/>
  <c r="AS30" i="18" s="1"/>
  <c r="AT30" i="18"/>
  <c r="AU30" i="18" s="1"/>
  <c r="AZ30" i="18"/>
  <c r="BA30" i="18" s="1"/>
  <c r="BB30" i="18" s="1"/>
  <c r="BE30" i="18" s="1"/>
  <c r="BF30" i="18"/>
  <c r="BG30" i="18" s="1"/>
  <c r="BH30" i="18" s="1"/>
  <c r="BI30" i="18"/>
  <c r="BJ30" i="18" s="1"/>
  <c r="BK30" i="18" s="1"/>
  <c r="N31" i="18"/>
  <c r="O31" i="18"/>
  <c r="P31" i="18"/>
  <c r="Q31" i="18"/>
  <c r="R31" i="18"/>
  <c r="S31" i="18"/>
  <c r="T31" i="18"/>
  <c r="U31" i="18"/>
  <c r="V31" i="18"/>
  <c r="W31" i="18"/>
  <c r="X31" i="18" s="1"/>
  <c r="AA31" i="18" s="1"/>
  <c r="AB31" i="18"/>
  <c r="AC31" i="18" s="1"/>
  <c r="AH31" i="18"/>
  <c r="AI31" i="18" s="1"/>
  <c r="AN31" i="18"/>
  <c r="AS31" i="18" s="1"/>
  <c r="AT31" i="18"/>
  <c r="AU31" i="18"/>
  <c r="AW31" i="18" s="1"/>
  <c r="AX31" i="18" s="1"/>
  <c r="AZ31" i="18"/>
  <c r="BA31" i="18" s="1"/>
  <c r="BB31" i="18" s="1"/>
  <c r="BE31" i="18" s="1"/>
  <c r="BF31" i="18"/>
  <c r="BG31" i="18" s="1"/>
  <c r="BH31" i="18" s="1"/>
  <c r="BI31" i="18"/>
  <c r="BJ31" i="18" s="1"/>
  <c r="BK31" i="18" s="1"/>
  <c r="N32" i="18"/>
  <c r="O32" i="18"/>
  <c r="P32" i="18"/>
  <c r="Q32" i="18"/>
  <c r="R32" i="18"/>
  <c r="S32" i="18"/>
  <c r="T32" i="18"/>
  <c r="U32" i="18"/>
  <c r="V32" i="18"/>
  <c r="W32" i="18"/>
  <c r="X32" i="18" s="1"/>
  <c r="AA32" i="18" s="1"/>
  <c r="AB32" i="18"/>
  <c r="AC32" i="18" s="1"/>
  <c r="AH32" i="18"/>
  <c r="AI32" i="18" s="1"/>
  <c r="AJ32" i="18" s="1"/>
  <c r="AM32" i="18" s="1"/>
  <c r="AN32" i="18"/>
  <c r="AS32" i="18" s="1"/>
  <c r="AT32" i="18"/>
  <c r="AU32" i="18"/>
  <c r="AV32" i="18" s="1"/>
  <c r="AY32" i="18" s="1"/>
  <c r="AZ32" i="18"/>
  <c r="BA32" i="18" s="1"/>
  <c r="BB32" i="18" s="1"/>
  <c r="BE32" i="18" s="1"/>
  <c r="BF32" i="18"/>
  <c r="BG32" i="18" s="1"/>
  <c r="BH32" i="18" s="1"/>
  <c r="BI32" i="18"/>
  <c r="BJ32" i="18" s="1"/>
  <c r="BK32" i="18" s="1"/>
  <c r="N33" i="18"/>
  <c r="O33" i="18"/>
  <c r="P33" i="18"/>
  <c r="Q33" i="18"/>
  <c r="R33" i="18"/>
  <c r="S33" i="18"/>
  <c r="T33" i="18"/>
  <c r="U33" i="18"/>
  <c r="V33" i="18"/>
  <c r="W33" i="18" s="1"/>
  <c r="X33" i="18" s="1"/>
  <c r="AA33" i="18" s="1"/>
  <c r="AB33" i="18"/>
  <c r="AC33" i="18" s="1"/>
  <c r="AH33" i="18"/>
  <c r="AI33" i="18" s="1"/>
  <c r="AN33" i="18"/>
  <c r="AS33" i="18" s="1"/>
  <c r="AT33" i="18"/>
  <c r="AU33" i="18" s="1"/>
  <c r="AZ33" i="18"/>
  <c r="BA33" i="18" s="1"/>
  <c r="BB33" i="18" s="1"/>
  <c r="BE33" i="18" s="1"/>
  <c r="BF33" i="18"/>
  <c r="BG33" i="18" s="1"/>
  <c r="BH33" i="18" s="1"/>
  <c r="BI33" i="18"/>
  <c r="BJ33" i="18" s="1"/>
  <c r="BK33" i="18" s="1"/>
  <c r="N34" i="18"/>
  <c r="O34" i="18"/>
  <c r="P34" i="18"/>
  <c r="Q34" i="18"/>
  <c r="R34" i="18"/>
  <c r="S34" i="18"/>
  <c r="T34" i="18"/>
  <c r="U34" i="18"/>
  <c r="V34" i="18"/>
  <c r="W34" i="18" s="1"/>
  <c r="X34" i="18" s="1"/>
  <c r="AA34" i="18" s="1"/>
  <c r="AB34" i="18"/>
  <c r="AC34" i="18" s="1"/>
  <c r="AH34" i="18"/>
  <c r="AI34" i="18"/>
  <c r="AJ34" i="18" s="1"/>
  <c r="AM34" i="18" s="1"/>
  <c r="AN34" i="18"/>
  <c r="AS34" i="18" s="1"/>
  <c r="AT34" i="18"/>
  <c r="AU34" i="18" s="1"/>
  <c r="AV34" i="18" s="1"/>
  <c r="AY34" i="18" s="1"/>
  <c r="AZ34" i="18"/>
  <c r="BA34" i="18" s="1"/>
  <c r="BB34" i="18" s="1"/>
  <c r="BE34" i="18" s="1"/>
  <c r="BF34" i="18"/>
  <c r="BG34" i="18" s="1"/>
  <c r="BH34" i="18" s="1"/>
  <c r="BI34" i="18"/>
  <c r="BJ34" i="18" s="1"/>
  <c r="BK34" i="18" s="1"/>
  <c r="N35" i="18"/>
  <c r="O35" i="18"/>
  <c r="P35" i="18"/>
  <c r="Q35" i="18"/>
  <c r="R35" i="18"/>
  <c r="S35" i="18"/>
  <c r="T35" i="18"/>
  <c r="U35" i="18"/>
  <c r="V35" i="18"/>
  <c r="W35" i="18" s="1"/>
  <c r="X35" i="18" s="1"/>
  <c r="AA35" i="18" s="1"/>
  <c r="AB35" i="18"/>
  <c r="AC35" i="18" s="1"/>
  <c r="AH35" i="18"/>
  <c r="AI35" i="18"/>
  <c r="AK35" i="18" s="1"/>
  <c r="AL35" i="18" s="1"/>
  <c r="AJ35" i="18"/>
  <c r="AM35" i="18" s="1"/>
  <c r="AN35" i="18"/>
  <c r="AS35" i="18" s="1"/>
  <c r="AT35" i="18"/>
  <c r="AU35" i="18" s="1"/>
  <c r="AV35" i="18" s="1"/>
  <c r="AY35" i="18" s="1"/>
  <c r="AZ35" i="18"/>
  <c r="BA35" i="18" s="1"/>
  <c r="BB35" i="18" s="1"/>
  <c r="BE35" i="18" s="1"/>
  <c r="BF35" i="18"/>
  <c r="BG35" i="18" s="1"/>
  <c r="BH35" i="18" s="1"/>
  <c r="BI35" i="18"/>
  <c r="BJ35" i="18" s="1"/>
  <c r="BK35" i="18" s="1"/>
  <c r="J91" i="21"/>
  <c r="K91" i="21" s="1"/>
  <c r="L91" i="21" s="1"/>
  <c r="M91" i="21" s="1"/>
  <c r="J51" i="21"/>
  <c r="K51" i="21" s="1"/>
  <c r="L51" i="21" s="1"/>
  <c r="M51" i="21" s="1"/>
  <c r="J11" i="21"/>
  <c r="K11" i="21" s="1"/>
  <c r="L11" i="21" s="1"/>
  <c r="M11" i="21" s="1"/>
  <c r="J16" i="21"/>
  <c r="N16" i="21" s="1"/>
  <c r="O16" i="21" s="1"/>
  <c r="J21" i="21"/>
  <c r="K21" i="21" s="1"/>
  <c r="L21" i="21" s="1"/>
  <c r="M21" i="21" s="1"/>
  <c r="J26" i="21"/>
  <c r="N26" i="21" s="1"/>
  <c r="O26" i="21" s="1"/>
  <c r="J31" i="21"/>
  <c r="K31" i="21" s="1"/>
  <c r="L31" i="21" s="1"/>
  <c r="M31" i="21" s="1"/>
  <c r="J36" i="21"/>
  <c r="K36" i="21" s="1"/>
  <c r="L36" i="21" s="1"/>
  <c r="M36" i="21" s="1"/>
  <c r="N36" i="21"/>
  <c r="O36" i="21" s="1"/>
  <c r="J41" i="21"/>
  <c r="N41" i="21" s="1"/>
  <c r="O41" i="21" s="1"/>
  <c r="Q14" i="21"/>
  <c r="R14" i="21" s="1"/>
  <c r="S14" i="21" s="1"/>
  <c r="T14" i="21" s="1"/>
  <c r="Q19" i="21"/>
  <c r="U19" i="21" s="1"/>
  <c r="V19" i="21" s="1"/>
  <c r="Q24" i="21"/>
  <c r="U24" i="21" s="1"/>
  <c r="V24" i="21" s="1"/>
  <c r="Q29" i="21"/>
  <c r="U29" i="21" s="1"/>
  <c r="V29" i="21" s="1"/>
  <c r="Q34" i="21"/>
  <c r="R34" i="21" s="1"/>
  <c r="S34" i="21" s="1"/>
  <c r="T34" i="21" s="1"/>
  <c r="Q39" i="21"/>
  <c r="U39" i="21" s="1"/>
  <c r="V39" i="21" s="1"/>
  <c r="Q44" i="21"/>
  <c r="U44" i="21" s="1"/>
  <c r="V44" i="21" s="1"/>
  <c r="R44" i="21"/>
  <c r="S44" i="21" s="1"/>
  <c r="T44" i="21" s="1"/>
  <c r="Q49" i="21"/>
  <c r="R49" i="21" s="1"/>
  <c r="S49" i="21" s="1"/>
  <c r="T49" i="21" s="1"/>
  <c r="U49" i="21"/>
  <c r="V49" i="21" s="1"/>
  <c r="Q54" i="21"/>
  <c r="U54" i="21" s="1"/>
  <c r="V54" i="21" s="1"/>
  <c r="Q59" i="21"/>
  <c r="R59" i="21" s="1"/>
  <c r="S59" i="21" s="1"/>
  <c r="T59" i="21" s="1"/>
  <c r="Q64" i="21"/>
  <c r="R64" i="21" s="1"/>
  <c r="S64" i="21" s="1"/>
  <c r="T64" i="21" s="1"/>
  <c r="Q69" i="21"/>
  <c r="U69" i="21" s="1"/>
  <c r="V69" i="21" s="1"/>
  <c r="Q74" i="21"/>
  <c r="U74" i="21" s="1"/>
  <c r="V74" i="21" s="1"/>
  <c r="Q79" i="21"/>
  <c r="U79" i="21" s="1"/>
  <c r="V79" i="21" s="1"/>
  <c r="Q84" i="21"/>
  <c r="R84" i="21" s="1"/>
  <c r="S84" i="21" s="1"/>
  <c r="T84" i="21" s="1"/>
  <c r="Q89" i="21"/>
  <c r="U89" i="21" s="1"/>
  <c r="V89" i="21" s="1"/>
  <c r="Q2" i="21"/>
  <c r="U2" i="21" s="1"/>
  <c r="V2" i="21" s="1"/>
  <c r="Q7" i="21"/>
  <c r="U7" i="21" s="1"/>
  <c r="V7" i="21" s="1"/>
  <c r="Q12" i="21"/>
  <c r="U12" i="21" s="1"/>
  <c r="V12" i="21" s="1"/>
  <c r="Q17" i="21"/>
  <c r="R17" i="21" s="1"/>
  <c r="S17" i="21" s="1"/>
  <c r="T17" i="21" s="1"/>
  <c r="Q22" i="21"/>
  <c r="U22" i="21" s="1"/>
  <c r="V22" i="21" s="1"/>
  <c r="Q27" i="21"/>
  <c r="U27" i="21" s="1"/>
  <c r="V27" i="21" s="1"/>
  <c r="Q32" i="21"/>
  <c r="R32" i="21" s="1"/>
  <c r="S32" i="21" s="1"/>
  <c r="T32" i="21" s="1"/>
  <c r="U32" i="21"/>
  <c r="V32" i="21" s="1"/>
  <c r="Q37" i="21"/>
  <c r="U37" i="21" s="1"/>
  <c r="V37" i="21" s="1"/>
  <c r="Q42" i="21"/>
  <c r="R42" i="21" s="1"/>
  <c r="S42" i="21" s="1"/>
  <c r="T42" i="21" s="1"/>
  <c r="Q47" i="21"/>
  <c r="R47" i="21" s="1"/>
  <c r="S47" i="21" s="1"/>
  <c r="T47" i="21" s="1"/>
  <c r="Q52" i="21"/>
  <c r="U52" i="21" s="1"/>
  <c r="V52" i="21" s="1"/>
  <c r="Q57" i="21"/>
  <c r="R57" i="21"/>
  <c r="S57" i="21" s="1"/>
  <c r="T57" i="21" s="1"/>
  <c r="U57" i="21"/>
  <c r="V57" i="21" s="1"/>
  <c r="Q62" i="21"/>
  <c r="U62" i="21" s="1"/>
  <c r="V62" i="21" s="1"/>
  <c r="Q67" i="21"/>
  <c r="R67" i="21" s="1"/>
  <c r="S67" i="21" s="1"/>
  <c r="T67" i="21" s="1"/>
  <c r="Q72" i="21"/>
  <c r="U72" i="21" s="1"/>
  <c r="V72" i="21" s="1"/>
  <c r="Q77" i="21"/>
  <c r="U77" i="21" s="1"/>
  <c r="V77" i="21" s="1"/>
  <c r="Q82" i="21"/>
  <c r="U82" i="21" s="1"/>
  <c r="V82" i="21" s="1"/>
  <c r="Q87" i="21"/>
  <c r="U87" i="21" s="1"/>
  <c r="V87" i="21" s="1"/>
  <c r="Q3" i="21"/>
  <c r="R3" i="21" s="1"/>
  <c r="S3" i="21" s="1"/>
  <c r="T3" i="21" s="1"/>
  <c r="U3" i="21"/>
  <c r="V3" i="21" s="1"/>
  <c r="Q8" i="21"/>
  <c r="R8" i="21" s="1"/>
  <c r="S8" i="21" s="1"/>
  <c r="T8" i="21" s="1"/>
  <c r="Q13" i="21"/>
  <c r="U13" i="21" s="1"/>
  <c r="V13" i="21" s="1"/>
  <c r="Q18" i="21"/>
  <c r="R18" i="21" s="1"/>
  <c r="S18" i="21" s="1"/>
  <c r="T18" i="21" s="1"/>
  <c r="Q23" i="21"/>
  <c r="U23" i="21" s="1"/>
  <c r="V23" i="21" s="1"/>
  <c r="Q28" i="21"/>
  <c r="R28" i="21" s="1"/>
  <c r="S28" i="21" s="1"/>
  <c r="T28" i="21" s="1"/>
  <c r="Q33" i="21"/>
  <c r="U33" i="21" s="1"/>
  <c r="V33" i="21" s="1"/>
  <c r="Q38" i="21"/>
  <c r="U38" i="21" s="1"/>
  <c r="V38" i="21" s="1"/>
  <c r="Q43" i="21"/>
  <c r="R43" i="21" s="1"/>
  <c r="S43" i="21" s="1"/>
  <c r="T43" i="21" s="1"/>
  <c r="Q48" i="21"/>
  <c r="U48" i="21" s="1"/>
  <c r="V48" i="21" s="1"/>
  <c r="Q53" i="21"/>
  <c r="R53" i="21" s="1"/>
  <c r="S53" i="21" s="1"/>
  <c r="T53" i="21" s="1"/>
  <c r="U53" i="21"/>
  <c r="V53" i="21" s="1"/>
  <c r="Q58" i="21"/>
  <c r="R58" i="21" s="1"/>
  <c r="S58" i="21" s="1"/>
  <c r="T58" i="21" s="1"/>
  <c r="U58" i="21"/>
  <c r="V58" i="21" s="1"/>
  <c r="Q63" i="21"/>
  <c r="U63" i="21" s="1"/>
  <c r="V63" i="21" s="1"/>
  <c r="Q68" i="21"/>
  <c r="R68" i="21" s="1"/>
  <c r="S68" i="21" s="1"/>
  <c r="T68" i="21" s="1"/>
  <c r="U68" i="21"/>
  <c r="V68" i="21" s="1"/>
  <c r="Q73" i="21"/>
  <c r="U73" i="21" s="1"/>
  <c r="V73" i="21" s="1"/>
  <c r="Q78" i="21"/>
  <c r="R78" i="21" s="1"/>
  <c r="S78" i="21" s="1"/>
  <c r="T78" i="21" s="1"/>
  <c r="Q83" i="21"/>
  <c r="R83" i="21" s="1"/>
  <c r="S83" i="21" s="1"/>
  <c r="T83" i="21" s="1"/>
  <c r="Q88" i="21"/>
  <c r="U88" i="21" s="1"/>
  <c r="V88" i="21" s="1"/>
  <c r="Q5" i="21"/>
  <c r="R5" i="21" s="1"/>
  <c r="S5" i="21" s="1"/>
  <c r="T5" i="21" s="1"/>
  <c r="U5" i="21"/>
  <c r="V5" i="21" s="1"/>
  <c r="Q10" i="21"/>
  <c r="U10" i="21" s="1"/>
  <c r="V10" i="21" s="1"/>
  <c r="Q15" i="21"/>
  <c r="R15" i="21" s="1"/>
  <c r="S15" i="21" s="1"/>
  <c r="T15" i="21" s="1"/>
  <c r="Q20" i="21"/>
  <c r="U20" i="21" s="1"/>
  <c r="V20" i="21" s="1"/>
  <c r="Q25" i="21"/>
  <c r="U25" i="21" s="1"/>
  <c r="V25" i="21" s="1"/>
  <c r="Q30" i="21"/>
  <c r="U30" i="21" s="1"/>
  <c r="V30" i="21" s="1"/>
  <c r="Q35" i="21"/>
  <c r="U35" i="21" s="1"/>
  <c r="V35" i="21" s="1"/>
  <c r="Q40" i="21"/>
  <c r="R40" i="21" s="1"/>
  <c r="S40" i="21" s="1"/>
  <c r="T40" i="21" s="1"/>
  <c r="Q45" i="21"/>
  <c r="R45" i="21"/>
  <c r="S45" i="21" s="1"/>
  <c r="T45" i="21" s="1"/>
  <c r="U45" i="21"/>
  <c r="V45" i="21" s="1"/>
  <c r="Q50" i="21"/>
  <c r="U50" i="21" s="1"/>
  <c r="V50" i="21" s="1"/>
  <c r="R50" i="21"/>
  <c r="S50" i="21" s="1"/>
  <c r="T50" i="21" s="1"/>
  <c r="Q55" i="21"/>
  <c r="R55" i="21" s="1"/>
  <c r="S55" i="21" s="1"/>
  <c r="T55" i="21" s="1"/>
  <c r="Q60" i="21"/>
  <c r="U60" i="21" s="1"/>
  <c r="V60" i="21" s="1"/>
  <c r="Q65" i="21"/>
  <c r="R65" i="21" s="1"/>
  <c r="S65" i="21" s="1"/>
  <c r="T65" i="21" s="1"/>
  <c r="Q70" i="21"/>
  <c r="U70" i="21" s="1"/>
  <c r="V70" i="21" s="1"/>
  <c r="Q75" i="21"/>
  <c r="U75" i="21" s="1"/>
  <c r="V75" i="21" s="1"/>
  <c r="Q80" i="21"/>
  <c r="R80" i="21" s="1"/>
  <c r="S80" i="21" s="1"/>
  <c r="T80" i="21" s="1"/>
  <c r="Q85" i="21"/>
  <c r="U85" i="21" s="1"/>
  <c r="V85" i="21" s="1"/>
  <c r="Q90" i="21"/>
  <c r="R90" i="21" s="1"/>
  <c r="S90" i="21" s="1"/>
  <c r="T90" i="21" s="1"/>
  <c r="Q6" i="21"/>
  <c r="R6" i="21" s="1"/>
  <c r="S6" i="21" s="1"/>
  <c r="T6" i="21" s="1"/>
  <c r="Q11" i="21"/>
  <c r="U11" i="21" s="1"/>
  <c r="V11" i="21" s="1"/>
  <c r="Q16" i="21"/>
  <c r="U16" i="21" s="1"/>
  <c r="V16" i="21" s="1"/>
  <c r="Q26" i="21"/>
  <c r="R26" i="21" s="1"/>
  <c r="S26" i="21" s="1"/>
  <c r="T26" i="21" s="1"/>
  <c r="U26" i="21"/>
  <c r="V26" i="21" s="1"/>
  <c r="Q36" i="21"/>
  <c r="U36" i="21" s="1"/>
  <c r="V36" i="21" s="1"/>
  <c r="Q41" i="21"/>
  <c r="R41" i="21" s="1"/>
  <c r="S41" i="21" s="1"/>
  <c r="T41" i="21" s="1"/>
  <c r="Q56" i="21"/>
  <c r="R56" i="21" s="1"/>
  <c r="S56" i="21" s="1"/>
  <c r="T56" i="21" s="1"/>
  <c r="U56" i="21"/>
  <c r="V56" i="21" s="1"/>
  <c r="Q66" i="21"/>
  <c r="U66" i="21" s="1"/>
  <c r="V66" i="21" s="1"/>
  <c r="Q71" i="21"/>
  <c r="U71" i="21" s="1"/>
  <c r="V71" i="21" s="1"/>
  <c r="Q76" i="21"/>
  <c r="R76" i="21" s="1"/>
  <c r="S76" i="21" s="1"/>
  <c r="T76" i="21" s="1"/>
  <c r="Q86" i="21"/>
  <c r="U86" i="21" s="1"/>
  <c r="V86" i="21" s="1"/>
  <c r="Q4" i="21"/>
  <c r="R4" i="21" s="1"/>
  <c r="S4" i="21" s="1"/>
  <c r="T4" i="21" s="1"/>
  <c r="Q9" i="21"/>
  <c r="U9" i="21" s="1"/>
  <c r="V9" i="21" s="1"/>
  <c r="K66" i="21"/>
  <c r="L66" i="21" s="1"/>
  <c r="M66" i="21" s="1"/>
  <c r="N66" i="21"/>
  <c r="O66" i="21" s="1"/>
  <c r="J9" i="21"/>
  <c r="K9" i="21" s="1"/>
  <c r="L9" i="21" s="1"/>
  <c r="M9" i="21" s="1"/>
  <c r="J14" i="21"/>
  <c r="K14" i="21" s="1"/>
  <c r="L14" i="21" s="1"/>
  <c r="M14" i="21" s="1"/>
  <c r="J19" i="21"/>
  <c r="K19" i="21" s="1"/>
  <c r="L19" i="21" s="1"/>
  <c r="M19" i="21" s="1"/>
  <c r="J24" i="21"/>
  <c r="K24" i="21" s="1"/>
  <c r="L24" i="21" s="1"/>
  <c r="M24" i="21" s="1"/>
  <c r="J29" i="21"/>
  <c r="N29" i="21" s="1"/>
  <c r="O29" i="21" s="1"/>
  <c r="J34" i="21"/>
  <c r="K34" i="21" s="1"/>
  <c r="L34" i="21" s="1"/>
  <c r="M34" i="21" s="1"/>
  <c r="J39" i="21"/>
  <c r="K39" i="21" s="1"/>
  <c r="L39" i="21" s="1"/>
  <c r="M39" i="21" s="1"/>
  <c r="J44" i="21"/>
  <c r="K44" i="21" s="1"/>
  <c r="L44" i="21" s="1"/>
  <c r="M44" i="21" s="1"/>
  <c r="J49" i="21"/>
  <c r="K49" i="21" s="1"/>
  <c r="L49" i="21" s="1"/>
  <c r="M49" i="21" s="1"/>
  <c r="J54" i="21"/>
  <c r="K54" i="21" s="1"/>
  <c r="L54" i="21" s="1"/>
  <c r="M54" i="21" s="1"/>
  <c r="J59" i="21"/>
  <c r="K59" i="21" s="1"/>
  <c r="L59" i="21" s="1"/>
  <c r="M59" i="21" s="1"/>
  <c r="J64" i="21"/>
  <c r="K64" i="21" s="1"/>
  <c r="L64" i="21" s="1"/>
  <c r="M64" i="21" s="1"/>
  <c r="J69" i="21"/>
  <c r="K69" i="21" s="1"/>
  <c r="L69" i="21" s="1"/>
  <c r="M69" i="21" s="1"/>
  <c r="J74" i="21"/>
  <c r="K74" i="21" s="1"/>
  <c r="L74" i="21" s="1"/>
  <c r="M74" i="21" s="1"/>
  <c r="J79" i="21"/>
  <c r="N79" i="21" s="1"/>
  <c r="O79" i="21" s="1"/>
  <c r="J84" i="21"/>
  <c r="K84" i="21" s="1"/>
  <c r="L84" i="21" s="1"/>
  <c r="M84" i="21" s="1"/>
  <c r="J89" i="21"/>
  <c r="K89" i="21" s="1"/>
  <c r="L89" i="21" s="1"/>
  <c r="M89" i="21" s="1"/>
  <c r="J2" i="21"/>
  <c r="K2" i="21" s="1"/>
  <c r="L2" i="21" s="1"/>
  <c r="M2" i="21" s="1"/>
  <c r="J7" i="21"/>
  <c r="K7" i="21" s="1"/>
  <c r="L7" i="21" s="1"/>
  <c r="M7" i="21" s="1"/>
  <c r="J12" i="21"/>
  <c r="K12" i="21" s="1"/>
  <c r="L12" i="21" s="1"/>
  <c r="M12" i="21" s="1"/>
  <c r="J17" i="21"/>
  <c r="K17" i="21" s="1"/>
  <c r="L17" i="21" s="1"/>
  <c r="M17" i="21" s="1"/>
  <c r="J22" i="21"/>
  <c r="K22" i="21" s="1"/>
  <c r="L22" i="21" s="1"/>
  <c r="M22" i="21" s="1"/>
  <c r="J27" i="21"/>
  <c r="K27" i="21" s="1"/>
  <c r="L27" i="21" s="1"/>
  <c r="M27" i="21" s="1"/>
  <c r="J32" i="21"/>
  <c r="N32" i="21" s="1"/>
  <c r="O32" i="21" s="1"/>
  <c r="J37" i="21"/>
  <c r="K37" i="21" s="1"/>
  <c r="L37" i="21" s="1"/>
  <c r="M37" i="21" s="1"/>
  <c r="J42" i="21"/>
  <c r="K42" i="21" s="1"/>
  <c r="L42" i="21" s="1"/>
  <c r="M42" i="21" s="1"/>
  <c r="J47" i="21"/>
  <c r="N47" i="21" s="1"/>
  <c r="O47" i="21" s="1"/>
  <c r="J52" i="21"/>
  <c r="K52" i="21" s="1"/>
  <c r="L52" i="21" s="1"/>
  <c r="M52" i="21" s="1"/>
  <c r="J57" i="21"/>
  <c r="K57" i="21" s="1"/>
  <c r="L57" i="21" s="1"/>
  <c r="M57" i="21" s="1"/>
  <c r="J62" i="21"/>
  <c r="K62" i="21" s="1"/>
  <c r="L62" i="21" s="1"/>
  <c r="M62" i="21" s="1"/>
  <c r="J67" i="21"/>
  <c r="K67" i="21" s="1"/>
  <c r="L67" i="21" s="1"/>
  <c r="M67" i="21" s="1"/>
  <c r="J72" i="21"/>
  <c r="K72" i="21" s="1"/>
  <c r="L72" i="21" s="1"/>
  <c r="M72" i="21" s="1"/>
  <c r="J77" i="21"/>
  <c r="K77" i="21" s="1"/>
  <c r="L77" i="21" s="1"/>
  <c r="M77" i="21" s="1"/>
  <c r="J82" i="21"/>
  <c r="N82" i="21" s="1"/>
  <c r="O82" i="21" s="1"/>
  <c r="J87" i="21"/>
  <c r="N87" i="21" s="1"/>
  <c r="O87" i="21" s="1"/>
  <c r="J3" i="21"/>
  <c r="K3" i="21" s="1"/>
  <c r="L3" i="21" s="1"/>
  <c r="M3" i="21" s="1"/>
  <c r="J8" i="21"/>
  <c r="K8" i="21" s="1"/>
  <c r="L8" i="21" s="1"/>
  <c r="M8" i="21" s="1"/>
  <c r="J13" i="21"/>
  <c r="K13" i="21" s="1"/>
  <c r="L13" i="21" s="1"/>
  <c r="M13" i="21" s="1"/>
  <c r="J18" i="21"/>
  <c r="K18" i="21" s="1"/>
  <c r="L18" i="21" s="1"/>
  <c r="M18" i="21" s="1"/>
  <c r="J23" i="21"/>
  <c r="K23" i="21" s="1"/>
  <c r="L23" i="21" s="1"/>
  <c r="M23" i="21" s="1"/>
  <c r="J28" i="21"/>
  <c r="K28" i="21" s="1"/>
  <c r="L28" i="21" s="1"/>
  <c r="M28" i="21" s="1"/>
  <c r="J33" i="21"/>
  <c r="K33" i="21" s="1"/>
  <c r="L33" i="21" s="1"/>
  <c r="M33" i="21" s="1"/>
  <c r="J38" i="21"/>
  <c r="N38" i="21" s="1"/>
  <c r="O38" i="21" s="1"/>
  <c r="J43" i="21"/>
  <c r="K43" i="21" s="1"/>
  <c r="L43" i="21" s="1"/>
  <c r="M43" i="21" s="1"/>
  <c r="J48" i="21"/>
  <c r="K48" i="21" s="1"/>
  <c r="L48" i="21" s="1"/>
  <c r="M48" i="21" s="1"/>
  <c r="J53" i="21"/>
  <c r="N53" i="21" s="1"/>
  <c r="O53" i="21" s="1"/>
  <c r="J58" i="21"/>
  <c r="K58" i="21" s="1"/>
  <c r="L58" i="21" s="1"/>
  <c r="M58" i="21" s="1"/>
  <c r="J63" i="21"/>
  <c r="K63" i="21" s="1"/>
  <c r="L63" i="21" s="1"/>
  <c r="M63" i="21" s="1"/>
  <c r="J68" i="21"/>
  <c r="K68" i="21" s="1"/>
  <c r="L68" i="21" s="1"/>
  <c r="M68" i="21" s="1"/>
  <c r="J73" i="21"/>
  <c r="N73" i="21" s="1"/>
  <c r="O73" i="21" s="1"/>
  <c r="J78" i="21"/>
  <c r="K78" i="21" s="1"/>
  <c r="L78" i="21" s="1"/>
  <c r="M78" i="21" s="1"/>
  <c r="J83" i="21"/>
  <c r="K83" i="21" s="1"/>
  <c r="L83" i="21" s="1"/>
  <c r="M83" i="21" s="1"/>
  <c r="J88" i="21"/>
  <c r="N88" i="21" s="1"/>
  <c r="O88" i="21" s="1"/>
  <c r="J5" i="21"/>
  <c r="K5" i="21" s="1"/>
  <c r="L5" i="21" s="1"/>
  <c r="M5" i="21" s="1"/>
  <c r="J10" i="21"/>
  <c r="K10" i="21" s="1"/>
  <c r="L10" i="21" s="1"/>
  <c r="M10" i="21" s="1"/>
  <c r="J15" i="21"/>
  <c r="K15" i="21" s="1"/>
  <c r="L15" i="21" s="1"/>
  <c r="M15" i="21" s="1"/>
  <c r="J20" i="21"/>
  <c r="N20" i="21" s="1"/>
  <c r="O20" i="21" s="1"/>
  <c r="J25" i="21"/>
  <c r="K25" i="21" s="1"/>
  <c r="L25" i="21" s="1"/>
  <c r="M25" i="21" s="1"/>
  <c r="J30" i="21"/>
  <c r="K30" i="21" s="1"/>
  <c r="L30" i="21" s="1"/>
  <c r="M30" i="21" s="1"/>
  <c r="J35" i="21"/>
  <c r="K35" i="21" s="1"/>
  <c r="L35" i="21" s="1"/>
  <c r="M35" i="21" s="1"/>
  <c r="J40" i="21"/>
  <c r="K40" i="21" s="1"/>
  <c r="L40" i="21" s="1"/>
  <c r="M40" i="21" s="1"/>
  <c r="J45" i="21"/>
  <c r="K45" i="21" s="1"/>
  <c r="L45" i="21" s="1"/>
  <c r="M45" i="21" s="1"/>
  <c r="J50" i="21"/>
  <c r="N50" i="21" s="1"/>
  <c r="O50" i="21" s="1"/>
  <c r="J55" i="21"/>
  <c r="K55" i="21" s="1"/>
  <c r="L55" i="21" s="1"/>
  <c r="M55" i="21" s="1"/>
  <c r="J60" i="21"/>
  <c r="K60" i="21" s="1"/>
  <c r="L60" i="21" s="1"/>
  <c r="M60" i="21" s="1"/>
  <c r="J65" i="21"/>
  <c r="K65" i="21" s="1"/>
  <c r="L65" i="21" s="1"/>
  <c r="M65" i="21" s="1"/>
  <c r="J70" i="21"/>
  <c r="N70" i="21" s="1"/>
  <c r="O70" i="21" s="1"/>
  <c r="J75" i="21"/>
  <c r="K75" i="21" s="1"/>
  <c r="L75" i="21" s="1"/>
  <c r="M75" i="21" s="1"/>
  <c r="J80" i="21"/>
  <c r="K80" i="21" s="1"/>
  <c r="L80" i="21" s="1"/>
  <c r="M80" i="21" s="1"/>
  <c r="J85" i="21"/>
  <c r="K85" i="21" s="1"/>
  <c r="L85" i="21" s="1"/>
  <c r="M85" i="21" s="1"/>
  <c r="J90" i="21"/>
  <c r="K90" i="21" s="1"/>
  <c r="L90" i="21" s="1"/>
  <c r="M90" i="21" s="1"/>
  <c r="J6" i="21"/>
  <c r="K6" i="21" s="1"/>
  <c r="L6" i="21" s="1"/>
  <c r="M6" i="21" s="1"/>
  <c r="J56" i="21"/>
  <c r="K56" i="21" s="1"/>
  <c r="L56" i="21" s="1"/>
  <c r="M56" i="21" s="1"/>
  <c r="J66" i="21"/>
  <c r="J71" i="21"/>
  <c r="N71" i="21" s="1"/>
  <c r="O71" i="21" s="1"/>
  <c r="J76" i="21"/>
  <c r="K76" i="21" s="1"/>
  <c r="L76" i="21" s="1"/>
  <c r="M76" i="21" s="1"/>
  <c r="J86" i="21"/>
  <c r="K86" i="21" s="1"/>
  <c r="L86" i="21" s="1"/>
  <c r="M86" i="21" s="1"/>
  <c r="J4" i="21"/>
  <c r="Z13" i="10"/>
  <c r="AA13" i="10"/>
  <c r="Z14" i="10"/>
  <c r="AA14" i="10"/>
  <c r="Z15" i="10"/>
  <c r="AA15" i="10"/>
  <c r="Z20" i="10"/>
  <c r="AA20" i="10"/>
  <c r="Z24" i="10"/>
  <c r="AA24" i="10"/>
  <c r="Z25" i="10"/>
  <c r="AA25" i="10"/>
  <c r="Z26" i="10"/>
  <c r="AA26" i="10"/>
  <c r="Z30" i="10"/>
  <c r="AA30" i="10"/>
  <c r="Z31" i="10"/>
  <c r="AA31" i="10"/>
  <c r="Z32" i="10"/>
  <c r="AA32" i="10"/>
  <c r="Z34" i="10"/>
  <c r="AA34" i="10"/>
  <c r="Z35" i="10"/>
  <c r="AA35" i="10"/>
  <c r="Z37" i="10"/>
  <c r="AA37" i="10"/>
  <c r="Z38" i="10"/>
  <c r="AA38" i="10"/>
  <c r="Z39" i="10"/>
  <c r="AA39" i="10"/>
  <c r="Z42" i="10"/>
  <c r="AA42" i="10"/>
  <c r="Z43" i="10"/>
  <c r="AA43" i="10"/>
  <c r="Z44" i="10"/>
  <c r="AA44" i="10"/>
  <c r="Z47" i="10"/>
  <c r="AA47" i="10"/>
  <c r="Z61" i="10"/>
  <c r="AA61" i="10"/>
  <c r="Z64" i="10"/>
  <c r="AA64" i="10"/>
  <c r="Z65" i="10"/>
  <c r="AA65" i="10"/>
  <c r="Z68" i="10"/>
  <c r="AA68" i="10"/>
  <c r="Z71" i="10"/>
  <c r="AA71" i="10"/>
  <c r="Z76" i="10"/>
  <c r="AA76" i="10"/>
  <c r="Z77" i="10"/>
  <c r="AA77" i="10"/>
  <c r="Z78" i="10"/>
  <c r="AA78" i="10"/>
  <c r="Z86" i="10"/>
  <c r="AA86" i="10"/>
  <c r="Z87" i="10"/>
  <c r="AA87" i="10"/>
  <c r="Z90" i="10"/>
  <c r="AA90" i="10"/>
  <c r="Z93" i="10"/>
  <c r="AA93" i="10"/>
  <c r="Z98" i="10"/>
  <c r="AA98" i="10"/>
  <c r="Z100" i="10"/>
  <c r="AA100" i="10"/>
  <c r="Z101" i="10"/>
  <c r="AA101" i="10"/>
  <c r="Z4" i="10"/>
  <c r="AA4" i="10"/>
  <c r="Z8" i="10"/>
  <c r="AA8" i="10"/>
  <c r="Z11" i="10"/>
  <c r="AA11" i="10"/>
  <c r="Z12" i="10"/>
  <c r="AA12" i="10"/>
  <c r="Z16" i="10"/>
  <c r="AA16" i="10"/>
  <c r="Z17" i="10"/>
  <c r="AA17" i="10"/>
  <c r="Z18" i="10"/>
  <c r="AA18" i="10"/>
  <c r="Z21" i="10"/>
  <c r="AA21" i="10"/>
  <c r="Z23" i="10"/>
  <c r="AA23" i="10"/>
  <c r="Z45" i="10"/>
  <c r="AA45" i="10"/>
  <c r="Z48" i="10"/>
  <c r="AA48" i="10"/>
  <c r="Z51" i="10"/>
  <c r="AA51" i="10"/>
  <c r="Z54" i="10"/>
  <c r="AA54" i="10"/>
  <c r="Z58" i="10"/>
  <c r="AA58" i="10"/>
  <c r="Z59" i="10"/>
  <c r="AA59" i="10"/>
  <c r="Z60" i="10"/>
  <c r="AA60" i="10"/>
  <c r="Z63" i="10"/>
  <c r="AA63" i="10"/>
  <c r="Z66" i="10"/>
  <c r="AA66" i="10"/>
  <c r="Z70" i="10"/>
  <c r="AA70" i="10"/>
  <c r="Z72" i="10"/>
  <c r="AA72" i="10"/>
  <c r="Z74" i="10"/>
  <c r="AA74" i="10"/>
  <c r="Z75" i="10"/>
  <c r="AA75" i="10"/>
  <c r="Z79" i="10"/>
  <c r="AA79" i="10"/>
  <c r="Z81" i="10"/>
  <c r="AA81" i="10"/>
  <c r="Z83" i="10"/>
  <c r="AA83" i="10"/>
  <c r="Z84" i="10"/>
  <c r="AA84" i="10"/>
  <c r="Z88" i="10"/>
  <c r="AA88" i="10"/>
  <c r="Z89" i="10"/>
  <c r="AA89" i="10"/>
  <c r="Z92" i="10"/>
  <c r="AA92" i="10"/>
  <c r="Z95" i="10"/>
  <c r="AA95" i="10"/>
  <c r="U2" i="9"/>
  <c r="T2" i="9"/>
  <c r="S2" i="9"/>
  <c r="S4" i="9"/>
  <c r="T4" i="9"/>
  <c r="U4" i="9"/>
  <c r="R4" i="9"/>
  <c r="N4" i="9" s="1"/>
  <c r="V4" i="9" s="1"/>
  <c r="S131" i="24" l="1"/>
  <c r="T131" i="24" s="1"/>
  <c r="U131" i="24" s="1"/>
  <c r="L81" i="24"/>
  <c r="M81" i="24" s="1"/>
  <c r="N81" i="24" s="1"/>
  <c r="S20" i="24"/>
  <c r="T20" i="24" s="1"/>
  <c r="U20" i="24" s="1"/>
  <c r="S151" i="24"/>
  <c r="T151" i="24" s="1"/>
  <c r="U151" i="24" s="1"/>
  <c r="V55" i="24"/>
  <c r="W55" i="24" s="1"/>
  <c r="L97" i="24"/>
  <c r="M97" i="24" s="1"/>
  <c r="N97" i="24" s="1"/>
  <c r="S147" i="24"/>
  <c r="T147" i="24" s="1"/>
  <c r="U147" i="24" s="1"/>
  <c r="V33" i="24"/>
  <c r="W33" i="24" s="1"/>
  <c r="O102" i="24"/>
  <c r="P102" i="24" s="1"/>
  <c r="AJ29" i="18"/>
  <c r="AM29" i="18" s="1"/>
  <c r="AK29" i="18"/>
  <c r="AL29" i="18" s="1"/>
  <c r="AW20" i="18"/>
  <c r="AX20" i="18" s="1"/>
  <c r="AV20" i="18"/>
  <c r="AY20" i="18" s="1"/>
  <c r="AK28" i="18"/>
  <c r="AL28" i="18" s="1"/>
  <c r="AJ28" i="18"/>
  <c r="AM28" i="18" s="1"/>
  <c r="AK27" i="18"/>
  <c r="AL27" i="18" s="1"/>
  <c r="AV31" i="18"/>
  <c r="AY31" i="18" s="1"/>
  <c r="AO14" i="18"/>
  <c r="BR16" i="20"/>
  <c r="BU16" i="20" s="1"/>
  <c r="BS16" i="20"/>
  <c r="BT16" i="20" s="1"/>
  <c r="AN16" i="20"/>
  <c r="AQ16" i="20" s="1"/>
  <c r="AO16" i="20"/>
  <c r="AP16" i="20" s="1"/>
  <c r="U94" i="32"/>
  <c r="AA94" i="32" s="1"/>
  <c r="S65" i="24"/>
  <c r="T65" i="24" s="1"/>
  <c r="U65" i="24" s="1"/>
  <c r="S52" i="24"/>
  <c r="T52" i="24" s="1"/>
  <c r="U52" i="24" s="1"/>
  <c r="S99" i="24"/>
  <c r="T99" i="24" s="1"/>
  <c r="U99" i="24" s="1"/>
  <c r="S210" i="24"/>
  <c r="T210" i="24" s="1"/>
  <c r="U210" i="24" s="1"/>
  <c r="S96" i="24"/>
  <c r="T96" i="24" s="1"/>
  <c r="U96" i="24" s="1"/>
  <c r="S195" i="24"/>
  <c r="T195" i="24" s="1"/>
  <c r="U195" i="24" s="1"/>
  <c r="S81" i="24"/>
  <c r="T81" i="24" s="1"/>
  <c r="U81" i="24" s="1"/>
  <c r="S94" i="24"/>
  <c r="T94" i="24" s="1"/>
  <c r="U94" i="24" s="1"/>
  <c r="V129" i="24"/>
  <c r="W129" i="24" s="1"/>
  <c r="V35" i="24"/>
  <c r="W35" i="24" s="1"/>
  <c r="S14" i="24"/>
  <c r="T14" i="24" s="1"/>
  <c r="U14" i="24" s="1"/>
  <c r="S100" i="24"/>
  <c r="T100" i="24" s="1"/>
  <c r="U100" i="24" s="1"/>
  <c r="S173" i="24"/>
  <c r="T173" i="24" s="1"/>
  <c r="U173" i="24" s="1"/>
  <c r="L40" i="24"/>
  <c r="M40" i="24" s="1"/>
  <c r="N40" i="24" s="1"/>
  <c r="L106" i="24"/>
  <c r="M106" i="24" s="1"/>
  <c r="N106" i="24" s="1"/>
  <c r="O86" i="24"/>
  <c r="P86" i="24" s="1"/>
  <c r="L9" i="24"/>
  <c r="M9" i="24" s="1"/>
  <c r="N9" i="24" s="1"/>
  <c r="S105" i="24"/>
  <c r="T105" i="24" s="1"/>
  <c r="U105" i="24" s="1"/>
  <c r="V72" i="24"/>
  <c r="W72" i="24" s="1"/>
  <c r="S64" i="24"/>
  <c r="T64" i="24" s="1"/>
  <c r="U64" i="24" s="1"/>
  <c r="S37" i="24"/>
  <c r="T37" i="24" s="1"/>
  <c r="U37" i="24" s="1"/>
  <c r="V209" i="24"/>
  <c r="W209" i="24" s="1"/>
  <c r="V187" i="24"/>
  <c r="W187" i="24" s="1"/>
  <c r="O135" i="24"/>
  <c r="P135" i="24" s="1"/>
  <c r="S101" i="24"/>
  <c r="T101" i="24" s="1"/>
  <c r="U101" i="24" s="1"/>
  <c r="S95" i="24"/>
  <c r="T95" i="24" s="1"/>
  <c r="U95" i="24" s="1"/>
  <c r="V165" i="24"/>
  <c r="W165" i="24" s="1"/>
  <c r="O48" i="24"/>
  <c r="P48" i="24" s="1"/>
  <c r="L41" i="24"/>
  <c r="M41" i="24" s="1"/>
  <c r="N41" i="24" s="1"/>
  <c r="O91" i="24"/>
  <c r="P91" i="24" s="1"/>
  <c r="V80" i="24"/>
  <c r="W80" i="24" s="1"/>
  <c r="S32" i="24"/>
  <c r="T32" i="24" s="1"/>
  <c r="U32" i="24" s="1"/>
  <c r="V106" i="24"/>
  <c r="W106" i="24" s="1"/>
  <c r="S127" i="24"/>
  <c r="T127" i="24" s="1"/>
  <c r="U127" i="24" s="1"/>
  <c r="S159" i="24"/>
  <c r="T159" i="24" s="1"/>
  <c r="U159" i="24" s="1"/>
  <c r="O174" i="24"/>
  <c r="P174" i="24" s="1"/>
  <c r="S214" i="24"/>
  <c r="T214" i="24" s="1"/>
  <c r="U214" i="24" s="1"/>
  <c r="V162" i="24"/>
  <c r="W162" i="24" s="1"/>
  <c r="S149" i="24"/>
  <c r="T149" i="24" s="1"/>
  <c r="U149" i="24" s="1"/>
  <c r="V53" i="24"/>
  <c r="W53" i="24" s="1"/>
  <c r="V137" i="24"/>
  <c r="W137" i="24" s="1"/>
  <c r="V45" i="24"/>
  <c r="W45" i="24" s="1"/>
  <c r="V27" i="24"/>
  <c r="W27" i="24" s="1"/>
  <c r="V109" i="24"/>
  <c r="W109" i="24" s="1"/>
  <c r="S205" i="24"/>
  <c r="T205" i="24" s="1"/>
  <c r="U205" i="24" s="1"/>
  <c r="V193" i="24"/>
  <c r="W193" i="24" s="1"/>
  <c r="V175" i="24"/>
  <c r="W175" i="24" s="1"/>
  <c r="S154" i="24"/>
  <c r="T154" i="24" s="1"/>
  <c r="U154" i="24" s="1"/>
  <c r="T349" i="25"/>
  <c r="U349" i="25" s="1"/>
  <c r="V349" i="25" s="1"/>
  <c r="O62" i="23"/>
  <c r="P62" i="23" s="1"/>
  <c r="S31" i="24"/>
  <c r="T31" i="24" s="1"/>
  <c r="U31" i="24" s="1"/>
  <c r="S107" i="24"/>
  <c r="T107" i="24" s="1"/>
  <c r="U107" i="24" s="1"/>
  <c r="S145" i="24"/>
  <c r="T145" i="24" s="1"/>
  <c r="U145" i="24" s="1"/>
  <c r="V192" i="24"/>
  <c r="W192" i="24" s="1"/>
  <c r="S176" i="24"/>
  <c r="T176" i="24" s="1"/>
  <c r="U176" i="24" s="1"/>
  <c r="O145" i="24"/>
  <c r="P145" i="24" s="1"/>
  <c r="L56" i="24"/>
  <c r="M56" i="24" s="1"/>
  <c r="N56" i="24" s="1"/>
  <c r="O83" i="24"/>
  <c r="P83" i="24" s="1"/>
  <c r="V47" i="24"/>
  <c r="W47" i="24" s="1"/>
  <c r="S122" i="24"/>
  <c r="T122" i="24" s="1"/>
  <c r="U122" i="24" s="1"/>
  <c r="S181" i="24"/>
  <c r="T181" i="24" s="1"/>
  <c r="U181" i="24" s="1"/>
  <c r="O72" i="24"/>
  <c r="P72" i="24" s="1"/>
  <c r="L82" i="24"/>
  <c r="M82" i="24" s="1"/>
  <c r="N82" i="24" s="1"/>
  <c r="L75" i="24"/>
  <c r="M75" i="24" s="1"/>
  <c r="N75" i="24" s="1"/>
  <c r="S60" i="24"/>
  <c r="T60" i="24" s="1"/>
  <c r="U60" i="24" s="1"/>
  <c r="S51" i="24"/>
  <c r="T51" i="24" s="1"/>
  <c r="U51" i="24" s="1"/>
  <c r="S17" i="24"/>
  <c r="T17" i="24" s="1"/>
  <c r="U17" i="24" s="1"/>
  <c r="S9" i="24"/>
  <c r="T9" i="24" s="1"/>
  <c r="U9" i="24" s="1"/>
  <c r="V198" i="24"/>
  <c r="W198" i="24" s="1"/>
  <c r="V207" i="24"/>
  <c r="W207" i="24" s="1"/>
  <c r="S196" i="24"/>
  <c r="T196" i="24" s="1"/>
  <c r="U196" i="24" s="1"/>
  <c r="V148" i="24"/>
  <c r="W148" i="24" s="1"/>
  <c r="O62" i="24"/>
  <c r="P62" i="24" s="1"/>
  <c r="O11" i="24"/>
  <c r="P11" i="24" s="1"/>
  <c r="O88" i="24"/>
  <c r="P88" i="24" s="1"/>
  <c r="V82" i="24"/>
  <c r="W82" i="24" s="1"/>
  <c r="S111" i="24"/>
  <c r="T111" i="24" s="1"/>
  <c r="U111" i="24" s="1"/>
  <c r="S202" i="24"/>
  <c r="T202" i="24" s="1"/>
  <c r="U202" i="24" s="1"/>
  <c r="V153" i="24"/>
  <c r="W153" i="24" s="1"/>
  <c r="L51" i="24"/>
  <c r="M51" i="24" s="1"/>
  <c r="N51" i="24" s="1"/>
  <c r="L33" i="24"/>
  <c r="M33" i="24" s="1"/>
  <c r="N33" i="24" s="1"/>
  <c r="U83" i="21"/>
  <c r="V83" i="21" s="1"/>
  <c r="R82" i="21"/>
  <c r="S82" i="21" s="1"/>
  <c r="T82" i="21" s="1"/>
  <c r="U64" i="21"/>
  <c r="V64" i="21" s="1"/>
  <c r="U76" i="21"/>
  <c r="V76" i="21" s="1"/>
  <c r="R7" i="21"/>
  <c r="S7" i="21" s="1"/>
  <c r="T7" i="21" s="1"/>
  <c r="R9" i="21"/>
  <c r="S9" i="21" s="1"/>
  <c r="T9" i="21" s="1"/>
  <c r="U40" i="21"/>
  <c r="V40" i="21" s="1"/>
  <c r="R74" i="21"/>
  <c r="S74" i="21" s="1"/>
  <c r="T74" i="21" s="1"/>
  <c r="L724" i="25"/>
  <c r="M724" i="25" s="1"/>
  <c r="N724" i="25" s="1"/>
  <c r="W512" i="25"/>
  <c r="X512" i="25" s="1"/>
  <c r="W660" i="25"/>
  <c r="X660" i="25" s="1"/>
  <c r="P19" i="25"/>
  <c r="Q19" i="25" s="1"/>
  <c r="S83" i="12"/>
  <c r="S89" i="12"/>
  <c r="S78" i="12"/>
  <c r="R106" i="12"/>
  <c r="S155" i="12"/>
  <c r="S225" i="12"/>
  <c r="L627" i="25"/>
  <c r="M627" i="25" s="1"/>
  <c r="N627" i="25" s="1"/>
  <c r="T712" i="25"/>
  <c r="U712" i="25" s="1"/>
  <c r="V712" i="25" s="1"/>
  <c r="T674" i="25"/>
  <c r="U674" i="25" s="1"/>
  <c r="V674" i="25" s="1"/>
  <c r="W647" i="25"/>
  <c r="X647" i="25" s="1"/>
  <c r="T638" i="25"/>
  <c r="U638" i="25" s="1"/>
  <c r="V638" i="25" s="1"/>
  <c r="P376" i="25"/>
  <c r="Q376" i="25" s="1"/>
  <c r="L367" i="25"/>
  <c r="M367" i="25" s="1"/>
  <c r="N367" i="25" s="1"/>
  <c r="T661" i="25"/>
  <c r="U661" i="25" s="1"/>
  <c r="V661" i="25" s="1"/>
  <c r="W626" i="25"/>
  <c r="X626" i="25" s="1"/>
  <c r="L556" i="25"/>
  <c r="M556" i="25" s="1"/>
  <c r="N556" i="25" s="1"/>
  <c r="L146" i="25"/>
  <c r="M146" i="25" s="1"/>
  <c r="N146" i="25" s="1"/>
  <c r="L128" i="25"/>
  <c r="M128" i="25" s="1"/>
  <c r="N128" i="25" s="1"/>
  <c r="P532" i="25"/>
  <c r="Q532" i="25" s="1"/>
  <c r="W417" i="25"/>
  <c r="X417" i="25" s="1"/>
  <c r="W270" i="25"/>
  <c r="X270" i="25" s="1"/>
  <c r="W11" i="25"/>
  <c r="X11" i="25" s="1"/>
  <c r="T239" i="25"/>
  <c r="U239" i="25" s="1"/>
  <c r="V239" i="25" s="1"/>
  <c r="L414" i="25"/>
  <c r="M414" i="25" s="1"/>
  <c r="N414" i="25" s="1"/>
  <c r="L752" i="25"/>
  <c r="M752" i="25" s="1"/>
  <c r="N752" i="25" s="1"/>
  <c r="P743" i="25"/>
  <c r="Q743" i="25" s="1"/>
  <c r="T387" i="25"/>
  <c r="U387" i="25" s="1"/>
  <c r="V387" i="25" s="1"/>
  <c r="W210" i="25"/>
  <c r="X210" i="25" s="1"/>
  <c r="W457" i="25"/>
  <c r="X457" i="25" s="1"/>
  <c r="T281" i="25"/>
  <c r="U281" i="25" s="1"/>
  <c r="V281" i="25" s="1"/>
  <c r="T272" i="25"/>
  <c r="U272" i="25" s="1"/>
  <c r="V272" i="25" s="1"/>
  <c r="P280" i="25"/>
  <c r="Q280" i="25" s="1"/>
  <c r="W371" i="25"/>
  <c r="X371" i="25" s="1"/>
  <c r="W330" i="25"/>
  <c r="X330" i="25" s="1"/>
  <c r="T48" i="25"/>
  <c r="U48" i="25" s="1"/>
  <c r="V48" i="25" s="1"/>
  <c r="L166" i="25"/>
  <c r="M166" i="25" s="1"/>
  <c r="N166" i="25" s="1"/>
  <c r="P111" i="25"/>
  <c r="Q111" i="25" s="1"/>
  <c r="P71" i="25"/>
  <c r="Q71" i="25" s="1"/>
  <c r="L336" i="25"/>
  <c r="M336" i="25" s="1"/>
  <c r="N336" i="25" s="1"/>
  <c r="P676" i="25"/>
  <c r="Q676" i="25" s="1"/>
  <c r="L788" i="25"/>
  <c r="M788" i="25" s="1"/>
  <c r="N788" i="25" s="1"/>
  <c r="L768" i="25"/>
  <c r="M768" i="25" s="1"/>
  <c r="N768" i="25" s="1"/>
  <c r="L705" i="25"/>
  <c r="M705" i="25" s="1"/>
  <c r="N705" i="25" s="1"/>
  <c r="P297" i="25"/>
  <c r="Q297" i="25" s="1"/>
  <c r="S382" i="25"/>
  <c r="T382" i="25" s="1"/>
  <c r="U382" i="25" s="1"/>
  <c r="V382" i="25" s="1"/>
  <c r="W363" i="25"/>
  <c r="X363" i="25" s="1"/>
  <c r="W577" i="25"/>
  <c r="X577" i="25" s="1"/>
  <c r="W523" i="25"/>
  <c r="X523" i="25" s="1"/>
  <c r="W421" i="25"/>
  <c r="X421" i="25" s="1"/>
  <c r="W233" i="25"/>
  <c r="X233" i="25" s="1"/>
  <c r="P309" i="25"/>
  <c r="Q309" i="25" s="1"/>
  <c r="W344" i="25"/>
  <c r="X344" i="25" s="1"/>
  <c r="W766" i="25"/>
  <c r="X766" i="25" s="1"/>
  <c r="T567" i="25"/>
  <c r="U567" i="25" s="1"/>
  <c r="V567" i="25" s="1"/>
  <c r="T296" i="25"/>
  <c r="U296" i="25" s="1"/>
  <c r="V296" i="25" s="1"/>
  <c r="W232" i="25"/>
  <c r="X232" i="25" s="1"/>
  <c r="T158" i="25"/>
  <c r="U158" i="25" s="1"/>
  <c r="V158" i="25" s="1"/>
  <c r="W36" i="25"/>
  <c r="X36" i="25" s="1"/>
  <c r="P334" i="25"/>
  <c r="Q334" i="25" s="1"/>
  <c r="T351" i="25"/>
  <c r="U351" i="25" s="1"/>
  <c r="V351" i="25" s="1"/>
  <c r="T389" i="25"/>
  <c r="U389" i="25" s="1"/>
  <c r="V389" i="25" s="1"/>
  <c r="W25" i="25"/>
  <c r="X25" i="25" s="1"/>
  <c r="W702" i="25"/>
  <c r="X702" i="25" s="1"/>
  <c r="T521" i="25"/>
  <c r="U521" i="25" s="1"/>
  <c r="V521" i="25" s="1"/>
  <c r="T91" i="25"/>
  <c r="U91" i="25" s="1"/>
  <c r="V91" i="25" s="1"/>
  <c r="P458" i="25"/>
  <c r="Q458" i="25" s="1"/>
  <c r="T675" i="25"/>
  <c r="U675" i="25" s="1"/>
  <c r="V675" i="25" s="1"/>
  <c r="T667" i="25"/>
  <c r="U667" i="25" s="1"/>
  <c r="V667" i="25" s="1"/>
  <c r="W547" i="25"/>
  <c r="X547" i="25" s="1"/>
  <c r="T51" i="25"/>
  <c r="U51" i="25" s="1"/>
  <c r="V51" i="25" s="1"/>
  <c r="L582" i="25"/>
  <c r="M582" i="25" s="1"/>
  <c r="N582" i="25" s="1"/>
  <c r="L553" i="25"/>
  <c r="M553" i="25" s="1"/>
  <c r="N553" i="25" s="1"/>
  <c r="T305" i="25"/>
  <c r="U305" i="25" s="1"/>
  <c r="V305" i="25" s="1"/>
  <c r="T725" i="25"/>
  <c r="U725" i="25" s="1"/>
  <c r="V725" i="25" s="1"/>
  <c r="T409" i="25"/>
  <c r="U409" i="25" s="1"/>
  <c r="V409" i="25" s="1"/>
  <c r="W400" i="25"/>
  <c r="X400" i="25" s="1"/>
  <c r="S195" i="25"/>
  <c r="W195" i="25" s="1"/>
  <c r="X195" i="25" s="1"/>
  <c r="L385" i="25"/>
  <c r="M385" i="25" s="1"/>
  <c r="N385" i="25" s="1"/>
  <c r="T314" i="25"/>
  <c r="U314" i="25" s="1"/>
  <c r="V314" i="25" s="1"/>
  <c r="S580" i="25"/>
  <c r="W580" i="25" s="1"/>
  <c r="X580" i="25" s="1"/>
  <c r="T571" i="25"/>
  <c r="U571" i="25" s="1"/>
  <c r="V571" i="25" s="1"/>
  <c r="S481" i="25"/>
  <c r="T481" i="25" s="1"/>
  <c r="U481" i="25" s="1"/>
  <c r="V481" i="25" s="1"/>
  <c r="T432" i="25"/>
  <c r="U432" i="25" s="1"/>
  <c r="V432" i="25" s="1"/>
  <c r="T234" i="25"/>
  <c r="U234" i="25" s="1"/>
  <c r="V234" i="25" s="1"/>
  <c r="T125" i="25"/>
  <c r="U125" i="25" s="1"/>
  <c r="V125" i="25" s="1"/>
  <c r="P17" i="25"/>
  <c r="Q17" i="25" s="1"/>
  <c r="T769" i="25"/>
  <c r="U769" i="25" s="1"/>
  <c r="V769" i="25" s="1"/>
  <c r="W633" i="25"/>
  <c r="X633" i="25" s="1"/>
  <c r="T534" i="25"/>
  <c r="U534" i="25" s="1"/>
  <c r="V534" i="25" s="1"/>
  <c r="P37" i="25"/>
  <c r="Q37" i="25" s="1"/>
  <c r="L354" i="25"/>
  <c r="M354" i="25" s="1"/>
  <c r="N354" i="25" s="1"/>
  <c r="P347" i="25"/>
  <c r="Q347" i="25" s="1"/>
  <c r="L614" i="25"/>
  <c r="M614" i="25" s="1"/>
  <c r="N614" i="25" s="1"/>
  <c r="L605" i="25"/>
  <c r="M605" i="25" s="1"/>
  <c r="N605" i="25" s="1"/>
  <c r="P755" i="25"/>
  <c r="Q755" i="25" s="1"/>
  <c r="W654" i="25"/>
  <c r="X654" i="25" s="1"/>
  <c r="W729" i="25"/>
  <c r="X729" i="25" s="1"/>
  <c r="W545" i="25"/>
  <c r="X545" i="25" s="1"/>
  <c r="W480" i="25"/>
  <c r="X480" i="25" s="1"/>
  <c r="W175" i="25"/>
  <c r="X175" i="25" s="1"/>
  <c r="P696" i="25"/>
  <c r="Q696" i="25" s="1"/>
  <c r="S591" i="25"/>
  <c r="W591" i="25" s="1"/>
  <c r="X591" i="25" s="1"/>
  <c r="W494" i="25"/>
  <c r="X494" i="25" s="1"/>
  <c r="S184" i="25"/>
  <c r="W184" i="25" s="1"/>
  <c r="X184" i="25" s="1"/>
  <c r="P11" i="25"/>
  <c r="Q11" i="25" s="1"/>
  <c r="P388" i="25"/>
  <c r="Q388" i="25" s="1"/>
  <c r="P658" i="25"/>
  <c r="Q658" i="25" s="1"/>
  <c r="P737" i="25"/>
  <c r="Q737" i="25" s="1"/>
  <c r="P500" i="25"/>
  <c r="Q500" i="25" s="1"/>
  <c r="T366" i="25"/>
  <c r="U366" i="25" s="1"/>
  <c r="V366" i="25" s="1"/>
  <c r="W736" i="25"/>
  <c r="X736" i="25" s="1"/>
  <c r="T697" i="25"/>
  <c r="U697" i="25" s="1"/>
  <c r="V697" i="25" s="1"/>
  <c r="T572" i="25"/>
  <c r="U572" i="25" s="1"/>
  <c r="V572" i="25" s="1"/>
  <c r="T558" i="25"/>
  <c r="U558" i="25" s="1"/>
  <c r="V558" i="25" s="1"/>
  <c r="T460" i="25"/>
  <c r="U460" i="25" s="1"/>
  <c r="V460" i="25" s="1"/>
  <c r="S294" i="25"/>
  <c r="W294" i="25" s="1"/>
  <c r="X294" i="25" s="1"/>
  <c r="S393" i="25"/>
  <c r="T393" i="25" s="1"/>
  <c r="U393" i="25" s="1"/>
  <c r="V393" i="25" s="1"/>
  <c r="S283" i="25"/>
  <c r="W283" i="25" s="1"/>
  <c r="X283" i="25" s="1"/>
  <c r="S96" i="25"/>
  <c r="T96" i="25" s="1"/>
  <c r="U96" i="25" s="1"/>
  <c r="V96" i="25" s="1"/>
  <c r="T59" i="25"/>
  <c r="U59" i="25" s="1"/>
  <c r="V59" i="25" s="1"/>
  <c r="P351" i="25"/>
  <c r="Q351" i="25" s="1"/>
  <c r="W394" i="25"/>
  <c r="X394" i="25" s="1"/>
  <c r="S690" i="25"/>
  <c r="W690" i="25" s="1"/>
  <c r="X690" i="25" s="1"/>
  <c r="W680" i="25"/>
  <c r="X680" i="25" s="1"/>
  <c r="S789" i="25"/>
  <c r="W789" i="25" s="1"/>
  <c r="X789" i="25" s="1"/>
  <c r="W172" i="25"/>
  <c r="X172" i="25" s="1"/>
  <c r="P247" i="25"/>
  <c r="Q247" i="25" s="1"/>
  <c r="P201" i="25"/>
  <c r="Q201" i="25" s="1"/>
  <c r="P576" i="25"/>
  <c r="Q576" i="25" s="1"/>
  <c r="T664" i="25"/>
  <c r="U664" i="25" s="1"/>
  <c r="V664" i="25" s="1"/>
  <c r="W556" i="25"/>
  <c r="X556" i="25" s="1"/>
  <c r="S492" i="25"/>
  <c r="T492" i="25" s="1"/>
  <c r="U492" i="25" s="1"/>
  <c r="V492" i="25" s="1"/>
  <c r="W476" i="25"/>
  <c r="X476" i="25" s="1"/>
  <c r="T415" i="25"/>
  <c r="U415" i="25" s="1"/>
  <c r="V415" i="25" s="1"/>
  <c r="T265" i="25"/>
  <c r="U265" i="25" s="1"/>
  <c r="V265" i="25" s="1"/>
  <c r="T41" i="25"/>
  <c r="U41" i="25" s="1"/>
  <c r="V41" i="25" s="1"/>
  <c r="S778" i="25"/>
  <c r="W778" i="25" s="1"/>
  <c r="X778" i="25" s="1"/>
  <c r="P583" i="25"/>
  <c r="Q583" i="25" s="1"/>
  <c r="P530" i="25"/>
  <c r="Q530" i="25" s="1"/>
  <c r="P522" i="25"/>
  <c r="Q522" i="25" s="1"/>
  <c r="P496" i="25"/>
  <c r="Q496" i="25" s="1"/>
  <c r="L401" i="25"/>
  <c r="M401" i="25" s="1"/>
  <c r="N401" i="25" s="1"/>
  <c r="T30" i="25"/>
  <c r="U30" i="25" s="1"/>
  <c r="V30" i="25" s="1"/>
  <c r="T694" i="25"/>
  <c r="U694" i="25" s="1"/>
  <c r="V694" i="25" s="1"/>
  <c r="S679" i="25"/>
  <c r="W786" i="25"/>
  <c r="X786" i="25" s="1"/>
  <c r="T716" i="25"/>
  <c r="U716" i="25" s="1"/>
  <c r="V716" i="25" s="1"/>
  <c r="W569" i="25"/>
  <c r="X569" i="25" s="1"/>
  <c r="T515" i="25"/>
  <c r="U515" i="25" s="1"/>
  <c r="V515" i="25" s="1"/>
  <c r="T491" i="25"/>
  <c r="U491" i="25" s="1"/>
  <c r="V491" i="25" s="1"/>
  <c r="T196" i="25"/>
  <c r="U196" i="25" s="1"/>
  <c r="V196" i="25" s="1"/>
  <c r="W161" i="25"/>
  <c r="X161" i="25" s="1"/>
  <c r="T154" i="25"/>
  <c r="U154" i="25" s="1"/>
  <c r="V154" i="25" s="1"/>
  <c r="W127" i="25"/>
  <c r="X127" i="25" s="1"/>
  <c r="S85" i="25"/>
  <c r="T85" i="25" s="1"/>
  <c r="U85" i="25" s="1"/>
  <c r="V85" i="25" s="1"/>
  <c r="P245" i="25"/>
  <c r="Q245" i="25" s="1"/>
  <c r="L133" i="25"/>
  <c r="M133" i="25" s="1"/>
  <c r="N133" i="25" s="1"/>
  <c r="P116" i="25"/>
  <c r="Q116" i="25" s="1"/>
  <c r="P58" i="25"/>
  <c r="Q58" i="25" s="1"/>
  <c r="L732" i="25"/>
  <c r="M732" i="25" s="1"/>
  <c r="N732" i="25" s="1"/>
  <c r="P555" i="25"/>
  <c r="Q555" i="25" s="1"/>
  <c r="W369" i="25"/>
  <c r="X369" i="25" s="1"/>
  <c r="T662" i="25"/>
  <c r="U662" i="25" s="1"/>
  <c r="V662" i="25" s="1"/>
  <c r="W631" i="25"/>
  <c r="X631" i="25" s="1"/>
  <c r="W700" i="25"/>
  <c r="X700" i="25" s="1"/>
  <c r="T229" i="25"/>
  <c r="U229" i="25" s="1"/>
  <c r="V229" i="25" s="1"/>
  <c r="T186" i="25"/>
  <c r="U186" i="25" s="1"/>
  <c r="V186" i="25" s="1"/>
  <c r="L47" i="25"/>
  <c r="M47" i="25" s="1"/>
  <c r="N47" i="25" s="1"/>
  <c r="P31" i="25"/>
  <c r="Q31" i="25" s="1"/>
  <c r="P24" i="25"/>
  <c r="Q24" i="25" s="1"/>
  <c r="P303" i="25"/>
  <c r="Q303" i="25" s="1"/>
  <c r="L599" i="25"/>
  <c r="M599" i="25" s="1"/>
  <c r="N599" i="25" s="1"/>
  <c r="P781" i="25"/>
  <c r="Q781" i="25" s="1"/>
  <c r="P515" i="25"/>
  <c r="Q515" i="25" s="1"/>
  <c r="L485" i="25"/>
  <c r="M485" i="25" s="1"/>
  <c r="N485" i="25" s="1"/>
  <c r="L450" i="25"/>
  <c r="M450" i="25" s="1"/>
  <c r="N450" i="25" s="1"/>
  <c r="L266" i="25"/>
  <c r="M266" i="25" s="1"/>
  <c r="N266" i="25" s="1"/>
  <c r="L250" i="25"/>
  <c r="M250" i="25" s="1"/>
  <c r="N250" i="25" s="1"/>
  <c r="T319" i="25"/>
  <c r="U319" i="25" s="1"/>
  <c r="V319" i="25" s="1"/>
  <c r="W346" i="25"/>
  <c r="X346" i="25" s="1"/>
  <c r="W391" i="25"/>
  <c r="X391" i="25" s="1"/>
  <c r="W20" i="25"/>
  <c r="X20" i="25" s="1"/>
  <c r="W713" i="25"/>
  <c r="X713" i="25" s="1"/>
  <c r="W587" i="25"/>
  <c r="X587" i="25" s="1"/>
  <c r="T538" i="25"/>
  <c r="U538" i="25" s="1"/>
  <c r="V538" i="25" s="1"/>
  <c r="T532" i="25"/>
  <c r="U532" i="25" s="1"/>
  <c r="V532" i="25" s="1"/>
  <c r="W474" i="25"/>
  <c r="X474" i="25" s="1"/>
  <c r="W442" i="25"/>
  <c r="X442" i="25" s="1"/>
  <c r="T428" i="25"/>
  <c r="U428" i="25" s="1"/>
  <c r="V428" i="25" s="1"/>
  <c r="T287" i="25"/>
  <c r="U287" i="25" s="1"/>
  <c r="V287" i="25" s="1"/>
  <c r="W274" i="25"/>
  <c r="X274" i="25" s="1"/>
  <c r="W267" i="25"/>
  <c r="X267" i="25" s="1"/>
  <c r="W251" i="25"/>
  <c r="X251" i="25" s="1"/>
  <c r="W136" i="25"/>
  <c r="X136" i="25" s="1"/>
  <c r="W61" i="25"/>
  <c r="X61" i="25" s="1"/>
  <c r="L84" i="25"/>
  <c r="M84" i="25" s="1"/>
  <c r="N84" i="25" s="1"/>
  <c r="L540" i="25"/>
  <c r="M540" i="25" s="1"/>
  <c r="N540" i="25" s="1"/>
  <c r="P528" i="25"/>
  <c r="Q528" i="25" s="1"/>
  <c r="P407" i="25"/>
  <c r="Q407" i="25" s="1"/>
  <c r="L296" i="25"/>
  <c r="M296" i="25" s="1"/>
  <c r="N296" i="25" s="1"/>
  <c r="P270" i="25"/>
  <c r="Q270" i="25" s="1"/>
  <c r="P265" i="25"/>
  <c r="Q265" i="25" s="1"/>
  <c r="T379" i="25"/>
  <c r="U379" i="25" s="1"/>
  <c r="V379" i="25" s="1"/>
  <c r="W718" i="25"/>
  <c r="X718" i="25" s="1"/>
  <c r="W579" i="25"/>
  <c r="X579" i="25" s="1"/>
  <c r="W504" i="25"/>
  <c r="X504" i="25" s="1"/>
  <c r="W266" i="25"/>
  <c r="X266" i="25" s="1"/>
  <c r="T242" i="25"/>
  <c r="U242" i="25" s="1"/>
  <c r="V242" i="25" s="1"/>
  <c r="W224" i="25"/>
  <c r="X224" i="25" s="1"/>
  <c r="T129" i="25"/>
  <c r="U129" i="25" s="1"/>
  <c r="V129" i="25" s="1"/>
  <c r="T78" i="25"/>
  <c r="U78" i="25" s="1"/>
  <c r="V78" i="25" s="1"/>
  <c r="P165" i="25"/>
  <c r="Q165" i="25" s="1"/>
  <c r="L16" i="25"/>
  <c r="M16" i="25" s="1"/>
  <c r="N16" i="25" s="1"/>
  <c r="P346" i="25"/>
  <c r="Q346" i="25" s="1"/>
  <c r="P314" i="25"/>
  <c r="Q314" i="25" s="1"/>
  <c r="P608" i="25"/>
  <c r="Q608" i="25" s="1"/>
  <c r="L438" i="25"/>
  <c r="M438" i="25" s="1"/>
  <c r="N438" i="25" s="1"/>
  <c r="T309" i="25"/>
  <c r="U309" i="25" s="1"/>
  <c r="V309" i="25" s="1"/>
  <c r="W343" i="25"/>
  <c r="X343" i="25" s="1"/>
  <c r="W554" i="25"/>
  <c r="X554" i="25" s="1"/>
  <c r="T279" i="25"/>
  <c r="U279" i="25" s="1"/>
  <c r="V279" i="25" s="1"/>
  <c r="T249" i="25"/>
  <c r="U249" i="25" s="1"/>
  <c r="V249" i="25" s="1"/>
  <c r="T218" i="25"/>
  <c r="U218" i="25" s="1"/>
  <c r="V218" i="25" s="1"/>
  <c r="T197" i="25"/>
  <c r="U197" i="25" s="1"/>
  <c r="V197" i="25" s="1"/>
  <c r="T190" i="25"/>
  <c r="U190" i="25" s="1"/>
  <c r="V190" i="25" s="1"/>
  <c r="W176" i="25"/>
  <c r="X176" i="25" s="1"/>
  <c r="T93" i="25"/>
  <c r="U93" i="25" s="1"/>
  <c r="V93" i="25" s="1"/>
  <c r="W86" i="25"/>
  <c r="X86" i="25" s="1"/>
  <c r="P155" i="25"/>
  <c r="Q155" i="25" s="1"/>
  <c r="L67" i="25"/>
  <c r="M67" i="25" s="1"/>
  <c r="N67" i="25" s="1"/>
  <c r="L651" i="25"/>
  <c r="M651" i="25" s="1"/>
  <c r="N651" i="25" s="1"/>
  <c r="P761" i="25"/>
  <c r="Q761" i="25" s="1"/>
  <c r="P513" i="25"/>
  <c r="Q513" i="25" s="1"/>
  <c r="P505" i="25"/>
  <c r="Q505" i="25" s="1"/>
  <c r="P462" i="25"/>
  <c r="Q462" i="25" s="1"/>
  <c r="L285" i="25"/>
  <c r="M285" i="25" s="1"/>
  <c r="N285" i="25" s="1"/>
  <c r="L277" i="25"/>
  <c r="M277" i="25" s="1"/>
  <c r="N277" i="25" s="1"/>
  <c r="W364" i="25"/>
  <c r="X364" i="25" s="1"/>
  <c r="T357" i="25"/>
  <c r="U357" i="25" s="1"/>
  <c r="V357" i="25" s="1"/>
  <c r="W18" i="25"/>
  <c r="X18" i="25" s="1"/>
  <c r="W10" i="25"/>
  <c r="X10" i="25" s="1"/>
  <c r="W623" i="25"/>
  <c r="X623" i="25" s="1"/>
  <c r="W599" i="25"/>
  <c r="X599" i="25" s="1"/>
  <c r="W790" i="25"/>
  <c r="X790" i="25" s="1"/>
  <c r="W782" i="25"/>
  <c r="X782" i="25" s="1"/>
  <c r="T723" i="25"/>
  <c r="U723" i="25" s="1"/>
  <c r="V723" i="25" s="1"/>
  <c r="T698" i="25"/>
  <c r="U698" i="25" s="1"/>
  <c r="V698" i="25" s="1"/>
  <c r="T516" i="25"/>
  <c r="U516" i="25" s="1"/>
  <c r="V516" i="25" s="1"/>
  <c r="W496" i="25"/>
  <c r="X496" i="25" s="1"/>
  <c r="T425" i="25"/>
  <c r="U425" i="25" s="1"/>
  <c r="V425" i="25" s="1"/>
  <c r="W241" i="25"/>
  <c r="X241" i="25" s="1"/>
  <c r="W114" i="25"/>
  <c r="X114" i="25" s="1"/>
  <c r="W60" i="25"/>
  <c r="X60" i="25" s="1"/>
  <c r="T46" i="25"/>
  <c r="U46" i="25" s="1"/>
  <c r="V46" i="25" s="1"/>
  <c r="T40" i="25"/>
  <c r="U40" i="25" s="1"/>
  <c r="V40" i="25" s="1"/>
  <c r="T34" i="25"/>
  <c r="U34" i="25" s="1"/>
  <c r="V34" i="25" s="1"/>
  <c r="L109" i="25"/>
  <c r="M109" i="25" s="1"/>
  <c r="N109" i="25" s="1"/>
  <c r="L91" i="25"/>
  <c r="M91" i="25" s="1"/>
  <c r="N91" i="25" s="1"/>
  <c r="P35" i="25"/>
  <c r="Q35" i="25" s="1"/>
  <c r="P27" i="25"/>
  <c r="Q27" i="25" s="1"/>
  <c r="P359" i="25"/>
  <c r="Q359" i="25" s="1"/>
  <c r="P686" i="25"/>
  <c r="Q686" i="25" s="1"/>
  <c r="P546" i="25"/>
  <c r="Q546" i="25" s="1"/>
  <c r="P538" i="25"/>
  <c r="Q538" i="25" s="1"/>
  <c r="P518" i="25"/>
  <c r="Q518" i="25" s="1"/>
  <c r="P428" i="25"/>
  <c r="Q428" i="25" s="1"/>
  <c r="P398" i="25"/>
  <c r="Q398" i="25" s="1"/>
  <c r="W301" i="25"/>
  <c r="X301" i="25" s="1"/>
  <c r="W338" i="25"/>
  <c r="X338" i="25" s="1"/>
  <c r="T23" i="25"/>
  <c r="U23" i="25" s="1"/>
  <c r="V23" i="25" s="1"/>
  <c r="T672" i="25"/>
  <c r="U672" i="25" s="1"/>
  <c r="V672" i="25" s="1"/>
  <c r="T636" i="25"/>
  <c r="U636" i="25" s="1"/>
  <c r="V636" i="25" s="1"/>
  <c r="W605" i="25"/>
  <c r="X605" i="25" s="1"/>
  <c r="W772" i="25"/>
  <c r="X772" i="25" s="1"/>
  <c r="T749" i="25"/>
  <c r="U749" i="25" s="1"/>
  <c r="V749" i="25" s="1"/>
  <c r="T584" i="25"/>
  <c r="U584" i="25" s="1"/>
  <c r="V584" i="25" s="1"/>
  <c r="T553" i="25"/>
  <c r="U553" i="25" s="1"/>
  <c r="V553" i="25" s="1"/>
  <c r="W542" i="25"/>
  <c r="X542" i="25" s="1"/>
  <c r="T510" i="25"/>
  <c r="U510" i="25" s="1"/>
  <c r="V510" i="25" s="1"/>
  <c r="W503" i="25"/>
  <c r="X503" i="25" s="1"/>
  <c r="W470" i="25"/>
  <c r="X470" i="25" s="1"/>
  <c r="T420" i="25"/>
  <c r="U420" i="25" s="1"/>
  <c r="V420" i="25" s="1"/>
  <c r="W255" i="25"/>
  <c r="X255" i="25" s="1"/>
  <c r="W157" i="25"/>
  <c r="X157" i="25" s="1"/>
  <c r="W150" i="25"/>
  <c r="X150" i="25" s="1"/>
  <c r="P81" i="25"/>
  <c r="Q81" i="25" s="1"/>
  <c r="W222" i="25"/>
  <c r="X222" i="25" s="1"/>
  <c r="L221" i="25"/>
  <c r="M221" i="25" s="1"/>
  <c r="N221" i="25" s="1"/>
  <c r="L188" i="25"/>
  <c r="M188" i="25" s="1"/>
  <c r="N188" i="25" s="1"/>
  <c r="P137" i="25"/>
  <c r="Q137" i="25" s="1"/>
  <c r="P391" i="25"/>
  <c r="Q391" i="25" s="1"/>
  <c r="P319" i="25"/>
  <c r="Q319" i="25" s="1"/>
  <c r="P312" i="25"/>
  <c r="Q312" i="25" s="1"/>
  <c r="L685" i="25"/>
  <c r="M685" i="25" s="1"/>
  <c r="N685" i="25" s="1"/>
  <c r="P783" i="25"/>
  <c r="Q783" i="25" s="1"/>
  <c r="L776" i="25"/>
  <c r="M776" i="25" s="1"/>
  <c r="N776" i="25" s="1"/>
  <c r="P478" i="25"/>
  <c r="Q478" i="25" s="1"/>
  <c r="P418" i="25"/>
  <c r="Q418" i="25" s="1"/>
  <c r="T337" i="25"/>
  <c r="U337" i="25" s="1"/>
  <c r="V337" i="25" s="1"/>
  <c r="W306" i="25"/>
  <c r="X306" i="25" s="1"/>
  <c r="T671" i="25"/>
  <c r="U671" i="25" s="1"/>
  <c r="V671" i="25" s="1"/>
  <c r="T642" i="25"/>
  <c r="U642" i="25" s="1"/>
  <c r="V642" i="25" s="1"/>
  <c r="T739" i="25"/>
  <c r="U739" i="25" s="1"/>
  <c r="V739" i="25" s="1"/>
  <c r="W731" i="25"/>
  <c r="X731" i="25" s="1"/>
  <c r="W727" i="25"/>
  <c r="X727" i="25" s="1"/>
  <c r="W552" i="25"/>
  <c r="X552" i="25" s="1"/>
  <c r="W482" i="25"/>
  <c r="X482" i="25" s="1"/>
  <c r="T469" i="25"/>
  <c r="U469" i="25" s="1"/>
  <c r="V469" i="25" s="1"/>
  <c r="W423" i="25"/>
  <c r="X423" i="25" s="1"/>
  <c r="T282" i="25"/>
  <c r="U282" i="25" s="1"/>
  <c r="V282" i="25" s="1"/>
  <c r="W276" i="25"/>
  <c r="X276" i="25" s="1"/>
  <c r="W215" i="25"/>
  <c r="X215" i="25" s="1"/>
  <c r="W201" i="25"/>
  <c r="X201" i="25" s="1"/>
  <c r="W133" i="25"/>
  <c r="X133" i="25" s="1"/>
  <c r="T120" i="25"/>
  <c r="U120" i="25" s="1"/>
  <c r="V120" i="25" s="1"/>
  <c r="L168" i="25"/>
  <c r="M168" i="25" s="1"/>
  <c r="N168" i="25" s="1"/>
  <c r="L129" i="25"/>
  <c r="M129" i="25" s="1"/>
  <c r="N129" i="25" s="1"/>
  <c r="P56" i="25"/>
  <c r="Q56" i="25" s="1"/>
  <c r="L48" i="25"/>
  <c r="M48" i="25" s="1"/>
  <c r="N48" i="25" s="1"/>
  <c r="P342" i="25"/>
  <c r="Q342" i="25" s="1"/>
  <c r="L665" i="25"/>
  <c r="M665" i="25" s="1"/>
  <c r="N665" i="25" s="1"/>
  <c r="P791" i="25"/>
  <c r="Q791" i="25" s="1"/>
  <c r="L701" i="25"/>
  <c r="M701" i="25" s="1"/>
  <c r="N701" i="25" s="1"/>
  <c r="L568" i="25"/>
  <c r="M568" i="25" s="1"/>
  <c r="N568" i="25" s="1"/>
  <c r="P552" i="25"/>
  <c r="Q552" i="25" s="1"/>
  <c r="L536" i="25"/>
  <c r="M536" i="25" s="1"/>
  <c r="N536" i="25" s="1"/>
  <c r="P516" i="25"/>
  <c r="Q516" i="25" s="1"/>
  <c r="L510" i="25"/>
  <c r="M510" i="25" s="1"/>
  <c r="N510" i="25" s="1"/>
  <c r="P451" i="25"/>
  <c r="Q451" i="25" s="1"/>
  <c r="P267" i="25"/>
  <c r="Q267" i="25" s="1"/>
  <c r="T313" i="25"/>
  <c r="U313" i="25" s="1"/>
  <c r="V313" i="25" s="1"/>
  <c r="T362" i="25"/>
  <c r="U362" i="25" s="1"/>
  <c r="V362" i="25" s="1"/>
  <c r="W354" i="25"/>
  <c r="X354" i="25" s="1"/>
  <c r="W386" i="25"/>
  <c r="X386" i="25" s="1"/>
  <c r="T21" i="25"/>
  <c r="U21" i="25" s="1"/>
  <c r="V21" i="25" s="1"/>
  <c r="W691" i="25"/>
  <c r="X691" i="25" s="1"/>
  <c r="W649" i="25"/>
  <c r="X649" i="25" s="1"/>
  <c r="W720" i="25"/>
  <c r="X720" i="25" s="1"/>
  <c r="T709" i="25"/>
  <c r="U709" i="25" s="1"/>
  <c r="V709" i="25" s="1"/>
  <c r="T582" i="25"/>
  <c r="U582" i="25" s="1"/>
  <c r="V582" i="25" s="1"/>
  <c r="T514" i="25"/>
  <c r="U514" i="25" s="1"/>
  <c r="V514" i="25" s="1"/>
  <c r="W436" i="25"/>
  <c r="X436" i="25" s="1"/>
  <c r="W403" i="25"/>
  <c r="X403" i="25" s="1"/>
  <c r="T288" i="25"/>
  <c r="U288" i="25" s="1"/>
  <c r="V288" i="25" s="1"/>
  <c r="W245" i="25"/>
  <c r="X245" i="25" s="1"/>
  <c r="T180" i="25"/>
  <c r="U180" i="25" s="1"/>
  <c r="V180" i="25" s="1"/>
  <c r="T167" i="25"/>
  <c r="U167" i="25" s="1"/>
  <c r="V167" i="25" s="1"/>
  <c r="W103" i="25"/>
  <c r="X103" i="25" s="1"/>
  <c r="T58" i="25"/>
  <c r="U58" i="25" s="1"/>
  <c r="V58" i="25" s="1"/>
  <c r="W50" i="25"/>
  <c r="X50" i="25" s="1"/>
  <c r="AQ48" i="19"/>
  <c r="AR48" i="19" s="1"/>
  <c r="AU48" i="19" s="1"/>
  <c r="AK48" i="19"/>
  <c r="AM48" i="19" s="1"/>
  <c r="AN48" i="19" s="1"/>
  <c r="Y48" i="19"/>
  <c r="Z48" i="19" s="1"/>
  <c r="AC48" i="19" s="1"/>
  <c r="AE86" i="19"/>
  <c r="AF86" i="19" s="1"/>
  <c r="AI86" i="19" s="1"/>
  <c r="Y86" i="19"/>
  <c r="Z86" i="19" s="1"/>
  <c r="AC86" i="19" s="1"/>
  <c r="R63" i="12"/>
  <c r="S123" i="12"/>
  <c r="S104" i="12"/>
  <c r="N151" i="12"/>
  <c r="S199" i="12"/>
  <c r="S98" i="12"/>
  <c r="S63" i="12"/>
  <c r="S137" i="12"/>
  <c r="S91" i="12"/>
  <c r="R69" i="12"/>
  <c r="S197" i="12"/>
  <c r="S151" i="12"/>
  <c r="S45" i="12"/>
  <c r="S211" i="12"/>
  <c r="S74" i="12"/>
  <c r="S129" i="12"/>
  <c r="S85" i="12"/>
  <c r="S87" i="12"/>
  <c r="S17" i="12"/>
  <c r="S223" i="12"/>
  <c r="S230" i="12"/>
  <c r="S134" i="12"/>
  <c r="N90" i="12"/>
  <c r="O90" i="12"/>
  <c r="S184" i="12"/>
  <c r="S217" i="12"/>
  <c r="S69" i="12"/>
  <c r="S131" i="12"/>
  <c r="S68" i="12"/>
  <c r="S180" i="12"/>
  <c r="S25" i="12"/>
  <c r="N137" i="12"/>
  <c r="R180" i="12"/>
  <c r="N68" i="12"/>
  <c r="K71" i="21"/>
  <c r="L71" i="21" s="1"/>
  <c r="M71" i="21" s="1"/>
  <c r="N43" i="21"/>
  <c r="O43" i="21" s="1"/>
  <c r="N24" i="21"/>
  <c r="O24" i="21" s="1"/>
  <c r="R66" i="21"/>
  <c r="S66" i="21" s="1"/>
  <c r="T66" i="21" s="1"/>
  <c r="R36" i="21"/>
  <c r="S36" i="21" s="1"/>
  <c r="T36" i="21" s="1"/>
  <c r="R30" i="21"/>
  <c r="S30" i="21" s="1"/>
  <c r="T30" i="21" s="1"/>
  <c r="U8" i="21"/>
  <c r="V8" i="21" s="1"/>
  <c r="R72" i="21"/>
  <c r="S72" i="21" s="1"/>
  <c r="T72" i="21" s="1"/>
  <c r="K87" i="21"/>
  <c r="L87" i="21" s="1"/>
  <c r="M87" i="21" s="1"/>
  <c r="R38" i="21"/>
  <c r="S38" i="21" s="1"/>
  <c r="T38" i="21" s="1"/>
  <c r="U42" i="21"/>
  <c r="V42" i="21" s="1"/>
  <c r="R22" i="21"/>
  <c r="S22" i="21" s="1"/>
  <c r="T22" i="21" s="1"/>
  <c r="R24" i="21"/>
  <c r="S24" i="21" s="1"/>
  <c r="T24" i="21" s="1"/>
  <c r="K26" i="21"/>
  <c r="L26" i="21" s="1"/>
  <c r="M26" i="21" s="1"/>
  <c r="N37" i="21"/>
  <c r="O37" i="21" s="1"/>
  <c r="N65" i="21"/>
  <c r="O65" i="21" s="1"/>
  <c r="R20" i="21"/>
  <c r="S20" i="21" s="1"/>
  <c r="T20" i="21" s="1"/>
  <c r="U17" i="21"/>
  <c r="V17" i="21" s="1"/>
  <c r="N84" i="21"/>
  <c r="O84" i="21" s="1"/>
  <c r="R16" i="21"/>
  <c r="S16" i="21" s="1"/>
  <c r="T16" i="21" s="1"/>
  <c r="U78" i="21"/>
  <c r="V78" i="21" s="1"/>
  <c r="U28" i="21"/>
  <c r="V28" i="21" s="1"/>
  <c r="U14" i="21"/>
  <c r="V14" i="21" s="1"/>
  <c r="N15" i="21"/>
  <c r="O15" i="21" s="1"/>
  <c r="N59" i="21"/>
  <c r="O59" i="21" s="1"/>
  <c r="R86" i="21"/>
  <c r="S86" i="21" s="1"/>
  <c r="T86" i="21" s="1"/>
  <c r="R75" i="21"/>
  <c r="S75" i="21" s="1"/>
  <c r="T75" i="21" s="1"/>
  <c r="K16" i="21"/>
  <c r="L16" i="21" s="1"/>
  <c r="M16" i="21" s="1"/>
  <c r="N76" i="21"/>
  <c r="O76" i="21" s="1"/>
  <c r="N78" i="21"/>
  <c r="O78" i="21" s="1"/>
  <c r="N34" i="21"/>
  <c r="O34" i="21" s="1"/>
  <c r="U6" i="21"/>
  <c r="V6" i="21" s="1"/>
  <c r="K53" i="21"/>
  <c r="L53" i="21" s="1"/>
  <c r="M53" i="21" s="1"/>
  <c r="U41" i="21"/>
  <c r="V41" i="21" s="1"/>
  <c r="U65" i="21"/>
  <c r="V65" i="21" s="1"/>
  <c r="R13" i="21"/>
  <c r="S13" i="21" s="1"/>
  <c r="T13" i="21" s="1"/>
  <c r="R77" i="21"/>
  <c r="S77" i="21" s="1"/>
  <c r="T77" i="21" s="1"/>
  <c r="R2" i="21"/>
  <c r="S2" i="21" s="1"/>
  <c r="T2" i="21" s="1"/>
  <c r="N51" i="21"/>
  <c r="O51" i="21" s="1"/>
  <c r="N48" i="21"/>
  <c r="O48" i="21" s="1"/>
  <c r="K29" i="21"/>
  <c r="L29" i="21" s="1"/>
  <c r="M29" i="21" s="1"/>
  <c r="U43" i="21"/>
  <c r="V43" i="21" s="1"/>
  <c r="U47" i="21"/>
  <c r="V47" i="21" s="1"/>
  <c r="N31" i="21"/>
  <c r="O31" i="21" s="1"/>
  <c r="N62" i="21"/>
  <c r="O62" i="21" s="1"/>
  <c r="N49" i="21"/>
  <c r="O49" i="21" s="1"/>
  <c r="R11" i="21"/>
  <c r="S11" i="21" s="1"/>
  <c r="T11" i="21" s="1"/>
  <c r="R70" i="21"/>
  <c r="S70" i="21" s="1"/>
  <c r="T70" i="21" s="1"/>
  <c r="U15" i="21"/>
  <c r="V15" i="21" s="1"/>
  <c r="R33" i="21"/>
  <c r="S33" i="21" s="1"/>
  <c r="T33" i="21" s="1"/>
  <c r="U67" i="21"/>
  <c r="V67" i="21" s="1"/>
  <c r="R89" i="21"/>
  <c r="S89" i="21" s="1"/>
  <c r="T89" i="21" s="1"/>
  <c r="R69" i="21"/>
  <c r="S69" i="21" s="1"/>
  <c r="T69" i="21" s="1"/>
  <c r="R39" i="21"/>
  <c r="S39" i="21" s="1"/>
  <c r="T39" i="21" s="1"/>
  <c r="R19" i="21"/>
  <c r="S19" i="21" s="1"/>
  <c r="T19" i="21" s="1"/>
  <c r="K50" i="21"/>
  <c r="L50" i="21" s="1"/>
  <c r="M50" i="21" s="1"/>
  <c r="N12" i="21"/>
  <c r="O12" i="21" s="1"/>
  <c r="N44" i="21"/>
  <c r="O44" i="21" s="1"/>
  <c r="U80" i="21"/>
  <c r="V80" i="21" s="1"/>
  <c r="R63" i="21"/>
  <c r="S63" i="21" s="1"/>
  <c r="T63" i="21" s="1"/>
  <c r="R27" i="21"/>
  <c r="S27" i="21" s="1"/>
  <c r="T27" i="21" s="1"/>
  <c r="N11" i="21"/>
  <c r="O11" i="21" s="1"/>
  <c r="K38" i="21"/>
  <c r="L38" i="21" s="1"/>
  <c r="M38" i="21" s="1"/>
  <c r="N52" i="21"/>
  <c r="O52" i="21" s="1"/>
  <c r="U4" i="21"/>
  <c r="V4" i="21" s="1"/>
  <c r="U84" i="21"/>
  <c r="V84" i="21" s="1"/>
  <c r="U34" i="21"/>
  <c r="V34" i="21" s="1"/>
  <c r="N33" i="21"/>
  <c r="O33" i="21" s="1"/>
  <c r="N2" i="21"/>
  <c r="O2" i="21" s="1"/>
  <c r="R25" i="21"/>
  <c r="S25" i="21" s="1"/>
  <c r="T25" i="21" s="1"/>
  <c r="K88" i="21"/>
  <c r="L88" i="21" s="1"/>
  <c r="M88" i="21" s="1"/>
  <c r="K47" i="21"/>
  <c r="L47" i="21" s="1"/>
  <c r="M47" i="21" s="1"/>
  <c r="N28" i="21"/>
  <c r="O28" i="21" s="1"/>
  <c r="N83" i="21"/>
  <c r="O83" i="21" s="1"/>
  <c r="N42" i="21"/>
  <c r="O42" i="21" s="1"/>
  <c r="K79" i="21"/>
  <c r="L79" i="21" s="1"/>
  <c r="M79" i="21" s="1"/>
  <c r="N9" i="21"/>
  <c r="O9" i="21" s="1"/>
  <c r="U55" i="21"/>
  <c r="V55" i="21" s="1"/>
  <c r="U18" i="21"/>
  <c r="V18" i="21" s="1"/>
  <c r="N91" i="21"/>
  <c r="O91" i="21" s="1"/>
  <c r="N6" i="21"/>
  <c r="O6" i="21" s="1"/>
  <c r="N74" i="21"/>
  <c r="O74" i="21" s="1"/>
  <c r="U90" i="21"/>
  <c r="V90" i="21" s="1"/>
  <c r="R88" i="21"/>
  <c r="S88" i="21" s="1"/>
  <c r="T88" i="21" s="1"/>
  <c r="R52" i="21"/>
  <c r="S52" i="21" s="1"/>
  <c r="T52" i="21" s="1"/>
  <c r="U59" i="21"/>
  <c r="V59" i="21" s="1"/>
  <c r="K41" i="21"/>
  <c r="L41" i="21" s="1"/>
  <c r="M41" i="21" s="1"/>
  <c r="V48" i="24"/>
  <c r="W48" i="24" s="1"/>
  <c r="V204" i="24"/>
  <c r="W204" i="24" s="1"/>
  <c r="V190" i="24"/>
  <c r="W190" i="24" s="1"/>
  <c r="V201" i="24"/>
  <c r="W201" i="24" s="1"/>
  <c r="O116" i="24"/>
  <c r="P116" i="24" s="1"/>
  <c r="S2" i="24"/>
  <c r="T2" i="24" s="1"/>
  <c r="U2" i="24" s="1"/>
  <c r="V90" i="24"/>
  <c r="W90" i="24" s="1"/>
  <c r="S102" i="24"/>
  <c r="T102" i="24" s="1"/>
  <c r="U102" i="24" s="1"/>
  <c r="S92" i="24"/>
  <c r="T92" i="24" s="1"/>
  <c r="U92" i="24" s="1"/>
  <c r="S141" i="24"/>
  <c r="T141" i="24" s="1"/>
  <c r="U141" i="24" s="1"/>
  <c r="V132" i="24"/>
  <c r="W132" i="24" s="1"/>
  <c r="S185" i="24"/>
  <c r="T185" i="24" s="1"/>
  <c r="U185" i="24" s="1"/>
  <c r="O186" i="24"/>
  <c r="P186" i="24" s="1"/>
  <c r="O166" i="24"/>
  <c r="P166" i="24" s="1"/>
  <c r="L19" i="24"/>
  <c r="M19" i="24" s="1"/>
  <c r="N19" i="24" s="1"/>
  <c r="L5" i="24"/>
  <c r="M5" i="24" s="1"/>
  <c r="N5" i="24" s="1"/>
  <c r="O109" i="24"/>
  <c r="P109" i="24" s="1"/>
  <c r="V28" i="24"/>
  <c r="W28" i="24" s="1"/>
  <c r="V22" i="24"/>
  <c r="W22" i="24" s="1"/>
  <c r="S97" i="24"/>
  <c r="T97" i="24" s="1"/>
  <c r="U97" i="24" s="1"/>
  <c r="V135" i="24"/>
  <c r="W135" i="24" s="1"/>
  <c r="V217" i="24"/>
  <c r="W217" i="24" s="1"/>
  <c r="S157" i="24"/>
  <c r="T157" i="24" s="1"/>
  <c r="U157" i="24" s="1"/>
  <c r="L180" i="24"/>
  <c r="M180" i="24" s="1"/>
  <c r="N180" i="24" s="1"/>
  <c r="L159" i="24"/>
  <c r="M159" i="24" s="1"/>
  <c r="N159" i="24" s="1"/>
  <c r="L151" i="24"/>
  <c r="M151" i="24" s="1"/>
  <c r="N151" i="24" s="1"/>
  <c r="O142" i="24"/>
  <c r="P142" i="24" s="1"/>
  <c r="O25" i="24"/>
  <c r="P25" i="24" s="1"/>
  <c r="L15" i="24"/>
  <c r="M15" i="24" s="1"/>
  <c r="N15" i="24" s="1"/>
  <c r="L77" i="24"/>
  <c r="M77" i="24" s="1"/>
  <c r="N77" i="24" s="1"/>
  <c r="V59" i="24"/>
  <c r="W59" i="24" s="1"/>
  <c r="S57" i="24"/>
  <c r="T57" i="24" s="1"/>
  <c r="U57" i="24" s="1"/>
  <c r="S13" i="24"/>
  <c r="T13" i="24" s="1"/>
  <c r="U13" i="24" s="1"/>
  <c r="V8" i="24"/>
  <c r="W8" i="24" s="1"/>
  <c r="V188" i="24"/>
  <c r="W188" i="24" s="1"/>
  <c r="O67" i="24"/>
  <c r="P67" i="24" s="1"/>
  <c r="O45" i="24"/>
  <c r="P45" i="24" s="1"/>
  <c r="O85" i="24"/>
  <c r="P85" i="24" s="1"/>
  <c r="S84" i="24"/>
  <c r="T84" i="24" s="1"/>
  <c r="U84" i="24" s="1"/>
  <c r="S79" i="24"/>
  <c r="T79" i="24" s="1"/>
  <c r="U79" i="24" s="1"/>
  <c r="V120" i="24"/>
  <c r="W120" i="24" s="1"/>
  <c r="V42" i="24"/>
  <c r="W42" i="24" s="1"/>
  <c r="V143" i="24"/>
  <c r="W143" i="24" s="1"/>
  <c r="V177" i="24"/>
  <c r="W177" i="24" s="1"/>
  <c r="V172" i="24"/>
  <c r="W172" i="24" s="1"/>
  <c r="V161" i="24"/>
  <c r="W161" i="24" s="1"/>
  <c r="O191" i="24"/>
  <c r="P191" i="24" s="1"/>
  <c r="L61" i="24"/>
  <c r="M61" i="24" s="1"/>
  <c r="N61" i="24" s="1"/>
  <c r="L39" i="24"/>
  <c r="M39" i="24" s="1"/>
  <c r="N39" i="24" s="1"/>
  <c r="L31" i="24"/>
  <c r="M31" i="24" s="1"/>
  <c r="N31" i="24" s="1"/>
  <c r="L24" i="24"/>
  <c r="M24" i="24" s="1"/>
  <c r="N24" i="24" s="1"/>
  <c r="L90" i="24"/>
  <c r="M90" i="24" s="1"/>
  <c r="N90" i="24" s="1"/>
  <c r="O100" i="24"/>
  <c r="P100" i="24" s="1"/>
  <c r="V125" i="24"/>
  <c r="W125" i="24" s="1"/>
  <c r="S71" i="24"/>
  <c r="T71" i="24" s="1"/>
  <c r="U71" i="24" s="1"/>
  <c r="S19" i="24"/>
  <c r="T19" i="24" s="1"/>
  <c r="U19" i="24" s="1"/>
  <c r="S12" i="24"/>
  <c r="T12" i="24" s="1"/>
  <c r="U12" i="24" s="1"/>
  <c r="S199" i="24"/>
  <c r="T199" i="24" s="1"/>
  <c r="U199" i="24" s="1"/>
  <c r="V206" i="24"/>
  <c r="W206" i="24" s="1"/>
  <c r="V197" i="24"/>
  <c r="W197" i="24" s="1"/>
  <c r="O169" i="24"/>
  <c r="P169" i="24" s="1"/>
  <c r="L50" i="24"/>
  <c r="M50" i="24" s="1"/>
  <c r="N50" i="24" s="1"/>
  <c r="L7" i="24"/>
  <c r="M7" i="24" s="1"/>
  <c r="N7" i="24" s="1"/>
  <c r="O22" i="24"/>
  <c r="P22" i="24" s="1"/>
  <c r="V118" i="24"/>
  <c r="W118" i="24" s="1"/>
  <c r="V62" i="24"/>
  <c r="W62" i="24" s="1"/>
  <c r="V91" i="24"/>
  <c r="W91" i="24" s="1"/>
  <c r="V142" i="24"/>
  <c r="W142" i="24" s="1"/>
  <c r="O147" i="24"/>
  <c r="P147" i="24" s="1"/>
  <c r="O65" i="24"/>
  <c r="P65" i="24" s="1"/>
  <c r="L29" i="24"/>
  <c r="M29" i="24" s="1"/>
  <c r="N29" i="24" s="1"/>
  <c r="O12" i="24"/>
  <c r="P12" i="24" s="1"/>
  <c r="O6" i="24"/>
  <c r="P6" i="24" s="1"/>
  <c r="V88" i="24"/>
  <c r="W88" i="24" s="1"/>
  <c r="S76" i="24"/>
  <c r="T76" i="24" s="1"/>
  <c r="U76" i="24" s="1"/>
  <c r="V110" i="24"/>
  <c r="W110" i="24" s="1"/>
  <c r="V40" i="24"/>
  <c r="W40" i="24" s="1"/>
  <c r="V30" i="24"/>
  <c r="W30" i="24" s="1"/>
  <c r="S16" i="24"/>
  <c r="T16" i="24" s="1"/>
  <c r="U16" i="24" s="1"/>
  <c r="S133" i="24"/>
  <c r="T133" i="24" s="1"/>
  <c r="U133" i="24" s="1"/>
  <c r="S186" i="24"/>
  <c r="T186" i="24" s="1"/>
  <c r="U186" i="24" s="1"/>
  <c r="V170" i="24"/>
  <c r="W170" i="24" s="1"/>
  <c r="L210" i="24"/>
  <c r="M210" i="24" s="1"/>
  <c r="N210" i="24" s="1"/>
  <c r="O154" i="24"/>
  <c r="P154" i="24" s="1"/>
  <c r="L71" i="24"/>
  <c r="M71" i="24" s="1"/>
  <c r="N71" i="24" s="1"/>
  <c r="L57" i="24"/>
  <c r="M57" i="24" s="1"/>
  <c r="N57" i="24" s="1"/>
  <c r="L35" i="24"/>
  <c r="M35" i="24" s="1"/>
  <c r="N35" i="24" s="1"/>
  <c r="L17" i="24"/>
  <c r="M17" i="24" s="1"/>
  <c r="N17" i="24" s="1"/>
  <c r="O80" i="24"/>
  <c r="P80" i="24" s="1"/>
  <c r="V41" i="24"/>
  <c r="W41" i="24" s="1"/>
  <c r="S41" i="24"/>
  <c r="T41" i="24" s="1"/>
  <c r="U41" i="24" s="1"/>
  <c r="S126" i="24"/>
  <c r="T126" i="24" s="1"/>
  <c r="U126" i="24" s="1"/>
  <c r="V126" i="24"/>
  <c r="W126" i="24" s="1"/>
  <c r="O165" i="24"/>
  <c r="P165" i="24" s="1"/>
  <c r="L165" i="24"/>
  <c r="M165" i="24" s="1"/>
  <c r="N165" i="24" s="1"/>
  <c r="L94" i="24"/>
  <c r="M94" i="24" s="1"/>
  <c r="N94" i="24" s="1"/>
  <c r="O94" i="24"/>
  <c r="P94" i="24" s="1"/>
  <c r="S117" i="24"/>
  <c r="T117" i="24" s="1"/>
  <c r="U117" i="24" s="1"/>
  <c r="S6" i="24"/>
  <c r="T6" i="24" s="1"/>
  <c r="U6" i="24" s="1"/>
  <c r="V6" i="24"/>
  <c r="W6" i="24" s="1"/>
  <c r="S212" i="24"/>
  <c r="T212" i="24" s="1"/>
  <c r="U212" i="24" s="1"/>
  <c r="V212" i="24"/>
  <c r="W212" i="24" s="1"/>
  <c r="L107" i="24"/>
  <c r="M107" i="24" s="1"/>
  <c r="N107" i="24" s="1"/>
  <c r="O107" i="24"/>
  <c r="P107" i="24" s="1"/>
  <c r="V89" i="24"/>
  <c r="W89" i="24" s="1"/>
  <c r="S89" i="24"/>
  <c r="T89" i="24" s="1"/>
  <c r="U89" i="24" s="1"/>
  <c r="S67" i="24"/>
  <c r="T67" i="24" s="1"/>
  <c r="U67" i="24" s="1"/>
  <c r="V67" i="24"/>
  <c r="W67" i="24" s="1"/>
  <c r="S61" i="24"/>
  <c r="T61" i="24" s="1"/>
  <c r="U61" i="24" s="1"/>
  <c r="V61" i="24"/>
  <c r="W61" i="24" s="1"/>
  <c r="S25" i="24"/>
  <c r="T25" i="24" s="1"/>
  <c r="U25" i="24" s="1"/>
  <c r="V25" i="24"/>
  <c r="W25" i="24" s="1"/>
  <c r="S156" i="24"/>
  <c r="T156" i="24" s="1"/>
  <c r="U156" i="24" s="1"/>
  <c r="V156" i="24"/>
  <c r="W156" i="24" s="1"/>
  <c r="O179" i="24"/>
  <c r="P179" i="24" s="1"/>
  <c r="L179" i="24"/>
  <c r="M179" i="24" s="1"/>
  <c r="N179" i="24" s="1"/>
  <c r="O150" i="24"/>
  <c r="P150" i="24" s="1"/>
  <c r="L150" i="24"/>
  <c r="M150" i="24" s="1"/>
  <c r="N150" i="24" s="1"/>
  <c r="L121" i="24"/>
  <c r="M121" i="24" s="1"/>
  <c r="N121" i="24" s="1"/>
  <c r="O121" i="24"/>
  <c r="P121" i="24" s="1"/>
  <c r="L95" i="24"/>
  <c r="M95" i="24" s="1"/>
  <c r="N95" i="24" s="1"/>
  <c r="O95" i="24"/>
  <c r="P95" i="24" s="1"/>
  <c r="V54" i="24"/>
  <c r="W54" i="24" s="1"/>
  <c r="S54" i="24"/>
  <c r="T54" i="24" s="1"/>
  <c r="U54" i="24" s="1"/>
  <c r="S104" i="24"/>
  <c r="T104" i="24" s="1"/>
  <c r="U104" i="24" s="1"/>
  <c r="V104" i="24"/>
  <c r="W104" i="24" s="1"/>
  <c r="S182" i="24"/>
  <c r="T182" i="24" s="1"/>
  <c r="U182" i="24" s="1"/>
  <c r="V182" i="24"/>
  <c r="W182" i="24" s="1"/>
  <c r="L157" i="24"/>
  <c r="M157" i="24" s="1"/>
  <c r="N157" i="24" s="1"/>
  <c r="O157" i="24"/>
  <c r="P157" i="24" s="1"/>
  <c r="S78" i="24"/>
  <c r="T78" i="24" s="1"/>
  <c r="U78" i="24" s="1"/>
  <c r="V121" i="24"/>
  <c r="W121" i="24" s="1"/>
  <c r="S121" i="24"/>
  <c r="T121" i="24" s="1"/>
  <c r="U121" i="24" s="1"/>
  <c r="S38" i="24"/>
  <c r="T38" i="24" s="1"/>
  <c r="U38" i="24" s="1"/>
  <c r="V38" i="24"/>
  <c r="W38" i="24" s="1"/>
  <c r="S3" i="24"/>
  <c r="T3" i="24" s="1"/>
  <c r="U3" i="24" s="1"/>
  <c r="V3" i="24"/>
  <c r="W3" i="24" s="1"/>
  <c r="O23" i="24"/>
  <c r="P23" i="24" s="1"/>
  <c r="L23" i="24"/>
  <c r="M23" i="24" s="1"/>
  <c r="N23" i="24" s="1"/>
  <c r="V171" i="24"/>
  <c r="W171" i="24" s="1"/>
  <c r="S171" i="24"/>
  <c r="T171" i="24" s="1"/>
  <c r="U171" i="24" s="1"/>
  <c r="L104" i="24"/>
  <c r="M104" i="24" s="1"/>
  <c r="N104" i="24" s="1"/>
  <c r="O104" i="24"/>
  <c r="P104" i="24" s="1"/>
  <c r="V86" i="24"/>
  <c r="W86" i="24" s="1"/>
  <c r="S86" i="24"/>
  <c r="T86" i="24" s="1"/>
  <c r="U86" i="24" s="1"/>
  <c r="S113" i="24"/>
  <c r="T113" i="24" s="1"/>
  <c r="U113" i="24" s="1"/>
  <c r="V113" i="24"/>
  <c r="W113" i="24" s="1"/>
  <c r="V215" i="24"/>
  <c r="W215" i="24" s="1"/>
  <c r="S215" i="24"/>
  <c r="T215" i="24" s="1"/>
  <c r="U215" i="24" s="1"/>
  <c r="O42" i="24"/>
  <c r="P42" i="24" s="1"/>
  <c r="L42" i="24"/>
  <c r="M42" i="24" s="1"/>
  <c r="N42" i="24" s="1"/>
  <c r="L164" i="24"/>
  <c r="M164" i="24" s="1"/>
  <c r="N164" i="24" s="1"/>
  <c r="O164" i="24"/>
  <c r="P164" i="24" s="1"/>
  <c r="L144" i="24"/>
  <c r="M144" i="24" s="1"/>
  <c r="N144" i="24" s="1"/>
  <c r="O144" i="24"/>
  <c r="P144" i="24" s="1"/>
  <c r="S75" i="24"/>
  <c r="T75" i="24" s="1"/>
  <c r="U75" i="24" s="1"/>
  <c r="V75" i="24"/>
  <c r="W75" i="24" s="1"/>
  <c r="S168" i="24"/>
  <c r="T168" i="24" s="1"/>
  <c r="U168" i="24" s="1"/>
  <c r="V168" i="24"/>
  <c r="W168" i="24" s="1"/>
  <c r="O173" i="24"/>
  <c r="P173" i="24" s="1"/>
  <c r="L173" i="24"/>
  <c r="M173" i="24" s="1"/>
  <c r="N173" i="24" s="1"/>
  <c r="V93" i="24"/>
  <c r="W93" i="24" s="1"/>
  <c r="V85" i="24"/>
  <c r="W85" i="24" s="1"/>
  <c r="S83" i="24"/>
  <c r="T83" i="24" s="1"/>
  <c r="U83" i="24" s="1"/>
  <c r="V123" i="24"/>
  <c r="W123" i="24" s="1"/>
  <c r="S116" i="24"/>
  <c r="T116" i="24" s="1"/>
  <c r="U116" i="24" s="1"/>
  <c r="V112" i="24"/>
  <c r="W112" i="24" s="1"/>
  <c r="S70" i="24"/>
  <c r="T70" i="24" s="1"/>
  <c r="U70" i="24" s="1"/>
  <c r="V66" i="24"/>
  <c r="W66" i="24" s="1"/>
  <c r="S50" i="24"/>
  <c r="T50" i="24" s="1"/>
  <c r="U50" i="24" s="1"/>
  <c r="V43" i="24"/>
  <c r="W43" i="24" s="1"/>
  <c r="V58" i="24"/>
  <c r="W58" i="24" s="1"/>
  <c r="S36" i="24"/>
  <c r="T36" i="24" s="1"/>
  <c r="U36" i="24" s="1"/>
  <c r="S11" i="24"/>
  <c r="T11" i="24" s="1"/>
  <c r="U11" i="24" s="1"/>
  <c r="S140" i="24"/>
  <c r="T140" i="24" s="1"/>
  <c r="U140" i="24" s="1"/>
  <c r="S128" i="24"/>
  <c r="T128" i="24" s="1"/>
  <c r="U128" i="24" s="1"/>
  <c r="V211" i="24"/>
  <c r="W211" i="24" s="1"/>
  <c r="S180" i="24"/>
  <c r="T180" i="24" s="1"/>
  <c r="U180" i="24" s="1"/>
  <c r="V167" i="24"/>
  <c r="W167" i="24" s="1"/>
  <c r="V146" i="24"/>
  <c r="W146" i="24" s="1"/>
  <c r="O196" i="24"/>
  <c r="P196" i="24" s="1"/>
  <c r="O171" i="24"/>
  <c r="P171" i="24" s="1"/>
  <c r="L160" i="24"/>
  <c r="M160" i="24" s="1"/>
  <c r="N160" i="24" s="1"/>
  <c r="O136" i="24"/>
  <c r="P136" i="24" s="1"/>
  <c r="L111" i="24"/>
  <c r="M111" i="24" s="1"/>
  <c r="N111" i="24" s="1"/>
  <c r="L70" i="24"/>
  <c r="M70" i="24" s="1"/>
  <c r="N70" i="24" s="1"/>
  <c r="L64" i="24"/>
  <c r="M64" i="24" s="1"/>
  <c r="N64" i="24" s="1"/>
  <c r="O26" i="24"/>
  <c r="P26" i="24" s="1"/>
  <c r="L10" i="24"/>
  <c r="M10" i="24" s="1"/>
  <c r="N10" i="24" s="1"/>
  <c r="O2" i="24"/>
  <c r="P2" i="24" s="1"/>
  <c r="L103" i="24"/>
  <c r="M103" i="24" s="1"/>
  <c r="N103" i="24" s="1"/>
  <c r="L101" i="24"/>
  <c r="M101" i="24" s="1"/>
  <c r="N101" i="24" s="1"/>
  <c r="L99" i="24"/>
  <c r="M99" i="24" s="1"/>
  <c r="N99" i="24" s="1"/>
  <c r="O92" i="24"/>
  <c r="P92" i="24" s="1"/>
  <c r="L78" i="24"/>
  <c r="M78" i="24" s="1"/>
  <c r="N78" i="24" s="1"/>
  <c r="V77" i="24"/>
  <c r="W77" i="24" s="1"/>
  <c r="S74" i="24"/>
  <c r="T74" i="24" s="1"/>
  <c r="U74" i="24" s="1"/>
  <c r="S46" i="24"/>
  <c r="T46" i="24" s="1"/>
  <c r="U46" i="24" s="1"/>
  <c r="V23" i="24"/>
  <c r="W23" i="24" s="1"/>
  <c r="V4" i="24"/>
  <c r="W4" i="24" s="1"/>
  <c r="S136" i="24"/>
  <c r="T136" i="24" s="1"/>
  <c r="U136" i="24" s="1"/>
  <c r="S191" i="24"/>
  <c r="T191" i="24" s="1"/>
  <c r="U191" i="24" s="1"/>
  <c r="O208" i="24"/>
  <c r="P208" i="24" s="1"/>
  <c r="O162" i="24"/>
  <c r="P162" i="24" s="1"/>
  <c r="O176" i="24"/>
  <c r="P176" i="24" s="1"/>
  <c r="O59" i="24"/>
  <c r="P59" i="24" s="1"/>
  <c r="O30" i="24"/>
  <c r="P30" i="24" s="1"/>
  <c r="L14" i="24"/>
  <c r="M14" i="24" s="1"/>
  <c r="N14" i="24" s="1"/>
  <c r="L74" i="24"/>
  <c r="M74" i="24" s="1"/>
  <c r="N74" i="24" s="1"/>
  <c r="V115" i="24"/>
  <c r="W115" i="24" s="1"/>
  <c r="V69" i="24"/>
  <c r="W69" i="24" s="1"/>
  <c r="S26" i="24"/>
  <c r="T26" i="24" s="1"/>
  <c r="U26" i="24" s="1"/>
  <c r="S7" i="24"/>
  <c r="T7" i="24" s="1"/>
  <c r="U7" i="24" s="1"/>
  <c r="V200" i="24"/>
  <c r="W200" i="24" s="1"/>
  <c r="S164" i="24"/>
  <c r="T164" i="24" s="1"/>
  <c r="U164" i="24" s="1"/>
  <c r="V158" i="24"/>
  <c r="W158" i="24" s="1"/>
  <c r="L37" i="24"/>
  <c r="M37" i="24" s="1"/>
  <c r="N37" i="24" s="1"/>
  <c r="O105" i="24"/>
  <c r="P105" i="24" s="1"/>
  <c r="L130" i="24"/>
  <c r="M130" i="24" s="1"/>
  <c r="N130" i="24" s="1"/>
  <c r="L98" i="24"/>
  <c r="M98" i="24" s="1"/>
  <c r="N98" i="24" s="1"/>
  <c r="L96" i="24"/>
  <c r="M96" i="24" s="1"/>
  <c r="N96" i="24" s="1"/>
  <c r="V87" i="24"/>
  <c r="W87" i="24" s="1"/>
  <c r="L76" i="24"/>
  <c r="M76" i="24" s="1"/>
  <c r="N76" i="24" s="1"/>
  <c r="S152" i="24"/>
  <c r="T152" i="24" s="1"/>
  <c r="U152" i="24" s="1"/>
  <c r="O53" i="24"/>
  <c r="P53" i="24" s="1"/>
  <c r="L18" i="24"/>
  <c r="M18" i="24" s="1"/>
  <c r="N18" i="24" s="1"/>
  <c r="L28" i="24"/>
  <c r="M28" i="24" s="1"/>
  <c r="N28" i="24" s="1"/>
  <c r="O16" i="24"/>
  <c r="P16" i="24" s="1"/>
  <c r="L4" i="24"/>
  <c r="M4" i="24" s="1"/>
  <c r="N4" i="24" s="1"/>
  <c r="L89" i="24"/>
  <c r="M89" i="24" s="1"/>
  <c r="N89" i="24" s="1"/>
  <c r="L87" i="24"/>
  <c r="M87" i="24" s="1"/>
  <c r="N87" i="24" s="1"/>
  <c r="L477" i="25"/>
  <c r="M477" i="25" s="1"/>
  <c r="N477" i="25" s="1"/>
  <c r="P477" i="25"/>
  <c r="Q477" i="25" s="1"/>
  <c r="T740" i="25"/>
  <c r="U740" i="25" s="1"/>
  <c r="V740" i="25" s="1"/>
  <c r="W740" i="25"/>
  <c r="X740" i="25" s="1"/>
  <c r="W352" i="25"/>
  <c r="X352" i="25" s="1"/>
  <c r="T352" i="25"/>
  <c r="U352" i="25" s="1"/>
  <c r="V352" i="25" s="1"/>
  <c r="T747" i="25"/>
  <c r="U747" i="25" s="1"/>
  <c r="V747" i="25" s="1"/>
  <c r="W747" i="25"/>
  <c r="X747" i="25" s="1"/>
  <c r="T594" i="25"/>
  <c r="U594" i="25" s="1"/>
  <c r="V594" i="25" s="1"/>
  <c r="W594" i="25"/>
  <c r="X594" i="25" s="1"/>
  <c r="T199" i="25"/>
  <c r="U199" i="25" s="1"/>
  <c r="V199" i="25" s="1"/>
  <c r="W199" i="25"/>
  <c r="X199" i="25" s="1"/>
  <c r="L162" i="25"/>
  <c r="M162" i="25" s="1"/>
  <c r="N162" i="25" s="1"/>
  <c r="P114" i="25"/>
  <c r="Q114" i="25" s="1"/>
  <c r="P94" i="25"/>
  <c r="Q94" i="25" s="1"/>
  <c r="P87" i="25"/>
  <c r="Q87" i="25" s="1"/>
  <c r="P44" i="25"/>
  <c r="Q44" i="25" s="1"/>
  <c r="P36" i="25"/>
  <c r="Q36" i="25" s="1"/>
  <c r="L379" i="25"/>
  <c r="M379" i="25" s="1"/>
  <c r="N379" i="25" s="1"/>
  <c r="P373" i="25"/>
  <c r="Q373" i="25" s="1"/>
  <c r="P671" i="25"/>
  <c r="Q671" i="25" s="1"/>
  <c r="L635" i="25"/>
  <c r="M635" i="25" s="1"/>
  <c r="N635" i="25" s="1"/>
  <c r="P621" i="25"/>
  <c r="Q621" i="25" s="1"/>
  <c r="P601" i="25"/>
  <c r="Q601" i="25" s="1"/>
  <c r="L587" i="25"/>
  <c r="M587" i="25" s="1"/>
  <c r="N587" i="25" s="1"/>
  <c r="L574" i="25"/>
  <c r="M574" i="25" s="1"/>
  <c r="N574" i="25" s="1"/>
  <c r="P558" i="25"/>
  <c r="Q558" i="25" s="1"/>
  <c r="L499" i="25"/>
  <c r="M499" i="25" s="1"/>
  <c r="N499" i="25" s="1"/>
  <c r="P499" i="25"/>
  <c r="Q499" i="25" s="1"/>
  <c r="L475" i="25"/>
  <c r="M475" i="25" s="1"/>
  <c r="N475" i="25" s="1"/>
  <c r="P452" i="25"/>
  <c r="Q452" i="25" s="1"/>
  <c r="L445" i="25"/>
  <c r="M445" i="25" s="1"/>
  <c r="N445" i="25" s="1"/>
  <c r="W381" i="25"/>
  <c r="X381" i="25" s="1"/>
  <c r="T395" i="25"/>
  <c r="U395" i="25" s="1"/>
  <c r="V395" i="25" s="1"/>
  <c r="T666" i="25"/>
  <c r="U666" i="25" s="1"/>
  <c r="V666" i="25" s="1"/>
  <c r="W666" i="25"/>
  <c r="X666" i="25" s="1"/>
  <c r="T622" i="25"/>
  <c r="U622" i="25" s="1"/>
  <c r="V622" i="25" s="1"/>
  <c r="W622" i="25"/>
  <c r="X622" i="25" s="1"/>
  <c r="T601" i="25"/>
  <c r="U601" i="25" s="1"/>
  <c r="V601" i="25" s="1"/>
  <c r="W601" i="25"/>
  <c r="X601" i="25" s="1"/>
  <c r="W722" i="25"/>
  <c r="X722" i="25" s="1"/>
  <c r="T722" i="25"/>
  <c r="U722" i="25" s="1"/>
  <c r="V722" i="25" s="1"/>
  <c r="T717" i="25"/>
  <c r="U717" i="25" s="1"/>
  <c r="V717" i="25" s="1"/>
  <c r="T706" i="25"/>
  <c r="U706" i="25" s="1"/>
  <c r="V706" i="25" s="1"/>
  <c r="W706" i="25"/>
  <c r="X706" i="25" s="1"/>
  <c r="T530" i="25"/>
  <c r="U530" i="25" s="1"/>
  <c r="V530" i="25" s="1"/>
  <c r="T519" i="25"/>
  <c r="U519" i="25" s="1"/>
  <c r="V519" i="25" s="1"/>
  <c r="T513" i="25"/>
  <c r="U513" i="25" s="1"/>
  <c r="V513" i="25" s="1"/>
  <c r="W513" i="25"/>
  <c r="X513" i="25" s="1"/>
  <c r="T501" i="25"/>
  <c r="U501" i="25" s="1"/>
  <c r="V501" i="25" s="1"/>
  <c r="T477" i="25"/>
  <c r="U477" i="25" s="1"/>
  <c r="V477" i="25" s="1"/>
  <c r="W477" i="25"/>
  <c r="X477" i="25" s="1"/>
  <c r="T447" i="25"/>
  <c r="U447" i="25" s="1"/>
  <c r="V447" i="25" s="1"/>
  <c r="T256" i="25"/>
  <c r="U256" i="25" s="1"/>
  <c r="V256" i="25" s="1"/>
  <c r="W231" i="25"/>
  <c r="X231" i="25" s="1"/>
  <c r="T231" i="25"/>
  <c r="U231" i="25" s="1"/>
  <c r="V231" i="25" s="1"/>
  <c r="W219" i="25"/>
  <c r="X219" i="25" s="1"/>
  <c r="T219" i="25"/>
  <c r="U219" i="25" s="1"/>
  <c r="V219" i="25" s="1"/>
  <c r="T104" i="25"/>
  <c r="U104" i="25" s="1"/>
  <c r="V104" i="25" s="1"/>
  <c r="W104" i="25"/>
  <c r="X104" i="25" s="1"/>
  <c r="T39" i="25"/>
  <c r="U39" i="25" s="1"/>
  <c r="V39" i="25" s="1"/>
  <c r="L167" i="25"/>
  <c r="M167" i="25" s="1"/>
  <c r="N167" i="25" s="1"/>
  <c r="P72" i="25"/>
  <c r="Q72" i="25" s="1"/>
  <c r="L57" i="25"/>
  <c r="M57" i="25" s="1"/>
  <c r="N57" i="25" s="1"/>
  <c r="L365" i="25"/>
  <c r="M365" i="25" s="1"/>
  <c r="N365" i="25" s="1"/>
  <c r="P352" i="25"/>
  <c r="Q352" i="25" s="1"/>
  <c r="L766" i="25"/>
  <c r="M766" i="25" s="1"/>
  <c r="N766" i="25" s="1"/>
  <c r="P766" i="25"/>
  <c r="Q766" i="25" s="1"/>
  <c r="L757" i="25"/>
  <c r="M757" i="25" s="1"/>
  <c r="N757" i="25" s="1"/>
  <c r="L727" i="25"/>
  <c r="M727" i="25" s="1"/>
  <c r="N727" i="25" s="1"/>
  <c r="P721" i="25"/>
  <c r="Q721" i="25" s="1"/>
  <c r="L715" i="25"/>
  <c r="M715" i="25" s="1"/>
  <c r="N715" i="25" s="1"/>
  <c r="L707" i="25"/>
  <c r="M707" i="25" s="1"/>
  <c r="N707" i="25" s="1"/>
  <c r="P493" i="25"/>
  <c r="Q493" i="25" s="1"/>
  <c r="P466" i="25"/>
  <c r="Q466" i="25" s="1"/>
  <c r="L295" i="25"/>
  <c r="M295" i="25" s="1"/>
  <c r="N295" i="25" s="1"/>
  <c r="T311" i="25"/>
  <c r="U311" i="25" s="1"/>
  <c r="V311" i="25" s="1"/>
  <c r="T388" i="25"/>
  <c r="U388" i="25" s="1"/>
  <c r="V388" i="25" s="1"/>
  <c r="W684" i="25"/>
  <c r="X684" i="25" s="1"/>
  <c r="T684" i="25"/>
  <c r="U684" i="25" s="1"/>
  <c r="V684" i="25" s="1"/>
  <c r="T677" i="25"/>
  <c r="U677" i="25" s="1"/>
  <c r="V677" i="25" s="1"/>
  <c r="T665" i="25"/>
  <c r="U665" i="25" s="1"/>
  <c r="V665" i="25" s="1"/>
  <c r="T652" i="25"/>
  <c r="U652" i="25" s="1"/>
  <c r="V652" i="25" s="1"/>
  <c r="W652" i="25"/>
  <c r="X652" i="25" s="1"/>
  <c r="T646" i="25"/>
  <c r="U646" i="25" s="1"/>
  <c r="V646" i="25" s="1"/>
  <c r="T776" i="25"/>
  <c r="U776" i="25" s="1"/>
  <c r="V776" i="25" s="1"/>
  <c r="W776" i="25"/>
  <c r="X776" i="25" s="1"/>
  <c r="W762" i="25"/>
  <c r="X762" i="25" s="1"/>
  <c r="T557" i="25"/>
  <c r="U557" i="25" s="1"/>
  <c r="V557" i="25" s="1"/>
  <c r="W506" i="25"/>
  <c r="X506" i="25" s="1"/>
  <c r="T506" i="25"/>
  <c r="U506" i="25" s="1"/>
  <c r="V506" i="25" s="1"/>
  <c r="W456" i="25"/>
  <c r="X456" i="25" s="1"/>
  <c r="T456" i="25"/>
  <c r="U456" i="25" s="1"/>
  <c r="V456" i="25" s="1"/>
  <c r="T413" i="25"/>
  <c r="U413" i="25" s="1"/>
  <c r="V413" i="25" s="1"/>
  <c r="W413" i="25"/>
  <c r="X413" i="25" s="1"/>
  <c r="T192" i="25"/>
  <c r="U192" i="25" s="1"/>
  <c r="V192" i="25" s="1"/>
  <c r="W192" i="25"/>
  <c r="X192" i="25" s="1"/>
  <c r="T83" i="25"/>
  <c r="U83" i="25" s="1"/>
  <c r="V83" i="25" s="1"/>
  <c r="W83" i="25"/>
  <c r="X83" i="25" s="1"/>
  <c r="L173" i="25"/>
  <c r="M173" i="25" s="1"/>
  <c r="N173" i="25" s="1"/>
  <c r="P118" i="25"/>
  <c r="Q118" i="25" s="1"/>
  <c r="P79" i="25"/>
  <c r="Q79" i="25" s="1"/>
  <c r="L386" i="25"/>
  <c r="M386" i="25" s="1"/>
  <c r="N386" i="25" s="1"/>
  <c r="L372" i="25"/>
  <c r="M372" i="25" s="1"/>
  <c r="N372" i="25" s="1"/>
  <c r="P641" i="25"/>
  <c r="Q641" i="25" s="1"/>
  <c r="L771" i="25"/>
  <c r="M771" i="25" s="1"/>
  <c r="N771" i="25" s="1"/>
  <c r="P700" i="25"/>
  <c r="Q700" i="25" s="1"/>
  <c r="P578" i="25"/>
  <c r="Q578" i="25" s="1"/>
  <c r="P565" i="25"/>
  <c r="Q565" i="25" s="1"/>
  <c r="L511" i="25"/>
  <c r="M511" i="25" s="1"/>
  <c r="N511" i="25" s="1"/>
  <c r="P511" i="25"/>
  <c r="Q511" i="25" s="1"/>
  <c r="L427" i="25"/>
  <c r="M427" i="25" s="1"/>
  <c r="N427" i="25" s="1"/>
  <c r="T325" i="25"/>
  <c r="U325" i="25" s="1"/>
  <c r="V325" i="25" s="1"/>
  <c r="W325" i="25"/>
  <c r="X325" i="25" s="1"/>
  <c r="W651" i="25"/>
  <c r="X651" i="25" s="1"/>
  <c r="W639" i="25"/>
  <c r="X639" i="25" s="1"/>
  <c r="T737" i="25"/>
  <c r="U737" i="25" s="1"/>
  <c r="V737" i="25" s="1"/>
  <c r="W737" i="25"/>
  <c r="X737" i="25" s="1"/>
  <c r="W290" i="25"/>
  <c r="X290" i="25" s="1"/>
  <c r="T290" i="25"/>
  <c r="U290" i="25" s="1"/>
  <c r="V290" i="25" s="1"/>
  <c r="T73" i="25"/>
  <c r="U73" i="25" s="1"/>
  <c r="V73" i="25" s="1"/>
  <c r="W73" i="25"/>
  <c r="X73" i="25" s="1"/>
  <c r="P241" i="25"/>
  <c r="Q241" i="25" s="1"/>
  <c r="L662" i="25"/>
  <c r="M662" i="25" s="1"/>
  <c r="N662" i="25" s="1"/>
  <c r="L792" i="25"/>
  <c r="M792" i="25" s="1"/>
  <c r="N792" i="25" s="1"/>
  <c r="P792" i="25"/>
  <c r="Q792" i="25" s="1"/>
  <c r="P777" i="25"/>
  <c r="Q777" i="25" s="1"/>
  <c r="P741" i="25"/>
  <c r="Q741" i="25" s="1"/>
  <c r="L720" i="25"/>
  <c r="M720" i="25" s="1"/>
  <c r="N720" i="25" s="1"/>
  <c r="L520" i="25"/>
  <c r="M520" i="25" s="1"/>
  <c r="N520" i="25" s="1"/>
  <c r="L473" i="25"/>
  <c r="M473" i="25" s="1"/>
  <c r="N473" i="25" s="1"/>
  <c r="P443" i="25"/>
  <c r="Q443" i="25" s="1"/>
  <c r="L443" i="25"/>
  <c r="M443" i="25" s="1"/>
  <c r="N443" i="25" s="1"/>
  <c r="T332" i="25"/>
  <c r="U332" i="25" s="1"/>
  <c r="V332" i="25" s="1"/>
  <c r="W332" i="25"/>
  <c r="X332" i="25" s="1"/>
  <c r="W324" i="25"/>
  <c r="X324" i="25" s="1"/>
  <c r="T3" i="25"/>
  <c r="U3" i="25" s="1"/>
  <c r="V3" i="25" s="1"/>
  <c r="T612" i="25"/>
  <c r="U612" i="25" s="1"/>
  <c r="V612" i="25" s="1"/>
  <c r="W612" i="25"/>
  <c r="X612" i="25" s="1"/>
  <c r="T562" i="25"/>
  <c r="U562" i="25" s="1"/>
  <c r="V562" i="25" s="1"/>
  <c r="W511" i="25"/>
  <c r="X511" i="25" s="1"/>
  <c r="T511" i="25"/>
  <c r="U511" i="25" s="1"/>
  <c r="V511" i="25" s="1"/>
  <c r="W500" i="25"/>
  <c r="X500" i="25" s="1"/>
  <c r="T437" i="25"/>
  <c r="U437" i="25" s="1"/>
  <c r="V437" i="25" s="1"/>
  <c r="W437" i="25"/>
  <c r="X437" i="25" s="1"/>
  <c r="W43" i="25"/>
  <c r="X43" i="25" s="1"/>
  <c r="T43" i="25"/>
  <c r="U43" i="25" s="1"/>
  <c r="V43" i="25" s="1"/>
  <c r="L403" i="25"/>
  <c r="M403" i="25" s="1"/>
  <c r="N403" i="25" s="1"/>
  <c r="P403" i="25"/>
  <c r="Q403" i="25" s="1"/>
  <c r="W356" i="25"/>
  <c r="X356" i="25" s="1"/>
  <c r="T356" i="25"/>
  <c r="U356" i="25" s="1"/>
  <c r="V356" i="25" s="1"/>
  <c r="W522" i="25"/>
  <c r="X522" i="25" s="1"/>
  <c r="T522" i="25"/>
  <c r="U522" i="25" s="1"/>
  <c r="V522" i="25" s="1"/>
  <c r="L453" i="25"/>
  <c r="M453" i="25" s="1"/>
  <c r="N453" i="25" s="1"/>
  <c r="P453" i="25"/>
  <c r="Q453" i="25" s="1"/>
  <c r="P400" i="25"/>
  <c r="Q400" i="25" s="1"/>
  <c r="L400" i="25"/>
  <c r="M400" i="25" s="1"/>
  <c r="N400" i="25" s="1"/>
  <c r="T728" i="25"/>
  <c r="U728" i="25" s="1"/>
  <c r="V728" i="25" s="1"/>
  <c r="W728" i="25"/>
  <c r="X728" i="25" s="1"/>
  <c r="P187" i="25"/>
  <c r="Q187" i="25" s="1"/>
  <c r="P97" i="25"/>
  <c r="Q97" i="25" s="1"/>
  <c r="P362" i="25"/>
  <c r="Q362" i="25" s="1"/>
  <c r="L356" i="25"/>
  <c r="M356" i="25" s="1"/>
  <c r="N356" i="25" s="1"/>
  <c r="P330" i="25"/>
  <c r="Q330" i="25" s="1"/>
  <c r="P645" i="25"/>
  <c r="Q645" i="25" s="1"/>
  <c r="P712" i="25"/>
  <c r="Q712" i="25" s="1"/>
  <c r="W735" i="25"/>
  <c r="X735" i="25" s="1"/>
  <c r="T735" i="25"/>
  <c r="U735" i="25" s="1"/>
  <c r="V735" i="25" s="1"/>
  <c r="T467" i="25"/>
  <c r="U467" i="25" s="1"/>
  <c r="V467" i="25" s="1"/>
  <c r="W467" i="25"/>
  <c r="X467" i="25" s="1"/>
  <c r="W100" i="25"/>
  <c r="X100" i="25" s="1"/>
  <c r="T100" i="25"/>
  <c r="U100" i="25" s="1"/>
  <c r="V100" i="25" s="1"/>
  <c r="T531" i="25"/>
  <c r="U531" i="25" s="1"/>
  <c r="V531" i="25" s="1"/>
  <c r="W531" i="25"/>
  <c r="X531" i="25" s="1"/>
  <c r="L272" i="25"/>
  <c r="M272" i="25" s="1"/>
  <c r="N272" i="25" s="1"/>
  <c r="P272" i="25"/>
  <c r="Q272" i="25" s="1"/>
  <c r="L206" i="25"/>
  <c r="M206" i="25" s="1"/>
  <c r="N206" i="25" s="1"/>
  <c r="P142" i="25"/>
  <c r="Q142" i="25" s="1"/>
  <c r="L110" i="25"/>
  <c r="M110" i="25" s="1"/>
  <c r="N110" i="25" s="1"/>
  <c r="P104" i="25"/>
  <c r="Q104" i="25" s="1"/>
  <c r="P76" i="25"/>
  <c r="Q76" i="25" s="1"/>
  <c r="L22" i="25"/>
  <c r="M22" i="25" s="1"/>
  <c r="N22" i="25" s="1"/>
  <c r="P630" i="25"/>
  <c r="Q630" i="25" s="1"/>
  <c r="P562" i="25"/>
  <c r="Q562" i="25" s="1"/>
  <c r="L562" i="25"/>
  <c r="M562" i="25" s="1"/>
  <c r="N562" i="25" s="1"/>
  <c r="P549" i="25"/>
  <c r="Q549" i="25" s="1"/>
  <c r="P523" i="25"/>
  <c r="Q523" i="25" s="1"/>
  <c r="P514" i="25"/>
  <c r="Q514" i="25" s="1"/>
  <c r="P253" i="25"/>
  <c r="Q253" i="25" s="1"/>
  <c r="L253" i="25"/>
  <c r="M253" i="25" s="1"/>
  <c r="N253" i="25" s="1"/>
  <c r="W345" i="25"/>
  <c r="X345" i="25" s="1"/>
  <c r="T345" i="25"/>
  <c r="U345" i="25" s="1"/>
  <c r="V345" i="25" s="1"/>
  <c r="W361" i="25"/>
  <c r="X361" i="25" s="1"/>
  <c r="T498" i="25"/>
  <c r="U498" i="25" s="1"/>
  <c r="V498" i="25" s="1"/>
  <c r="W498" i="25"/>
  <c r="X498" i="25" s="1"/>
  <c r="T422" i="25"/>
  <c r="U422" i="25" s="1"/>
  <c r="V422" i="25" s="1"/>
  <c r="W422" i="25"/>
  <c r="X422" i="25" s="1"/>
  <c r="W208" i="25"/>
  <c r="X208" i="25" s="1"/>
  <c r="T208" i="25"/>
  <c r="U208" i="25" s="1"/>
  <c r="V208" i="25" s="1"/>
  <c r="L702" i="25"/>
  <c r="M702" i="25" s="1"/>
  <c r="N702" i="25" s="1"/>
  <c r="P702" i="25"/>
  <c r="Q702" i="25" s="1"/>
  <c r="P261" i="25"/>
  <c r="Q261" i="25" s="1"/>
  <c r="L261" i="25"/>
  <c r="M261" i="25" s="1"/>
  <c r="N261" i="25" s="1"/>
  <c r="P238" i="25"/>
  <c r="Q238" i="25" s="1"/>
  <c r="L222" i="25"/>
  <c r="M222" i="25" s="1"/>
  <c r="N222" i="25" s="1"/>
  <c r="L192" i="25"/>
  <c r="M192" i="25" s="1"/>
  <c r="N192" i="25" s="1"/>
  <c r="P177" i="25"/>
  <c r="Q177" i="25" s="1"/>
  <c r="L115" i="25"/>
  <c r="M115" i="25" s="1"/>
  <c r="N115" i="25" s="1"/>
  <c r="L26" i="25"/>
  <c r="M26" i="25" s="1"/>
  <c r="N26" i="25" s="1"/>
  <c r="P397" i="25"/>
  <c r="Q397" i="25" s="1"/>
  <c r="P681" i="25"/>
  <c r="Q681" i="25" s="1"/>
  <c r="P673" i="25"/>
  <c r="Q673" i="25" s="1"/>
  <c r="L666" i="25"/>
  <c r="M666" i="25" s="1"/>
  <c r="N666" i="25" s="1"/>
  <c r="L590" i="25"/>
  <c r="M590" i="25" s="1"/>
  <c r="N590" i="25" s="1"/>
  <c r="P590" i="25"/>
  <c r="Q590" i="25" s="1"/>
  <c r="P575" i="25"/>
  <c r="Q575" i="25" s="1"/>
  <c r="L534" i="25"/>
  <c r="M534" i="25" s="1"/>
  <c r="N534" i="25" s="1"/>
  <c r="L470" i="25"/>
  <c r="M470" i="25" s="1"/>
  <c r="N470" i="25" s="1"/>
  <c r="P470" i="25"/>
  <c r="Q470" i="25" s="1"/>
  <c r="P273" i="25"/>
  <c r="Q273" i="25" s="1"/>
  <c r="T687" i="25"/>
  <c r="U687" i="25" s="1"/>
  <c r="V687" i="25" s="1"/>
  <c r="W609" i="25"/>
  <c r="X609" i="25" s="1"/>
  <c r="W793" i="25"/>
  <c r="X793" i="25" s="1"/>
  <c r="T708" i="25"/>
  <c r="U708" i="25" s="1"/>
  <c r="V708" i="25" s="1"/>
  <c r="W708" i="25"/>
  <c r="X708" i="25" s="1"/>
  <c r="T549" i="25"/>
  <c r="U549" i="25" s="1"/>
  <c r="V549" i="25" s="1"/>
  <c r="W549" i="25"/>
  <c r="X549" i="25" s="1"/>
  <c r="T497" i="25"/>
  <c r="U497" i="25" s="1"/>
  <c r="V497" i="25" s="1"/>
  <c r="T487" i="25"/>
  <c r="U487" i="25" s="1"/>
  <c r="V487" i="25" s="1"/>
  <c r="W487" i="25"/>
  <c r="X487" i="25" s="1"/>
  <c r="T226" i="25"/>
  <c r="U226" i="25" s="1"/>
  <c r="V226" i="25" s="1"/>
  <c r="T195" i="25"/>
  <c r="U195" i="25" s="1"/>
  <c r="V195" i="25" s="1"/>
  <c r="T181" i="25"/>
  <c r="U181" i="25" s="1"/>
  <c r="V181" i="25" s="1"/>
  <c r="T142" i="25"/>
  <c r="U142" i="25" s="1"/>
  <c r="V142" i="25" s="1"/>
  <c r="W142" i="25"/>
  <c r="X142" i="25" s="1"/>
  <c r="L468" i="25"/>
  <c r="M468" i="25" s="1"/>
  <c r="N468" i="25" s="1"/>
  <c r="W485" i="25"/>
  <c r="X485" i="25" s="1"/>
  <c r="W404" i="25"/>
  <c r="X404" i="25" s="1"/>
  <c r="W207" i="25"/>
  <c r="X207" i="25" s="1"/>
  <c r="W162" i="25"/>
  <c r="X162" i="25" s="1"/>
  <c r="W445" i="25"/>
  <c r="X445" i="25" s="1"/>
  <c r="T435" i="25"/>
  <c r="U435" i="25" s="1"/>
  <c r="V435" i="25" s="1"/>
  <c r="W431" i="25"/>
  <c r="X431" i="25" s="1"/>
  <c r="T260" i="25"/>
  <c r="U260" i="25" s="1"/>
  <c r="V260" i="25" s="1"/>
  <c r="T238" i="25"/>
  <c r="U238" i="25" s="1"/>
  <c r="V238" i="25" s="1"/>
  <c r="T146" i="25"/>
  <c r="U146" i="25" s="1"/>
  <c r="V146" i="25" s="1"/>
  <c r="W119" i="25"/>
  <c r="X119" i="25" s="1"/>
  <c r="W102" i="25"/>
  <c r="X102" i="25" s="1"/>
  <c r="T81" i="25"/>
  <c r="U81" i="25" s="1"/>
  <c r="V81" i="25" s="1"/>
  <c r="T77" i="25"/>
  <c r="U77" i="25" s="1"/>
  <c r="V77" i="25" s="1"/>
  <c r="T71" i="25"/>
  <c r="U71" i="25" s="1"/>
  <c r="V71" i="25" s="1"/>
  <c r="T416" i="25"/>
  <c r="U416" i="25" s="1"/>
  <c r="V416" i="25" s="1"/>
  <c r="T247" i="25"/>
  <c r="U247" i="25" s="1"/>
  <c r="V247" i="25" s="1"/>
  <c r="T478" i="25"/>
  <c r="U478" i="25" s="1"/>
  <c r="V478" i="25" s="1"/>
  <c r="W462" i="25"/>
  <c r="X462" i="25" s="1"/>
  <c r="W444" i="25"/>
  <c r="X444" i="25" s="1"/>
  <c r="W237" i="25"/>
  <c r="X237" i="25" s="1"/>
  <c r="T145" i="25"/>
  <c r="U145" i="25" s="1"/>
  <c r="V145" i="25" s="1"/>
  <c r="T137" i="25"/>
  <c r="U137" i="25" s="1"/>
  <c r="V137" i="25" s="1"/>
  <c r="W123" i="25"/>
  <c r="X123" i="25" s="1"/>
  <c r="W111" i="25"/>
  <c r="X111" i="25" s="1"/>
  <c r="W80" i="25"/>
  <c r="X80" i="25" s="1"/>
  <c r="T76" i="25"/>
  <c r="U76" i="25" s="1"/>
  <c r="V76" i="25" s="1"/>
  <c r="W70" i="25"/>
  <c r="X70" i="25" s="1"/>
  <c r="T438" i="25"/>
  <c r="U438" i="25" s="1"/>
  <c r="V438" i="25" s="1"/>
  <c r="W434" i="25"/>
  <c r="X434" i="25" s="1"/>
  <c r="W398" i="25"/>
  <c r="X398" i="25" s="1"/>
  <c r="T220" i="25"/>
  <c r="U220" i="25" s="1"/>
  <c r="V220" i="25" s="1"/>
  <c r="T200" i="25"/>
  <c r="U200" i="25" s="1"/>
  <c r="V200" i="25" s="1"/>
  <c r="T193" i="25"/>
  <c r="U193" i="25" s="1"/>
  <c r="V193" i="25" s="1"/>
  <c r="T105" i="25"/>
  <c r="U105" i="25" s="1"/>
  <c r="V105" i="25" s="1"/>
  <c r="T334" i="25"/>
  <c r="U334" i="25" s="1"/>
  <c r="V334" i="25" s="1"/>
  <c r="W368" i="25"/>
  <c r="X368" i="25" s="1"/>
  <c r="T359" i="25"/>
  <c r="U359" i="25" s="1"/>
  <c r="V359" i="25" s="1"/>
  <c r="T22" i="25"/>
  <c r="U22" i="25" s="1"/>
  <c r="V22" i="25" s="1"/>
  <c r="W397" i="25"/>
  <c r="X397" i="25" s="1"/>
  <c r="T644" i="25"/>
  <c r="U644" i="25" s="1"/>
  <c r="V644" i="25" s="1"/>
  <c r="W634" i="25"/>
  <c r="X634" i="25" s="1"/>
  <c r="T610" i="25"/>
  <c r="U610" i="25" s="1"/>
  <c r="V610" i="25" s="1"/>
  <c r="W732" i="25"/>
  <c r="X732" i="25" s="1"/>
  <c r="T696" i="25"/>
  <c r="U696" i="25" s="1"/>
  <c r="V696" i="25" s="1"/>
  <c r="W586" i="25"/>
  <c r="X586" i="25" s="1"/>
  <c r="T528" i="25"/>
  <c r="U528" i="25" s="1"/>
  <c r="V528" i="25" s="1"/>
  <c r="W472" i="25"/>
  <c r="X472" i="25" s="1"/>
  <c r="W298" i="25"/>
  <c r="X298" i="25" s="1"/>
  <c r="T235" i="25"/>
  <c r="U235" i="25" s="1"/>
  <c r="V235" i="25" s="1"/>
  <c r="T187" i="25"/>
  <c r="U187" i="25" s="1"/>
  <c r="V187" i="25" s="1"/>
  <c r="T164" i="25"/>
  <c r="U164" i="25" s="1"/>
  <c r="V164" i="25" s="1"/>
  <c r="T131" i="25"/>
  <c r="U131" i="25" s="1"/>
  <c r="V131" i="25" s="1"/>
  <c r="W126" i="25"/>
  <c r="X126" i="25" s="1"/>
  <c r="W121" i="25"/>
  <c r="X121" i="25" s="1"/>
  <c r="L242" i="25"/>
  <c r="M242" i="25" s="1"/>
  <c r="N242" i="25" s="1"/>
  <c r="P237" i="25"/>
  <c r="Q237" i="25" s="1"/>
  <c r="P229" i="25"/>
  <c r="Q229" i="25" s="1"/>
  <c r="L223" i="25"/>
  <c r="M223" i="25" s="1"/>
  <c r="N223" i="25" s="1"/>
  <c r="P214" i="25"/>
  <c r="Q214" i="25" s="1"/>
  <c r="L163" i="25"/>
  <c r="M163" i="25" s="1"/>
  <c r="N163" i="25" s="1"/>
  <c r="L158" i="25"/>
  <c r="M158" i="25" s="1"/>
  <c r="N158" i="25" s="1"/>
  <c r="P123" i="25"/>
  <c r="Q123" i="25" s="1"/>
  <c r="L123" i="25"/>
  <c r="M123" i="25" s="1"/>
  <c r="N123" i="25" s="1"/>
  <c r="L113" i="25"/>
  <c r="M113" i="25" s="1"/>
  <c r="N113" i="25" s="1"/>
  <c r="L82" i="25"/>
  <c r="M82" i="25" s="1"/>
  <c r="N82" i="25" s="1"/>
  <c r="P59" i="25"/>
  <c r="Q59" i="25" s="1"/>
  <c r="L59" i="25"/>
  <c r="M59" i="25" s="1"/>
  <c r="N59" i="25" s="1"/>
  <c r="L54" i="25"/>
  <c r="M54" i="25" s="1"/>
  <c r="N54" i="25" s="1"/>
  <c r="L326" i="25"/>
  <c r="M326" i="25" s="1"/>
  <c r="N326" i="25" s="1"/>
  <c r="L636" i="25"/>
  <c r="M636" i="25" s="1"/>
  <c r="N636" i="25" s="1"/>
  <c r="L780" i="25"/>
  <c r="M780" i="25" s="1"/>
  <c r="N780" i="25" s="1"/>
  <c r="P780" i="25"/>
  <c r="Q780" i="25" s="1"/>
  <c r="P567" i="25"/>
  <c r="Q567" i="25" s="1"/>
  <c r="L567" i="25"/>
  <c r="M567" i="25" s="1"/>
  <c r="N567" i="25" s="1"/>
  <c r="L460" i="25"/>
  <c r="M460" i="25" s="1"/>
  <c r="N460" i="25" s="1"/>
  <c r="P413" i="25"/>
  <c r="Q413" i="25" s="1"/>
  <c r="L413" i="25"/>
  <c r="M413" i="25" s="1"/>
  <c r="N413" i="25" s="1"/>
  <c r="T378" i="25"/>
  <c r="U378" i="25" s="1"/>
  <c r="V378" i="25" s="1"/>
  <c r="W378" i="25"/>
  <c r="X378" i="25" s="1"/>
  <c r="T640" i="25"/>
  <c r="U640" i="25" s="1"/>
  <c r="V640" i="25" s="1"/>
  <c r="W640" i="25"/>
  <c r="X640" i="25" s="1"/>
  <c r="W377" i="25"/>
  <c r="X377" i="25" s="1"/>
  <c r="T377" i="25"/>
  <c r="U377" i="25" s="1"/>
  <c r="V377" i="25" s="1"/>
  <c r="W13" i="25"/>
  <c r="X13" i="25" s="1"/>
  <c r="T13" i="25"/>
  <c r="U13" i="25" s="1"/>
  <c r="V13" i="25" s="1"/>
  <c r="T624" i="25"/>
  <c r="U624" i="25" s="1"/>
  <c r="V624" i="25" s="1"/>
  <c r="W624" i="25"/>
  <c r="X624" i="25" s="1"/>
  <c r="P626" i="25"/>
  <c r="Q626" i="25" s="1"/>
  <c r="L626" i="25"/>
  <c r="M626" i="25" s="1"/>
  <c r="N626" i="25" s="1"/>
  <c r="L203" i="25"/>
  <c r="M203" i="25" s="1"/>
  <c r="N203" i="25" s="1"/>
  <c r="P203" i="25"/>
  <c r="Q203" i="25" s="1"/>
  <c r="P125" i="25"/>
  <c r="Q125" i="25" s="1"/>
  <c r="P121" i="25"/>
  <c r="Q121" i="25" s="1"/>
  <c r="L64" i="25"/>
  <c r="M64" i="25" s="1"/>
  <c r="N64" i="25" s="1"/>
  <c r="P53" i="25"/>
  <c r="Q53" i="25" s="1"/>
  <c r="L33" i="25"/>
  <c r="M33" i="25" s="1"/>
  <c r="N33" i="25" s="1"/>
  <c r="L325" i="25"/>
  <c r="M325" i="25" s="1"/>
  <c r="N325" i="25" s="1"/>
  <c r="P313" i="25"/>
  <c r="Q313" i="25" s="1"/>
  <c r="L313" i="25"/>
  <c r="M313" i="25" s="1"/>
  <c r="N313" i="25" s="1"/>
  <c r="P688" i="25"/>
  <c r="Q688" i="25" s="1"/>
  <c r="L602" i="25"/>
  <c r="M602" i="25" s="1"/>
  <c r="N602" i="25" s="1"/>
  <c r="P602" i="25"/>
  <c r="Q602" i="25" s="1"/>
  <c r="P539" i="25"/>
  <c r="Q539" i="25" s="1"/>
  <c r="L539" i="25"/>
  <c r="M539" i="25" s="1"/>
  <c r="N539" i="25" s="1"/>
  <c r="T315" i="25"/>
  <c r="U315" i="25" s="1"/>
  <c r="V315" i="25" s="1"/>
  <c r="W315" i="25"/>
  <c r="X315" i="25" s="1"/>
  <c r="P375" i="25"/>
  <c r="Q375" i="25" s="1"/>
  <c r="L375" i="25"/>
  <c r="M375" i="25" s="1"/>
  <c r="N375" i="25" s="1"/>
  <c r="P236" i="25"/>
  <c r="Q236" i="25" s="1"/>
  <c r="P232" i="25"/>
  <c r="Q232" i="25" s="1"/>
  <c r="P212" i="25"/>
  <c r="Q212" i="25" s="1"/>
  <c r="L193" i="25"/>
  <c r="M193" i="25" s="1"/>
  <c r="N193" i="25" s="1"/>
  <c r="P182" i="25"/>
  <c r="Q182" i="25" s="1"/>
  <c r="L172" i="25"/>
  <c r="M172" i="25" s="1"/>
  <c r="N172" i="25" s="1"/>
  <c r="P156" i="25"/>
  <c r="Q156" i="25" s="1"/>
  <c r="P69" i="25"/>
  <c r="Q69" i="25" s="1"/>
  <c r="L69" i="25"/>
  <c r="M69" i="25" s="1"/>
  <c r="N69" i="25" s="1"/>
  <c r="L378" i="25"/>
  <c r="M378" i="25" s="1"/>
  <c r="N378" i="25" s="1"/>
  <c r="P378" i="25"/>
  <c r="Q378" i="25" s="1"/>
  <c r="P361" i="25"/>
  <c r="Q361" i="25" s="1"/>
  <c r="L361" i="25"/>
  <c r="M361" i="25" s="1"/>
  <c r="N361" i="25" s="1"/>
  <c r="P607" i="25"/>
  <c r="Q607" i="25" s="1"/>
  <c r="L607" i="25"/>
  <c r="M607" i="25" s="1"/>
  <c r="N607" i="25" s="1"/>
  <c r="P779" i="25"/>
  <c r="Q779" i="25" s="1"/>
  <c r="L779" i="25"/>
  <c r="M779" i="25" s="1"/>
  <c r="N779" i="25" s="1"/>
  <c r="W792" i="25"/>
  <c r="X792" i="25" s="1"/>
  <c r="T792" i="25"/>
  <c r="U792" i="25" s="1"/>
  <c r="V792" i="25" s="1"/>
  <c r="W748" i="25"/>
  <c r="X748" i="25" s="1"/>
  <c r="T748" i="25"/>
  <c r="U748" i="25" s="1"/>
  <c r="V748" i="25" s="1"/>
  <c r="L74" i="25"/>
  <c r="M74" i="25" s="1"/>
  <c r="N74" i="25" s="1"/>
  <c r="P74" i="25"/>
  <c r="Q74" i="25" s="1"/>
  <c r="L14" i="25"/>
  <c r="M14" i="25" s="1"/>
  <c r="N14" i="25" s="1"/>
  <c r="L377" i="25"/>
  <c r="M377" i="25" s="1"/>
  <c r="N377" i="25" s="1"/>
  <c r="P360" i="25"/>
  <c r="Q360" i="25" s="1"/>
  <c r="P341" i="25"/>
  <c r="Q341" i="25" s="1"/>
  <c r="L341" i="25"/>
  <c r="M341" i="25" s="1"/>
  <c r="N341" i="25" s="1"/>
  <c r="L629" i="25"/>
  <c r="M629" i="25" s="1"/>
  <c r="N629" i="25" s="1"/>
  <c r="P629" i="25"/>
  <c r="Q629" i="25" s="1"/>
  <c r="L611" i="25"/>
  <c r="M611" i="25" s="1"/>
  <c r="N611" i="25" s="1"/>
  <c r="P611" i="25"/>
  <c r="Q611" i="25" s="1"/>
  <c r="P606" i="25"/>
  <c r="Q606" i="25" s="1"/>
  <c r="P710" i="25"/>
  <c r="Q710" i="25" s="1"/>
  <c r="L710" i="25"/>
  <c r="M710" i="25" s="1"/>
  <c r="N710" i="25" s="1"/>
  <c r="L593" i="25"/>
  <c r="M593" i="25" s="1"/>
  <c r="N593" i="25" s="1"/>
  <c r="P593" i="25"/>
  <c r="Q593" i="25" s="1"/>
  <c r="P509" i="25"/>
  <c r="Q509" i="25" s="1"/>
  <c r="L509" i="25"/>
  <c r="M509" i="25" s="1"/>
  <c r="N509" i="25" s="1"/>
  <c r="P465" i="25"/>
  <c r="Q465" i="25" s="1"/>
  <c r="L465" i="25"/>
  <c r="M465" i="25" s="1"/>
  <c r="N465" i="25" s="1"/>
  <c r="L437" i="25"/>
  <c r="M437" i="25" s="1"/>
  <c r="N437" i="25" s="1"/>
  <c r="P417" i="25"/>
  <c r="Q417" i="25" s="1"/>
  <c r="L417" i="25"/>
  <c r="M417" i="25" s="1"/>
  <c r="N417" i="25" s="1"/>
  <c r="T374" i="25"/>
  <c r="U374" i="25" s="1"/>
  <c r="V374" i="25" s="1"/>
  <c r="W374" i="25"/>
  <c r="X374" i="25" s="1"/>
  <c r="W682" i="25"/>
  <c r="X682" i="25" s="1"/>
  <c r="T682" i="25"/>
  <c r="U682" i="25" s="1"/>
  <c r="V682" i="25" s="1"/>
  <c r="W629" i="25"/>
  <c r="X629" i="25" s="1"/>
  <c r="T629" i="25"/>
  <c r="U629" i="25" s="1"/>
  <c r="V629" i="25" s="1"/>
  <c r="W560" i="25"/>
  <c r="X560" i="25" s="1"/>
  <c r="P357" i="25"/>
  <c r="Q357" i="25" s="1"/>
  <c r="L357" i="25"/>
  <c r="M357" i="25" s="1"/>
  <c r="N357" i="25" s="1"/>
  <c r="L337" i="25"/>
  <c r="M337" i="25" s="1"/>
  <c r="N337" i="25" s="1"/>
  <c r="P337" i="25"/>
  <c r="Q337" i="25" s="1"/>
  <c r="P306" i="25"/>
  <c r="Q306" i="25" s="1"/>
  <c r="L306" i="25"/>
  <c r="M306" i="25" s="1"/>
  <c r="N306" i="25" s="1"/>
  <c r="P772" i="25"/>
  <c r="Q772" i="25" s="1"/>
  <c r="L772" i="25"/>
  <c r="M772" i="25" s="1"/>
  <c r="N772" i="25" s="1"/>
  <c r="P239" i="25"/>
  <c r="Q239" i="25" s="1"/>
  <c r="L231" i="25"/>
  <c r="M231" i="25" s="1"/>
  <c r="N231" i="25" s="1"/>
  <c r="L202" i="25"/>
  <c r="M202" i="25" s="1"/>
  <c r="N202" i="25" s="1"/>
  <c r="P144" i="25"/>
  <c r="Q144" i="25" s="1"/>
  <c r="L105" i="25"/>
  <c r="M105" i="25" s="1"/>
  <c r="N105" i="25" s="1"/>
  <c r="P98" i="25"/>
  <c r="Q98" i="25" s="1"/>
  <c r="P73" i="25"/>
  <c r="Q73" i="25" s="1"/>
  <c r="P39" i="25"/>
  <c r="Q39" i="25" s="1"/>
  <c r="L389" i="25"/>
  <c r="M389" i="25" s="1"/>
  <c r="N389" i="25" s="1"/>
  <c r="P366" i="25"/>
  <c r="Q366" i="25" s="1"/>
  <c r="L366" i="25"/>
  <c r="M366" i="25" s="1"/>
  <c r="N366" i="25" s="1"/>
  <c r="P668" i="25"/>
  <c r="Q668" i="25" s="1"/>
  <c r="L610" i="25"/>
  <c r="M610" i="25" s="1"/>
  <c r="N610" i="25" s="1"/>
  <c r="L597" i="25"/>
  <c r="M597" i="25" s="1"/>
  <c r="N597" i="25" s="1"/>
  <c r="P563" i="25"/>
  <c r="Q563" i="25" s="1"/>
  <c r="L563" i="25"/>
  <c r="M563" i="25" s="1"/>
  <c r="N563" i="25" s="1"/>
  <c r="P484" i="25"/>
  <c r="Q484" i="25" s="1"/>
  <c r="L484" i="25"/>
  <c r="M484" i="25" s="1"/>
  <c r="N484" i="25" s="1"/>
  <c r="P429" i="25"/>
  <c r="Q429" i="25" s="1"/>
  <c r="L429" i="25"/>
  <c r="M429" i="25" s="1"/>
  <c r="N429" i="25" s="1"/>
  <c r="P248" i="25"/>
  <c r="Q248" i="25" s="1"/>
  <c r="L248" i="25"/>
  <c r="M248" i="25" s="1"/>
  <c r="N248" i="25" s="1"/>
  <c r="W321" i="25"/>
  <c r="X321" i="25" s="1"/>
  <c r="T321" i="25"/>
  <c r="U321" i="25" s="1"/>
  <c r="V321" i="25" s="1"/>
  <c r="T29" i="25"/>
  <c r="U29" i="25" s="1"/>
  <c r="V29" i="25" s="1"/>
  <c r="W29" i="25"/>
  <c r="X29" i="25" s="1"/>
  <c r="W676" i="25"/>
  <c r="X676" i="25" s="1"/>
  <c r="T676" i="25"/>
  <c r="U676" i="25" s="1"/>
  <c r="V676" i="25" s="1"/>
  <c r="L234" i="25"/>
  <c r="M234" i="25" s="1"/>
  <c r="N234" i="25" s="1"/>
  <c r="P224" i="25"/>
  <c r="Q224" i="25" s="1"/>
  <c r="L175" i="25"/>
  <c r="M175" i="25" s="1"/>
  <c r="N175" i="25" s="1"/>
  <c r="P175" i="25"/>
  <c r="Q175" i="25" s="1"/>
  <c r="L124" i="25"/>
  <c r="M124" i="25" s="1"/>
  <c r="N124" i="25" s="1"/>
  <c r="P80" i="25"/>
  <c r="Q80" i="25" s="1"/>
  <c r="L80" i="25"/>
  <c r="M80" i="25" s="1"/>
  <c r="N80" i="25" s="1"/>
  <c r="P62" i="25"/>
  <c r="Q62" i="25" s="1"/>
  <c r="L46" i="25"/>
  <c r="M46" i="25" s="1"/>
  <c r="N46" i="25" s="1"/>
  <c r="P339" i="25"/>
  <c r="Q339" i="25" s="1"/>
  <c r="L322" i="25"/>
  <c r="M322" i="25" s="1"/>
  <c r="N322" i="25" s="1"/>
  <c r="P322" i="25"/>
  <c r="Q322" i="25" s="1"/>
  <c r="L316" i="25"/>
  <c r="M316" i="25" s="1"/>
  <c r="N316" i="25" s="1"/>
  <c r="P678" i="25"/>
  <c r="Q678" i="25" s="1"/>
  <c r="L633" i="25"/>
  <c r="M633" i="25" s="1"/>
  <c r="N633" i="25" s="1"/>
  <c r="P633" i="25"/>
  <c r="Q633" i="25" s="1"/>
  <c r="P790" i="25"/>
  <c r="Q790" i="25" s="1"/>
  <c r="L790" i="25"/>
  <c r="M790" i="25" s="1"/>
  <c r="N790" i="25" s="1"/>
  <c r="L750" i="25"/>
  <c r="M750" i="25" s="1"/>
  <c r="N750" i="25" s="1"/>
  <c r="P750" i="25"/>
  <c r="Q750" i="25" s="1"/>
  <c r="P544" i="25"/>
  <c r="Q544" i="25" s="1"/>
  <c r="L544" i="25"/>
  <c r="M544" i="25" s="1"/>
  <c r="N544" i="25" s="1"/>
  <c r="P501" i="25"/>
  <c r="Q501" i="25" s="1"/>
  <c r="L501" i="25"/>
  <c r="M501" i="25" s="1"/>
  <c r="N501" i="25" s="1"/>
  <c r="T657" i="25"/>
  <c r="U657" i="25" s="1"/>
  <c r="V657" i="25" s="1"/>
  <c r="W614" i="25"/>
  <c r="X614" i="25" s="1"/>
  <c r="T614" i="25"/>
  <c r="U614" i="25" s="1"/>
  <c r="V614" i="25" s="1"/>
  <c r="T777" i="25"/>
  <c r="U777" i="25" s="1"/>
  <c r="V777" i="25" s="1"/>
  <c r="T726" i="25"/>
  <c r="U726" i="25" s="1"/>
  <c r="V726" i="25" s="1"/>
  <c r="W570" i="25"/>
  <c r="X570" i="25" s="1"/>
  <c r="T570" i="25"/>
  <c r="U570" i="25" s="1"/>
  <c r="V570" i="25" s="1"/>
  <c r="L778" i="25"/>
  <c r="M778" i="25" s="1"/>
  <c r="N778" i="25" s="1"/>
  <c r="P778" i="25"/>
  <c r="Q778" i="25" s="1"/>
  <c r="P154" i="25"/>
  <c r="Q154" i="25" s="1"/>
  <c r="L154" i="25"/>
  <c r="M154" i="25" s="1"/>
  <c r="N154" i="25" s="1"/>
  <c r="W686" i="25"/>
  <c r="X686" i="25" s="1"/>
  <c r="T686" i="25"/>
  <c r="U686" i="25" s="1"/>
  <c r="V686" i="25" s="1"/>
  <c r="T598" i="25"/>
  <c r="U598" i="25" s="1"/>
  <c r="V598" i="25" s="1"/>
  <c r="W598" i="25"/>
  <c r="X598" i="25" s="1"/>
  <c r="W695" i="25"/>
  <c r="X695" i="25" s="1"/>
  <c r="T695" i="25"/>
  <c r="U695" i="25" s="1"/>
  <c r="V695" i="25" s="1"/>
  <c r="P243" i="25"/>
  <c r="Q243" i="25" s="1"/>
  <c r="L230" i="25"/>
  <c r="M230" i="25" s="1"/>
  <c r="N230" i="25" s="1"/>
  <c r="L215" i="25"/>
  <c r="M215" i="25" s="1"/>
  <c r="N215" i="25" s="1"/>
  <c r="L178" i="25"/>
  <c r="M178" i="25" s="1"/>
  <c r="N178" i="25" s="1"/>
  <c r="P174" i="25"/>
  <c r="Q174" i="25" s="1"/>
  <c r="L147" i="25"/>
  <c r="M147" i="25" s="1"/>
  <c r="N147" i="25" s="1"/>
  <c r="P83" i="25"/>
  <c r="Q83" i="25" s="1"/>
  <c r="L83" i="25"/>
  <c r="M83" i="25" s="1"/>
  <c r="N83" i="25" s="1"/>
  <c r="P49" i="25"/>
  <c r="Q49" i="25" s="1"/>
  <c r="P25" i="25"/>
  <c r="Q25" i="25" s="1"/>
  <c r="P380" i="25"/>
  <c r="Q380" i="25" s="1"/>
  <c r="P371" i="25"/>
  <c r="Q371" i="25" s="1"/>
  <c r="L371" i="25"/>
  <c r="M371" i="25" s="1"/>
  <c r="N371" i="25" s="1"/>
  <c r="P349" i="25"/>
  <c r="Q349" i="25" s="1"/>
  <c r="P327" i="25"/>
  <c r="Q327" i="25" s="1"/>
  <c r="L327" i="25"/>
  <c r="M327" i="25" s="1"/>
  <c r="N327" i="25" s="1"/>
  <c r="L642" i="25"/>
  <c r="M642" i="25" s="1"/>
  <c r="N642" i="25" s="1"/>
  <c r="P733" i="25"/>
  <c r="Q733" i="25" s="1"/>
  <c r="L733" i="25"/>
  <c r="M733" i="25" s="1"/>
  <c r="N733" i="25" s="1"/>
  <c r="P525" i="25"/>
  <c r="Q525" i="25" s="1"/>
  <c r="L488" i="25"/>
  <c r="M488" i="25" s="1"/>
  <c r="N488" i="25" s="1"/>
  <c r="L420" i="25"/>
  <c r="M420" i="25" s="1"/>
  <c r="N420" i="25" s="1"/>
  <c r="T348" i="25"/>
  <c r="U348" i="25" s="1"/>
  <c r="V348" i="25" s="1"/>
  <c r="W8" i="25"/>
  <c r="X8" i="25" s="1"/>
  <c r="T8" i="25"/>
  <c r="U8" i="25" s="1"/>
  <c r="V8" i="25" s="1"/>
  <c r="T783" i="25"/>
  <c r="U783" i="25" s="1"/>
  <c r="V783" i="25" s="1"/>
  <c r="W765" i="25"/>
  <c r="X765" i="25" s="1"/>
  <c r="T765" i="25"/>
  <c r="U765" i="25" s="1"/>
  <c r="V765" i="25" s="1"/>
  <c r="P210" i="25"/>
  <c r="Q210" i="25" s="1"/>
  <c r="L205" i="25"/>
  <c r="M205" i="25" s="1"/>
  <c r="N205" i="25" s="1"/>
  <c r="L194" i="25"/>
  <c r="M194" i="25" s="1"/>
  <c r="N194" i="25" s="1"/>
  <c r="L153" i="25"/>
  <c r="M153" i="25" s="1"/>
  <c r="N153" i="25" s="1"/>
  <c r="L143" i="25"/>
  <c r="M143" i="25" s="1"/>
  <c r="N143" i="25" s="1"/>
  <c r="P108" i="25"/>
  <c r="Q108" i="25" s="1"/>
  <c r="L5" i="25"/>
  <c r="M5" i="25" s="1"/>
  <c r="N5" i="25" s="1"/>
  <c r="L370" i="25"/>
  <c r="M370" i="25" s="1"/>
  <c r="N370" i="25" s="1"/>
  <c r="L691" i="25"/>
  <c r="M691" i="25" s="1"/>
  <c r="N691" i="25" s="1"/>
  <c r="L660" i="25"/>
  <c r="M660" i="25" s="1"/>
  <c r="N660" i="25" s="1"/>
  <c r="L647" i="25"/>
  <c r="M647" i="25" s="1"/>
  <c r="N647" i="25" s="1"/>
  <c r="P619" i="25"/>
  <c r="Q619" i="25" s="1"/>
  <c r="L604" i="25"/>
  <c r="M604" i="25" s="1"/>
  <c r="N604" i="25" s="1"/>
  <c r="L588" i="25"/>
  <c r="M588" i="25" s="1"/>
  <c r="N588" i="25" s="1"/>
  <c r="P588" i="25"/>
  <c r="Q588" i="25" s="1"/>
  <c r="L433" i="25"/>
  <c r="M433" i="25" s="1"/>
  <c r="N433" i="25" s="1"/>
  <c r="L405" i="25"/>
  <c r="M405" i="25" s="1"/>
  <c r="N405" i="25" s="1"/>
  <c r="P405" i="25"/>
  <c r="Q405" i="25" s="1"/>
  <c r="L260" i="25"/>
  <c r="M260" i="25" s="1"/>
  <c r="N260" i="25" s="1"/>
  <c r="P260" i="25"/>
  <c r="Q260" i="25" s="1"/>
  <c r="T670" i="25"/>
  <c r="U670" i="25" s="1"/>
  <c r="V670" i="25" s="1"/>
  <c r="T703" i="25"/>
  <c r="U703" i="25" s="1"/>
  <c r="V703" i="25" s="1"/>
  <c r="W703" i="25"/>
  <c r="X703" i="25" s="1"/>
  <c r="W384" i="25"/>
  <c r="X384" i="25" s="1"/>
  <c r="W367" i="25"/>
  <c r="X367" i="25" s="1"/>
  <c r="T367" i="25"/>
  <c r="U367" i="25" s="1"/>
  <c r="V367" i="25" s="1"/>
  <c r="W742" i="25"/>
  <c r="X742" i="25" s="1"/>
  <c r="W592" i="25"/>
  <c r="X592" i="25" s="1"/>
  <c r="T592" i="25"/>
  <c r="U592" i="25" s="1"/>
  <c r="V592" i="25" s="1"/>
  <c r="W566" i="25"/>
  <c r="X566" i="25" s="1"/>
  <c r="T566" i="25"/>
  <c r="U566" i="25" s="1"/>
  <c r="V566" i="25" s="1"/>
  <c r="T561" i="25"/>
  <c r="U561" i="25" s="1"/>
  <c r="V561" i="25" s="1"/>
  <c r="W561" i="25"/>
  <c r="X561" i="25" s="1"/>
  <c r="T527" i="25"/>
  <c r="U527" i="25" s="1"/>
  <c r="V527" i="25" s="1"/>
  <c r="W517" i="25"/>
  <c r="X517" i="25" s="1"/>
  <c r="W505" i="25"/>
  <c r="X505" i="25" s="1"/>
  <c r="T505" i="25"/>
  <c r="U505" i="25" s="1"/>
  <c r="V505" i="25" s="1"/>
  <c r="T439" i="25"/>
  <c r="U439" i="25" s="1"/>
  <c r="V439" i="25" s="1"/>
  <c r="T419" i="25"/>
  <c r="U419" i="25" s="1"/>
  <c r="V419" i="25" s="1"/>
  <c r="W419" i="25"/>
  <c r="X419" i="25" s="1"/>
  <c r="W414" i="25"/>
  <c r="X414" i="25" s="1"/>
  <c r="W128" i="25"/>
  <c r="X128" i="25" s="1"/>
  <c r="T128" i="25"/>
  <c r="U128" i="25" s="1"/>
  <c r="V128" i="25" s="1"/>
  <c r="T88" i="25"/>
  <c r="U88" i="25" s="1"/>
  <c r="V88" i="25" s="1"/>
  <c r="W53" i="25"/>
  <c r="X53" i="25" s="1"/>
  <c r="T53" i="25"/>
  <c r="U53" i="25" s="1"/>
  <c r="V53" i="25" s="1"/>
  <c r="T509" i="25"/>
  <c r="U509" i="25" s="1"/>
  <c r="V509" i="25" s="1"/>
  <c r="W418" i="25"/>
  <c r="X418" i="25" s="1"/>
  <c r="T418" i="25"/>
  <c r="U418" i="25" s="1"/>
  <c r="V418" i="25" s="1"/>
  <c r="W252" i="25"/>
  <c r="X252" i="25" s="1"/>
  <c r="T252" i="25"/>
  <c r="U252" i="25" s="1"/>
  <c r="V252" i="25" s="1"/>
  <c r="T216" i="25"/>
  <c r="U216" i="25" s="1"/>
  <c r="V216" i="25" s="1"/>
  <c r="T160" i="25"/>
  <c r="U160" i="25" s="1"/>
  <c r="V160" i="25" s="1"/>
  <c r="W160" i="25"/>
  <c r="X160" i="25" s="1"/>
  <c r="T112" i="25"/>
  <c r="U112" i="25" s="1"/>
  <c r="V112" i="25" s="1"/>
  <c r="T465" i="25"/>
  <c r="U465" i="25" s="1"/>
  <c r="V465" i="25" s="1"/>
  <c r="W465" i="25"/>
  <c r="X465" i="25" s="1"/>
  <c r="W454" i="25"/>
  <c r="X454" i="25" s="1"/>
  <c r="T454" i="25"/>
  <c r="U454" i="25" s="1"/>
  <c r="V454" i="25" s="1"/>
  <c r="W202" i="25"/>
  <c r="X202" i="25" s="1"/>
  <c r="T202" i="25"/>
  <c r="U202" i="25" s="1"/>
  <c r="V202" i="25" s="1"/>
  <c r="W163" i="25"/>
  <c r="X163" i="25" s="1"/>
  <c r="T163" i="25"/>
  <c r="U163" i="25" s="1"/>
  <c r="V163" i="25" s="1"/>
  <c r="P758" i="25"/>
  <c r="Q758" i="25" s="1"/>
  <c r="P753" i="25"/>
  <c r="Q753" i="25" s="1"/>
  <c r="P748" i="25"/>
  <c r="Q748" i="25" s="1"/>
  <c r="L714" i="25"/>
  <c r="M714" i="25" s="1"/>
  <c r="N714" i="25" s="1"/>
  <c r="P592" i="25"/>
  <c r="Q592" i="25" s="1"/>
  <c r="P524" i="25"/>
  <c r="Q524" i="25" s="1"/>
  <c r="L508" i="25"/>
  <c r="M508" i="25" s="1"/>
  <c r="N508" i="25" s="1"/>
  <c r="L483" i="25"/>
  <c r="M483" i="25" s="1"/>
  <c r="N483" i="25" s="1"/>
  <c r="P436" i="25"/>
  <c r="Q436" i="25" s="1"/>
  <c r="P423" i="25"/>
  <c r="Q423" i="25" s="1"/>
  <c r="L275" i="25"/>
  <c r="M275" i="25" s="1"/>
  <c r="N275" i="25" s="1"/>
  <c r="L263" i="25"/>
  <c r="M263" i="25" s="1"/>
  <c r="N263" i="25" s="1"/>
  <c r="W339" i="25"/>
  <c r="X339" i="25" s="1"/>
  <c r="W376" i="25"/>
  <c r="X376" i="25" s="1"/>
  <c r="W373" i="25"/>
  <c r="X373" i="25" s="1"/>
  <c r="T689" i="25"/>
  <c r="U689" i="25" s="1"/>
  <c r="V689" i="25" s="1"/>
  <c r="W681" i="25"/>
  <c r="X681" i="25" s="1"/>
  <c r="W627" i="25"/>
  <c r="X627" i="25" s="1"/>
  <c r="W604" i="25"/>
  <c r="X604" i="25" s="1"/>
  <c r="T597" i="25"/>
  <c r="U597" i="25" s="1"/>
  <c r="V597" i="25" s="1"/>
  <c r="W597" i="25"/>
  <c r="X597" i="25" s="1"/>
  <c r="T752" i="25"/>
  <c r="U752" i="25" s="1"/>
  <c r="V752" i="25" s="1"/>
  <c r="T707" i="25"/>
  <c r="U707" i="25" s="1"/>
  <c r="V707" i="25" s="1"/>
  <c r="W707" i="25"/>
  <c r="X707" i="25" s="1"/>
  <c r="W544" i="25"/>
  <c r="X544" i="25" s="1"/>
  <c r="T540" i="25"/>
  <c r="U540" i="25" s="1"/>
  <c r="V540" i="25" s="1"/>
  <c r="T535" i="25"/>
  <c r="U535" i="25" s="1"/>
  <c r="V535" i="25" s="1"/>
  <c r="W508" i="25"/>
  <c r="X508" i="25" s="1"/>
  <c r="T508" i="25"/>
  <c r="U508" i="25" s="1"/>
  <c r="V508" i="25" s="1"/>
  <c r="T484" i="25"/>
  <c r="U484" i="25" s="1"/>
  <c r="V484" i="25" s="1"/>
  <c r="W484" i="25"/>
  <c r="X484" i="25" s="1"/>
  <c r="T264" i="25"/>
  <c r="U264" i="25" s="1"/>
  <c r="V264" i="25" s="1"/>
  <c r="W264" i="25"/>
  <c r="X264" i="25" s="1"/>
  <c r="T168" i="25"/>
  <c r="U168" i="25" s="1"/>
  <c r="V168" i="25" s="1"/>
  <c r="L765" i="25"/>
  <c r="M765" i="25" s="1"/>
  <c r="N765" i="25" s="1"/>
  <c r="P708" i="25"/>
  <c r="Q708" i="25" s="1"/>
  <c r="P704" i="25"/>
  <c r="Q704" i="25" s="1"/>
  <c r="P581" i="25"/>
  <c r="Q581" i="25" s="1"/>
  <c r="P561" i="25"/>
  <c r="Q561" i="25" s="1"/>
  <c r="L557" i="25"/>
  <c r="M557" i="25" s="1"/>
  <c r="N557" i="25" s="1"/>
  <c r="P491" i="25"/>
  <c r="Q491" i="25" s="1"/>
  <c r="P486" i="25"/>
  <c r="Q486" i="25" s="1"/>
  <c r="P472" i="25"/>
  <c r="Q472" i="25" s="1"/>
  <c r="P463" i="25"/>
  <c r="Q463" i="25" s="1"/>
  <c r="P415" i="25"/>
  <c r="Q415" i="25" s="1"/>
  <c r="L287" i="25"/>
  <c r="M287" i="25" s="1"/>
  <c r="N287" i="25" s="1"/>
  <c r="W333" i="25"/>
  <c r="X333" i="25" s="1"/>
  <c r="W322" i="25"/>
  <c r="X322" i="25" s="1"/>
  <c r="W358" i="25"/>
  <c r="X358" i="25" s="1"/>
  <c r="T685" i="25"/>
  <c r="U685" i="25" s="1"/>
  <c r="V685" i="25" s="1"/>
  <c r="W669" i="25"/>
  <c r="X669" i="25" s="1"/>
  <c r="T669" i="25"/>
  <c r="U669" i="25" s="1"/>
  <c r="V669" i="25" s="1"/>
  <c r="W596" i="25"/>
  <c r="X596" i="25" s="1"/>
  <c r="W787" i="25"/>
  <c r="X787" i="25" s="1"/>
  <c r="T767" i="25"/>
  <c r="U767" i="25" s="1"/>
  <c r="V767" i="25" s="1"/>
  <c r="W757" i="25"/>
  <c r="X757" i="25" s="1"/>
  <c r="W721" i="25"/>
  <c r="X721" i="25" s="1"/>
  <c r="W714" i="25"/>
  <c r="X714" i="25" s="1"/>
  <c r="T714" i="25"/>
  <c r="U714" i="25" s="1"/>
  <c r="V714" i="25" s="1"/>
  <c r="W590" i="25"/>
  <c r="X590" i="25" s="1"/>
  <c r="T563" i="25"/>
  <c r="U563" i="25" s="1"/>
  <c r="V563" i="25" s="1"/>
  <c r="W548" i="25"/>
  <c r="X548" i="25" s="1"/>
  <c r="T548" i="25"/>
  <c r="U548" i="25" s="1"/>
  <c r="V548" i="25" s="1"/>
  <c r="T507" i="25"/>
  <c r="U507" i="25" s="1"/>
  <c r="V507" i="25" s="1"/>
  <c r="T459" i="25"/>
  <c r="U459" i="25" s="1"/>
  <c r="V459" i="25" s="1"/>
  <c r="W459" i="25"/>
  <c r="X459" i="25" s="1"/>
  <c r="W452" i="25"/>
  <c r="X452" i="25" s="1"/>
  <c r="W143" i="25"/>
  <c r="X143" i="25" s="1"/>
  <c r="T143" i="25"/>
  <c r="U143" i="25" s="1"/>
  <c r="V143" i="25" s="1"/>
  <c r="W122" i="25"/>
  <c r="X122" i="25" s="1"/>
  <c r="T122" i="25"/>
  <c r="U122" i="25" s="1"/>
  <c r="V122" i="25" s="1"/>
  <c r="P502" i="25"/>
  <c r="Q502" i="25" s="1"/>
  <c r="P440" i="25"/>
  <c r="Q440" i="25" s="1"/>
  <c r="L293" i="25"/>
  <c r="M293" i="25" s="1"/>
  <c r="N293" i="25" s="1"/>
  <c r="P262" i="25"/>
  <c r="Q262" i="25" s="1"/>
  <c r="T318" i="25"/>
  <c r="U318" i="25" s="1"/>
  <c r="V318" i="25" s="1"/>
  <c r="W383" i="25"/>
  <c r="X383" i="25" s="1"/>
  <c r="T372" i="25"/>
  <c r="U372" i="25" s="1"/>
  <c r="V372" i="25" s="1"/>
  <c r="W16" i="25"/>
  <c r="X16" i="25" s="1"/>
  <c r="T7" i="25"/>
  <c r="U7" i="25" s="1"/>
  <c r="V7" i="25" s="1"/>
  <c r="T659" i="25"/>
  <c r="U659" i="25" s="1"/>
  <c r="V659" i="25" s="1"/>
  <c r="T632" i="25"/>
  <c r="U632" i="25" s="1"/>
  <c r="V632" i="25" s="1"/>
  <c r="W632" i="25"/>
  <c r="X632" i="25" s="1"/>
  <c r="T600" i="25"/>
  <c r="U600" i="25" s="1"/>
  <c r="V600" i="25" s="1"/>
  <c r="W581" i="25"/>
  <c r="X581" i="25" s="1"/>
  <c r="T581" i="25"/>
  <c r="U581" i="25" s="1"/>
  <c r="V581" i="25" s="1"/>
  <c r="T174" i="25"/>
  <c r="U174" i="25" s="1"/>
  <c r="V174" i="25" s="1"/>
  <c r="W174" i="25"/>
  <c r="X174" i="25" s="1"/>
  <c r="W603" i="25"/>
  <c r="X603" i="25" s="1"/>
  <c r="T603" i="25"/>
  <c r="U603" i="25" s="1"/>
  <c r="V603" i="25" s="1"/>
  <c r="W701" i="25"/>
  <c r="X701" i="25" s="1"/>
  <c r="T701" i="25"/>
  <c r="U701" i="25" s="1"/>
  <c r="V701" i="25" s="1"/>
  <c r="W468" i="25"/>
  <c r="X468" i="25" s="1"/>
  <c r="T468" i="25"/>
  <c r="U468" i="25" s="1"/>
  <c r="V468" i="25" s="1"/>
  <c r="T353" i="25"/>
  <c r="U353" i="25" s="1"/>
  <c r="V353" i="25" s="1"/>
  <c r="W353" i="25"/>
  <c r="X353" i="25" s="1"/>
  <c r="T641" i="25"/>
  <c r="U641" i="25" s="1"/>
  <c r="V641" i="25" s="1"/>
  <c r="W641" i="25"/>
  <c r="X641" i="25" s="1"/>
  <c r="W774" i="25"/>
  <c r="X774" i="25" s="1"/>
  <c r="T774" i="25"/>
  <c r="U774" i="25" s="1"/>
  <c r="V774" i="25" s="1"/>
  <c r="T771" i="25"/>
  <c r="U771" i="25" s="1"/>
  <c r="V771" i="25" s="1"/>
  <c r="W771" i="25"/>
  <c r="X771" i="25" s="1"/>
  <c r="W585" i="25"/>
  <c r="X585" i="25" s="1"/>
  <c r="T585" i="25"/>
  <c r="U585" i="25" s="1"/>
  <c r="V585" i="25" s="1"/>
  <c r="W183" i="25"/>
  <c r="X183" i="25" s="1"/>
  <c r="T183" i="25"/>
  <c r="U183" i="25" s="1"/>
  <c r="V183" i="25" s="1"/>
  <c r="W177" i="25"/>
  <c r="X177" i="25" s="1"/>
  <c r="T177" i="25"/>
  <c r="U177" i="25" s="1"/>
  <c r="V177" i="25" s="1"/>
  <c r="P196" i="25"/>
  <c r="Q196" i="25" s="1"/>
  <c r="P15" i="25"/>
  <c r="Q15" i="25" s="1"/>
  <c r="P10" i="25"/>
  <c r="Q10" i="25" s="1"/>
  <c r="P390" i="25"/>
  <c r="Q390" i="25" s="1"/>
  <c r="P350" i="25"/>
  <c r="Q350" i="25" s="1"/>
  <c r="P328" i="25"/>
  <c r="Q328" i="25" s="1"/>
  <c r="P661" i="25"/>
  <c r="Q661" i="25" s="1"/>
  <c r="P616" i="25"/>
  <c r="Q616" i="25" s="1"/>
  <c r="L767" i="25"/>
  <c r="M767" i="25" s="1"/>
  <c r="N767" i="25" s="1"/>
  <c r="W658" i="25"/>
  <c r="X658" i="25" s="1"/>
  <c r="W653" i="25"/>
  <c r="X653" i="25" s="1"/>
  <c r="W645" i="25"/>
  <c r="X645" i="25" s="1"/>
  <c r="W405" i="25"/>
  <c r="X405" i="25" s="1"/>
  <c r="T405" i="25"/>
  <c r="U405" i="25" s="1"/>
  <c r="V405" i="25" s="1"/>
  <c r="W402" i="25"/>
  <c r="X402" i="25" s="1"/>
  <c r="T402" i="25"/>
  <c r="U402" i="25" s="1"/>
  <c r="V402" i="25" s="1"/>
  <c r="W213" i="25"/>
  <c r="X213" i="25" s="1"/>
  <c r="T213" i="25"/>
  <c r="U213" i="25" s="1"/>
  <c r="V213" i="25" s="1"/>
  <c r="W49" i="25"/>
  <c r="X49" i="25" s="1"/>
  <c r="T49" i="25"/>
  <c r="U49" i="25" s="1"/>
  <c r="V49" i="25" s="1"/>
  <c r="P186" i="25"/>
  <c r="Q186" i="25" s="1"/>
  <c r="L99" i="25"/>
  <c r="M99" i="25" s="1"/>
  <c r="N99" i="25" s="1"/>
  <c r="L90" i="25"/>
  <c r="M90" i="25" s="1"/>
  <c r="N90" i="25" s="1"/>
  <c r="P51" i="25"/>
  <c r="Q51" i="25" s="1"/>
  <c r="L670" i="25"/>
  <c r="M670" i="25" s="1"/>
  <c r="N670" i="25" s="1"/>
  <c r="P655" i="25"/>
  <c r="Q655" i="25" s="1"/>
  <c r="P638" i="25"/>
  <c r="Q638" i="25" s="1"/>
  <c r="P745" i="25"/>
  <c r="Q745" i="25" s="1"/>
  <c r="P728" i="25"/>
  <c r="Q728" i="25" s="1"/>
  <c r="L559" i="25"/>
  <c r="M559" i="25" s="1"/>
  <c r="N559" i="25" s="1"/>
  <c r="L461" i="25"/>
  <c r="M461" i="25" s="1"/>
  <c r="N461" i="25" s="1"/>
  <c r="L426" i="25"/>
  <c r="M426" i="25" s="1"/>
  <c r="N426" i="25" s="1"/>
  <c r="L291" i="25"/>
  <c r="M291" i="25" s="1"/>
  <c r="N291" i="25" s="1"/>
  <c r="L268" i="25"/>
  <c r="M268" i="25" s="1"/>
  <c r="N268" i="25" s="1"/>
  <c r="W342" i="25"/>
  <c r="X342" i="25" s="1"/>
  <c r="T648" i="25"/>
  <c r="U648" i="25" s="1"/>
  <c r="V648" i="25" s="1"/>
  <c r="W648" i="25"/>
  <c r="X648" i="25" s="1"/>
  <c r="T611" i="25"/>
  <c r="U611" i="25" s="1"/>
  <c r="V611" i="25" s="1"/>
  <c r="W611" i="25"/>
  <c r="X611" i="25" s="1"/>
  <c r="T606" i="25"/>
  <c r="U606" i="25" s="1"/>
  <c r="V606" i="25" s="1"/>
  <c r="T773" i="25"/>
  <c r="U773" i="25" s="1"/>
  <c r="V773" i="25" s="1"/>
  <c r="W704" i="25"/>
  <c r="X704" i="25" s="1"/>
  <c r="T704" i="25"/>
  <c r="U704" i="25" s="1"/>
  <c r="V704" i="25" s="1"/>
  <c r="T588" i="25"/>
  <c r="U588" i="25" s="1"/>
  <c r="V588" i="25" s="1"/>
  <c r="T576" i="25"/>
  <c r="U576" i="25" s="1"/>
  <c r="V576" i="25" s="1"/>
  <c r="T537" i="25"/>
  <c r="U537" i="25" s="1"/>
  <c r="V537" i="25" s="1"/>
  <c r="W518" i="25"/>
  <c r="X518" i="25" s="1"/>
  <c r="T518" i="25"/>
  <c r="U518" i="25" s="1"/>
  <c r="V518" i="25" s="1"/>
  <c r="W427" i="25"/>
  <c r="X427" i="25" s="1"/>
  <c r="T410" i="25"/>
  <c r="U410" i="25" s="1"/>
  <c r="V410" i="25" s="1"/>
  <c r="W107" i="25"/>
  <c r="X107" i="25" s="1"/>
  <c r="T107" i="25"/>
  <c r="U107" i="25" s="1"/>
  <c r="V107" i="25" s="1"/>
  <c r="T495" i="25"/>
  <c r="U495" i="25" s="1"/>
  <c r="V495" i="25" s="1"/>
  <c r="W495" i="25"/>
  <c r="X495" i="25" s="1"/>
  <c r="W275" i="25"/>
  <c r="X275" i="25" s="1"/>
  <c r="T275" i="25"/>
  <c r="U275" i="25" s="1"/>
  <c r="V275" i="25" s="1"/>
  <c r="W152" i="25"/>
  <c r="X152" i="25" s="1"/>
  <c r="W113" i="25"/>
  <c r="X113" i="25" s="1"/>
  <c r="T113" i="25"/>
  <c r="U113" i="25" s="1"/>
  <c r="V113" i="25" s="1"/>
  <c r="T277" i="25"/>
  <c r="U277" i="25" s="1"/>
  <c r="V277" i="25" s="1"/>
  <c r="W257" i="25"/>
  <c r="X257" i="25" s="1"/>
  <c r="W248" i="25"/>
  <c r="X248" i="25" s="1"/>
  <c r="T248" i="25"/>
  <c r="U248" i="25" s="1"/>
  <c r="V248" i="25" s="1"/>
  <c r="W212" i="25"/>
  <c r="X212" i="25" s="1"/>
  <c r="T191" i="25"/>
  <c r="U191" i="25" s="1"/>
  <c r="V191" i="25" s="1"/>
  <c r="W191" i="25"/>
  <c r="X191" i="25" s="1"/>
  <c r="W159" i="25"/>
  <c r="X159" i="25" s="1"/>
  <c r="T159" i="25"/>
  <c r="U159" i="25" s="1"/>
  <c r="V159" i="25" s="1"/>
  <c r="W147" i="25"/>
  <c r="X147" i="25" s="1"/>
  <c r="T147" i="25"/>
  <c r="U147" i="25" s="1"/>
  <c r="V147" i="25" s="1"/>
  <c r="W99" i="25"/>
  <c r="X99" i="25" s="1"/>
  <c r="W295" i="25"/>
  <c r="X295" i="25" s="1"/>
  <c r="W254" i="25"/>
  <c r="X254" i="25" s="1"/>
  <c r="W182" i="25"/>
  <c r="X182" i="25" s="1"/>
  <c r="T182" i="25"/>
  <c r="U182" i="25" s="1"/>
  <c r="V182" i="25" s="1"/>
  <c r="T87" i="25"/>
  <c r="U87" i="25" s="1"/>
  <c r="V87" i="25" s="1"/>
  <c r="T66" i="25"/>
  <c r="U66" i="25" s="1"/>
  <c r="V66" i="25" s="1"/>
  <c r="T262" i="25"/>
  <c r="U262" i="25" s="1"/>
  <c r="V262" i="25" s="1"/>
  <c r="T225" i="25"/>
  <c r="U225" i="25" s="1"/>
  <c r="V225" i="25" s="1"/>
  <c r="W211" i="25"/>
  <c r="X211" i="25" s="1"/>
  <c r="T211" i="25"/>
  <c r="U211" i="25" s="1"/>
  <c r="V211" i="25" s="1"/>
  <c r="W185" i="25"/>
  <c r="X185" i="25" s="1"/>
  <c r="T185" i="25"/>
  <c r="U185" i="25" s="1"/>
  <c r="V185" i="25" s="1"/>
  <c r="W171" i="25"/>
  <c r="X171" i="25" s="1"/>
  <c r="T171" i="25"/>
  <c r="U171" i="25" s="1"/>
  <c r="V171" i="25" s="1"/>
  <c r="T69" i="25"/>
  <c r="U69" i="25" s="1"/>
  <c r="V69" i="25" s="1"/>
  <c r="T56" i="25"/>
  <c r="U56" i="25" s="1"/>
  <c r="V56" i="25" s="1"/>
  <c r="W489" i="25"/>
  <c r="X489" i="25" s="1"/>
  <c r="T489" i="25"/>
  <c r="U489" i="25" s="1"/>
  <c r="V489" i="25" s="1"/>
  <c r="W471" i="25"/>
  <c r="X471" i="25" s="1"/>
  <c r="T471" i="25"/>
  <c r="U471" i="25" s="1"/>
  <c r="V471" i="25" s="1"/>
  <c r="W450" i="25"/>
  <c r="X450" i="25" s="1"/>
  <c r="T450" i="25"/>
  <c r="U450" i="25" s="1"/>
  <c r="V450" i="25" s="1"/>
  <c r="W269" i="25"/>
  <c r="X269" i="25" s="1"/>
  <c r="T269" i="25"/>
  <c r="U269" i="25" s="1"/>
  <c r="V269" i="25" s="1"/>
  <c r="W250" i="25"/>
  <c r="X250" i="25" s="1"/>
  <c r="T250" i="25"/>
  <c r="U250" i="25" s="1"/>
  <c r="V250" i="25" s="1"/>
  <c r="W205" i="25"/>
  <c r="X205" i="25" s="1"/>
  <c r="T205" i="25"/>
  <c r="U205" i="25" s="1"/>
  <c r="V205" i="25" s="1"/>
  <c r="W109" i="25"/>
  <c r="X109" i="25" s="1"/>
  <c r="T109" i="25"/>
  <c r="U109" i="25" s="1"/>
  <c r="V109" i="25" s="1"/>
  <c r="W98" i="25"/>
  <c r="X98" i="25" s="1"/>
  <c r="T98" i="25"/>
  <c r="U98" i="25" s="1"/>
  <c r="V98" i="25" s="1"/>
  <c r="W90" i="25"/>
  <c r="X90" i="25" s="1"/>
  <c r="W526" i="25"/>
  <c r="X526" i="25" s="1"/>
  <c r="T526" i="25"/>
  <c r="U526" i="25" s="1"/>
  <c r="V526" i="25" s="1"/>
  <c r="W204" i="25"/>
  <c r="X204" i="25" s="1"/>
  <c r="T204" i="25"/>
  <c r="U204" i="25" s="1"/>
  <c r="V204" i="25" s="1"/>
  <c r="W189" i="25"/>
  <c r="X189" i="25" s="1"/>
  <c r="T189" i="25"/>
  <c r="U189" i="25" s="1"/>
  <c r="V189" i="25" s="1"/>
  <c r="W68" i="25"/>
  <c r="X68" i="25" s="1"/>
  <c r="T628" i="25"/>
  <c r="U628" i="25" s="1"/>
  <c r="V628" i="25" s="1"/>
  <c r="W621" i="25"/>
  <c r="X621" i="25" s="1"/>
  <c r="T615" i="25"/>
  <c r="U615" i="25" s="1"/>
  <c r="V615" i="25" s="1"/>
  <c r="T779" i="25"/>
  <c r="U779" i="25" s="1"/>
  <c r="V779" i="25" s="1"/>
  <c r="T733" i="25"/>
  <c r="U733" i="25" s="1"/>
  <c r="V733" i="25" s="1"/>
  <c r="W730" i="25"/>
  <c r="X730" i="25" s="1"/>
  <c r="T710" i="25"/>
  <c r="U710" i="25" s="1"/>
  <c r="V710" i="25" s="1"/>
  <c r="T589" i="25"/>
  <c r="U589" i="25" s="1"/>
  <c r="V589" i="25" s="1"/>
  <c r="T525" i="25"/>
  <c r="U525" i="25" s="1"/>
  <c r="V525" i="25" s="1"/>
  <c r="W448" i="25"/>
  <c r="X448" i="25" s="1"/>
  <c r="T448" i="25"/>
  <c r="U448" i="25" s="1"/>
  <c r="V448" i="25" s="1"/>
  <c r="W411" i="25"/>
  <c r="X411" i="25" s="1"/>
  <c r="W297" i="25"/>
  <c r="X297" i="25" s="1"/>
  <c r="T297" i="25"/>
  <c r="U297" i="25" s="1"/>
  <c r="V297" i="25" s="1"/>
  <c r="T292" i="25"/>
  <c r="U292" i="25" s="1"/>
  <c r="V292" i="25" s="1"/>
  <c r="T268" i="25"/>
  <c r="U268" i="25" s="1"/>
  <c r="V268" i="25" s="1"/>
  <c r="T97" i="25"/>
  <c r="U97" i="25" s="1"/>
  <c r="V97" i="25" s="1"/>
  <c r="W63" i="25"/>
  <c r="X63" i="25" s="1"/>
  <c r="T63" i="25"/>
  <c r="U63" i="25" s="1"/>
  <c r="V63" i="25" s="1"/>
  <c r="T37" i="25"/>
  <c r="U37" i="25" s="1"/>
  <c r="V37" i="25" s="1"/>
  <c r="W32" i="25"/>
  <c r="X32" i="25" s="1"/>
  <c r="W446" i="25"/>
  <c r="X446" i="25" s="1"/>
  <c r="W209" i="25"/>
  <c r="X209" i="25" s="1"/>
  <c r="W151" i="25"/>
  <c r="X151" i="25" s="1"/>
  <c r="T106" i="25"/>
  <c r="U106" i="25" s="1"/>
  <c r="V106" i="25" s="1"/>
  <c r="T89" i="25"/>
  <c r="U89" i="25" s="1"/>
  <c r="V89" i="25" s="1"/>
  <c r="T67" i="25"/>
  <c r="U67" i="25" s="1"/>
  <c r="V67" i="25" s="1"/>
  <c r="T57" i="25"/>
  <c r="U57" i="25" s="1"/>
  <c r="V57" i="25" s="1"/>
  <c r="T47" i="25"/>
  <c r="U47" i="25" s="1"/>
  <c r="V47" i="25" s="1"/>
  <c r="W38" i="25"/>
  <c r="X38" i="25" s="1"/>
  <c r="W486" i="25"/>
  <c r="X486" i="25" s="1"/>
  <c r="W426" i="25"/>
  <c r="X426" i="25" s="1"/>
  <c r="T412" i="25"/>
  <c r="U412" i="25" s="1"/>
  <c r="V412" i="25" s="1"/>
  <c r="W399" i="25"/>
  <c r="X399" i="25" s="1"/>
  <c r="W280" i="25"/>
  <c r="X280" i="25" s="1"/>
  <c r="T273" i="25"/>
  <c r="U273" i="25" s="1"/>
  <c r="V273" i="25" s="1"/>
  <c r="T258" i="25"/>
  <c r="U258" i="25" s="1"/>
  <c r="V258" i="25" s="1"/>
  <c r="T243" i="25"/>
  <c r="U243" i="25" s="1"/>
  <c r="V243" i="25" s="1"/>
  <c r="W170" i="25"/>
  <c r="X170" i="25" s="1"/>
  <c r="T153" i="25"/>
  <c r="U153" i="25" s="1"/>
  <c r="V153" i="25" s="1"/>
  <c r="T135" i="25"/>
  <c r="U135" i="25" s="1"/>
  <c r="V135" i="25" s="1"/>
  <c r="T79" i="25"/>
  <c r="U79" i="25" s="1"/>
  <c r="V79" i="25" s="1"/>
  <c r="O33" i="23"/>
  <c r="P33" i="23" s="1"/>
  <c r="O120" i="23"/>
  <c r="P120" i="23" s="1"/>
  <c r="L178" i="23"/>
  <c r="M178" i="23" s="1"/>
  <c r="N178" i="23" s="1"/>
  <c r="O149" i="23"/>
  <c r="P149" i="23" s="1"/>
  <c r="L4" i="23"/>
  <c r="M4" i="23" s="1"/>
  <c r="N4" i="23" s="1"/>
  <c r="V120" i="23"/>
  <c r="W120" i="23" s="1"/>
  <c r="L91" i="23"/>
  <c r="M91" i="23" s="1"/>
  <c r="N91" i="23" s="1"/>
  <c r="V149" i="23"/>
  <c r="W149" i="23" s="1"/>
  <c r="V62" i="23"/>
  <c r="W62" i="23" s="1"/>
  <c r="V33" i="23"/>
  <c r="W33" i="23" s="1"/>
  <c r="S91" i="23"/>
  <c r="T91" i="23" s="1"/>
  <c r="U91" i="23" s="1"/>
  <c r="S178" i="23"/>
  <c r="T178" i="23" s="1"/>
  <c r="U178" i="23" s="1"/>
  <c r="S4" i="23"/>
  <c r="T4" i="23" s="1"/>
  <c r="U4" i="23" s="1"/>
  <c r="AB16" i="20"/>
  <c r="AE16" i="20" s="1"/>
  <c r="AC16" i="20"/>
  <c r="AD16" i="20" s="1"/>
  <c r="AZ16" i="20"/>
  <c r="BC16" i="20" s="1"/>
  <c r="BA16" i="20"/>
  <c r="BB16" i="20" s="1"/>
  <c r="AU16" i="20"/>
  <c r="AV16" i="20" s="1"/>
  <c r="AT16" i="20"/>
  <c r="AW16" i="20" s="1"/>
  <c r="BL16" i="20"/>
  <c r="BO16" i="20" s="1"/>
  <c r="BM16" i="20"/>
  <c r="BN16" i="20" s="1"/>
  <c r="AH16" i="20"/>
  <c r="AK16" i="20" s="1"/>
  <c r="AI16" i="20"/>
  <c r="AJ16" i="20" s="1"/>
  <c r="T565" i="25"/>
  <c r="U565" i="25" s="1"/>
  <c r="V565" i="25" s="1"/>
  <c r="W565" i="25"/>
  <c r="X565" i="25" s="1"/>
  <c r="T536" i="25"/>
  <c r="U536" i="25" s="1"/>
  <c r="V536" i="25" s="1"/>
  <c r="W536" i="25"/>
  <c r="X536" i="25" s="1"/>
  <c r="W240" i="25"/>
  <c r="X240" i="25" s="1"/>
  <c r="T240" i="25"/>
  <c r="U240" i="25" s="1"/>
  <c r="V240" i="25" s="1"/>
  <c r="T756" i="25"/>
  <c r="U756" i="25" s="1"/>
  <c r="V756" i="25" s="1"/>
  <c r="W756" i="25"/>
  <c r="X756" i="25" s="1"/>
  <c r="W656" i="25"/>
  <c r="X656" i="25" s="1"/>
  <c r="W637" i="25"/>
  <c r="X637" i="25" s="1"/>
  <c r="T637" i="25"/>
  <c r="U637" i="25" s="1"/>
  <c r="V637" i="25" s="1"/>
  <c r="T764" i="25"/>
  <c r="U764" i="25" s="1"/>
  <c r="V764" i="25" s="1"/>
  <c r="W764" i="25"/>
  <c r="X764" i="25" s="1"/>
  <c r="T760" i="25"/>
  <c r="U760" i="25" s="1"/>
  <c r="V760" i="25" s="1"/>
  <c r="W760" i="25"/>
  <c r="X760" i="25" s="1"/>
  <c r="T754" i="25"/>
  <c r="U754" i="25" s="1"/>
  <c r="V754" i="25" s="1"/>
  <c r="W754" i="25"/>
  <c r="X754" i="25" s="1"/>
  <c r="T750" i="25"/>
  <c r="U750" i="25" s="1"/>
  <c r="V750" i="25" s="1"/>
  <c r="W750" i="25"/>
  <c r="X750" i="25" s="1"/>
  <c r="W693" i="25"/>
  <c r="X693" i="25" s="1"/>
  <c r="W688" i="25"/>
  <c r="X688" i="25" s="1"/>
  <c r="W678" i="25"/>
  <c r="X678" i="25" s="1"/>
  <c r="W668" i="25"/>
  <c r="X668" i="25" s="1"/>
  <c r="W643" i="25"/>
  <c r="X643" i="25" s="1"/>
  <c r="T620" i="25"/>
  <c r="U620" i="25" s="1"/>
  <c r="V620" i="25" s="1"/>
  <c r="W620" i="25"/>
  <c r="X620" i="25" s="1"/>
  <c r="W593" i="25"/>
  <c r="X593" i="25" s="1"/>
  <c r="T593" i="25"/>
  <c r="U593" i="25" s="1"/>
  <c r="V593" i="25" s="1"/>
  <c r="T655" i="25"/>
  <c r="U655" i="25" s="1"/>
  <c r="V655" i="25" s="1"/>
  <c r="W655" i="25"/>
  <c r="X655" i="25" s="1"/>
  <c r="W433" i="25"/>
  <c r="X433" i="25" s="1"/>
  <c r="T433" i="25"/>
  <c r="U433" i="25" s="1"/>
  <c r="V433" i="25" s="1"/>
  <c r="T630" i="25"/>
  <c r="U630" i="25" s="1"/>
  <c r="V630" i="25" s="1"/>
  <c r="W630" i="25"/>
  <c r="X630" i="25" s="1"/>
  <c r="T791" i="25"/>
  <c r="U791" i="25" s="1"/>
  <c r="V791" i="25" s="1"/>
  <c r="W791" i="25"/>
  <c r="X791" i="25" s="1"/>
  <c r="T699" i="25"/>
  <c r="U699" i="25" s="1"/>
  <c r="V699" i="25" s="1"/>
  <c r="T575" i="25"/>
  <c r="U575" i="25" s="1"/>
  <c r="V575" i="25" s="1"/>
  <c r="T692" i="25"/>
  <c r="U692" i="25" s="1"/>
  <c r="V692" i="25" s="1"/>
  <c r="W758" i="25"/>
  <c r="X758" i="25" s="1"/>
  <c r="T758" i="25"/>
  <c r="U758" i="25" s="1"/>
  <c r="V758" i="25" s="1"/>
  <c r="T466" i="25"/>
  <c r="U466" i="25" s="1"/>
  <c r="V466" i="25" s="1"/>
  <c r="W466" i="25"/>
  <c r="X466" i="25" s="1"/>
  <c r="W583" i="25"/>
  <c r="X583" i="25" s="1"/>
  <c r="T583" i="25"/>
  <c r="U583" i="25" s="1"/>
  <c r="V583" i="25" s="1"/>
  <c r="T617" i="25"/>
  <c r="U617" i="25" s="1"/>
  <c r="V617" i="25" s="1"/>
  <c r="W617" i="25"/>
  <c r="X617" i="25" s="1"/>
  <c r="T608" i="25"/>
  <c r="U608" i="25" s="1"/>
  <c r="V608" i="25" s="1"/>
  <c r="W608" i="25"/>
  <c r="X608" i="25" s="1"/>
  <c r="T781" i="25"/>
  <c r="U781" i="25" s="1"/>
  <c r="V781" i="25" s="1"/>
  <c r="W781" i="25"/>
  <c r="X781" i="25" s="1"/>
  <c r="W573" i="25"/>
  <c r="X573" i="25" s="1"/>
  <c r="T573" i="25"/>
  <c r="U573" i="25" s="1"/>
  <c r="V573" i="25" s="1"/>
  <c r="T551" i="25"/>
  <c r="U551" i="25" s="1"/>
  <c r="V551" i="25" s="1"/>
  <c r="W551" i="25"/>
  <c r="X551" i="25" s="1"/>
  <c r="W724" i="25"/>
  <c r="X724" i="25" s="1"/>
  <c r="T724" i="25"/>
  <c r="U724" i="25" s="1"/>
  <c r="V724" i="25" s="1"/>
  <c r="W529" i="25"/>
  <c r="X529" i="25" s="1"/>
  <c r="T529" i="25"/>
  <c r="U529" i="25" s="1"/>
  <c r="V529" i="25" s="1"/>
  <c r="W683" i="25"/>
  <c r="X683" i="25" s="1"/>
  <c r="W673" i="25"/>
  <c r="X673" i="25" s="1"/>
  <c r="W663" i="25"/>
  <c r="X663" i="25" s="1"/>
  <c r="W635" i="25"/>
  <c r="X635" i="25" s="1"/>
  <c r="T785" i="25"/>
  <c r="U785" i="25" s="1"/>
  <c r="V785" i="25" s="1"/>
  <c r="T775" i="25"/>
  <c r="U775" i="25" s="1"/>
  <c r="V775" i="25" s="1"/>
  <c r="T625" i="25"/>
  <c r="U625" i="25" s="1"/>
  <c r="V625" i="25" s="1"/>
  <c r="W619" i="25"/>
  <c r="X619" i="25" s="1"/>
  <c r="W618" i="25"/>
  <c r="X618" i="25" s="1"/>
  <c r="T613" i="25"/>
  <c r="U613" i="25" s="1"/>
  <c r="V613" i="25" s="1"/>
  <c r="W607" i="25"/>
  <c r="X607" i="25" s="1"/>
  <c r="W761" i="25"/>
  <c r="X761" i="25" s="1"/>
  <c r="W755" i="25"/>
  <c r="X755" i="25" s="1"/>
  <c r="W751" i="25"/>
  <c r="X751" i="25" s="1"/>
  <c r="T746" i="25"/>
  <c r="U746" i="25" s="1"/>
  <c r="V746" i="25" s="1"/>
  <c r="T744" i="25"/>
  <c r="U744" i="25" s="1"/>
  <c r="V744" i="25" s="1"/>
  <c r="W715" i="25"/>
  <c r="X715" i="25" s="1"/>
  <c r="T715" i="25"/>
  <c r="U715" i="25" s="1"/>
  <c r="V715" i="25" s="1"/>
  <c r="T711" i="25"/>
  <c r="U711" i="25" s="1"/>
  <c r="V711" i="25" s="1"/>
  <c r="T705" i="25"/>
  <c r="U705" i="25" s="1"/>
  <c r="V705" i="25" s="1"/>
  <c r="W595" i="25"/>
  <c r="X595" i="25" s="1"/>
  <c r="T550" i="25"/>
  <c r="U550" i="25" s="1"/>
  <c r="V550" i="25" s="1"/>
  <c r="T546" i="25"/>
  <c r="U546" i="25" s="1"/>
  <c r="V546" i="25" s="1"/>
  <c r="W520" i="25"/>
  <c r="X520" i="25" s="1"/>
  <c r="T502" i="25"/>
  <c r="U502" i="25" s="1"/>
  <c r="V502" i="25" s="1"/>
  <c r="W616" i="25"/>
  <c r="X616" i="25" s="1"/>
  <c r="W780" i="25"/>
  <c r="X780" i="25" s="1"/>
  <c r="W738" i="25"/>
  <c r="X738" i="25" s="1"/>
  <c r="T738" i="25"/>
  <c r="U738" i="25" s="1"/>
  <c r="V738" i="25" s="1"/>
  <c r="T734" i="25"/>
  <c r="U734" i="25" s="1"/>
  <c r="V734" i="25" s="1"/>
  <c r="W574" i="25"/>
  <c r="X574" i="25" s="1"/>
  <c r="T564" i="25"/>
  <c r="U564" i="25" s="1"/>
  <c r="V564" i="25" s="1"/>
  <c r="T533" i="25"/>
  <c r="U533" i="25" s="1"/>
  <c r="V533" i="25" s="1"/>
  <c r="T524" i="25"/>
  <c r="U524" i="25" s="1"/>
  <c r="V524" i="25" s="1"/>
  <c r="W499" i="25"/>
  <c r="X499" i="25" s="1"/>
  <c r="T464" i="25"/>
  <c r="U464" i="25" s="1"/>
  <c r="V464" i="25" s="1"/>
  <c r="T246" i="25"/>
  <c r="U246" i="25" s="1"/>
  <c r="V246" i="25" s="1"/>
  <c r="W763" i="25"/>
  <c r="X763" i="25" s="1"/>
  <c r="T763" i="25"/>
  <c r="U763" i="25" s="1"/>
  <c r="V763" i="25" s="1"/>
  <c r="T759" i="25"/>
  <c r="U759" i="25" s="1"/>
  <c r="V759" i="25" s="1"/>
  <c r="T753" i="25"/>
  <c r="U753" i="25" s="1"/>
  <c r="V753" i="25" s="1"/>
  <c r="W741" i="25"/>
  <c r="X741" i="25" s="1"/>
  <c r="W555" i="25"/>
  <c r="X555" i="25" s="1"/>
  <c r="W493" i="25"/>
  <c r="X493" i="25" s="1"/>
  <c r="T493" i="25"/>
  <c r="U493" i="25" s="1"/>
  <c r="V493" i="25" s="1"/>
  <c r="W479" i="25"/>
  <c r="X479" i="25" s="1"/>
  <c r="T479" i="25"/>
  <c r="U479" i="25" s="1"/>
  <c r="V479" i="25" s="1"/>
  <c r="W473" i="25"/>
  <c r="X473" i="25" s="1"/>
  <c r="T473" i="25"/>
  <c r="U473" i="25" s="1"/>
  <c r="V473" i="25" s="1"/>
  <c r="W788" i="25"/>
  <c r="X788" i="25" s="1"/>
  <c r="T788" i="25"/>
  <c r="U788" i="25" s="1"/>
  <c r="V788" i="25" s="1"/>
  <c r="T784" i="25"/>
  <c r="U784" i="25" s="1"/>
  <c r="V784" i="25" s="1"/>
  <c r="W745" i="25"/>
  <c r="X745" i="25" s="1"/>
  <c r="T719" i="25"/>
  <c r="U719" i="25" s="1"/>
  <c r="V719" i="25" s="1"/>
  <c r="T578" i="25"/>
  <c r="U578" i="25" s="1"/>
  <c r="V578" i="25" s="1"/>
  <c r="W568" i="25"/>
  <c r="X568" i="25" s="1"/>
  <c r="T568" i="25"/>
  <c r="U568" i="25" s="1"/>
  <c r="V568" i="25" s="1"/>
  <c r="W559" i="25"/>
  <c r="X559" i="25" s="1"/>
  <c r="T539" i="25"/>
  <c r="U539" i="25" s="1"/>
  <c r="V539" i="25" s="1"/>
  <c r="W203" i="25"/>
  <c r="X203" i="25" s="1"/>
  <c r="T203" i="25"/>
  <c r="U203" i="25" s="1"/>
  <c r="V203" i="25" s="1"/>
  <c r="W770" i="25"/>
  <c r="X770" i="25" s="1"/>
  <c r="T743" i="25"/>
  <c r="U743" i="25" s="1"/>
  <c r="V743" i="25" s="1"/>
  <c r="T541" i="25"/>
  <c r="U541" i="25" s="1"/>
  <c r="V541" i="25" s="1"/>
  <c r="W475" i="25"/>
  <c r="X475" i="25" s="1"/>
  <c r="T768" i="25"/>
  <c r="U768" i="25" s="1"/>
  <c r="V768" i="25" s="1"/>
  <c r="W543" i="25"/>
  <c r="X543" i="25" s="1"/>
  <c r="T543" i="25"/>
  <c r="U543" i="25" s="1"/>
  <c r="V543" i="25" s="1"/>
  <c r="W440" i="25"/>
  <c r="X440" i="25" s="1"/>
  <c r="T440" i="25"/>
  <c r="U440" i="25" s="1"/>
  <c r="V440" i="25" s="1"/>
  <c r="W173" i="25"/>
  <c r="X173" i="25" s="1"/>
  <c r="T173" i="25"/>
  <c r="U173" i="25" s="1"/>
  <c r="V173" i="25" s="1"/>
  <c r="W650" i="25"/>
  <c r="X650" i="25" s="1"/>
  <c r="W602" i="25"/>
  <c r="X602" i="25" s="1"/>
  <c r="W458" i="25"/>
  <c r="X458" i="25" s="1"/>
  <c r="T458" i="25"/>
  <c r="U458" i="25" s="1"/>
  <c r="V458" i="25" s="1"/>
  <c r="W483" i="25"/>
  <c r="X483" i="25" s="1"/>
  <c r="T483" i="25"/>
  <c r="U483" i="25" s="1"/>
  <c r="V483" i="25" s="1"/>
  <c r="W461" i="25"/>
  <c r="X461" i="25" s="1"/>
  <c r="T429" i="25"/>
  <c r="U429" i="25" s="1"/>
  <c r="V429" i="25" s="1"/>
  <c r="T271" i="25"/>
  <c r="U271" i="25" s="1"/>
  <c r="V271" i="25" s="1"/>
  <c r="W490" i="25"/>
  <c r="X490" i="25" s="1"/>
  <c r="T463" i="25"/>
  <c r="U463" i="25" s="1"/>
  <c r="V463" i="25" s="1"/>
  <c r="W455" i="25"/>
  <c r="X455" i="25" s="1"/>
  <c r="W451" i="25"/>
  <c r="X451" i="25" s="1"/>
  <c r="W449" i="25"/>
  <c r="X449" i="25" s="1"/>
  <c r="W134" i="25"/>
  <c r="X134" i="25" s="1"/>
  <c r="T134" i="25"/>
  <c r="U134" i="25" s="1"/>
  <c r="V134" i="25" s="1"/>
  <c r="T488" i="25"/>
  <c r="U488" i="25" s="1"/>
  <c r="V488" i="25" s="1"/>
  <c r="T443" i="25"/>
  <c r="U443" i="25" s="1"/>
  <c r="V443" i="25" s="1"/>
  <c r="T244" i="25"/>
  <c r="U244" i="25" s="1"/>
  <c r="V244" i="25" s="1"/>
  <c r="T214" i="25"/>
  <c r="U214" i="25" s="1"/>
  <c r="V214" i="25" s="1"/>
  <c r="W214" i="25"/>
  <c r="X214" i="25" s="1"/>
  <c r="T453" i="25"/>
  <c r="U453" i="25" s="1"/>
  <c r="V453" i="25" s="1"/>
  <c r="T441" i="25"/>
  <c r="U441" i="25" s="1"/>
  <c r="V441" i="25" s="1"/>
  <c r="T263" i="25"/>
  <c r="U263" i="25" s="1"/>
  <c r="V263" i="25" s="1"/>
  <c r="T228" i="25"/>
  <c r="U228" i="25" s="1"/>
  <c r="V228" i="25" s="1"/>
  <c r="W228" i="25"/>
  <c r="X228" i="25" s="1"/>
  <c r="W206" i="25"/>
  <c r="X206" i="25" s="1"/>
  <c r="T206" i="25"/>
  <c r="U206" i="25" s="1"/>
  <c r="V206" i="25" s="1"/>
  <c r="W424" i="25"/>
  <c r="X424" i="25" s="1"/>
  <c r="T424" i="25"/>
  <c r="U424" i="25" s="1"/>
  <c r="V424" i="25" s="1"/>
  <c r="T140" i="25"/>
  <c r="U140" i="25" s="1"/>
  <c r="V140" i="25" s="1"/>
  <c r="W140" i="25"/>
  <c r="X140" i="25" s="1"/>
  <c r="W169" i="25"/>
  <c r="X169" i="25" s="1"/>
  <c r="T169" i="25"/>
  <c r="U169" i="25" s="1"/>
  <c r="V169" i="25" s="1"/>
  <c r="T55" i="25"/>
  <c r="U55" i="25" s="1"/>
  <c r="V55" i="25" s="1"/>
  <c r="W55" i="25"/>
  <c r="X55" i="25" s="1"/>
  <c r="W430" i="25"/>
  <c r="X430" i="25" s="1"/>
  <c r="T430" i="25"/>
  <c r="U430" i="25" s="1"/>
  <c r="V430" i="25" s="1"/>
  <c r="T408" i="25"/>
  <c r="U408" i="25" s="1"/>
  <c r="V408" i="25" s="1"/>
  <c r="T406" i="25"/>
  <c r="U406" i="25" s="1"/>
  <c r="V406" i="25" s="1"/>
  <c r="T401" i="25"/>
  <c r="U401" i="25" s="1"/>
  <c r="V401" i="25" s="1"/>
  <c r="T286" i="25"/>
  <c r="U286" i="25" s="1"/>
  <c r="V286" i="25" s="1"/>
  <c r="T284" i="25"/>
  <c r="U284" i="25" s="1"/>
  <c r="V284" i="25" s="1"/>
  <c r="T278" i="25"/>
  <c r="U278" i="25" s="1"/>
  <c r="V278" i="25" s="1"/>
  <c r="T261" i="25"/>
  <c r="U261" i="25" s="1"/>
  <c r="V261" i="25" s="1"/>
  <c r="T259" i="25"/>
  <c r="U259" i="25" s="1"/>
  <c r="V259" i="25" s="1"/>
  <c r="T253" i="25"/>
  <c r="U253" i="25" s="1"/>
  <c r="V253" i="25" s="1"/>
  <c r="T236" i="25"/>
  <c r="U236" i="25" s="1"/>
  <c r="V236" i="25" s="1"/>
  <c r="T227" i="25"/>
  <c r="U227" i="25" s="1"/>
  <c r="V227" i="25" s="1"/>
  <c r="T223" i="25"/>
  <c r="U223" i="25" s="1"/>
  <c r="V223" i="25" s="1"/>
  <c r="W198" i="25"/>
  <c r="X198" i="25" s="1"/>
  <c r="T179" i="25"/>
  <c r="U179" i="25" s="1"/>
  <c r="V179" i="25" s="1"/>
  <c r="W166" i="25"/>
  <c r="X166" i="25" s="1"/>
  <c r="W149" i="25"/>
  <c r="X149" i="25" s="1"/>
  <c r="T139" i="25"/>
  <c r="U139" i="25" s="1"/>
  <c r="V139" i="25" s="1"/>
  <c r="T118" i="25"/>
  <c r="U118" i="25" s="1"/>
  <c r="V118" i="25" s="1"/>
  <c r="T110" i="25"/>
  <c r="U110" i="25" s="1"/>
  <c r="V110" i="25" s="1"/>
  <c r="T75" i="25"/>
  <c r="U75" i="25" s="1"/>
  <c r="V75" i="25" s="1"/>
  <c r="W75" i="25"/>
  <c r="X75" i="25" s="1"/>
  <c r="W291" i="25"/>
  <c r="X291" i="25" s="1"/>
  <c r="W289" i="25"/>
  <c r="X289" i="25" s="1"/>
  <c r="T293" i="25"/>
  <c r="U293" i="25" s="1"/>
  <c r="V293" i="25" s="1"/>
  <c r="T95" i="25"/>
  <c r="U95" i="25" s="1"/>
  <c r="V95" i="25" s="1"/>
  <c r="W95" i="25"/>
  <c r="X95" i="25" s="1"/>
  <c r="T45" i="25"/>
  <c r="U45" i="25" s="1"/>
  <c r="V45" i="25" s="1"/>
  <c r="W45" i="25"/>
  <c r="X45" i="25" s="1"/>
  <c r="W407" i="25"/>
  <c r="X407" i="25" s="1"/>
  <c r="W285" i="25"/>
  <c r="X285" i="25" s="1"/>
  <c r="T217" i="25"/>
  <c r="U217" i="25" s="1"/>
  <c r="V217" i="25" s="1"/>
  <c r="T188" i="25"/>
  <c r="U188" i="25" s="1"/>
  <c r="V188" i="25" s="1"/>
  <c r="T178" i="25"/>
  <c r="U178" i="25" s="1"/>
  <c r="V178" i="25" s="1"/>
  <c r="W165" i="25"/>
  <c r="X165" i="25" s="1"/>
  <c r="T156" i="25"/>
  <c r="U156" i="25" s="1"/>
  <c r="V156" i="25" s="1"/>
  <c r="W148" i="25"/>
  <c r="X148" i="25" s="1"/>
  <c r="T148" i="25"/>
  <c r="U148" i="25" s="1"/>
  <c r="V148" i="25" s="1"/>
  <c r="T116" i="25"/>
  <c r="U116" i="25" s="1"/>
  <c r="V116" i="25" s="1"/>
  <c r="T283" i="25"/>
  <c r="U283" i="25" s="1"/>
  <c r="V283" i="25" s="1"/>
  <c r="T65" i="25"/>
  <c r="U65" i="25" s="1"/>
  <c r="V65" i="25" s="1"/>
  <c r="W65" i="25"/>
  <c r="X65" i="25" s="1"/>
  <c r="T230" i="25"/>
  <c r="U230" i="25" s="1"/>
  <c r="V230" i="25" s="1"/>
  <c r="W221" i="25"/>
  <c r="X221" i="25" s="1"/>
  <c r="T221" i="25"/>
  <c r="U221" i="25" s="1"/>
  <c r="V221" i="25" s="1"/>
  <c r="T194" i="25"/>
  <c r="U194" i="25" s="1"/>
  <c r="V194" i="25" s="1"/>
  <c r="T155" i="25"/>
  <c r="U155" i="25" s="1"/>
  <c r="V155" i="25" s="1"/>
  <c r="T141" i="25"/>
  <c r="U141" i="25" s="1"/>
  <c r="V141" i="25" s="1"/>
  <c r="W141" i="25"/>
  <c r="X141" i="25" s="1"/>
  <c r="T144" i="25"/>
  <c r="U144" i="25" s="1"/>
  <c r="V144" i="25" s="1"/>
  <c r="T132" i="25"/>
  <c r="U132" i="25" s="1"/>
  <c r="V132" i="25" s="1"/>
  <c r="T130" i="25"/>
  <c r="U130" i="25" s="1"/>
  <c r="V130" i="25" s="1"/>
  <c r="T124" i="25"/>
  <c r="U124" i="25" s="1"/>
  <c r="V124" i="25" s="1"/>
  <c r="T108" i="25"/>
  <c r="U108" i="25" s="1"/>
  <c r="V108" i="25" s="1"/>
  <c r="T101" i="25"/>
  <c r="U101" i="25" s="1"/>
  <c r="V101" i="25" s="1"/>
  <c r="T94" i="25"/>
  <c r="U94" i="25" s="1"/>
  <c r="V94" i="25" s="1"/>
  <c r="T92" i="25"/>
  <c r="U92" i="25" s="1"/>
  <c r="V92" i="25" s="1"/>
  <c r="T84" i="25"/>
  <c r="U84" i="25" s="1"/>
  <c r="V84" i="25" s="1"/>
  <c r="T82" i="25"/>
  <c r="U82" i="25" s="1"/>
  <c r="V82" i="25" s="1"/>
  <c r="T74" i="25"/>
  <c r="U74" i="25" s="1"/>
  <c r="V74" i="25" s="1"/>
  <c r="T72" i="25"/>
  <c r="U72" i="25" s="1"/>
  <c r="V72" i="25" s="1"/>
  <c r="T64" i="25"/>
  <c r="U64" i="25" s="1"/>
  <c r="V64" i="25" s="1"/>
  <c r="T62" i="25"/>
  <c r="U62" i="25" s="1"/>
  <c r="V62" i="25" s="1"/>
  <c r="T54" i="25"/>
  <c r="U54" i="25" s="1"/>
  <c r="V54" i="25" s="1"/>
  <c r="T52" i="25"/>
  <c r="U52" i="25" s="1"/>
  <c r="V52" i="25" s="1"/>
  <c r="T44" i="25"/>
  <c r="U44" i="25" s="1"/>
  <c r="V44" i="25" s="1"/>
  <c r="T42" i="25"/>
  <c r="U42" i="25" s="1"/>
  <c r="V42" i="25" s="1"/>
  <c r="T35" i="25"/>
  <c r="U35" i="25" s="1"/>
  <c r="V35" i="25" s="1"/>
  <c r="T33" i="25"/>
  <c r="U33" i="25" s="1"/>
  <c r="V33" i="25" s="1"/>
  <c r="W117" i="25"/>
  <c r="X117" i="25" s="1"/>
  <c r="T138" i="25"/>
  <c r="U138" i="25" s="1"/>
  <c r="V138" i="25" s="1"/>
  <c r="T115" i="25"/>
  <c r="U115" i="25" s="1"/>
  <c r="V115" i="25" s="1"/>
  <c r="T31" i="25"/>
  <c r="U31" i="25" s="1"/>
  <c r="V31" i="25" s="1"/>
  <c r="T12" i="25"/>
  <c r="U12" i="25" s="1"/>
  <c r="V12" i="25" s="1"/>
  <c r="W2" i="25"/>
  <c r="X2" i="25" s="1"/>
  <c r="W27" i="25"/>
  <c r="X27" i="25" s="1"/>
  <c r="W6" i="25"/>
  <c r="X6" i="25" s="1"/>
  <c r="W15" i="25"/>
  <c r="X15" i="25" s="1"/>
  <c r="W4" i="25"/>
  <c r="X4" i="25" s="1"/>
  <c r="T26" i="25"/>
  <c r="U26" i="25" s="1"/>
  <c r="V26" i="25" s="1"/>
  <c r="T17" i="25"/>
  <c r="U17" i="25" s="1"/>
  <c r="V17" i="25" s="1"/>
  <c r="T28" i="25"/>
  <c r="U28" i="25" s="1"/>
  <c r="V28" i="25" s="1"/>
  <c r="T24" i="25"/>
  <c r="U24" i="25" s="1"/>
  <c r="V24" i="25" s="1"/>
  <c r="T19" i="25"/>
  <c r="U19" i="25" s="1"/>
  <c r="V19" i="25" s="1"/>
  <c r="T14" i="25"/>
  <c r="U14" i="25" s="1"/>
  <c r="V14" i="25" s="1"/>
  <c r="T9" i="25"/>
  <c r="U9" i="25" s="1"/>
  <c r="V9" i="25" s="1"/>
  <c r="T5" i="25"/>
  <c r="U5" i="25" s="1"/>
  <c r="V5" i="25" s="1"/>
  <c r="T396" i="25"/>
  <c r="U396" i="25" s="1"/>
  <c r="V396" i="25" s="1"/>
  <c r="T392" i="25"/>
  <c r="U392" i="25" s="1"/>
  <c r="V392" i="25" s="1"/>
  <c r="T390" i="25"/>
  <c r="U390" i="25" s="1"/>
  <c r="V390" i="25" s="1"/>
  <c r="T385" i="25"/>
  <c r="U385" i="25" s="1"/>
  <c r="V385" i="25" s="1"/>
  <c r="T380" i="25"/>
  <c r="U380" i="25" s="1"/>
  <c r="V380" i="25" s="1"/>
  <c r="T375" i="25"/>
  <c r="U375" i="25" s="1"/>
  <c r="V375" i="25" s="1"/>
  <c r="T370" i="25"/>
  <c r="U370" i="25" s="1"/>
  <c r="V370" i="25" s="1"/>
  <c r="T365" i="25"/>
  <c r="U365" i="25" s="1"/>
  <c r="V365" i="25" s="1"/>
  <c r="T360" i="25"/>
  <c r="U360" i="25" s="1"/>
  <c r="V360" i="25" s="1"/>
  <c r="T355" i="25"/>
  <c r="U355" i="25" s="1"/>
  <c r="V355" i="25" s="1"/>
  <c r="T350" i="25"/>
  <c r="U350" i="25" s="1"/>
  <c r="V350" i="25" s="1"/>
  <c r="T347" i="25"/>
  <c r="U347" i="25" s="1"/>
  <c r="V347" i="25" s="1"/>
  <c r="L382" i="25"/>
  <c r="M382" i="25" s="1"/>
  <c r="N382" i="25" s="1"/>
  <c r="P382" i="25"/>
  <c r="Q382" i="25" s="1"/>
  <c r="P580" i="25"/>
  <c r="Q580" i="25" s="1"/>
  <c r="L580" i="25"/>
  <c r="M580" i="25" s="1"/>
  <c r="N580" i="25" s="1"/>
  <c r="L393" i="25"/>
  <c r="M393" i="25" s="1"/>
  <c r="N393" i="25" s="1"/>
  <c r="P393" i="25"/>
  <c r="Q393" i="25" s="1"/>
  <c r="P85" i="25"/>
  <c r="Q85" i="25" s="1"/>
  <c r="L85" i="25"/>
  <c r="M85" i="25" s="1"/>
  <c r="N85" i="25" s="1"/>
  <c r="L96" i="25"/>
  <c r="M96" i="25" s="1"/>
  <c r="N96" i="25" s="1"/>
  <c r="P96" i="25"/>
  <c r="Q96" i="25" s="1"/>
  <c r="L184" i="25"/>
  <c r="M184" i="25" s="1"/>
  <c r="N184" i="25" s="1"/>
  <c r="P184" i="25"/>
  <c r="Q184" i="25" s="1"/>
  <c r="L195" i="25"/>
  <c r="M195" i="25" s="1"/>
  <c r="N195" i="25" s="1"/>
  <c r="P195" i="25"/>
  <c r="Q195" i="25" s="1"/>
  <c r="P690" i="25"/>
  <c r="Q690" i="25" s="1"/>
  <c r="L690" i="25"/>
  <c r="M690" i="25" s="1"/>
  <c r="N690" i="25" s="1"/>
  <c r="P283" i="25"/>
  <c r="Q283" i="25" s="1"/>
  <c r="L283" i="25"/>
  <c r="M283" i="25" s="1"/>
  <c r="N283" i="25" s="1"/>
  <c r="P789" i="25"/>
  <c r="Q789" i="25" s="1"/>
  <c r="L789" i="25"/>
  <c r="M789" i="25" s="1"/>
  <c r="N789" i="25" s="1"/>
  <c r="L311" i="25"/>
  <c r="M311" i="25" s="1"/>
  <c r="N311" i="25" s="1"/>
  <c r="P311" i="25"/>
  <c r="Q311" i="25" s="1"/>
  <c r="L598" i="25"/>
  <c r="M598" i="25" s="1"/>
  <c r="N598" i="25" s="1"/>
  <c r="P598" i="25"/>
  <c r="Q598" i="25" s="1"/>
  <c r="L13" i="25"/>
  <c r="M13" i="25" s="1"/>
  <c r="N13" i="25" s="1"/>
  <c r="P13" i="25"/>
  <c r="Q13" i="25" s="1"/>
  <c r="L455" i="25"/>
  <c r="M455" i="25" s="1"/>
  <c r="N455" i="25" s="1"/>
  <c r="P455" i="25"/>
  <c r="Q455" i="25" s="1"/>
  <c r="L410" i="25"/>
  <c r="M410" i="25" s="1"/>
  <c r="N410" i="25" s="1"/>
  <c r="P410" i="25"/>
  <c r="Q410" i="25" s="1"/>
  <c r="T308" i="25"/>
  <c r="U308" i="25" s="1"/>
  <c r="V308" i="25" s="1"/>
  <c r="W308" i="25"/>
  <c r="X308" i="25" s="1"/>
  <c r="L244" i="25"/>
  <c r="M244" i="25" s="1"/>
  <c r="N244" i="25" s="1"/>
  <c r="P204" i="25"/>
  <c r="Q204" i="25" s="1"/>
  <c r="P42" i="25"/>
  <c r="Q42" i="25" s="1"/>
  <c r="P548" i="25"/>
  <c r="Q548" i="25" s="1"/>
  <c r="L548" i="25"/>
  <c r="M548" i="25" s="1"/>
  <c r="N548" i="25" s="1"/>
  <c r="P435" i="25"/>
  <c r="Q435" i="25" s="1"/>
  <c r="L435" i="25"/>
  <c r="M435" i="25" s="1"/>
  <c r="N435" i="25" s="1"/>
  <c r="L278" i="25"/>
  <c r="M278" i="25" s="1"/>
  <c r="N278" i="25" s="1"/>
  <c r="P278" i="25"/>
  <c r="Q278" i="25" s="1"/>
  <c r="T327" i="25"/>
  <c r="U327" i="25" s="1"/>
  <c r="V327" i="25" s="1"/>
  <c r="W327" i="25"/>
  <c r="X327" i="25" s="1"/>
  <c r="P335" i="25"/>
  <c r="Q335" i="25" s="1"/>
  <c r="L335" i="25"/>
  <c r="M335" i="25" s="1"/>
  <c r="N335" i="25" s="1"/>
  <c r="L225" i="25"/>
  <c r="M225" i="25" s="1"/>
  <c r="N225" i="25" s="1"/>
  <c r="P100" i="25"/>
  <c r="Q100" i="25" s="1"/>
  <c r="L75" i="25"/>
  <c r="M75" i="25" s="1"/>
  <c r="N75" i="25" s="1"/>
  <c r="L68" i="25"/>
  <c r="M68" i="25" s="1"/>
  <c r="N68" i="25" s="1"/>
  <c r="L65" i="25"/>
  <c r="M65" i="25" s="1"/>
  <c r="N65" i="25" s="1"/>
  <c r="L28" i="25"/>
  <c r="M28" i="25" s="1"/>
  <c r="N28" i="25" s="1"/>
  <c r="L23" i="25"/>
  <c r="M23" i="25" s="1"/>
  <c r="N23" i="25" s="1"/>
  <c r="L12" i="25"/>
  <c r="M12" i="25" s="1"/>
  <c r="N12" i="25" s="1"/>
  <c r="L396" i="25"/>
  <c r="M396" i="25" s="1"/>
  <c r="N396" i="25" s="1"/>
  <c r="L392" i="25"/>
  <c r="M392" i="25" s="1"/>
  <c r="N392" i="25" s="1"/>
  <c r="L364" i="25"/>
  <c r="M364" i="25" s="1"/>
  <c r="N364" i="25" s="1"/>
  <c r="L345" i="25"/>
  <c r="M345" i="25" s="1"/>
  <c r="N345" i="25" s="1"/>
  <c r="L318" i="25"/>
  <c r="M318" i="25" s="1"/>
  <c r="N318" i="25" s="1"/>
  <c r="L618" i="25"/>
  <c r="M618" i="25" s="1"/>
  <c r="N618" i="25" s="1"/>
  <c r="L738" i="25"/>
  <c r="M738" i="25" s="1"/>
  <c r="N738" i="25" s="1"/>
  <c r="P738" i="25"/>
  <c r="Q738" i="25" s="1"/>
  <c r="L706" i="25"/>
  <c r="M706" i="25" s="1"/>
  <c r="N706" i="25" s="1"/>
  <c r="P703" i="25"/>
  <c r="Q703" i="25" s="1"/>
  <c r="L586" i="25"/>
  <c r="M586" i="25" s="1"/>
  <c r="N586" i="25" s="1"/>
  <c r="P547" i="25"/>
  <c r="Q547" i="25" s="1"/>
  <c r="L288" i="25"/>
  <c r="M288" i="25" s="1"/>
  <c r="N288" i="25" s="1"/>
  <c r="L384" i="25"/>
  <c r="M384" i="25" s="1"/>
  <c r="N384" i="25" s="1"/>
  <c r="P384" i="25"/>
  <c r="Q384" i="25" s="1"/>
  <c r="L656" i="25"/>
  <c r="M656" i="25" s="1"/>
  <c r="N656" i="25" s="1"/>
  <c r="P656" i="25"/>
  <c r="Q656" i="25" s="1"/>
  <c r="L646" i="25"/>
  <c r="M646" i="25" s="1"/>
  <c r="N646" i="25" s="1"/>
  <c r="P646" i="25"/>
  <c r="Q646" i="25" s="1"/>
  <c r="L631" i="25"/>
  <c r="M631" i="25" s="1"/>
  <c r="N631" i="25" s="1"/>
  <c r="P631" i="25"/>
  <c r="Q631" i="25" s="1"/>
  <c r="L603" i="25"/>
  <c r="M603" i="25" s="1"/>
  <c r="N603" i="25" s="1"/>
  <c r="L763" i="25"/>
  <c r="M763" i="25" s="1"/>
  <c r="N763" i="25" s="1"/>
  <c r="L722" i="25"/>
  <c r="M722" i="25" s="1"/>
  <c r="N722" i="25" s="1"/>
  <c r="L573" i="25"/>
  <c r="M573" i="25" s="1"/>
  <c r="N573" i="25" s="1"/>
  <c r="L527" i="25"/>
  <c r="M527" i="25" s="1"/>
  <c r="N527" i="25" s="1"/>
  <c r="L481" i="25"/>
  <c r="M481" i="25" s="1"/>
  <c r="N481" i="25" s="1"/>
  <c r="P481" i="25"/>
  <c r="Q481" i="25" s="1"/>
  <c r="L620" i="25"/>
  <c r="M620" i="25" s="1"/>
  <c r="N620" i="25" s="1"/>
  <c r="P620" i="25"/>
  <c r="Q620" i="25" s="1"/>
  <c r="L537" i="25"/>
  <c r="M537" i="25" s="1"/>
  <c r="N537" i="25" s="1"/>
  <c r="P537" i="25"/>
  <c r="Q537" i="25" s="1"/>
  <c r="P492" i="25"/>
  <c r="Q492" i="25" s="1"/>
  <c r="L492" i="25"/>
  <c r="M492" i="25" s="1"/>
  <c r="N492" i="25" s="1"/>
  <c r="L216" i="25"/>
  <c r="M216" i="25" s="1"/>
  <c r="N216" i="25" s="1"/>
  <c r="L148" i="25"/>
  <c r="M148" i="25" s="1"/>
  <c r="N148" i="25" s="1"/>
  <c r="P136" i="25"/>
  <c r="Q136" i="25" s="1"/>
  <c r="L134" i="25"/>
  <c r="M134" i="25" s="1"/>
  <c r="N134" i="25" s="1"/>
  <c r="P78" i="25"/>
  <c r="Q78" i="25" s="1"/>
  <c r="L41" i="25"/>
  <c r="M41" i="25" s="1"/>
  <c r="N41" i="25" s="1"/>
  <c r="L30" i="25"/>
  <c r="M30" i="25" s="1"/>
  <c r="N30" i="25" s="1"/>
  <c r="L4" i="25"/>
  <c r="M4" i="25" s="1"/>
  <c r="N4" i="25" s="1"/>
  <c r="L344" i="25"/>
  <c r="M344" i="25" s="1"/>
  <c r="N344" i="25" s="1"/>
  <c r="L321" i="25"/>
  <c r="M321" i="25" s="1"/>
  <c r="N321" i="25" s="1"/>
  <c r="P302" i="25"/>
  <c r="Q302" i="25" s="1"/>
  <c r="L302" i="25"/>
  <c r="M302" i="25" s="1"/>
  <c r="N302" i="25" s="1"/>
  <c r="P624" i="25"/>
  <c r="Q624" i="25" s="1"/>
  <c r="L613" i="25"/>
  <c r="M613" i="25" s="1"/>
  <c r="N613" i="25" s="1"/>
  <c r="L596" i="25"/>
  <c r="M596" i="25" s="1"/>
  <c r="N596" i="25" s="1"/>
  <c r="P596" i="25"/>
  <c r="Q596" i="25" s="1"/>
  <c r="P775" i="25"/>
  <c r="Q775" i="25" s="1"/>
  <c r="L550" i="25"/>
  <c r="M550" i="25" s="1"/>
  <c r="N550" i="25" s="1"/>
  <c r="L533" i="25"/>
  <c r="M533" i="25" s="1"/>
  <c r="N533" i="25" s="1"/>
  <c r="L497" i="25"/>
  <c r="M497" i="25" s="1"/>
  <c r="N497" i="25" s="1"/>
  <c r="P476" i="25"/>
  <c r="Q476" i="25" s="1"/>
  <c r="L476" i="25"/>
  <c r="M476" i="25" s="1"/>
  <c r="N476" i="25" s="1"/>
  <c r="L292" i="25"/>
  <c r="M292" i="25" s="1"/>
  <c r="N292" i="25" s="1"/>
  <c r="P292" i="25"/>
  <c r="Q292" i="25" s="1"/>
  <c r="P233" i="25"/>
  <c r="Q233" i="25" s="1"/>
  <c r="P220" i="25"/>
  <c r="Q220" i="25" s="1"/>
  <c r="P197" i="25"/>
  <c r="Q197" i="25" s="1"/>
  <c r="P176" i="25"/>
  <c r="Q176" i="25" s="1"/>
  <c r="P164" i="25"/>
  <c r="Q164" i="25" s="1"/>
  <c r="P157" i="25"/>
  <c r="Q157" i="25" s="1"/>
  <c r="P152" i="25"/>
  <c r="Q152" i="25" s="1"/>
  <c r="P89" i="25"/>
  <c r="Q89" i="25" s="1"/>
  <c r="P38" i="25"/>
  <c r="Q38" i="25" s="1"/>
  <c r="P18" i="25"/>
  <c r="Q18" i="25" s="1"/>
  <c r="L355" i="25"/>
  <c r="M355" i="25" s="1"/>
  <c r="N355" i="25" s="1"/>
  <c r="P355" i="25"/>
  <c r="Q355" i="25" s="1"/>
  <c r="P770" i="25"/>
  <c r="Q770" i="25" s="1"/>
  <c r="L770" i="25"/>
  <c r="M770" i="25" s="1"/>
  <c r="N770" i="25" s="1"/>
  <c r="P709" i="25"/>
  <c r="Q709" i="25" s="1"/>
  <c r="L709" i="25"/>
  <c r="M709" i="25" s="1"/>
  <c r="N709" i="25" s="1"/>
  <c r="P697" i="25"/>
  <c r="Q697" i="25" s="1"/>
  <c r="L697" i="25"/>
  <c r="M697" i="25" s="1"/>
  <c r="N697" i="25" s="1"/>
  <c r="P213" i="25"/>
  <c r="Q213" i="25" s="1"/>
  <c r="L211" i="25"/>
  <c r="M211" i="25" s="1"/>
  <c r="N211" i="25" s="1"/>
  <c r="L183" i="25"/>
  <c r="M183" i="25" s="1"/>
  <c r="N183" i="25" s="1"/>
  <c r="P145" i="25"/>
  <c r="Q145" i="25" s="1"/>
  <c r="P119" i="25"/>
  <c r="Q119" i="25" s="1"/>
  <c r="P6" i="25"/>
  <c r="Q6" i="25" s="1"/>
  <c r="L323" i="25"/>
  <c r="M323" i="25" s="1"/>
  <c r="N323" i="25" s="1"/>
  <c r="P323" i="25"/>
  <c r="Q323" i="25" s="1"/>
  <c r="L683" i="25"/>
  <c r="M683" i="25" s="1"/>
  <c r="N683" i="25" s="1"/>
  <c r="P683" i="25"/>
  <c r="Q683" i="25" s="1"/>
  <c r="P648" i="25"/>
  <c r="Q648" i="25" s="1"/>
  <c r="P729" i="25"/>
  <c r="Q729" i="25" s="1"/>
  <c r="L729" i="25"/>
  <c r="M729" i="25" s="1"/>
  <c r="N729" i="25" s="1"/>
  <c r="P545" i="25"/>
  <c r="Q545" i="25" s="1"/>
  <c r="L545" i="25"/>
  <c r="M545" i="25" s="1"/>
  <c r="N545" i="25" s="1"/>
  <c r="L448" i="25"/>
  <c r="M448" i="25" s="1"/>
  <c r="N448" i="25" s="1"/>
  <c r="P448" i="25"/>
  <c r="Q448" i="25" s="1"/>
  <c r="L424" i="25"/>
  <c r="M424" i="25" s="1"/>
  <c r="N424" i="25" s="1"/>
  <c r="P424" i="25"/>
  <c r="Q424" i="25" s="1"/>
  <c r="P185" i="25"/>
  <c r="Q185" i="25" s="1"/>
  <c r="L138" i="25"/>
  <c r="M138" i="25" s="1"/>
  <c r="N138" i="25" s="1"/>
  <c r="P135" i="25"/>
  <c r="Q135" i="25" s="1"/>
  <c r="P102" i="25"/>
  <c r="Q102" i="25" s="1"/>
  <c r="L93" i="25"/>
  <c r="M93" i="25" s="1"/>
  <c r="N93" i="25" s="1"/>
  <c r="L66" i="25"/>
  <c r="M66" i="25" s="1"/>
  <c r="N66" i="25" s="1"/>
  <c r="L55" i="25"/>
  <c r="M55" i="25" s="1"/>
  <c r="N55" i="25" s="1"/>
  <c r="L52" i="25"/>
  <c r="M52" i="25" s="1"/>
  <c r="N52" i="25" s="1"/>
  <c r="L43" i="25"/>
  <c r="M43" i="25" s="1"/>
  <c r="N43" i="25" s="1"/>
  <c r="L40" i="25"/>
  <c r="M40" i="25" s="1"/>
  <c r="N40" i="25" s="1"/>
  <c r="P34" i="25"/>
  <c r="Q34" i="25" s="1"/>
  <c r="L32" i="25"/>
  <c r="M32" i="25" s="1"/>
  <c r="N32" i="25" s="1"/>
  <c r="P29" i="25"/>
  <c r="Q29" i="25" s="1"/>
  <c r="L2" i="25"/>
  <c r="M2" i="25" s="1"/>
  <c r="N2" i="25" s="1"/>
  <c r="P331" i="25"/>
  <c r="Q331" i="25" s="1"/>
  <c r="P300" i="25"/>
  <c r="Q300" i="25" s="1"/>
  <c r="L682" i="25"/>
  <c r="M682" i="25" s="1"/>
  <c r="N682" i="25" s="1"/>
  <c r="L653" i="25"/>
  <c r="M653" i="25" s="1"/>
  <c r="N653" i="25" s="1"/>
  <c r="P653" i="25"/>
  <c r="Q653" i="25" s="1"/>
  <c r="L622" i="25"/>
  <c r="M622" i="25" s="1"/>
  <c r="N622" i="25" s="1"/>
  <c r="P622" i="25"/>
  <c r="Q622" i="25" s="1"/>
  <c r="L615" i="25"/>
  <c r="M615" i="25" s="1"/>
  <c r="N615" i="25" s="1"/>
  <c r="L746" i="25"/>
  <c r="M746" i="25" s="1"/>
  <c r="N746" i="25" s="1"/>
  <c r="P746" i="25"/>
  <c r="Q746" i="25" s="1"/>
  <c r="L579" i="25"/>
  <c r="M579" i="25" s="1"/>
  <c r="N579" i="25" s="1"/>
  <c r="L506" i="25"/>
  <c r="M506" i="25" s="1"/>
  <c r="N506" i="25" s="1"/>
  <c r="L447" i="25"/>
  <c r="M447" i="25" s="1"/>
  <c r="N447" i="25" s="1"/>
  <c r="L404" i="25"/>
  <c r="M404" i="25" s="1"/>
  <c r="N404" i="25" s="1"/>
  <c r="L271" i="25"/>
  <c r="M271" i="25" s="1"/>
  <c r="N271" i="25" s="1"/>
  <c r="P744" i="25"/>
  <c r="Q744" i="25" s="1"/>
  <c r="L744" i="25"/>
  <c r="M744" i="25" s="1"/>
  <c r="N744" i="25" s="1"/>
  <c r="L571" i="25"/>
  <c r="M571" i="25" s="1"/>
  <c r="N571" i="25" s="1"/>
  <c r="P571" i="25"/>
  <c r="Q571" i="25" s="1"/>
  <c r="L441" i="25"/>
  <c r="M441" i="25" s="1"/>
  <c r="N441" i="25" s="1"/>
  <c r="P441" i="25"/>
  <c r="Q441" i="25" s="1"/>
  <c r="T316" i="25"/>
  <c r="U316" i="25" s="1"/>
  <c r="V316" i="25" s="1"/>
  <c r="P7" i="25"/>
  <c r="Q7" i="25" s="1"/>
  <c r="P395" i="25"/>
  <c r="Q395" i="25" s="1"/>
  <c r="P369" i="25"/>
  <c r="Q369" i="25" s="1"/>
  <c r="P307" i="25"/>
  <c r="Q307" i="25" s="1"/>
  <c r="P782" i="25"/>
  <c r="Q782" i="25" s="1"/>
  <c r="L760" i="25"/>
  <c r="M760" i="25" s="1"/>
  <c r="N760" i="25" s="1"/>
  <c r="P756" i="25"/>
  <c r="Q756" i="25" s="1"/>
  <c r="P747" i="25"/>
  <c r="Q747" i="25" s="1"/>
  <c r="P735" i="25"/>
  <c r="Q735" i="25" s="1"/>
  <c r="P731" i="25"/>
  <c r="Q731" i="25" s="1"/>
  <c r="L584" i="25"/>
  <c r="M584" i="25" s="1"/>
  <c r="N584" i="25" s="1"/>
  <c r="L543" i="25"/>
  <c r="M543" i="25" s="1"/>
  <c r="N543" i="25" s="1"/>
  <c r="L504" i="25"/>
  <c r="M504" i="25" s="1"/>
  <c r="N504" i="25" s="1"/>
  <c r="P504" i="25"/>
  <c r="Q504" i="25" s="1"/>
  <c r="L482" i="25"/>
  <c r="M482" i="25" s="1"/>
  <c r="N482" i="25" s="1"/>
  <c r="P482" i="25"/>
  <c r="Q482" i="25" s="1"/>
  <c r="P412" i="25"/>
  <c r="Q412" i="25" s="1"/>
  <c r="L412" i="25"/>
  <c r="M412" i="25" s="1"/>
  <c r="N412" i="25" s="1"/>
  <c r="P650" i="25"/>
  <c r="Q650" i="25" s="1"/>
  <c r="P640" i="25"/>
  <c r="Q640" i="25" s="1"/>
  <c r="L786" i="25"/>
  <c r="M786" i="25" s="1"/>
  <c r="N786" i="25" s="1"/>
  <c r="P773" i="25"/>
  <c r="Q773" i="25" s="1"/>
  <c r="P764" i="25"/>
  <c r="Q764" i="25" s="1"/>
  <c r="L764" i="25"/>
  <c r="M764" i="25" s="1"/>
  <c r="N764" i="25" s="1"/>
  <c r="P723" i="25"/>
  <c r="Q723" i="25" s="1"/>
  <c r="L699" i="25"/>
  <c r="M699" i="25" s="1"/>
  <c r="N699" i="25" s="1"/>
  <c r="P699" i="25"/>
  <c r="Q699" i="25" s="1"/>
  <c r="L290" i="25"/>
  <c r="M290" i="25" s="1"/>
  <c r="N290" i="25" s="1"/>
  <c r="P290" i="25"/>
  <c r="Q290" i="25" s="1"/>
  <c r="T299" i="25"/>
  <c r="U299" i="25" s="1"/>
  <c r="V299" i="25" s="1"/>
  <c r="W299" i="25"/>
  <c r="X299" i="25" s="1"/>
  <c r="L694" i="25"/>
  <c r="M694" i="25" s="1"/>
  <c r="N694" i="25" s="1"/>
  <c r="L687" i="25"/>
  <c r="M687" i="25" s="1"/>
  <c r="N687" i="25" s="1"/>
  <c r="P643" i="25"/>
  <c r="Q643" i="25" s="1"/>
  <c r="L719" i="25"/>
  <c r="M719" i="25" s="1"/>
  <c r="N719" i="25" s="1"/>
  <c r="P698" i="25"/>
  <c r="Q698" i="25" s="1"/>
  <c r="P595" i="25"/>
  <c r="Q595" i="25" s="1"/>
  <c r="P577" i="25"/>
  <c r="Q577" i="25" s="1"/>
  <c r="L507" i="25"/>
  <c r="M507" i="25" s="1"/>
  <c r="N507" i="25" s="1"/>
  <c r="L503" i="25"/>
  <c r="M503" i="25" s="1"/>
  <c r="N503" i="25" s="1"/>
  <c r="P432" i="25"/>
  <c r="Q432" i="25" s="1"/>
  <c r="L432" i="25"/>
  <c r="M432" i="25" s="1"/>
  <c r="N432" i="25" s="1"/>
  <c r="L258" i="25"/>
  <c r="M258" i="25" s="1"/>
  <c r="N258" i="25" s="1"/>
  <c r="P258" i="25"/>
  <c r="Q258" i="25" s="1"/>
  <c r="W323" i="25"/>
  <c r="X323" i="25" s="1"/>
  <c r="T323" i="25"/>
  <c r="U323" i="25" s="1"/>
  <c r="V323" i="25" s="1"/>
  <c r="W320" i="25"/>
  <c r="X320" i="25" s="1"/>
  <c r="P675" i="25"/>
  <c r="Q675" i="25" s="1"/>
  <c r="P663" i="25"/>
  <c r="Q663" i="25" s="1"/>
  <c r="L551" i="25"/>
  <c r="M551" i="25" s="1"/>
  <c r="N551" i="25" s="1"/>
  <c r="P551" i="25"/>
  <c r="Q551" i="25" s="1"/>
  <c r="L726" i="25"/>
  <c r="M726" i="25" s="1"/>
  <c r="N726" i="25" s="1"/>
  <c r="P726" i="25"/>
  <c r="Q726" i="25" s="1"/>
  <c r="W304" i="25"/>
  <c r="X304" i="25" s="1"/>
  <c r="P255" i="25"/>
  <c r="Q255" i="25" s="1"/>
  <c r="L252" i="25"/>
  <c r="M252" i="25" s="1"/>
  <c r="N252" i="25" s="1"/>
  <c r="W336" i="25"/>
  <c r="X336" i="25" s="1"/>
  <c r="W329" i="25"/>
  <c r="X329" i="25" s="1"/>
  <c r="W310" i="25"/>
  <c r="X310" i="25" s="1"/>
  <c r="W341" i="25"/>
  <c r="X341" i="25" s="1"/>
  <c r="W302" i="25"/>
  <c r="X302" i="25" s="1"/>
  <c r="T328" i="25"/>
  <c r="U328" i="25" s="1"/>
  <c r="V328" i="25" s="1"/>
  <c r="L517" i="25"/>
  <c r="M517" i="25" s="1"/>
  <c r="N517" i="25" s="1"/>
  <c r="T340" i="25"/>
  <c r="U340" i="25" s="1"/>
  <c r="V340" i="25" s="1"/>
  <c r="T335" i="25"/>
  <c r="U335" i="25" s="1"/>
  <c r="V335" i="25" s="1"/>
  <c r="T331" i="25"/>
  <c r="U331" i="25" s="1"/>
  <c r="V331" i="25" s="1"/>
  <c r="T326" i="25"/>
  <c r="U326" i="25" s="1"/>
  <c r="V326" i="25" s="1"/>
  <c r="T317" i="25"/>
  <c r="U317" i="25" s="1"/>
  <c r="V317" i="25" s="1"/>
  <c r="T312" i="25"/>
  <c r="U312" i="25" s="1"/>
  <c r="V312" i="25" s="1"/>
  <c r="T307" i="25"/>
  <c r="U307" i="25" s="1"/>
  <c r="V307" i="25" s="1"/>
  <c r="T303" i="25"/>
  <c r="U303" i="25" s="1"/>
  <c r="V303" i="25" s="1"/>
  <c r="L679" i="25"/>
  <c r="M679" i="25" s="1"/>
  <c r="N679" i="25" s="1"/>
  <c r="P679" i="25"/>
  <c r="Q679" i="25" s="1"/>
  <c r="L639" i="25"/>
  <c r="M639" i="25" s="1"/>
  <c r="N639" i="25" s="1"/>
  <c r="P639" i="25"/>
  <c r="Q639" i="25" s="1"/>
  <c r="L718" i="25"/>
  <c r="M718" i="25" s="1"/>
  <c r="N718" i="25" s="1"/>
  <c r="P718" i="25"/>
  <c r="Q718" i="25" s="1"/>
  <c r="L594" i="25"/>
  <c r="M594" i="25" s="1"/>
  <c r="N594" i="25" s="1"/>
  <c r="P594" i="25"/>
  <c r="Q594" i="25" s="1"/>
  <c r="L570" i="25"/>
  <c r="M570" i="25" s="1"/>
  <c r="N570" i="25" s="1"/>
  <c r="P570" i="25"/>
  <c r="Q570" i="25" s="1"/>
  <c r="L480" i="25"/>
  <c r="M480" i="25" s="1"/>
  <c r="N480" i="25" s="1"/>
  <c r="P480" i="25"/>
  <c r="Q480" i="25" s="1"/>
  <c r="L692" i="25"/>
  <c r="M692" i="25" s="1"/>
  <c r="N692" i="25" s="1"/>
  <c r="L684" i="25"/>
  <c r="M684" i="25" s="1"/>
  <c r="N684" i="25" s="1"/>
  <c r="P684" i="25"/>
  <c r="Q684" i="25" s="1"/>
  <c r="L667" i="25"/>
  <c r="M667" i="25" s="1"/>
  <c r="N667" i="25" s="1"/>
  <c r="L659" i="25"/>
  <c r="M659" i="25" s="1"/>
  <c r="N659" i="25" s="1"/>
  <c r="P659" i="25"/>
  <c r="Q659" i="25" s="1"/>
  <c r="L632" i="25"/>
  <c r="M632" i="25" s="1"/>
  <c r="N632" i="25" s="1"/>
  <c r="P793" i="25"/>
  <c r="Q793" i="25" s="1"/>
  <c r="L793" i="25"/>
  <c r="M793" i="25" s="1"/>
  <c r="N793" i="25" s="1"/>
  <c r="P589" i="25"/>
  <c r="Q589" i="25" s="1"/>
  <c r="L589" i="25"/>
  <c r="M589" i="25" s="1"/>
  <c r="N589" i="25" s="1"/>
  <c r="P564" i="25"/>
  <c r="Q564" i="25" s="1"/>
  <c r="L564" i="25"/>
  <c r="M564" i="25" s="1"/>
  <c r="N564" i="25" s="1"/>
  <c r="L529" i="25"/>
  <c r="M529" i="25" s="1"/>
  <c r="N529" i="25" s="1"/>
  <c r="P529" i="25"/>
  <c r="Q529" i="25" s="1"/>
  <c r="L736" i="25"/>
  <c r="M736" i="25" s="1"/>
  <c r="N736" i="25" s="1"/>
  <c r="P736" i="25"/>
  <c r="Q736" i="25" s="1"/>
  <c r="L689" i="25"/>
  <c r="M689" i="25" s="1"/>
  <c r="N689" i="25" s="1"/>
  <c r="P689" i="25"/>
  <c r="Q689" i="25" s="1"/>
  <c r="L742" i="25"/>
  <c r="M742" i="25" s="1"/>
  <c r="N742" i="25" s="1"/>
  <c r="P742" i="25"/>
  <c r="Q742" i="25" s="1"/>
  <c r="P734" i="25"/>
  <c r="Q734" i="25" s="1"/>
  <c r="L734" i="25"/>
  <c r="M734" i="25" s="1"/>
  <c r="N734" i="25" s="1"/>
  <c r="L787" i="25"/>
  <c r="M787" i="25" s="1"/>
  <c r="N787" i="25" s="1"/>
  <c r="P787" i="25"/>
  <c r="Q787" i="25" s="1"/>
  <c r="L693" i="25"/>
  <c r="M693" i="25" s="1"/>
  <c r="N693" i="25" s="1"/>
  <c r="P693" i="25"/>
  <c r="Q693" i="25" s="1"/>
  <c r="L664" i="25"/>
  <c r="M664" i="25" s="1"/>
  <c r="N664" i="25" s="1"/>
  <c r="P664" i="25"/>
  <c r="Q664" i="25" s="1"/>
  <c r="L762" i="25"/>
  <c r="M762" i="25" s="1"/>
  <c r="N762" i="25" s="1"/>
  <c r="P762" i="25"/>
  <c r="Q762" i="25" s="1"/>
  <c r="P494" i="25"/>
  <c r="Q494" i="25" s="1"/>
  <c r="L494" i="25"/>
  <c r="M494" i="25" s="1"/>
  <c r="N494" i="25" s="1"/>
  <c r="P402" i="25"/>
  <c r="Q402" i="25" s="1"/>
  <c r="L402" i="25"/>
  <c r="M402" i="25" s="1"/>
  <c r="N402" i="25" s="1"/>
  <c r="L625" i="25"/>
  <c r="M625" i="25" s="1"/>
  <c r="N625" i="25" s="1"/>
  <c r="P625" i="25"/>
  <c r="Q625" i="25" s="1"/>
  <c r="P680" i="25"/>
  <c r="Q680" i="25" s="1"/>
  <c r="L672" i="25"/>
  <c r="M672" i="25" s="1"/>
  <c r="N672" i="25" s="1"/>
  <c r="L644" i="25"/>
  <c r="M644" i="25" s="1"/>
  <c r="N644" i="25" s="1"/>
  <c r="P644" i="25"/>
  <c r="Q644" i="25" s="1"/>
  <c r="L623" i="25"/>
  <c r="M623" i="25" s="1"/>
  <c r="N623" i="25" s="1"/>
  <c r="L785" i="25"/>
  <c r="M785" i="25" s="1"/>
  <c r="N785" i="25" s="1"/>
  <c r="L749" i="25"/>
  <c r="M749" i="25" s="1"/>
  <c r="N749" i="25" s="1"/>
  <c r="L730" i="25"/>
  <c r="M730" i="25" s="1"/>
  <c r="N730" i="25" s="1"/>
  <c r="L725" i="25"/>
  <c r="M725" i="25" s="1"/>
  <c r="N725" i="25" s="1"/>
  <c r="L717" i="25"/>
  <c r="M717" i="25" s="1"/>
  <c r="N717" i="25" s="1"/>
  <c r="P717" i="25"/>
  <c r="Q717" i="25" s="1"/>
  <c r="L585" i="25"/>
  <c r="M585" i="25" s="1"/>
  <c r="N585" i="25" s="1"/>
  <c r="L560" i="25"/>
  <c r="M560" i="25" s="1"/>
  <c r="N560" i="25" s="1"/>
  <c r="L554" i="25"/>
  <c r="M554" i="25" s="1"/>
  <c r="N554" i="25" s="1"/>
  <c r="L541" i="25"/>
  <c r="M541" i="25" s="1"/>
  <c r="N541" i="25" s="1"/>
  <c r="P541" i="25"/>
  <c r="Q541" i="25" s="1"/>
  <c r="L487" i="25"/>
  <c r="M487" i="25" s="1"/>
  <c r="N487" i="25" s="1"/>
  <c r="L713" i="25"/>
  <c r="M713" i="25" s="1"/>
  <c r="N713" i="25" s="1"/>
  <c r="P713" i="25"/>
  <c r="Q713" i="25" s="1"/>
  <c r="L669" i="25"/>
  <c r="M669" i="25" s="1"/>
  <c r="N669" i="25" s="1"/>
  <c r="P669" i="25"/>
  <c r="Q669" i="25" s="1"/>
  <c r="L637" i="25"/>
  <c r="M637" i="25" s="1"/>
  <c r="N637" i="25" s="1"/>
  <c r="L751" i="25"/>
  <c r="M751" i="25" s="1"/>
  <c r="N751" i="25" s="1"/>
  <c r="P711" i="25"/>
  <c r="Q711" i="25" s="1"/>
  <c r="L711" i="25"/>
  <c r="M711" i="25" s="1"/>
  <c r="N711" i="25" s="1"/>
  <c r="L591" i="25"/>
  <c r="M591" i="25" s="1"/>
  <c r="N591" i="25" s="1"/>
  <c r="P591" i="25"/>
  <c r="Q591" i="25" s="1"/>
  <c r="L566" i="25"/>
  <c r="M566" i="25" s="1"/>
  <c r="N566" i="25" s="1"/>
  <c r="P566" i="25"/>
  <c r="Q566" i="25" s="1"/>
  <c r="P521" i="25"/>
  <c r="Q521" i="25" s="1"/>
  <c r="L521" i="25"/>
  <c r="M521" i="25" s="1"/>
  <c r="N521" i="25" s="1"/>
  <c r="L495" i="25"/>
  <c r="M495" i="25" s="1"/>
  <c r="N495" i="25" s="1"/>
  <c r="P769" i="25"/>
  <c r="Q769" i="25" s="1"/>
  <c r="L769" i="25"/>
  <c r="M769" i="25" s="1"/>
  <c r="N769" i="25" s="1"/>
  <c r="L677" i="25"/>
  <c r="M677" i="25" s="1"/>
  <c r="N677" i="25" s="1"/>
  <c r="L652" i="25"/>
  <c r="M652" i="25" s="1"/>
  <c r="N652" i="25" s="1"/>
  <c r="L634" i="25"/>
  <c r="M634" i="25" s="1"/>
  <c r="N634" i="25" s="1"/>
  <c r="P634" i="25"/>
  <c r="Q634" i="25" s="1"/>
  <c r="L617" i="25"/>
  <c r="M617" i="25" s="1"/>
  <c r="N617" i="25" s="1"/>
  <c r="L774" i="25"/>
  <c r="M774" i="25" s="1"/>
  <c r="N774" i="25" s="1"/>
  <c r="L740" i="25"/>
  <c r="M740" i="25" s="1"/>
  <c r="N740" i="25" s="1"/>
  <c r="P740" i="25"/>
  <c r="Q740" i="25" s="1"/>
  <c r="L695" i="25"/>
  <c r="M695" i="25" s="1"/>
  <c r="N695" i="25" s="1"/>
  <c r="P695" i="25"/>
  <c r="Q695" i="25" s="1"/>
  <c r="L572" i="25"/>
  <c r="M572" i="25" s="1"/>
  <c r="N572" i="25" s="1"/>
  <c r="P572" i="25"/>
  <c r="Q572" i="25" s="1"/>
  <c r="L654" i="25"/>
  <c r="M654" i="25" s="1"/>
  <c r="N654" i="25" s="1"/>
  <c r="P654" i="25"/>
  <c r="Q654" i="25" s="1"/>
  <c r="L674" i="25"/>
  <c r="M674" i="25" s="1"/>
  <c r="N674" i="25" s="1"/>
  <c r="P674" i="25"/>
  <c r="Q674" i="25" s="1"/>
  <c r="L657" i="25"/>
  <c r="M657" i="25" s="1"/>
  <c r="N657" i="25" s="1"/>
  <c r="L649" i="25"/>
  <c r="M649" i="25" s="1"/>
  <c r="N649" i="25" s="1"/>
  <c r="P649" i="25"/>
  <c r="Q649" i="25" s="1"/>
  <c r="L628" i="25"/>
  <c r="M628" i="25" s="1"/>
  <c r="N628" i="25" s="1"/>
  <c r="L612" i="25"/>
  <c r="M612" i="25" s="1"/>
  <c r="N612" i="25" s="1"/>
  <c r="P612" i="25"/>
  <c r="Q612" i="25" s="1"/>
  <c r="L600" i="25"/>
  <c r="M600" i="25" s="1"/>
  <c r="N600" i="25" s="1"/>
  <c r="L490" i="25"/>
  <c r="M490" i="25" s="1"/>
  <c r="N490" i="25" s="1"/>
  <c r="P490" i="25"/>
  <c r="Q490" i="25" s="1"/>
  <c r="L754" i="25"/>
  <c r="M754" i="25" s="1"/>
  <c r="N754" i="25" s="1"/>
  <c r="L739" i="25"/>
  <c r="M739" i="25" s="1"/>
  <c r="N739" i="25" s="1"/>
  <c r="L716" i="25"/>
  <c r="M716" i="25" s="1"/>
  <c r="N716" i="25" s="1"/>
  <c r="L569" i="25"/>
  <c r="M569" i="25" s="1"/>
  <c r="N569" i="25" s="1"/>
  <c r="L542" i="25"/>
  <c r="M542" i="25" s="1"/>
  <c r="N542" i="25" s="1"/>
  <c r="L526" i="25"/>
  <c r="M526" i="25" s="1"/>
  <c r="N526" i="25" s="1"/>
  <c r="L519" i="25"/>
  <c r="M519" i="25" s="1"/>
  <c r="N519" i="25" s="1"/>
  <c r="P489" i="25"/>
  <c r="Q489" i="25" s="1"/>
  <c r="L489" i="25"/>
  <c r="M489" i="25" s="1"/>
  <c r="N489" i="25" s="1"/>
  <c r="P474" i="25"/>
  <c r="Q474" i="25" s="1"/>
  <c r="L474" i="25"/>
  <c r="M474" i="25" s="1"/>
  <c r="N474" i="25" s="1"/>
  <c r="L457" i="25"/>
  <c r="M457" i="25" s="1"/>
  <c r="N457" i="25" s="1"/>
  <c r="P457" i="25"/>
  <c r="Q457" i="25" s="1"/>
  <c r="P434" i="25"/>
  <c r="Q434" i="25" s="1"/>
  <c r="L434" i="25"/>
  <c r="M434" i="25" s="1"/>
  <c r="N434" i="25" s="1"/>
  <c r="L431" i="25"/>
  <c r="M431" i="25" s="1"/>
  <c r="N431" i="25" s="1"/>
  <c r="P431" i="25"/>
  <c r="Q431" i="25" s="1"/>
  <c r="L422" i="25"/>
  <c r="M422" i="25" s="1"/>
  <c r="N422" i="25" s="1"/>
  <c r="L419" i="25"/>
  <c r="M419" i="25" s="1"/>
  <c r="N419" i="25" s="1"/>
  <c r="P419" i="25"/>
  <c r="Q419" i="25" s="1"/>
  <c r="L286" i="25"/>
  <c r="M286" i="25" s="1"/>
  <c r="N286" i="25" s="1"/>
  <c r="P279" i="25"/>
  <c r="Q279" i="25" s="1"/>
  <c r="L279" i="25"/>
  <c r="M279" i="25" s="1"/>
  <c r="N279" i="25" s="1"/>
  <c r="L471" i="25"/>
  <c r="M471" i="25" s="1"/>
  <c r="N471" i="25" s="1"/>
  <c r="L456" i="25"/>
  <c r="M456" i="25" s="1"/>
  <c r="N456" i="25" s="1"/>
  <c r="P456" i="25"/>
  <c r="Q456" i="25" s="1"/>
  <c r="L609" i="25"/>
  <c r="M609" i="25" s="1"/>
  <c r="N609" i="25" s="1"/>
  <c r="L784" i="25"/>
  <c r="M784" i="25" s="1"/>
  <c r="N784" i="25" s="1"/>
  <c r="L759" i="25"/>
  <c r="M759" i="25" s="1"/>
  <c r="N759" i="25" s="1"/>
  <c r="L282" i="25"/>
  <c r="M282" i="25" s="1"/>
  <c r="N282" i="25" s="1"/>
  <c r="P282" i="25"/>
  <c r="Q282" i="25" s="1"/>
  <c r="L531" i="25"/>
  <c r="M531" i="25" s="1"/>
  <c r="N531" i="25" s="1"/>
  <c r="L498" i="25"/>
  <c r="M498" i="25" s="1"/>
  <c r="N498" i="25" s="1"/>
  <c r="L446" i="25"/>
  <c r="M446" i="25" s="1"/>
  <c r="N446" i="25" s="1"/>
  <c r="P446" i="25"/>
  <c r="Q446" i="25" s="1"/>
  <c r="P512" i="25"/>
  <c r="Q512" i="25" s="1"/>
  <c r="L512" i="25"/>
  <c r="M512" i="25" s="1"/>
  <c r="N512" i="25" s="1"/>
  <c r="L467" i="25"/>
  <c r="M467" i="25" s="1"/>
  <c r="N467" i="25" s="1"/>
  <c r="P467" i="25"/>
  <c r="Q467" i="25" s="1"/>
  <c r="P449" i="25"/>
  <c r="Q449" i="25" s="1"/>
  <c r="L449" i="25"/>
  <c r="M449" i="25" s="1"/>
  <c r="N449" i="25" s="1"/>
  <c r="P254" i="25"/>
  <c r="Q254" i="25" s="1"/>
  <c r="L254" i="25"/>
  <c r="M254" i="25" s="1"/>
  <c r="N254" i="25" s="1"/>
  <c r="P535" i="25"/>
  <c r="Q535" i="25" s="1"/>
  <c r="L535" i="25"/>
  <c r="M535" i="25" s="1"/>
  <c r="N535" i="25" s="1"/>
  <c r="L408" i="25"/>
  <c r="M408" i="25" s="1"/>
  <c r="N408" i="25" s="1"/>
  <c r="P408" i="25"/>
  <c r="Q408" i="25" s="1"/>
  <c r="L257" i="25"/>
  <c r="M257" i="25" s="1"/>
  <c r="N257" i="25" s="1"/>
  <c r="P257" i="25"/>
  <c r="Q257" i="25" s="1"/>
  <c r="P464" i="25"/>
  <c r="Q464" i="25" s="1"/>
  <c r="L464" i="25"/>
  <c r="M464" i="25" s="1"/>
  <c r="N464" i="25" s="1"/>
  <c r="P442" i="25"/>
  <c r="Q442" i="25" s="1"/>
  <c r="P421" i="25"/>
  <c r="Q421" i="25" s="1"/>
  <c r="P416" i="25"/>
  <c r="Q416" i="25" s="1"/>
  <c r="L416" i="25"/>
  <c r="M416" i="25" s="1"/>
  <c r="N416" i="25" s="1"/>
  <c r="L281" i="25"/>
  <c r="M281" i="25" s="1"/>
  <c r="N281" i="25" s="1"/>
  <c r="L256" i="25"/>
  <c r="M256" i="25" s="1"/>
  <c r="N256" i="25" s="1"/>
  <c r="P479" i="25"/>
  <c r="Q479" i="25" s="1"/>
  <c r="L479" i="25"/>
  <c r="M479" i="25" s="1"/>
  <c r="N479" i="25" s="1"/>
  <c r="P430" i="25"/>
  <c r="Q430" i="25" s="1"/>
  <c r="L430" i="25"/>
  <c r="M430" i="25" s="1"/>
  <c r="N430" i="25" s="1"/>
  <c r="P409" i="25"/>
  <c r="Q409" i="25" s="1"/>
  <c r="P298" i="25"/>
  <c r="Q298" i="25" s="1"/>
  <c r="L298" i="25"/>
  <c r="M298" i="25" s="1"/>
  <c r="N298" i="25" s="1"/>
  <c r="P274" i="25"/>
  <c r="Q274" i="25" s="1"/>
  <c r="L274" i="25"/>
  <c r="M274" i="25" s="1"/>
  <c r="N274" i="25" s="1"/>
  <c r="P249" i="25"/>
  <c r="Q249" i="25" s="1"/>
  <c r="L249" i="25"/>
  <c r="M249" i="25" s="1"/>
  <c r="N249" i="25" s="1"/>
  <c r="P444" i="25"/>
  <c r="Q444" i="25" s="1"/>
  <c r="L444" i="25"/>
  <c r="M444" i="25" s="1"/>
  <c r="N444" i="25" s="1"/>
  <c r="L399" i="25"/>
  <c r="M399" i="25" s="1"/>
  <c r="N399" i="25" s="1"/>
  <c r="L276" i="25"/>
  <c r="M276" i="25" s="1"/>
  <c r="N276" i="25" s="1"/>
  <c r="L251" i="25"/>
  <c r="M251" i="25" s="1"/>
  <c r="N251" i="25" s="1"/>
  <c r="P459" i="25"/>
  <c r="Q459" i="25" s="1"/>
  <c r="L459" i="25"/>
  <c r="M459" i="25" s="1"/>
  <c r="N459" i="25" s="1"/>
  <c r="P411" i="25"/>
  <c r="Q411" i="25" s="1"/>
  <c r="L411" i="25"/>
  <c r="M411" i="25" s="1"/>
  <c r="N411" i="25" s="1"/>
  <c r="P294" i="25"/>
  <c r="Q294" i="25" s="1"/>
  <c r="L294" i="25"/>
  <c r="M294" i="25" s="1"/>
  <c r="N294" i="25" s="1"/>
  <c r="P269" i="25"/>
  <c r="Q269" i="25" s="1"/>
  <c r="L269" i="25"/>
  <c r="M269" i="25" s="1"/>
  <c r="N269" i="25" s="1"/>
  <c r="P425" i="25"/>
  <c r="Q425" i="25" s="1"/>
  <c r="L425" i="25"/>
  <c r="M425" i="25" s="1"/>
  <c r="N425" i="25" s="1"/>
  <c r="P439" i="25"/>
  <c r="Q439" i="25" s="1"/>
  <c r="L439" i="25"/>
  <c r="M439" i="25" s="1"/>
  <c r="N439" i="25" s="1"/>
  <c r="P289" i="25"/>
  <c r="Q289" i="25" s="1"/>
  <c r="L289" i="25"/>
  <c r="M289" i="25" s="1"/>
  <c r="N289" i="25" s="1"/>
  <c r="P264" i="25"/>
  <c r="Q264" i="25" s="1"/>
  <c r="L264" i="25"/>
  <c r="M264" i="25" s="1"/>
  <c r="N264" i="25" s="1"/>
  <c r="P454" i="25"/>
  <c r="Q454" i="25" s="1"/>
  <c r="L454" i="25"/>
  <c r="M454" i="25" s="1"/>
  <c r="N454" i="25" s="1"/>
  <c r="P406" i="25"/>
  <c r="Q406" i="25" s="1"/>
  <c r="L406" i="25"/>
  <c r="M406" i="25" s="1"/>
  <c r="N406" i="25" s="1"/>
  <c r="P469" i="25"/>
  <c r="Q469" i="25" s="1"/>
  <c r="L469" i="25"/>
  <c r="M469" i="25" s="1"/>
  <c r="N469" i="25" s="1"/>
  <c r="P284" i="25"/>
  <c r="Q284" i="25" s="1"/>
  <c r="L284" i="25"/>
  <c r="M284" i="25" s="1"/>
  <c r="N284" i="25" s="1"/>
  <c r="P259" i="25"/>
  <c r="Q259" i="25" s="1"/>
  <c r="L259" i="25"/>
  <c r="M259" i="25" s="1"/>
  <c r="N259" i="25" s="1"/>
  <c r="L117" i="25"/>
  <c r="M117" i="25" s="1"/>
  <c r="N117" i="25" s="1"/>
  <c r="P117" i="25"/>
  <c r="Q117" i="25" s="1"/>
  <c r="L61" i="25"/>
  <c r="M61" i="25" s="1"/>
  <c r="N61" i="25" s="1"/>
  <c r="P381" i="25"/>
  <c r="Q381" i="25" s="1"/>
  <c r="L381" i="25"/>
  <c r="M381" i="25" s="1"/>
  <c r="N381" i="25" s="1"/>
  <c r="P394" i="25"/>
  <c r="Q394" i="25" s="1"/>
  <c r="L394" i="25"/>
  <c r="M394" i="25" s="1"/>
  <c r="N394" i="25" s="1"/>
  <c r="L240" i="25"/>
  <c r="M240" i="25" s="1"/>
  <c r="N240" i="25" s="1"/>
  <c r="P227" i="25"/>
  <c r="Q227" i="25" s="1"/>
  <c r="P218" i="25"/>
  <c r="Q218" i="25" s="1"/>
  <c r="P208" i="25"/>
  <c r="Q208" i="25" s="1"/>
  <c r="P199" i="25"/>
  <c r="Q199" i="25" s="1"/>
  <c r="P190" i="25"/>
  <c r="Q190" i="25" s="1"/>
  <c r="P180" i="25"/>
  <c r="Q180" i="25" s="1"/>
  <c r="P170" i="25"/>
  <c r="Q170" i="25" s="1"/>
  <c r="P160" i="25"/>
  <c r="Q160" i="25" s="1"/>
  <c r="P150" i="25"/>
  <c r="Q150" i="25" s="1"/>
  <c r="P140" i="25"/>
  <c r="Q140" i="25" s="1"/>
  <c r="P131" i="25"/>
  <c r="Q131" i="25" s="1"/>
  <c r="L127" i="25"/>
  <c r="M127" i="25" s="1"/>
  <c r="N127" i="25" s="1"/>
  <c r="L107" i="25"/>
  <c r="M107" i="25" s="1"/>
  <c r="N107" i="25" s="1"/>
  <c r="P107" i="25"/>
  <c r="Q107" i="25" s="1"/>
  <c r="L101" i="25"/>
  <c r="M101" i="25" s="1"/>
  <c r="N101" i="25" s="1"/>
  <c r="L86" i="25"/>
  <c r="M86" i="25" s="1"/>
  <c r="N86" i="25" s="1"/>
  <c r="L50" i="25"/>
  <c r="M50" i="25" s="1"/>
  <c r="N50" i="25" s="1"/>
  <c r="L122" i="25"/>
  <c r="M122" i="25" s="1"/>
  <c r="N122" i="25" s="1"/>
  <c r="P122" i="25"/>
  <c r="Q122" i="25" s="1"/>
  <c r="P45" i="25"/>
  <c r="Q45" i="25" s="1"/>
  <c r="L45" i="25"/>
  <c r="M45" i="25" s="1"/>
  <c r="N45" i="25" s="1"/>
  <c r="L8" i="25"/>
  <c r="M8" i="25" s="1"/>
  <c r="N8" i="25" s="1"/>
  <c r="P8" i="25"/>
  <c r="Q8" i="25" s="1"/>
  <c r="L126" i="25"/>
  <c r="M126" i="25" s="1"/>
  <c r="N126" i="25" s="1"/>
  <c r="P126" i="25"/>
  <c r="Q126" i="25" s="1"/>
  <c r="L63" i="25"/>
  <c r="M63" i="25" s="1"/>
  <c r="N63" i="25" s="1"/>
  <c r="P63" i="25"/>
  <c r="Q63" i="25" s="1"/>
  <c r="P235" i="25"/>
  <c r="Q235" i="25" s="1"/>
  <c r="P228" i="25"/>
  <c r="Q228" i="25" s="1"/>
  <c r="P226" i="25"/>
  <c r="Q226" i="25" s="1"/>
  <c r="P219" i="25"/>
  <c r="Q219" i="25" s="1"/>
  <c r="P217" i="25"/>
  <c r="Q217" i="25" s="1"/>
  <c r="P209" i="25"/>
  <c r="Q209" i="25" s="1"/>
  <c r="P207" i="25"/>
  <c r="Q207" i="25" s="1"/>
  <c r="P200" i="25"/>
  <c r="Q200" i="25" s="1"/>
  <c r="P198" i="25"/>
  <c r="Q198" i="25" s="1"/>
  <c r="P191" i="25"/>
  <c r="Q191" i="25" s="1"/>
  <c r="P189" i="25"/>
  <c r="Q189" i="25" s="1"/>
  <c r="P181" i="25"/>
  <c r="Q181" i="25" s="1"/>
  <c r="P179" i="25"/>
  <c r="Q179" i="25" s="1"/>
  <c r="P171" i="25"/>
  <c r="Q171" i="25" s="1"/>
  <c r="P169" i="25"/>
  <c r="Q169" i="25" s="1"/>
  <c r="P161" i="25"/>
  <c r="Q161" i="25" s="1"/>
  <c r="P159" i="25"/>
  <c r="Q159" i="25" s="1"/>
  <c r="P151" i="25"/>
  <c r="Q151" i="25" s="1"/>
  <c r="P149" i="25"/>
  <c r="Q149" i="25" s="1"/>
  <c r="P141" i="25"/>
  <c r="Q141" i="25" s="1"/>
  <c r="P139" i="25"/>
  <c r="Q139" i="25" s="1"/>
  <c r="P132" i="25"/>
  <c r="Q132" i="25" s="1"/>
  <c r="P130" i="25"/>
  <c r="Q130" i="25" s="1"/>
  <c r="L112" i="25"/>
  <c r="M112" i="25" s="1"/>
  <c r="N112" i="25" s="1"/>
  <c r="P112" i="25"/>
  <c r="Q112" i="25" s="1"/>
  <c r="P246" i="25"/>
  <c r="Q246" i="25" s="1"/>
  <c r="L106" i="25"/>
  <c r="M106" i="25" s="1"/>
  <c r="N106" i="25" s="1"/>
  <c r="P95" i="25"/>
  <c r="Q95" i="25" s="1"/>
  <c r="L95" i="25"/>
  <c r="M95" i="25" s="1"/>
  <c r="N95" i="25" s="1"/>
  <c r="P70" i="25"/>
  <c r="Q70" i="25" s="1"/>
  <c r="L70" i="25"/>
  <c r="M70" i="25" s="1"/>
  <c r="N70" i="25" s="1"/>
  <c r="L103" i="25"/>
  <c r="M103" i="25" s="1"/>
  <c r="N103" i="25" s="1"/>
  <c r="P103" i="25"/>
  <c r="Q103" i="25" s="1"/>
  <c r="L88" i="25"/>
  <c r="M88" i="25" s="1"/>
  <c r="N88" i="25" s="1"/>
  <c r="P88" i="25"/>
  <c r="Q88" i="25" s="1"/>
  <c r="L120" i="25"/>
  <c r="M120" i="25" s="1"/>
  <c r="N120" i="25" s="1"/>
  <c r="L77" i="25"/>
  <c r="M77" i="25" s="1"/>
  <c r="N77" i="25" s="1"/>
  <c r="L21" i="25"/>
  <c r="M21" i="25" s="1"/>
  <c r="N21" i="25" s="1"/>
  <c r="L383" i="25"/>
  <c r="M383" i="25" s="1"/>
  <c r="N383" i="25" s="1"/>
  <c r="P383" i="25"/>
  <c r="Q383" i="25" s="1"/>
  <c r="P358" i="25"/>
  <c r="Q358" i="25" s="1"/>
  <c r="L358" i="25"/>
  <c r="M358" i="25" s="1"/>
  <c r="N358" i="25" s="1"/>
  <c r="L308" i="25"/>
  <c r="M308" i="25" s="1"/>
  <c r="N308" i="25" s="1"/>
  <c r="P308" i="25"/>
  <c r="Q308" i="25" s="1"/>
  <c r="P305" i="25"/>
  <c r="Q305" i="25" s="1"/>
  <c r="L305" i="25"/>
  <c r="M305" i="25" s="1"/>
  <c r="N305" i="25" s="1"/>
  <c r="P92" i="25"/>
  <c r="Q92" i="25" s="1"/>
  <c r="L20" i="25"/>
  <c r="M20" i="25" s="1"/>
  <c r="N20" i="25" s="1"/>
  <c r="P20" i="25"/>
  <c r="Q20" i="25" s="1"/>
  <c r="P333" i="25"/>
  <c r="Q333" i="25" s="1"/>
  <c r="L333" i="25"/>
  <c r="M333" i="25" s="1"/>
  <c r="N333" i="25" s="1"/>
  <c r="L60" i="25"/>
  <c r="M60" i="25" s="1"/>
  <c r="N60" i="25" s="1"/>
  <c r="L340" i="25"/>
  <c r="M340" i="25" s="1"/>
  <c r="N340" i="25" s="1"/>
  <c r="P340" i="25"/>
  <c r="Q340" i="25" s="1"/>
  <c r="L9" i="25"/>
  <c r="M9" i="25" s="1"/>
  <c r="N9" i="25" s="1"/>
  <c r="L3" i="25"/>
  <c r="M3" i="25" s="1"/>
  <c r="N3" i="25" s="1"/>
  <c r="P3" i="25"/>
  <c r="Q3" i="25" s="1"/>
  <c r="L368" i="25"/>
  <c r="M368" i="25" s="1"/>
  <c r="N368" i="25" s="1"/>
  <c r="P368" i="25"/>
  <c r="Q368" i="25" s="1"/>
  <c r="L304" i="25"/>
  <c r="M304" i="25" s="1"/>
  <c r="N304" i="25" s="1"/>
  <c r="L374" i="25"/>
  <c r="M374" i="25" s="1"/>
  <c r="N374" i="25" s="1"/>
  <c r="P374" i="25"/>
  <c r="Q374" i="25" s="1"/>
  <c r="L317" i="25"/>
  <c r="M317" i="25" s="1"/>
  <c r="N317" i="25" s="1"/>
  <c r="P317" i="25"/>
  <c r="Q317" i="25" s="1"/>
  <c r="P310" i="25"/>
  <c r="Q310" i="25" s="1"/>
  <c r="L310" i="25"/>
  <c r="M310" i="25" s="1"/>
  <c r="N310" i="25" s="1"/>
  <c r="L387" i="25"/>
  <c r="M387" i="25" s="1"/>
  <c r="N387" i="25" s="1"/>
  <c r="P387" i="25"/>
  <c r="Q387" i="25" s="1"/>
  <c r="P348" i="25"/>
  <c r="Q348" i="25" s="1"/>
  <c r="L348" i="25"/>
  <c r="M348" i="25" s="1"/>
  <c r="N348" i="25" s="1"/>
  <c r="L332" i="25"/>
  <c r="M332" i="25" s="1"/>
  <c r="N332" i="25" s="1"/>
  <c r="P332" i="25"/>
  <c r="Q332" i="25" s="1"/>
  <c r="P329" i="25"/>
  <c r="Q329" i="25" s="1"/>
  <c r="L329" i="25"/>
  <c r="M329" i="25" s="1"/>
  <c r="N329" i="25" s="1"/>
  <c r="P324" i="25"/>
  <c r="Q324" i="25" s="1"/>
  <c r="L324" i="25"/>
  <c r="M324" i="25" s="1"/>
  <c r="N324" i="25" s="1"/>
  <c r="P301" i="25"/>
  <c r="Q301" i="25" s="1"/>
  <c r="L301" i="25"/>
  <c r="M301" i="25" s="1"/>
  <c r="N301" i="25" s="1"/>
  <c r="P343" i="25"/>
  <c r="Q343" i="25" s="1"/>
  <c r="L343" i="25"/>
  <c r="M343" i="25" s="1"/>
  <c r="N343" i="25" s="1"/>
  <c r="P320" i="25"/>
  <c r="Q320" i="25" s="1"/>
  <c r="L320" i="25"/>
  <c r="M320" i="25" s="1"/>
  <c r="N320" i="25" s="1"/>
  <c r="P363" i="25"/>
  <c r="Q363" i="25" s="1"/>
  <c r="L363" i="25"/>
  <c r="M363" i="25" s="1"/>
  <c r="N363" i="25" s="1"/>
  <c r="P353" i="25"/>
  <c r="Q353" i="25" s="1"/>
  <c r="L353" i="25"/>
  <c r="M353" i="25" s="1"/>
  <c r="N353" i="25" s="1"/>
  <c r="P338" i="25"/>
  <c r="Q338" i="25" s="1"/>
  <c r="L338" i="25"/>
  <c r="M338" i="25" s="1"/>
  <c r="N338" i="25" s="1"/>
  <c r="P315" i="25"/>
  <c r="Q315" i="25" s="1"/>
  <c r="L315" i="25"/>
  <c r="M315" i="25" s="1"/>
  <c r="N315" i="25" s="1"/>
  <c r="Z96" i="19"/>
  <c r="AC96" i="19" s="1"/>
  <c r="AA96" i="19"/>
  <c r="AB96" i="19" s="1"/>
  <c r="Z8" i="19"/>
  <c r="AC8" i="19" s="1"/>
  <c r="AA8" i="19"/>
  <c r="AB8" i="19" s="1"/>
  <c r="Z43" i="19"/>
  <c r="AC43" i="19" s="1"/>
  <c r="AA43" i="19"/>
  <c r="AB43" i="19" s="1"/>
  <c r="Z91" i="19"/>
  <c r="AC91" i="19" s="1"/>
  <c r="AA91" i="19"/>
  <c r="AB91" i="19" s="1"/>
  <c r="Z3" i="19"/>
  <c r="AC3" i="19" s="1"/>
  <c r="AA3" i="19"/>
  <c r="AB3" i="19" s="1"/>
  <c r="Z74" i="19"/>
  <c r="AC74" i="19" s="1"/>
  <c r="AA74" i="19"/>
  <c r="AB74" i="19" s="1"/>
  <c r="Z38" i="19"/>
  <c r="AC38" i="19" s="1"/>
  <c r="AA38" i="19"/>
  <c r="AB38" i="19" s="1"/>
  <c r="Z83" i="19"/>
  <c r="AC83" i="19" s="1"/>
  <c r="AA83" i="19"/>
  <c r="AB83" i="19" s="1"/>
  <c r="Z20" i="19"/>
  <c r="AC20" i="19" s="1"/>
  <c r="AA20" i="19"/>
  <c r="AB20" i="19" s="1"/>
  <c r="Z46" i="19"/>
  <c r="AC46" i="19" s="1"/>
  <c r="AA46" i="19"/>
  <c r="AB46" i="19" s="1"/>
  <c r="Z50" i="19"/>
  <c r="AC50" i="19" s="1"/>
  <c r="AA50" i="19"/>
  <c r="AB50" i="19" s="1"/>
  <c r="Z99" i="19"/>
  <c r="AC99" i="19" s="1"/>
  <c r="AA99" i="19"/>
  <c r="AB99" i="19" s="1"/>
  <c r="Z100" i="19"/>
  <c r="AC100" i="19" s="1"/>
  <c r="AA100" i="19"/>
  <c r="AB100" i="19" s="1"/>
  <c r="Z88" i="19"/>
  <c r="AC88" i="19" s="1"/>
  <c r="AA88" i="19"/>
  <c r="AB88" i="19" s="1"/>
  <c r="Z6" i="19"/>
  <c r="AC6" i="19" s="1"/>
  <c r="AA6" i="19"/>
  <c r="AB6" i="19" s="1"/>
  <c r="Z97" i="19"/>
  <c r="AC97" i="19" s="1"/>
  <c r="AA97" i="19"/>
  <c r="AB97" i="19" s="1"/>
  <c r="Z30" i="19"/>
  <c r="AC30" i="19" s="1"/>
  <c r="AA30" i="19"/>
  <c r="AB30" i="19" s="1"/>
  <c r="Z95" i="19"/>
  <c r="AC95" i="19" s="1"/>
  <c r="AA95" i="19"/>
  <c r="AB95" i="19" s="1"/>
  <c r="Z98" i="19"/>
  <c r="AC98" i="19" s="1"/>
  <c r="AA98" i="19"/>
  <c r="AB98" i="19" s="1"/>
  <c r="Z26" i="19"/>
  <c r="AC26" i="19" s="1"/>
  <c r="AA26" i="19"/>
  <c r="AB26" i="19" s="1"/>
  <c r="Z89" i="19"/>
  <c r="AC89" i="19" s="1"/>
  <c r="AA89" i="19"/>
  <c r="AB89" i="19" s="1"/>
  <c r="Z52" i="19"/>
  <c r="AC52" i="19" s="1"/>
  <c r="AA52" i="19"/>
  <c r="AB52" i="19" s="1"/>
  <c r="Z94" i="19"/>
  <c r="AC94" i="19" s="1"/>
  <c r="AA94" i="19"/>
  <c r="AB94" i="19" s="1"/>
  <c r="Z62" i="19"/>
  <c r="AC62" i="19" s="1"/>
  <c r="AA62" i="19"/>
  <c r="AB62" i="19" s="1"/>
  <c r="Z66" i="19"/>
  <c r="AC66" i="19" s="1"/>
  <c r="AA66" i="19"/>
  <c r="AB66" i="19" s="1"/>
  <c r="Z60" i="19"/>
  <c r="AC60" i="19" s="1"/>
  <c r="AA60" i="19"/>
  <c r="AB60" i="19" s="1"/>
  <c r="Z77" i="19"/>
  <c r="AC77" i="19" s="1"/>
  <c r="AA77" i="19"/>
  <c r="AB77" i="19" s="1"/>
  <c r="Z25" i="19"/>
  <c r="AC25" i="19" s="1"/>
  <c r="AA25" i="19"/>
  <c r="AB25" i="19" s="1"/>
  <c r="Z17" i="19"/>
  <c r="AC17" i="19" s="1"/>
  <c r="AA17" i="19"/>
  <c r="AB17" i="19" s="1"/>
  <c r="Z2" i="19"/>
  <c r="AC2" i="19" s="1"/>
  <c r="AA2" i="19"/>
  <c r="AB2" i="19" s="1"/>
  <c r="Z33" i="19"/>
  <c r="AC33" i="19" s="1"/>
  <c r="AA33" i="19"/>
  <c r="AB33" i="19" s="1"/>
  <c r="Z56" i="19"/>
  <c r="AC56" i="19" s="1"/>
  <c r="AA56" i="19"/>
  <c r="AB56" i="19" s="1"/>
  <c r="Z59" i="19"/>
  <c r="AC59" i="19" s="1"/>
  <c r="AA59" i="19"/>
  <c r="AB59" i="19" s="1"/>
  <c r="Z47" i="19"/>
  <c r="AC47" i="19" s="1"/>
  <c r="AA47" i="19"/>
  <c r="AB47" i="19" s="1"/>
  <c r="Z21" i="19"/>
  <c r="AC21" i="19" s="1"/>
  <c r="AA21" i="19"/>
  <c r="AB21" i="19" s="1"/>
  <c r="Z36" i="19"/>
  <c r="AC36" i="19" s="1"/>
  <c r="AA36" i="19"/>
  <c r="AB36" i="19" s="1"/>
  <c r="Z13" i="19"/>
  <c r="AC13" i="19" s="1"/>
  <c r="AA13" i="19"/>
  <c r="AB13" i="19" s="1"/>
  <c r="Z11" i="19"/>
  <c r="AC11" i="19" s="1"/>
  <c r="AA11" i="19"/>
  <c r="AB11" i="19" s="1"/>
  <c r="Z24" i="19"/>
  <c r="AC24" i="19" s="1"/>
  <c r="AA24" i="19"/>
  <c r="AB24" i="19" s="1"/>
  <c r="Z16" i="19"/>
  <c r="AC16" i="19" s="1"/>
  <c r="AA16" i="19"/>
  <c r="AB16" i="19" s="1"/>
  <c r="Z9" i="19"/>
  <c r="AC9" i="19" s="1"/>
  <c r="AA9" i="19"/>
  <c r="AB9" i="19" s="1"/>
  <c r="Z19" i="19"/>
  <c r="AC19" i="19" s="1"/>
  <c r="AA19" i="19"/>
  <c r="AB19" i="19" s="1"/>
  <c r="Z7" i="19"/>
  <c r="AC7" i="19" s="1"/>
  <c r="AA7" i="19"/>
  <c r="AB7" i="19" s="1"/>
  <c r="Z42" i="19"/>
  <c r="AC42" i="19" s="1"/>
  <c r="AA42" i="19"/>
  <c r="AB42" i="19" s="1"/>
  <c r="Z35" i="19"/>
  <c r="AC35" i="19" s="1"/>
  <c r="AA35" i="19"/>
  <c r="AB35" i="19" s="1"/>
  <c r="Z29" i="19"/>
  <c r="AC29" i="19" s="1"/>
  <c r="AA29" i="19"/>
  <c r="AB29" i="19" s="1"/>
  <c r="Z61" i="19"/>
  <c r="AC61" i="19" s="1"/>
  <c r="AA61" i="19"/>
  <c r="AB61" i="19" s="1"/>
  <c r="Z31" i="19"/>
  <c r="AC31" i="19" s="1"/>
  <c r="AA31" i="19"/>
  <c r="AB31" i="19" s="1"/>
  <c r="Z45" i="19"/>
  <c r="AC45" i="19" s="1"/>
  <c r="AA45" i="19"/>
  <c r="AB45" i="19" s="1"/>
  <c r="Z32" i="19"/>
  <c r="AC32" i="19" s="1"/>
  <c r="AA32" i="19"/>
  <c r="AB32" i="19" s="1"/>
  <c r="Z27" i="19"/>
  <c r="AC27" i="19" s="1"/>
  <c r="AA27" i="19"/>
  <c r="AB27" i="19" s="1"/>
  <c r="Z39" i="19"/>
  <c r="AC39" i="19" s="1"/>
  <c r="AA39" i="19"/>
  <c r="AB39" i="19" s="1"/>
  <c r="Z15" i="19"/>
  <c r="AC15" i="19" s="1"/>
  <c r="AA15" i="19"/>
  <c r="AB15" i="19" s="1"/>
  <c r="Z10" i="19"/>
  <c r="AC10" i="19" s="1"/>
  <c r="AA10" i="19"/>
  <c r="AB10" i="19" s="1"/>
  <c r="Z23" i="19"/>
  <c r="AC23" i="19" s="1"/>
  <c r="AA23" i="19"/>
  <c r="AB23" i="19" s="1"/>
  <c r="Z90" i="19"/>
  <c r="AC90" i="19" s="1"/>
  <c r="AA90" i="19"/>
  <c r="AB90" i="19" s="1"/>
  <c r="Z41" i="19"/>
  <c r="AC41" i="19" s="1"/>
  <c r="AA41" i="19"/>
  <c r="AB41" i="19" s="1"/>
  <c r="Z93" i="19"/>
  <c r="AC93" i="19" s="1"/>
  <c r="AA93" i="19"/>
  <c r="AB93" i="19" s="1"/>
  <c r="Z44" i="19"/>
  <c r="AC44" i="19" s="1"/>
  <c r="AA44" i="19"/>
  <c r="AB44" i="19" s="1"/>
  <c r="Z87" i="19"/>
  <c r="AC87" i="19" s="1"/>
  <c r="AA87" i="19"/>
  <c r="AB87" i="19" s="1"/>
  <c r="Z92" i="19"/>
  <c r="AC92" i="19" s="1"/>
  <c r="AA92" i="19"/>
  <c r="AB92" i="19" s="1"/>
  <c r="Z85" i="19"/>
  <c r="AC85" i="19" s="1"/>
  <c r="AA85" i="19"/>
  <c r="AB85" i="19" s="1"/>
  <c r="Z81" i="19"/>
  <c r="AC81" i="19" s="1"/>
  <c r="AA81" i="19"/>
  <c r="AB81" i="19" s="1"/>
  <c r="Z4" i="19"/>
  <c r="AC4" i="19" s="1"/>
  <c r="AA4" i="19"/>
  <c r="AB4" i="19" s="1"/>
  <c r="Z12" i="19"/>
  <c r="AC12" i="19" s="1"/>
  <c r="AA12" i="19"/>
  <c r="AB12" i="19" s="1"/>
  <c r="Z76" i="19"/>
  <c r="AC76" i="19" s="1"/>
  <c r="AA76" i="19"/>
  <c r="AB76" i="19" s="1"/>
  <c r="Z28" i="19"/>
  <c r="AC28" i="19" s="1"/>
  <c r="AA28" i="19"/>
  <c r="AB28" i="19" s="1"/>
  <c r="Z22" i="19"/>
  <c r="AC22" i="19" s="1"/>
  <c r="AA22" i="19"/>
  <c r="AB22" i="19" s="1"/>
  <c r="Z34" i="19"/>
  <c r="AC34" i="19" s="1"/>
  <c r="AA34" i="19"/>
  <c r="AB34" i="19" s="1"/>
  <c r="Z18" i="19"/>
  <c r="AC18" i="19" s="1"/>
  <c r="AA18" i="19"/>
  <c r="AB18" i="19" s="1"/>
  <c r="Z72" i="19"/>
  <c r="AC72" i="19" s="1"/>
  <c r="AA72" i="19"/>
  <c r="AB72" i="19" s="1"/>
  <c r="Z40" i="19"/>
  <c r="AC40" i="19" s="1"/>
  <c r="AA40" i="19"/>
  <c r="AB40" i="19" s="1"/>
  <c r="Z80" i="19"/>
  <c r="AC80" i="19" s="1"/>
  <c r="AA80" i="19"/>
  <c r="AB80" i="19" s="1"/>
  <c r="Z84" i="19"/>
  <c r="AC84" i="19" s="1"/>
  <c r="AA84" i="19"/>
  <c r="AB84" i="19" s="1"/>
  <c r="Z14" i="19"/>
  <c r="AC14" i="19" s="1"/>
  <c r="AA14" i="19"/>
  <c r="AB14" i="19" s="1"/>
  <c r="Z82" i="19"/>
  <c r="AC82" i="19" s="1"/>
  <c r="AA82" i="19"/>
  <c r="AB82" i="19" s="1"/>
  <c r="Z73" i="19"/>
  <c r="AC73" i="19" s="1"/>
  <c r="AA73" i="19"/>
  <c r="AB73" i="19" s="1"/>
  <c r="Z75" i="19"/>
  <c r="AC75" i="19" s="1"/>
  <c r="AA75" i="19"/>
  <c r="AB75" i="19" s="1"/>
  <c r="Z68" i="19"/>
  <c r="AC68" i="19" s="1"/>
  <c r="AA68" i="19"/>
  <c r="AB68" i="19" s="1"/>
  <c r="Z63" i="19"/>
  <c r="AC63" i="19" s="1"/>
  <c r="AA63" i="19"/>
  <c r="AB63" i="19" s="1"/>
  <c r="Z78" i="19"/>
  <c r="AC78" i="19" s="1"/>
  <c r="AA78" i="19"/>
  <c r="AB78" i="19" s="1"/>
  <c r="Z71" i="19"/>
  <c r="AC71" i="19" s="1"/>
  <c r="AA71" i="19"/>
  <c r="AB71" i="19" s="1"/>
  <c r="Z55" i="19"/>
  <c r="AC55" i="19" s="1"/>
  <c r="AA55" i="19"/>
  <c r="AB55" i="19" s="1"/>
  <c r="Z51" i="19"/>
  <c r="AC51" i="19" s="1"/>
  <c r="AA51" i="19"/>
  <c r="AB51" i="19" s="1"/>
  <c r="Z65" i="19"/>
  <c r="AC65" i="19" s="1"/>
  <c r="AA65" i="19"/>
  <c r="AB65" i="19" s="1"/>
  <c r="Z67" i="19"/>
  <c r="AC67" i="19" s="1"/>
  <c r="AA67" i="19"/>
  <c r="AB67" i="19" s="1"/>
  <c r="Z49" i="19"/>
  <c r="AC49" i="19" s="1"/>
  <c r="AA49" i="19"/>
  <c r="AB49" i="19" s="1"/>
  <c r="Z54" i="19"/>
  <c r="AC54" i="19" s="1"/>
  <c r="AA54" i="19"/>
  <c r="AB54" i="19" s="1"/>
  <c r="Z64" i="19"/>
  <c r="AC64" i="19" s="1"/>
  <c r="AA64" i="19"/>
  <c r="AB64" i="19" s="1"/>
  <c r="Z69" i="19"/>
  <c r="AC69" i="19" s="1"/>
  <c r="AA69" i="19"/>
  <c r="AB69" i="19" s="1"/>
  <c r="Z57" i="19"/>
  <c r="AC57" i="19" s="1"/>
  <c r="AA57" i="19"/>
  <c r="AB57" i="19" s="1"/>
  <c r="Z58" i="19"/>
  <c r="AC58" i="19" s="1"/>
  <c r="AA58" i="19"/>
  <c r="AB58" i="19" s="1"/>
  <c r="Z70" i="19"/>
  <c r="AC70" i="19" s="1"/>
  <c r="AA70" i="19"/>
  <c r="AB70" i="19" s="1"/>
  <c r="Z53" i="19"/>
  <c r="AC53" i="19" s="1"/>
  <c r="AA53" i="19"/>
  <c r="AB53" i="19" s="1"/>
  <c r="Z37" i="19"/>
  <c r="AC37" i="19" s="1"/>
  <c r="AA37" i="19"/>
  <c r="AB37" i="19" s="1"/>
  <c r="Z5" i="19"/>
  <c r="AC5" i="19" s="1"/>
  <c r="AA5" i="19"/>
  <c r="AB5" i="19" s="1"/>
  <c r="AE48" i="19"/>
  <c r="AF48" i="19" s="1"/>
  <c r="AI48" i="19" s="1"/>
  <c r="AS33" i="19"/>
  <c r="AT33" i="19" s="1"/>
  <c r="AF33" i="19"/>
  <c r="AI33" i="19" s="1"/>
  <c r="AG33" i="19"/>
  <c r="AH33" i="19" s="1"/>
  <c r="AF56" i="19"/>
  <c r="AI56" i="19" s="1"/>
  <c r="AG56" i="19"/>
  <c r="AH56" i="19" s="1"/>
  <c r="AF59" i="19"/>
  <c r="AI59" i="19" s="1"/>
  <c r="AG59" i="19"/>
  <c r="AH59" i="19" s="1"/>
  <c r="AF47" i="19"/>
  <c r="AI47" i="19" s="1"/>
  <c r="AG47" i="19"/>
  <c r="AH47" i="19" s="1"/>
  <c r="AF21" i="19"/>
  <c r="AI21" i="19" s="1"/>
  <c r="AG21" i="19"/>
  <c r="AH21" i="19" s="1"/>
  <c r="AF36" i="19"/>
  <c r="AI36" i="19" s="1"/>
  <c r="AG36" i="19"/>
  <c r="AH36" i="19" s="1"/>
  <c r="AF13" i="19"/>
  <c r="AI13" i="19" s="1"/>
  <c r="AG13" i="19"/>
  <c r="AH13" i="19" s="1"/>
  <c r="AF11" i="19"/>
  <c r="AI11" i="19" s="1"/>
  <c r="AG11" i="19"/>
  <c r="AH11" i="19" s="1"/>
  <c r="AF24" i="19"/>
  <c r="AI24" i="19" s="1"/>
  <c r="AG24" i="19"/>
  <c r="AH24" i="19" s="1"/>
  <c r="AF16" i="19"/>
  <c r="AI16" i="19" s="1"/>
  <c r="AG16" i="19"/>
  <c r="AH16" i="19" s="1"/>
  <c r="AF9" i="19"/>
  <c r="AI9" i="19" s="1"/>
  <c r="AG9" i="19"/>
  <c r="AH9" i="19" s="1"/>
  <c r="AF19" i="19"/>
  <c r="AI19" i="19" s="1"/>
  <c r="AG19" i="19"/>
  <c r="AH19" i="19" s="1"/>
  <c r="AF7" i="19"/>
  <c r="AI7" i="19" s="1"/>
  <c r="AG7" i="19"/>
  <c r="AH7" i="19" s="1"/>
  <c r="AF42" i="19"/>
  <c r="AI42" i="19" s="1"/>
  <c r="AG42" i="19"/>
  <c r="AH42" i="19" s="1"/>
  <c r="AF35" i="19"/>
  <c r="AI35" i="19" s="1"/>
  <c r="AG35" i="19"/>
  <c r="AH35" i="19" s="1"/>
  <c r="AF29" i="19"/>
  <c r="AI29" i="19" s="1"/>
  <c r="AG29" i="19"/>
  <c r="AH29" i="19" s="1"/>
  <c r="AF61" i="19"/>
  <c r="AI61" i="19" s="1"/>
  <c r="AG61" i="19"/>
  <c r="AH61" i="19" s="1"/>
  <c r="AF31" i="19"/>
  <c r="AI31" i="19" s="1"/>
  <c r="AG31" i="19"/>
  <c r="AH31" i="19" s="1"/>
  <c r="AF45" i="19"/>
  <c r="AI45" i="19" s="1"/>
  <c r="AG45" i="19"/>
  <c r="AH45" i="19" s="1"/>
  <c r="AF32" i="19"/>
  <c r="AI32" i="19" s="1"/>
  <c r="AG32" i="19"/>
  <c r="AH32" i="19" s="1"/>
  <c r="AF27" i="19"/>
  <c r="AI27" i="19" s="1"/>
  <c r="AG27" i="19"/>
  <c r="AH27" i="19" s="1"/>
  <c r="AF39" i="19"/>
  <c r="AI39" i="19" s="1"/>
  <c r="AG39" i="19"/>
  <c r="AH39" i="19" s="1"/>
  <c r="AF15" i="19"/>
  <c r="AI15" i="19" s="1"/>
  <c r="AG15" i="19"/>
  <c r="AH15" i="19" s="1"/>
  <c r="AF10" i="19"/>
  <c r="AI10" i="19" s="1"/>
  <c r="AG10" i="19"/>
  <c r="AH10" i="19" s="1"/>
  <c r="AF23" i="19"/>
  <c r="AI23" i="19" s="1"/>
  <c r="AG23" i="19"/>
  <c r="AH23" i="19" s="1"/>
  <c r="AF90" i="19"/>
  <c r="AI90" i="19" s="1"/>
  <c r="AG90" i="19"/>
  <c r="AH90" i="19" s="1"/>
  <c r="AF41" i="19"/>
  <c r="AI41" i="19" s="1"/>
  <c r="AG41" i="19"/>
  <c r="AH41" i="19" s="1"/>
  <c r="AF93" i="19"/>
  <c r="AI93" i="19" s="1"/>
  <c r="AG93" i="19"/>
  <c r="AH93" i="19" s="1"/>
  <c r="AF44" i="19"/>
  <c r="AI44" i="19" s="1"/>
  <c r="AG44" i="19"/>
  <c r="AH44" i="19" s="1"/>
  <c r="AF87" i="19"/>
  <c r="AI87" i="19" s="1"/>
  <c r="AG87" i="19"/>
  <c r="AH87" i="19" s="1"/>
  <c r="AF92" i="19"/>
  <c r="AI92" i="19" s="1"/>
  <c r="AG92" i="19"/>
  <c r="AH92" i="19" s="1"/>
  <c r="AF85" i="19"/>
  <c r="AI85" i="19" s="1"/>
  <c r="AG85" i="19"/>
  <c r="AH85" i="19" s="1"/>
  <c r="AF81" i="19"/>
  <c r="AI81" i="19" s="1"/>
  <c r="AG81" i="19"/>
  <c r="AH81" i="19" s="1"/>
  <c r="AF4" i="19"/>
  <c r="AI4" i="19" s="1"/>
  <c r="AG4" i="19"/>
  <c r="AH4" i="19" s="1"/>
  <c r="AF12" i="19"/>
  <c r="AI12" i="19" s="1"/>
  <c r="AG12" i="19"/>
  <c r="AH12" i="19" s="1"/>
  <c r="AF76" i="19"/>
  <c r="AI76" i="19" s="1"/>
  <c r="AG76" i="19"/>
  <c r="AH76" i="19" s="1"/>
  <c r="AF28" i="19"/>
  <c r="AI28" i="19" s="1"/>
  <c r="AG28" i="19"/>
  <c r="AH28" i="19" s="1"/>
  <c r="AF22" i="19"/>
  <c r="AI22" i="19" s="1"/>
  <c r="AG22" i="19"/>
  <c r="AH22" i="19" s="1"/>
  <c r="AF34" i="19"/>
  <c r="AI34" i="19" s="1"/>
  <c r="AG34" i="19"/>
  <c r="AH34" i="19" s="1"/>
  <c r="AF18" i="19"/>
  <c r="AI18" i="19" s="1"/>
  <c r="AG18" i="19"/>
  <c r="AH18" i="19" s="1"/>
  <c r="AF72" i="19"/>
  <c r="AI72" i="19" s="1"/>
  <c r="AG72" i="19"/>
  <c r="AH72" i="19" s="1"/>
  <c r="AF40" i="19"/>
  <c r="AI40" i="19" s="1"/>
  <c r="AG40" i="19"/>
  <c r="AH40" i="19" s="1"/>
  <c r="AF80" i="19"/>
  <c r="AI80" i="19" s="1"/>
  <c r="AG80" i="19"/>
  <c r="AH80" i="19" s="1"/>
  <c r="AF84" i="19"/>
  <c r="AI84" i="19" s="1"/>
  <c r="AG84" i="19"/>
  <c r="AH84" i="19" s="1"/>
  <c r="AF14" i="19"/>
  <c r="AI14" i="19" s="1"/>
  <c r="AG14" i="19"/>
  <c r="AH14" i="19" s="1"/>
  <c r="AF82" i="19"/>
  <c r="AI82" i="19" s="1"/>
  <c r="AG82" i="19"/>
  <c r="AH82" i="19" s="1"/>
  <c r="AF73" i="19"/>
  <c r="AI73" i="19" s="1"/>
  <c r="AG73" i="19"/>
  <c r="AH73" i="19" s="1"/>
  <c r="AF75" i="19"/>
  <c r="AI75" i="19" s="1"/>
  <c r="AG75" i="19"/>
  <c r="AH75" i="19" s="1"/>
  <c r="AF68" i="19"/>
  <c r="AI68" i="19" s="1"/>
  <c r="AG68" i="19"/>
  <c r="AH68" i="19" s="1"/>
  <c r="AF63" i="19"/>
  <c r="AI63" i="19" s="1"/>
  <c r="AG63" i="19"/>
  <c r="AH63" i="19" s="1"/>
  <c r="AF78" i="19"/>
  <c r="AI78" i="19" s="1"/>
  <c r="AG78" i="19"/>
  <c r="AH78" i="19" s="1"/>
  <c r="AF71" i="19"/>
  <c r="AI71" i="19" s="1"/>
  <c r="AG71" i="19"/>
  <c r="AH71" i="19" s="1"/>
  <c r="AF55" i="19"/>
  <c r="AI55" i="19" s="1"/>
  <c r="AG55" i="19"/>
  <c r="AH55" i="19" s="1"/>
  <c r="AF51" i="19"/>
  <c r="AI51" i="19" s="1"/>
  <c r="AG51" i="19"/>
  <c r="AH51" i="19" s="1"/>
  <c r="AF65" i="19"/>
  <c r="AI65" i="19" s="1"/>
  <c r="AG65" i="19"/>
  <c r="AH65" i="19" s="1"/>
  <c r="AF67" i="19"/>
  <c r="AI67" i="19" s="1"/>
  <c r="AG67" i="19"/>
  <c r="AH67" i="19" s="1"/>
  <c r="AF49" i="19"/>
  <c r="AI49" i="19" s="1"/>
  <c r="AG49" i="19"/>
  <c r="AH49" i="19" s="1"/>
  <c r="AF54" i="19"/>
  <c r="AI54" i="19" s="1"/>
  <c r="AG54" i="19"/>
  <c r="AH54" i="19" s="1"/>
  <c r="AF64" i="19"/>
  <c r="AI64" i="19" s="1"/>
  <c r="AG64" i="19"/>
  <c r="AH64" i="19" s="1"/>
  <c r="AF69" i="19"/>
  <c r="AI69" i="19" s="1"/>
  <c r="AG69" i="19"/>
  <c r="AH69" i="19" s="1"/>
  <c r="AF57" i="19"/>
  <c r="AI57" i="19" s="1"/>
  <c r="AG57" i="19"/>
  <c r="AH57" i="19" s="1"/>
  <c r="AF58" i="19"/>
  <c r="AI58" i="19" s="1"/>
  <c r="AG58" i="19"/>
  <c r="AH58" i="19" s="1"/>
  <c r="AF70" i="19"/>
  <c r="AI70" i="19" s="1"/>
  <c r="AG70" i="19"/>
  <c r="AH70" i="19" s="1"/>
  <c r="AF53" i="19"/>
  <c r="AI53" i="19" s="1"/>
  <c r="AG53" i="19"/>
  <c r="AH53" i="19" s="1"/>
  <c r="AF37" i="19"/>
  <c r="AI37" i="19" s="1"/>
  <c r="AG37" i="19"/>
  <c r="AH37" i="19" s="1"/>
  <c r="AF96" i="19"/>
  <c r="AI96" i="19" s="1"/>
  <c r="AG96" i="19"/>
  <c r="AH96" i="19" s="1"/>
  <c r="AF8" i="19"/>
  <c r="AI8" i="19" s="1"/>
  <c r="AG8" i="19"/>
  <c r="AH8" i="19" s="1"/>
  <c r="AF43" i="19"/>
  <c r="AI43" i="19" s="1"/>
  <c r="AG43" i="19"/>
  <c r="AH43" i="19" s="1"/>
  <c r="AF5" i="19"/>
  <c r="AI5" i="19" s="1"/>
  <c r="AG5" i="19"/>
  <c r="AH5" i="19" s="1"/>
  <c r="AF91" i="19"/>
  <c r="AI91" i="19" s="1"/>
  <c r="AG91" i="19"/>
  <c r="AH91" i="19" s="1"/>
  <c r="AF3" i="19"/>
  <c r="AI3" i="19" s="1"/>
  <c r="AG3" i="19"/>
  <c r="AH3" i="19" s="1"/>
  <c r="AF74" i="19"/>
  <c r="AI74" i="19" s="1"/>
  <c r="AG74" i="19"/>
  <c r="AH74" i="19" s="1"/>
  <c r="AF38" i="19"/>
  <c r="AI38" i="19" s="1"/>
  <c r="AG38" i="19"/>
  <c r="AH38" i="19" s="1"/>
  <c r="AF83" i="19"/>
  <c r="AI83" i="19" s="1"/>
  <c r="AG83" i="19"/>
  <c r="AH83" i="19" s="1"/>
  <c r="AF20" i="19"/>
  <c r="AI20" i="19" s="1"/>
  <c r="AG20" i="19"/>
  <c r="AH20" i="19" s="1"/>
  <c r="AF46" i="19"/>
  <c r="AI46" i="19" s="1"/>
  <c r="AG46" i="19"/>
  <c r="AH46" i="19" s="1"/>
  <c r="AF50" i="19"/>
  <c r="AI50" i="19" s="1"/>
  <c r="AG50" i="19"/>
  <c r="AH50" i="19" s="1"/>
  <c r="AF99" i="19"/>
  <c r="AI99" i="19" s="1"/>
  <c r="AG99" i="19"/>
  <c r="AH99" i="19" s="1"/>
  <c r="AF100" i="19"/>
  <c r="AI100" i="19" s="1"/>
  <c r="AG100" i="19"/>
  <c r="AH100" i="19" s="1"/>
  <c r="AF88" i="19"/>
  <c r="AI88" i="19" s="1"/>
  <c r="AG88" i="19"/>
  <c r="AH88" i="19" s="1"/>
  <c r="AF6" i="19"/>
  <c r="AI6" i="19" s="1"/>
  <c r="AG6" i="19"/>
  <c r="AH6" i="19" s="1"/>
  <c r="AF97" i="19"/>
  <c r="AI97" i="19" s="1"/>
  <c r="AG97" i="19"/>
  <c r="AH97" i="19" s="1"/>
  <c r="AF30" i="19"/>
  <c r="AI30" i="19" s="1"/>
  <c r="AG30" i="19"/>
  <c r="AH30" i="19" s="1"/>
  <c r="AF95" i="19"/>
  <c r="AI95" i="19" s="1"/>
  <c r="AG95" i="19"/>
  <c r="AH95" i="19" s="1"/>
  <c r="AF98" i="19"/>
  <c r="AI98" i="19" s="1"/>
  <c r="AG98" i="19"/>
  <c r="AH98" i="19" s="1"/>
  <c r="AF26" i="19"/>
  <c r="AI26" i="19" s="1"/>
  <c r="AG26" i="19"/>
  <c r="AH26" i="19" s="1"/>
  <c r="AF89" i="19"/>
  <c r="AI89" i="19" s="1"/>
  <c r="AG89" i="19"/>
  <c r="AH89" i="19" s="1"/>
  <c r="AF52" i="19"/>
  <c r="AI52" i="19" s="1"/>
  <c r="AG52" i="19"/>
  <c r="AH52" i="19" s="1"/>
  <c r="AF94" i="19"/>
  <c r="AI94" i="19" s="1"/>
  <c r="AG94" i="19"/>
  <c r="AH94" i="19" s="1"/>
  <c r="AF62" i="19"/>
  <c r="AI62" i="19" s="1"/>
  <c r="AG62" i="19"/>
  <c r="AH62" i="19" s="1"/>
  <c r="AF66" i="19"/>
  <c r="AI66" i="19" s="1"/>
  <c r="AG66" i="19"/>
  <c r="AH66" i="19" s="1"/>
  <c r="AF60" i="19"/>
  <c r="AI60" i="19" s="1"/>
  <c r="AG60" i="19"/>
  <c r="AH60" i="19" s="1"/>
  <c r="AF77" i="19"/>
  <c r="AI77" i="19" s="1"/>
  <c r="AG77" i="19"/>
  <c r="AH77" i="19" s="1"/>
  <c r="AF25" i="19"/>
  <c r="AI25" i="19" s="1"/>
  <c r="AG25" i="19"/>
  <c r="AH25" i="19" s="1"/>
  <c r="AF17" i="19"/>
  <c r="AI17" i="19" s="1"/>
  <c r="AG17" i="19"/>
  <c r="AH17" i="19" s="1"/>
  <c r="AF2" i="19"/>
  <c r="AI2" i="19" s="1"/>
  <c r="AG2" i="19"/>
  <c r="AH2" i="19" s="1"/>
  <c r="AK86" i="19"/>
  <c r="AL86" i="19" s="1"/>
  <c r="AO86" i="19" s="1"/>
  <c r="AL37" i="19"/>
  <c r="AO37" i="19" s="1"/>
  <c r="AM37" i="19"/>
  <c r="AN37" i="19" s="1"/>
  <c r="AL96" i="19"/>
  <c r="AO96" i="19" s="1"/>
  <c r="AM96" i="19"/>
  <c r="AN96" i="19" s="1"/>
  <c r="AL8" i="19"/>
  <c r="AO8" i="19" s="1"/>
  <c r="AM8" i="19"/>
  <c r="AN8" i="19" s="1"/>
  <c r="AL43" i="19"/>
  <c r="AO43" i="19" s="1"/>
  <c r="AM43" i="19"/>
  <c r="AN43" i="19" s="1"/>
  <c r="AL5" i="19"/>
  <c r="AO5" i="19" s="1"/>
  <c r="AM5" i="19"/>
  <c r="AN5" i="19" s="1"/>
  <c r="AL91" i="19"/>
  <c r="AO91" i="19" s="1"/>
  <c r="AM91" i="19"/>
  <c r="AN91" i="19" s="1"/>
  <c r="AL3" i="19"/>
  <c r="AO3" i="19" s="1"/>
  <c r="AM3" i="19"/>
  <c r="AN3" i="19" s="1"/>
  <c r="AL74" i="19"/>
  <c r="AO74" i="19" s="1"/>
  <c r="AM74" i="19"/>
  <c r="AN74" i="19" s="1"/>
  <c r="AL38" i="19"/>
  <c r="AO38" i="19" s="1"/>
  <c r="AM38" i="19"/>
  <c r="AN38" i="19" s="1"/>
  <c r="AL83" i="19"/>
  <c r="AO83" i="19" s="1"/>
  <c r="AM83" i="19"/>
  <c r="AN83" i="19" s="1"/>
  <c r="AL20" i="19"/>
  <c r="AO20" i="19" s="1"/>
  <c r="AM20" i="19"/>
  <c r="AN20" i="19" s="1"/>
  <c r="AL46" i="19"/>
  <c r="AO46" i="19" s="1"/>
  <c r="AM46" i="19"/>
  <c r="AN46" i="19" s="1"/>
  <c r="AL50" i="19"/>
  <c r="AO50" i="19" s="1"/>
  <c r="AM50" i="19"/>
  <c r="AN50" i="19" s="1"/>
  <c r="AL99" i="19"/>
  <c r="AO99" i="19" s="1"/>
  <c r="AM99" i="19"/>
  <c r="AN99" i="19" s="1"/>
  <c r="AL100" i="19"/>
  <c r="AO100" i="19" s="1"/>
  <c r="AM100" i="19"/>
  <c r="AN100" i="19" s="1"/>
  <c r="AL88" i="19"/>
  <c r="AO88" i="19" s="1"/>
  <c r="AM88" i="19"/>
  <c r="AN88" i="19" s="1"/>
  <c r="AL6" i="19"/>
  <c r="AO6" i="19" s="1"/>
  <c r="AM6" i="19"/>
  <c r="AN6" i="19" s="1"/>
  <c r="AL97" i="19"/>
  <c r="AO97" i="19" s="1"/>
  <c r="AM97" i="19"/>
  <c r="AN97" i="19" s="1"/>
  <c r="AL30" i="19"/>
  <c r="AO30" i="19" s="1"/>
  <c r="AM30" i="19"/>
  <c r="AN30" i="19" s="1"/>
  <c r="AL95" i="19"/>
  <c r="AO95" i="19" s="1"/>
  <c r="AM95" i="19"/>
  <c r="AN95" i="19" s="1"/>
  <c r="AL98" i="19"/>
  <c r="AO98" i="19" s="1"/>
  <c r="AM98" i="19"/>
  <c r="AN98" i="19" s="1"/>
  <c r="AL26" i="19"/>
  <c r="AO26" i="19" s="1"/>
  <c r="AM26" i="19"/>
  <c r="AN26" i="19" s="1"/>
  <c r="AL89" i="19"/>
  <c r="AO89" i="19" s="1"/>
  <c r="AM89" i="19"/>
  <c r="AN89" i="19" s="1"/>
  <c r="AL52" i="19"/>
  <c r="AO52" i="19" s="1"/>
  <c r="AM52" i="19"/>
  <c r="AN52" i="19" s="1"/>
  <c r="AL94" i="19"/>
  <c r="AO94" i="19" s="1"/>
  <c r="AM94" i="19"/>
  <c r="AN94" i="19" s="1"/>
  <c r="AL62" i="19"/>
  <c r="AO62" i="19" s="1"/>
  <c r="AM62" i="19"/>
  <c r="AN62" i="19" s="1"/>
  <c r="AL66" i="19"/>
  <c r="AO66" i="19" s="1"/>
  <c r="AM66" i="19"/>
  <c r="AN66" i="19" s="1"/>
  <c r="AL60" i="19"/>
  <c r="AO60" i="19" s="1"/>
  <c r="AM60" i="19"/>
  <c r="AN60" i="19" s="1"/>
  <c r="AL77" i="19"/>
  <c r="AO77" i="19" s="1"/>
  <c r="AM77" i="19"/>
  <c r="AN77" i="19" s="1"/>
  <c r="AL25" i="19"/>
  <c r="AO25" i="19" s="1"/>
  <c r="AM25" i="19"/>
  <c r="AN25" i="19" s="1"/>
  <c r="AL17" i="19"/>
  <c r="AO17" i="19" s="1"/>
  <c r="AM17" i="19"/>
  <c r="AN17" i="19" s="1"/>
  <c r="AL2" i="19"/>
  <c r="AO2" i="19" s="1"/>
  <c r="AM2" i="19"/>
  <c r="AN2" i="19" s="1"/>
  <c r="AL33" i="19"/>
  <c r="AO33" i="19" s="1"/>
  <c r="AM33" i="19"/>
  <c r="AN33" i="19" s="1"/>
  <c r="AL56" i="19"/>
  <c r="AO56" i="19" s="1"/>
  <c r="AM56" i="19"/>
  <c r="AN56" i="19" s="1"/>
  <c r="AL59" i="19"/>
  <c r="AO59" i="19" s="1"/>
  <c r="AM59" i="19"/>
  <c r="AN59" i="19" s="1"/>
  <c r="AL47" i="19"/>
  <c r="AO47" i="19" s="1"/>
  <c r="AM47" i="19"/>
  <c r="AN47" i="19" s="1"/>
  <c r="AL21" i="19"/>
  <c r="AO21" i="19" s="1"/>
  <c r="AM21" i="19"/>
  <c r="AN21" i="19" s="1"/>
  <c r="AL36" i="19"/>
  <c r="AO36" i="19" s="1"/>
  <c r="AM36" i="19"/>
  <c r="AN36" i="19" s="1"/>
  <c r="AL13" i="19"/>
  <c r="AO13" i="19" s="1"/>
  <c r="AM13" i="19"/>
  <c r="AN13" i="19" s="1"/>
  <c r="AL11" i="19"/>
  <c r="AO11" i="19" s="1"/>
  <c r="AM11" i="19"/>
  <c r="AN11" i="19" s="1"/>
  <c r="AL24" i="19"/>
  <c r="AO24" i="19" s="1"/>
  <c r="AM24" i="19"/>
  <c r="AN24" i="19" s="1"/>
  <c r="AL16" i="19"/>
  <c r="AO16" i="19" s="1"/>
  <c r="AM16" i="19"/>
  <c r="AN16" i="19" s="1"/>
  <c r="AL9" i="19"/>
  <c r="AO9" i="19" s="1"/>
  <c r="AM9" i="19"/>
  <c r="AN9" i="19" s="1"/>
  <c r="AL19" i="19"/>
  <c r="AO19" i="19" s="1"/>
  <c r="AM19" i="19"/>
  <c r="AN19" i="19" s="1"/>
  <c r="AL7" i="19"/>
  <c r="AO7" i="19" s="1"/>
  <c r="AM7" i="19"/>
  <c r="AN7" i="19" s="1"/>
  <c r="AL42" i="19"/>
  <c r="AO42" i="19" s="1"/>
  <c r="AM42" i="19"/>
  <c r="AN42" i="19" s="1"/>
  <c r="AL35" i="19"/>
  <c r="AO35" i="19" s="1"/>
  <c r="AM35" i="19"/>
  <c r="AN35" i="19" s="1"/>
  <c r="AL29" i="19"/>
  <c r="AO29" i="19" s="1"/>
  <c r="AM29" i="19"/>
  <c r="AN29" i="19" s="1"/>
  <c r="AL61" i="19"/>
  <c r="AO61" i="19" s="1"/>
  <c r="AM61" i="19"/>
  <c r="AN61" i="19" s="1"/>
  <c r="AL31" i="19"/>
  <c r="AO31" i="19" s="1"/>
  <c r="AM31" i="19"/>
  <c r="AN31" i="19" s="1"/>
  <c r="AL45" i="19"/>
  <c r="AO45" i="19" s="1"/>
  <c r="AM45" i="19"/>
  <c r="AN45" i="19" s="1"/>
  <c r="AL32" i="19"/>
  <c r="AO32" i="19" s="1"/>
  <c r="AM32" i="19"/>
  <c r="AN32" i="19" s="1"/>
  <c r="AL27" i="19"/>
  <c r="AO27" i="19" s="1"/>
  <c r="AM27" i="19"/>
  <c r="AN27" i="19" s="1"/>
  <c r="AL39" i="19"/>
  <c r="AO39" i="19" s="1"/>
  <c r="AM39" i="19"/>
  <c r="AN39" i="19" s="1"/>
  <c r="AL15" i="19"/>
  <c r="AO15" i="19" s="1"/>
  <c r="AM15" i="19"/>
  <c r="AN15" i="19" s="1"/>
  <c r="AL10" i="19"/>
  <c r="AO10" i="19" s="1"/>
  <c r="AM10" i="19"/>
  <c r="AN10" i="19" s="1"/>
  <c r="AL23" i="19"/>
  <c r="AO23" i="19" s="1"/>
  <c r="AM23" i="19"/>
  <c r="AN23" i="19" s="1"/>
  <c r="AL90" i="19"/>
  <c r="AO90" i="19" s="1"/>
  <c r="AM90" i="19"/>
  <c r="AN90" i="19" s="1"/>
  <c r="AL41" i="19"/>
  <c r="AO41" i="19" s="1"/>
  <c r="AM41" i="19"/>
  <c r="AN41" i="19" s="1"/>
  <c r="AL93" i="19"/>
  <c r="AO93" i="19" s="1"/>
  <c r="AM93" i="19"/>
  <c r="AN93" i="19" s="1"/>
  <c r="AL44" i="19"/>
  <c r="AO44" i="19" s="1"/>
  <c r="AM44" i="19"/>
  <c r="AN44" i="19" s="1"/>
  <c r="AL87" i="19"/>
  <c r="AO87" i="19" s="1"/>
  <c r="AM87" i="19"/>
  <c r="AN87" i="19" s="1"/>
  <c r="AL92" i="19"/>
  <c r="AO92" i="19" s="1"/>
  <c r="AM92" i="19"/>
  <c r="AN92" i="19" s="1"/>
  <c r="AL85" i="19"/>
  <c r="AO85" i="19" s="1"/>
  <c r="AM85" i="19"/>
  <c r="AN85" i="19" s="1"/>
  <c r="AL81" i="19"/>
  <c r="AO81" i="19" s="1"/>
  <c r="AM81" i="19"/>
  <c r="AN81" i="19" s="1"/>
  <c r="AL4" i="19"/>
  <c r="AO4" i="19" s="1"/>
  <c r="AM4" i="19"/>
  <c r="AN4" i="19" s="1"/>
  <c r="AL12" i="19"/>
  <c r="AO12" i="19" s="1"/>
  <c r="AM12" i="19"/>
  <c r="AN12" i="19" s="1"/>
  <c r="AL76" i="19"/>
  <c r="AO76" i="19" s="1"/>
  <c r="AM76" i="19"/>
  <c r="AN76" i="19" s="1"/>
  <c r="AL28" i="19"/>
  <c r="AO28" i="19" s="1"/>
  <c r="AM28" i="19"/>
  <c r="AN28" i="19" s="1"/>
  <c r="AL22" i="19"/>
  <c r="AO22" i="19" s="1"/>
  <c r="AM22" i="19"/>
  <c r="AN22" i="19" s="1"/>
  <c r="AL34" i="19"/>
  <c r="AO34" i="19" s="1"/>
  <c r="AM34" i="19"/>
  <c r="AN34" i="19" s="1"/>
  <c r="AL18" i="19"/>
  <c r="AO18" i="19" s="1"/>
  <c r="AM18" i="19"/>
  <c r="AN18" i="19" s="1"/>
  <c r="AL72" i="19"/>
  <c r="AO72" i="19" s="1"/>
  <c r="AM72" i="19"/>
  <c r="AN72" i="19" s="1"/>
  <c r="AL40" i="19"/>
  <c r="AO40" i="19" s="1"/>
  <c r="AM40" i="19"/>
  <c r="AN40" i="19" s="1"/>
  <c r="AL80" i="19"/>
  <c r="AO80" i="19" s="1"/>
  <c r="AM80" i="19"/>
  <c r="AN80" i="19" s="1"/>
  <c r="AL84" i="19"/>
  <c r="AO84" i="19" s="1"/>
  <c r="AM84" i="19"/>
  <c r="AN84" i="19" s="1"/>
  <c r="AL14" i="19"/>
  <c r="AO14" i="19" s="1"/>
  <c r="AM14" i="19"/>
  <c r="AN14" i="19" s="1"/>
  <c r="AL82" i="19"/>
  <c r="AO82" i="19" s="1"/>
  <c r="AM82" i="19"/>
  <c r="AN82" i="19" s="1"/>
  <c r="AL73" i="19"/>
  <c r="AO73" i="19" s="1"/>
  <c r="AM73" i="19"/>
  <c r="AN73" i="19" s="1"/>
  <c r="AL75" i="19"/>
  <c r="AO75" i="19" s="1"/>
  <c r="AM75" i="19"/>
  <c r="AN75" i="19" s="1"/>
  <c r="AL68" i="19"/>
  <c r="AO68" i="19" s="1"/>
  <c r="AM68" i="19"/>
  <c r="AN68" i="19" s="1"/>
  <c r="AL63" i="19"/>
  <c r="AO63" i="19" s="1"/>
  <c r="AM63" i="19"/>
  <c r="AN63" i="19" s="1"/>
  <c r="AL78" i="19"/>
  <c r="AO78" i="19" s="1"/>
  <c r="AM78" i="19"/>
  <c r="AN78" i="19" s="1"/>
  <c r="AL71" i="19"/>
  <c r="AO71" i="19" s="1"/>
  <c r="AM71" i="19"/>
  <c r="AN71" i="19" s="1"/>
  <c r="AL55" i="19"/>
  <c r="AO55" i="19" s="1"/>
  <c r="AM55" i="19"/>
  <c r="AN55" i="19" s="1"/>
  <c r="AL51" i="19"/>
  <c r="AO51" i="19" s="1"/>
  <c r="AM51" i="19"/>
  <c r="AN51" i="19" s="1"/>
  <c r="AL65" i="19"/>
  <c r="AO65" i="19" s="1"/>
  <c r="AM65" i="19"/>
  <c r="AN65" i="19" s="1"/>
  <c r="AL67" i="19"/>
  <c r="AO67" i="19" s="1"/>
  <c r="AM67" i="19"/>
  <c r="AN67" i="19" s="1"/>
  <c r="AL49" i="19"/>
  <c r="AO49" i="19" s="1"/>
  <c r="AM49" i="19"/>
  <c r="AN49" i="19" s="1"/>
  <c r="AL54" i="19"/>
  <c r="AO54" i="19" s="1"/>
  <c r="AM54" i="19"/>
  <c r="AN54" i="19" s="1"/>
  <c r="AL64" i="19"/>
  <c r="AO64" i="19" s="1"/>
  <c r="AM64" i="19"/>
  <c r="AN64" i="19" s="1"/>
  <c r="AL69" i="19"/>
  <c r="AO69" i="19" s="1"/>
  <c r="AM69" i="19"/>
  <c r="AN69" i="19" s="1"/>
  <c r="AL57" i="19"/>
  <c r="AO57" i="19" s="1"/>
  <c r="AM57" i="19"/>
  <c r="AN57" i="19" s="1"/>
  <c r="AL58" i="19"/>
  <c r="AO58" i="19" s="1"/>
  <c r="AM58" i="19"/>
  <c r="AN58" i="19" s="1"/>
  <c r="AL70" i="19"/>
  <c r="AO70" i="19" s="1"/>
  <c r="AM70" i="19"/>
  <c r="AN70" i="19" s="1"/>
  <c r="AL53" i="19"/>
  <c r="AO53" i="19" s="1"/>
  <c r="AM53" i="19"/>
  <c r="AN53" i="19" s="1"/>
  <c r="AS59" i="19"/>
  <c r="AT59" i="19" s="1"/>
  <c r="BU86" i="19"/>
  <c r="BV86" i="19" s="1"/>
  <c r="AS91" i="19"/>
  <c r="AT91" i="19" s="1"/>
  <c r="AX95" i="19"/>
  <c r="BA95" i="19" s="1"/>
  <c r="AS99" i="19"/>
  <c r="AT99" i="19" s="1"/>
  <c r="AS21" i="19"/>
  <c r="AT21" i="19" s="1"/>
  <c r="AS100" i="19"/>
  <c r="AT100" i="19" s="1"/>
  <c r="AS89" i="19"/>
  <c r="AT89" i="19" s="1"/>
  <c r="AS94" i="19"/>
  <c r="AT94" i="19" s="1"/>
  <c r="AR42" i="19"/>
  <c r="AU42" i="19" s="1"/>
  <c r="AS42" i="19"/>
  <c r="AT42" i="19" s="1"/>
  <c r="AR35" i="19"/>
  <c r="AU35" i="19" s="1"/>
  <c r="AS35" i="19"/>
  <c r="AT35" i="19" s="1"/>
  <c r="AR29" i="19"/>
  <c r="AU29" i="19" s="1"/>
  <c r="AS29" i="19"/>
  <c r="AT29" i="19" s="1"/>
  <c r="AR61" i="19"/>
  <c r="AU61" i="19" s="1"/>
  <c r="AS61" i="19"/>
  <c r="AT61" i="19" s="1"/>
  <c r="AR45" i="19"/>
  <c r="AU45" i="19" s="1"/>
  <c r="AS45" i="19"/>
  <c r="AT45" i="19" s="1"/>
  <c r="AR32" i="19"/>
  <c r="AU32" i="19" s="1"/>
  <c r="AS32" i="19"/>
  <c r="AT32" i="19" s="1"/>
  <c r="AR27" i="19"/>
  <c r="AU27" i="19" s="1"/>
  <c r="AS27" i="19"/>
  <c r="AT27" i="19" s="1"/>
  <c r="AR39" i="19"/>
  <c r="AU39" i="19" s="1"/>
  <c r="AS39" i="19"/>
  <c r="AT39" i="19" s="1"/>
  <c r="AR15" i="19"/>
  <c r="AU15" i="19" s="1"/>
  <c r="AS15" i="19"/>
  <c r="AT15" i="19" s="1"/>
  <c r="AR10" i="19"/>
  <c r="AU10" i="19" s="1"/>
  <c r="AS10" i="19"/>
  <c r="AT10" i="19" s="1"/>
  <c r="AR23" i="19"/>
  <c r="AU23" i="19" s="1"/>
  <c r="AS23" i="19"/>
  <c r="AT23" i="19" s="1"/>
  <c r="AR90" i="19"/>
  <c r="AU90" i="19" s="1"/>
  <c r="AS90" i="19"/>
  <c r="AT90" i="19" s="1"/>
  <c r="AR41" i="19"/>
  <c r="AU41" i="19" s="1"/>
  <c r="AS41" i="19"/>
  <c r="AT41" i="19" s="1"/>
  <c r="AR93" i="19"/>
  <c r="AU93" i="19" s="1"/>
  <c r="AS93" i="19"/>
  <c r="AT93" i="19" s="1"/>
  <c r="AR44" i="19"/>
  <c r="AU44" i="19" s="1"/>
  <c r="AS44" i="19"/>
  <c r="AT44" i="19" s="1"/>
  <c r="AR87" i="19"/>
  <c r="AU87" i="19" s="1"/>
  <c r="AS87" i="19"/>
  <c r="AT87" i="19" s="1"/>
  <c r="AR92" i="19"/>
  <c r="AU92" i="19" s="1"/>
  <c r="AS92" i="19"/>
  <c r="AT92" i="19" s="1"/>
  <c r="AR85" i="19"/>
  <c r="AU85" i="19" s="1"/>
  <c r="AS85" i="19"/>
  <c r="AT85" i="19" s="1"/>
  <c r="AR81" i="19"/>
  <c r="AU81" i="19" s="1"/>
  <c r="AS81" i="19"/>
  <c r="AT81" i="19" s="1"/>
  <c r="AR4" i="19"/>
  <c r="AU4" i="19" s="1"/>
  <c r="AS4" i="19"/>
  <c r="AT4" i="19" s="1"/>
  <c r="AR12" i="19"/>
  <c r="AU12" i="19" s="1"/>
  <c r="AS12" i="19"/>
  <c r="AT12" i="19" s="1"/>
  <c r="AR76" i="19"/>
  <c r="AU76" i="19" s="1"/>
  <c r="AS76" i="19"/>
  <c r="AT76" i="19" s="1"/>
  <c r="AY40" i="19"/>
  <c r="AZ40" i="19" s="1"/>
  <c r="AR28" i="19"/>
  <c r="AU28" i="19" s="1"/>
  <c r="AS28" i="19"/>
  <c r="AT28" i="19" s="1"/>
  <c r="AR22" i="19"/>
  <c r="AU22" i="19" s="1"/>
  <c r="AS22" i="19"/>
  <c r="AT22" i="19" s="1"/>
  <c r="AR34" i="19"/>
  <c r="AU34" i="19" s="1"/>
  <c r="AS34" i="19"/>
  <c r="AT34" i="19" s="1"/>
  <c r="AR18" i="19"/>
  <c r="AU18" i="19" s="1"/>
  <c r="AS18" i="19"/>
  <c r="AT18" i="19" s="1"/>
  <c r="AR72" i="19"/>
  <c r="AU72" i="19" s="1"/>
  <c r="AS72" i="19"/>
  <c r="AT72" i="19" s="1"/>
  <c r="AS7" i="19"/>
  <c r="AT7" i="19" s="1"/>
  <c r="AR36" i="19"/>
  <c r="AU36" i="19" s="1"/>
  <c r="AS36" i="19"/>
  <c r="AT36" i="19" s="1"/>
  <c r="AR16" i="19"/>
  <c r="AU16" i="19" s="1"/>
  <c r="AS16" i="19"/>
  <c r="AT16" i="19" s="1"/>
  <c r="AS9" i="19"/>
  <c r="AT9" i="19" s="1"/>
  <c r="AR31" i="19"/>
  <c r="AU31" i="19" s="1"/>
  <c r="AS31" i="19"/>
  <c r="AT31" i="19" s="1"/>
  <c r="AR37" i="19"/>
  <c r="AU37" i="19" s="1"/>
  <c r="AS37" i="19"/>
  <c r="AT37" i="19" s="1"/>
  <c r="AR43" i="19"/>
  <c r="AU43" i="19" s="1"/>
  <c r="AS43" i="19"/>
  <c r="AT43" i="19" s="1"/>
  <c r="AR40" i="19"/>
  <c r="AU40" i="19" s="1"/>
  <c r="AS40" i="19"/>
  <c r="AT40" i="19" s="1"/>
  <c r="AR3" i="19"/>
  <c r="AU3" i="19" s="1"/>
  <c r="AS3" i="19"/>
  <c r="AT3" i="19" s="1"/>
  <c r="AR38" i="19"/>
  <c r="AU38" i="19" s="1"/>
  <c r="AS38" i="19"/>
  <c r="AT38" i="19" s="1"/>
  <c r="AR20" i="19"/>
  <c r="AU20" i="19" s="1"/>
  <c r="AS20" i="19"/>
  <c r="AT20" i="19" s="1"/>
  <c r="AR80" i="19"/>
  <c r="AU80" i="19" s="1"/>
  <c r="AS80" i="19"/>
  <c r="AT80" i="19" s="1"/>
  <c r="AR84" i="19"/>
  <c r="AU84" i="19" s="1"/>
  <c r="AS84" i="19"/>
  <c r="AT84" i="19" s="1"/>
  <c r="AR14" i="19"/>
  <c r="AU14" i="19" s="1"/>
  <c r="AS14" i="19"/>
  <c r="AT14" i="19" s="1"/>
  <c r="AR82" i="19"/>
  <c r="AU82" i="19" s="1"/>
  <c r="AS82" i="19"/>
  <c r="AT82" i="19" s="1"/>
  <c r="AR73" i="19"/>
  <c r="AU73" i="19" s="1"/>
  <c r="AS73" i="19"/>
  <c r="AT73" i="19" s="1"/>
  <c r="AR75" i="19"/>
  <c r="AU75" i="19" s="1"/>
  <c r="AS75" i="19"/>
  <c r="AT75" i="19" s="1"/>
  <c r="AR68" i="19"/>
  <c r="AU68" i="19" s="1"/>
  <c r="AS68" i="19"/>
  <c r="AT68" i="19" s="1"/>
  <c r="AR63" i="19"/>
  <c r="AU63" i="19" s="1"/>
  <c r="AS63" i="19"/>
  <c r="AT63" i="19" s="1"/>
  <c r="AR78" i="19"/>
  <c r="AU78" i="19" s="1"/>
  <c r="AS78" i="19"/>
  <c r="AT78" i="19" s="1"/>
  <c r="AR71" i="19"/>
  <c r="AU71" i="19" s="1"/>
  <c r="AS71" i="19"/>
  <c r="AT71" i="19" s="1"/>
  <c r="AR55" i="19"/>
  <c r="AU55" i="19" s="1"/>
  <c r="AS55" i="19"/>
  <c r="AT55" i="19" s="1"/>
  <c r="AR51" i="19"/>
  <c r="AU51" i="19" s="1"/>
  <c r="AS51" i="19"/>
  <c r="AT51" i="19" s="1"/>
  <c r="AS74" i="19"/>
  <c r="AT74" i="19" s="1"/>
  <c r="AS6" i="19"/>
  <c r="AT6" i="19" s="1"/>
  <c r="AS66" i="19"/>
  <c r="AT66" i="19" s="1"/>
  <c r="AR65" i="19"/>
  <c r="AU65" i="19" s="1"/>
  <c r="AS65" i="19"/>
  <c r="AT65" i="19" s="1"/>
  <c r="AR67" i="19"/>
  <c r="AU67" i="19" s="1"/>
  <c r="AS67" i="19"/>
  <c r="AT67" i="19" s="1"/>
  <c r="AR49" i="19"/>
  <c r="AU49" i="19" s="1"/>
  <c r="AS49" i="19"/>
  <c r="AT49" i="19" s="1"/>
  <c r="AR54" i="19"/>
  <c r="AU54" i="19" s="1"/>
  <c r="AS54" i="19"/>
  <c r="AT54" i="19" s="1"/>
  <c r="AR64" i="19"/>
  <c r="AU64" i="19" s="1"/>
  <c r="AS64" i="19"/>
  <c r="AT64" i="19" s="1"/>
  <c r="AR69" i="19"/>
  <c r="AU69" i="19" s="1"/>
  <c r="AS69" i="19"/>
  <c r="AT69" i="19" s="1"/>
  <c r="AR57" i="19"/>
  <c r="AU57" i="19" s="1"/>
  <c r="AS57" i="19"/>
  <c r="AT57" i="19" s="1"/>
  <c r="AR58" i="19"/>
  <c r="AU58" i="19" s="1"/>
  <c r="AS58" i="19"/>
  <c r="AT58" i="19" s="1"/>
  <c r="AR70" i="19"/>
  <c r="AU70" i="19" s="1"/>
  <c r="AS70" i="19"/>
  <c r="AT70" i="19" s="1"/>
  <c r="AR53" i="19"/>
  <c r="AU53" i="19" s="1"/>
  <c r="AS53" i="19"/>
  <c r="AT53" i="19" s="1"/>
  <c r="AR50" i="19"/>
  <c r="AU50" i="19" s="1"/>
  <c r="AS50" i="19"/>
  <c r="AT50" i="19" s="1"/>
  <c r="AQ86" i="19"/>
  <c r="AR88" i="19"/>
  <c r="AU88" i="19" s="1"/>
  <c r="AS88" i="19"/>
  <c r="AT88" i="19" s="1"/>
  <c r="AR97" i="19"/>
  <c r="AU97" i="19" s="1"/>
  <c r="AS97" i="19"/>
  <c r="AT97" i="19" s="1"/>
  <c r="AS96" i="19"/>
  <c r="AT96" i="19" s="1"/>
  <c r="AS83" i="19"/>
  <c r="AT83" i="19" s="1"/>
  <c r="AS30" i="19"/>
  <c r="AT30" i="19" s="1"/>
  <c r="AS77" i="19"/>
  <c r="AT77" i="19" s="1"/>
  <c r="AS13" i="19"/>
  <c r="AT13" i="19" s="1"/>
  <c r="AR5" i="19"/>
  <c r="AU5" i="19" s="1"/>
  <c r="AS5" i="19"/>
  <c r="AT5" i="19" s="1"/>
  <c r="AR95" i="19"/>
  <c r="AU95" i="19" s="1"/>
  <c r="AS95" i="19"/>
  <c r="AT95" i="19" s="1"/>
  <c r="AR26" i="19"/>
  <c r="AU26" i="19" s="1"/>
  <c r="AS26" i="19"/>
  <c r="AT26" i="19" s="1"/>
  <c r="AR52" i="19"/>
  <c r="AU52" i="19" s="1"/>
  <c r="AS52" i="19"/>
  <c r="AT52" i="19" s="1"/>
  <c r="AR62" i="19"/>
  <c r="AU62" i="19" s="1"/>
  <c r="AS62" i="19"/>
  <c r="AT62" i="19" s="1"/>
  <c r="AR60" i="19"/>
  <c r="AU60" i="19" s="1"/>
  <c r="AS60" i="19"/>
  <c r="AT60" i="19" s="1"/>
  <c r="AR25" i="19"/>
  <c r="AU25" i="19" s="1"/>
  <c r="AS25" i="19"/>
  <c r="AT25" i="19" s="1"/>
  <c r="AR2" i="19"/>
  <c r="AU2" i="19" s="1"/>
  <c r="AS2" i="19"/>
  <c r="AT2" i="19" s="1"/>
  <c r="AS8" i="19"/>
  <c r="AT8" i="19" s="1"/>
  <c r="AS46" i="19"/>
  <c r="AT46" i="19" s="1"/>
  <c r="AS98" i="19"/>
  <c r="AT98" i="19" s="1"/>
  <c r="AS17" i="19"/>
  <c r="AT17" i="19" s="1"/>
  <c r="AS24" i="19"/>
  <c r="AT24" i="19" s="1"/>
  <c r="AR11" i="19"/>
  <c r="AU11" i="19" s="1"/>
  <c r="AS11" i="19"/>
  <c r="AT11" i="19" s="1"/>
  <c r="AR19" i="19"/>
  <c r="AU19" i="19" s="1"/>
  <c r="AS19" i="19"/>
  <c r="AT19" i="19" s="1"/>
  <c r="AR56" i="19"/>
  <c r="AU56" i="19" s="1"/>
  <c r="AS56" i="19"/>
  <c r="AT56" i="19" s="1"/>
  <c r="AR47" i="19"/>
  <c r="AU47" i="19" s="1"/>
  <c r="AS47" i="19"/>
  <c r="AT47" i="19" s="1"/>
  <c r="BK60" i="19"/>
  <c r="BL60" i="19" s="1"/>
  <c r="AW48" i="19"/>
  <c r="AX48" i="19" s="1"/>
  <c r="BA48" i="19" s="1"/>
  <c r="BK56" i="19"/>
  <c r="BL56" i="19" s="1"/>
  <c r="AY77" i="19"/>
  <c r="AZ77" i="19" s="1"/>
  <c r="AX77" i="19"/>
  <c r="BA77" i="19" s="1"/>
  <c r="BC48" i="19"/>
  <c r="BD48" i="19" s="1"/>
  <c r="BG48" i="19" s="1"/>
  <c r="BD17" i="19"/>
  <c r="BG17" i="19" s="1"/>
  <c r="BE3" i="19"/>
  <c r="BF3" i="19" s="1"/>
  <c r="BP13" i="19"/>
  <c r="BS13" i="19" s="1"/>
  <c r="BQ83" i="19"/>
  <c r="BR83" i="19" s="1"/>
  <c r="BK64" i="19"/>
  <c r="BL64" i="19" s="1"/>
  <c r="AY74" i="19"/>
  <c r="AZ74" i="19" s="1"/>
  <c r="BO48" i="19"/>
  <c r="BP48" i="19" s="1"/>
  <c r="BS48" i="19" s="1"/>
  <c r="BI48" i="19"/>
  <c r="BJ48" i="19" s="1"/>
  <c r="BM48" i="19" s="1"/>
  <c r="AX87" i="19"/>
  <c r="BA87" i="19" s="1"/>
  <c r="AY87" i="19"/>
  <c r="AZ87" i="19" s="1"/>
  <c r="AX85" i="19"/>
  <c r="BA85" i="19" s="1"/>
  <c r="AY85" i="19"/>
  <c r="AZ85" i="19" s="1"/>
  <c r="AY12" i="19"/>
  <c r="AZ12" i="19" s="1"/>
  <c r="AX12" i="19"/>
  <c r="BA12" i="19" s="1"/>
  <c r="BJ92" i="19"/>
  <c r="BM92" i="19" s="1"/>
  <c r="BD88" i="19"/>
  <c r="BG88" i="19" s="1"/>
  <c r="BK6" i="19"/>
  <c r="BL6" i="19" s="1"/>
  <c r="BE89" i="19"/>
  <c r="BF89" i="19" s="1"/>
  <c r="BE33" i="19"/>
  <c r="BF33" i="19" s="1"/>
  <c r="BE21" i="19"/>
  <c r="BF21" i="19" s="1"/>
  <c r="BE13" i="19"/>
  <c r="BF13" i="19" s="1"/>
  <c r="BQ28" i="19"/>
  <c r="BR28" i="19" s="1"/>
  <c r="AY21" i="19"/>
  <c r="AZ21" i="19" s="1"/>
  <c r="BQ4" i="19"/>
  <c r="BR4" i="19" s="1"/>
  <c r="BX86" i="19"/>
  <c r="BY86" i="19" s="1"/>
  <c r="BJ77" i="19"/>
  <c r="BM77" i="19" s="1"/>
  <c r="BK77" i="19"/>
  <c r="BL77" i="19" s="1"/>
  <c r="AX13" i="19"/>
  <c r="BA13" i="19" s="1"/>
  <c r="AY13" i="19"/>
  <c r="AZ13" i="19" s="1"/>
  <c r="BK27" i="19"/>
  <c r="BL27" i="19" s="1"/>
  <c r="BJ27" i="19"/>
  <c r="BM27" i="19" s="1"/>
  <c r="BJ12" i="19"/>
  <c r="BM12" i="19" s="1"/>
  <c r="BK12" i="19"/>
  <c r="BL12" i="19" s="1"/>
  <c r="BP51" i="19"/>
  <c r="BS51" i="19" s="1"/>
  <c r="BQ51" i="19"/>
  <c r="BR51" i="19" s="1"/>
  <c r="BP37" i="19"/>
  <c r="BS37" i="19" s="1"/>
  <c r="BQ37" i="19"/>
  <c r="BR37" i="19" s="1"/>
  <c r="BQ52" i="19"/>
  <c r="BR52" i="19" s="1"/>
  <c r="BP52" i="19"/>
  <c r="BS52" i="19" s="1"/>
  <c r="BJ59" i="19"/>
  <c r="BM59" i="19" s="1"/>
  <c r="BK59" i="19"/>
  <c r="BL59" i="19" s="1"/>
  <c r="AX90" i="19"/>
  <c r="BA90" i="19" s="1"/>
  <c r="AY90" i="19"/>
  <c r="AZ90" i="19" s="1"/>
  <c r="AX3" i="19"/>
  <c r="BA3" i="19" s="1"/>
  <c r="AY3" i="19"/>
  <c r="AZ3" i="19" s="1"/>
  <c r="BD74" i="19"/>
  <c r="BG74" i="19" s="1"/>
  <c r="BE74" i="19"/>
  <c r="BF74" i="19" s="1"/>
  <c r="BP38" i="19"/>
  <c r="BS38" i="19" s="1"/>
  <c r="BQ38" i="19"/>
  <c r="BR38" i="19" s="1"/>
  <c r="BP17" i="19"/>
  <c r="BS17" i="19" s="1"/>
  <c r="BQ17" i="19"/>
  <c r="BR17" i="19" s="1"/>
  <c r="BP15" i="19"/>
  <c r="BS15" i="19" s="1"/>
  <c r="BQ15" i="19"/>
  <c r="BR15" i="19" s="1"/>
  <c r="BP85" i="19"/>
  <c r="BS85" i="19" s="1"/>
  <c r="BQ85" i="19"/>
  <c r="BR85" i="19" s="1"/>
  <c r="BP14" i="19"/>
  <c r="BS14" i="19" s="1"/>
  <c r="BQ14" i="19"/>
  <c r="BR14" i="19" s="1"/>
  <c r="AX50" i="19"/>
  <c r="BA50" i="19" s="1"/>
  <c r="AY50" i="19"/>
  <c r="AZ50" i="19" s="1"/>
  <c r="BJ25" i="19"/>
  <c r="BM25" i="19" s="1"/>
  <c r="BK25" i="19"/>
  <c r="BL25" i="19" s="1"/>
  <c r="BK24" i="19"/>
  <c r="BL24" i="19" s="1"/>
  <c r="BJ24" i="19"/>
  <c r="BM24" i="19" s="1"/>
  <c r="BP7" i="19"/>
  <c r="BS7" i="19" s="1"/>
  <c r="BQ7" i="19"/>
  <c r="BR7" i="19" s="1"/>
  <c r="BE76" i="19"/>
  <c r="BF76" i="19" s="1"/>
  <c r="BD76" i="19"/>
  <c r="BG76" i="19" s="1"/>
  <c r="BK18" i="19"/>
  <c r="BL18" i="19" s="1"/>
  <c r="BJ18" i="19"/>
  <c r="BM18" i="19" s="1"/>
  <c r="BQ31" i="19"/>
  <c r="BR31" i="19" s="1"/>
  <c r="BP31" i="19"/>
  <c r="BS31" i="19" s="1"/>
  <c r="AX76" i="19"/>
  <c r="BA76" i="19" s="1"/>
  <c r="AY76" i="19"/>
  <c r="AZ76" i="19" s="1"/>
  <c r="BE84" i="19"/>
  <c r="BF84" i="19" s="1"/>
  <c r="BD84" i="19"/>
  <c r="BG84" i="19" s="1"/>
  <c r="BK82" i="19"/>
  <c r="BL82" i="19" s="1"/>
  <c r="BJ82" i="19"/>
  <c r="BM82" i="19" s="1"/>
  <c r="BK20" i="19"/>
  <c r="BL20" i="19" s="1"/>
  <c r="BJ20" i="19"/>
  <c r="BM20" i="19" s="1"/>
  <c r="BK47" i="19"/>
  <c r="BL47" i="19" s="1"/>
  <c r="AY27" i="19"/>
  <c r="AZ27" i="19" s="1"/>
  <c r="AY34" i="19"/>
  <c r="AZ34" i="19" s="1"/>
  <c r="BK22" i="19"/>
  <c r="BL22" i="19" s="1"/>
  <c r="BE49" i="19"/>
  <c r="BF49" i="19" s="1"/>
  <c r="BP26" i="19"/>
  <c r="BS26" i="19" s="1"/>
  <c r="AY2" i="19"/>
  <c r="AZ2" i="19" s="1"/>
  <c r="AX7" i="19"/>
  <c r="BA7" i="19" s="1"/>
  <c r="AY100" i="19"/>
  <c r="AZ100" i="19" s="1"/>
  <c r="BD6" i="19"/>
  <c r="BG6" i="19" s="1"/>
  <c r="AX89" i="19"/>
  <c r="BA89" i="19" s="1"/>
  <c r="AY35" i="19"/>
  <c r="AZ35" i="19" s="1"/>
  <c r="AX92" i="19"/>
  <c r="BA92" i="19" s="1"/>
  <c r="AX80" i="19"/>
  <c r="BA80" i="19" s="1"/>
  <c r="BX48" i="19"/>
  <c r="BY48" i="19" s="1"/>
  <c r="AX20" i="19"/>
  <c r="BA20" i="19" s="1"/>
  <c r="BJ97" i="19"/>
  <c r="BM97" i="19" s="1"/>
  <c r="BP62" i="19"/>
  <c r="BS62" i="19" s="1"/>
  <c r="AY47" i="19"/>
  <c r="AZ47" i="19" s="1"/>
  <c r="AY36" i="19"/>
  <c r="AZ36" i="19" s="1"/>
  <c r="BJ16" i="19"/>
  <c r="BM16" i="19" s="1"/>
  <c r="BQ44" i="19"/>
  <c r="BR44" i="19" s="1"/>
  <c r="AX28" i="19"/>
  <c r="BA28" i="19" s="1"/>
  <c r="BK45" i="19"/>
  <c r="BL45" i="19" s="1"/>
  <c r="AY18" i="19"/>
  <c r="AZ18" i="19" s="1"/>
  <c r="BQ64" i="19"/>
  <c r="BR64" i="19" s="1"/>
  <c r="BD46" i="19"/>
  <c r="BG46" i="19" s="1"/>
  <c r="BD97" i="19"/>
  <c r="BG97" i="19" s="1"/>
  <c r="AY78" i="19"/>
  <c r="AZ78" i="19" s="1"/>
  <c r="BQ55" i="19"/>
  <c r="BR55" i="19" s="1"/>
  <c r="AY62" i="19"/>
  <c r="AZ62" i="19" s="1"/>
  <c r="AX62" i="19"/>
  <c r="BA62" i="19" s="1"/>
  <c r="AX30" i="19"/>
  <c r="BA30" i="19" s="1"/>
  <c r="AY30" i="19"/>
  <c r="AZ30" i="19" s="1"/>
  <c r="AY66" i="19"/>
  <c r="AZ66" i="19" s="1"/>
  <c r="AX66" i="19"/>
  <c r="BA66" i="19" s="1"/>
  <c r="BD39" i="19"/>
  <c r="BG39" i="19" s="1"/>
  <c r="BE39" i="19"/>
  <c r="BF39" i="19" s="1"/>
  <c r="BJ37" i="19"/>
  <c r="BM37" i="19" s="1"/>
  <c r="BK37" i="19"/>
  <c r="BL37" i="19" s="1"/>
  <c r="BJ5" i="19"/>
  <c r="BM5" i="19" s="1"/>
  <c r="BK5" i="19"/>
  <c r="BL5" i="19" s="1"/>
  <c r="BP99" i="19"/>
  <c r="BS99" i="19" s="1"/>
  <c r="BQ99" i="19"/>
  <c r="BR99" i="19" s="1"/>
  <c r="BD25" i="19"/>
  <c r="BG25" i="19" s="1"/>
  <c r="BE25" i="19"/>
  <c r="BF25" i="19" s="1"/>
  <c r="BJ13" i="19"/>
  <c r="BM13" i="19" s="1"/>
  <c r="BK13" i="19"/>
  <c r="BL13" i="19" s="1"/>
  <c r="BQ43" i="19"/>
  <c r="BR43" i="19" s="1"/>
  <c r="BP43" i="19"/>
  <c r="BS43" i="19" s="1"/>
  <c r="BJ3" i="19"/>
  <c r="BM3" i="19" s="1"/>
  <c r="BK3" i="19"/>
  <c r="BL3" i="19" s="1"/>
  <c r="BJ26" i="19"/>
  <c r="BM26" i="19" s="1"/>
  <c r="BK26" i="19"/>
  <c r="BL26" i="19" s="1"/>
  <c r="BK94" i="19"/>
  <c r="BL94" i="19" s="1"/>
  <c r="BJ94" i="19"/>
  <c r="BM94" i="19" s="1"/>
  <c r="BD59" i="19"/>
  <c r="BG59" i="19" s="1"/>
  <c r="BE59" i="19"/>
  <c r="BF59" i="19" s="1"/>
  <c r="BE62" i="19"/>
  <c r="BF62" i="19" s="1"/>
  <c r="BD62" i="19"/>
  <c r="BG62" i="19" s="1"/>
  <c r="BE83" i="19"/>
  <c r="BF83" i="19" s="1"/>
  <c r="BD83" i="19"/>
  <c r="BG83" i="19" s="1"/>
  <c r="AY59" i="19"/>
  <c r="AZ59" i="19" s="1"/>
  <c r="AX59" i="19"/>
  <c r="BA59" i="19" s="1"/>
  <c r="AX37" i="19"/>
  <c r="BA37" i="19" s="1"/>
  <c r="AY37" i="19"/>
  <c r="AZ37" i="19" s="1"/>
  <c r="BK96" i="19"/>
  <c r="BL96" i="19" s="1"/>
  <c r="BJ96" i="19"/>
  <c r="BM96" i="19" s="1"/>
  <c r="BJ50" i="19"/>
  <c r="BM50" i="19" s="1"/>
  <c r="BK50" i="19"/>
  <c r="BL50" i="19" s="1"/>
  <c r="BD47" i="19"/>
  <c r="BG47" i="19" s="1"/>
  <c r="BE47" i="19"/>
  <c r="BF47" i="19" s="1"/>
  <c r="AX8" i="19"/>
  <c r="BA8" i="19" s="1"/>
  <c r="AY8" i="19"/>
  <c r="AZ8" i="19" s="1"/>
  <c r="BQ74" i="19"/>
  <c r="BR74" i="19" s="1"/>
  <c r="BP74" i="19"/>
  <c r="BS74" i="19" s="1"/>
  <c r="BE32" i="19"/>
  <c r="BF32" i="19" s="1"/>
  <c r="BD32" i="19"/>
  <c r="BG32" i="19" s="1"/>
  <c r="BK38" i="19"/>
  <c r="BL38" i="19" s="1"/>
  <c r="BJ38" i="19"/>
  <c r="BM38" i="19" s="1"/>
  <c r="BK17" i="19"/>
  <c r="BL17" i="19" s="1"/>
  <c r="BJ17" i="19"/>
  <c r="BM17" i="19" s="1"/>
  <c r="BJ10" i="19"/>
  <c r="BM10" i="19" s="1"/>
  <c r="BK10" i="19"/>
  <c r="BL10" i="19" s="1"/>
  <c r="BQ81" i="19"/>
  <c r="BR81" i="19" s="1"/>
  <c r="BP81" i="19"/>
  <c r="BS81" i="19" s="1"/>
  <c r="BP11" i="19"/>
  <c r="BS11" i="19" s="1"/>
  <c r="BQ11" i="19"/>
  <c r="BR11" i="19" s="1"/>
  <c r="AY43" i="19"/>
  <c r="AZ43" i="19" s="1"/>
  <c r="AX43" i="19"/>
  <c r="BA43" i="19" s="1"/>
  <c r="BD91" i="19"/>
  <c r="BG91" i="19" s="1"/>
  <c r="BE91" i="19"/>
  <c r="BF91" i="19" s="1"/>
  <c r="BQ46" i="19"/>
  <c r="BR46" i="19" s="1"/>
  <c r="BP46" i="19"/>
  <c r="BS46" i="19" s="1"/>
  <c r="BQ25" i="19"/>
  <c r="BR25" i="19" s="1"/>
  <c r="BP25" i="19"/>
  <c r="BS25" i="19" s="1"/>
  <c r="BE8" i="19"/>
  <c r="BF8" i="19" s="1"/>
  <c r="BJ83" i="19"/>
  <c r="BM83" i="19" s="1"/>
  <c r="AX46" i="19"/>
  <c r="BA46" i="19" s="1"/>
  <c r="BJ100" i="19"/>
  <c r="BM100" i="19" s="1"/>
  <c r="BP97" i="19"/>
  <c r="BS97" i="19" s="1"/>
  <c r="AX26" i="19"/>
  <c r="BA26" i="19" s="1"/>
  <c r="BP77" i="19"/>
  <c r="BS77" i="19" s="1"/>
  <c r="AX17" i="19"/>
  <c r="BA17" i="19" s="1"/>
  <c r="BJ2" i="19"/>
  <c r="BM2" i="19" s="1"/>
  <c r="BP56" i="19"/>
  <c r="BS56" i="19" s="1"/>
  <c r="BJ36" i="19"/>
  <c r="BM36" i="19" s="1"/>
  <c r="BD16" i="19"/>
  <c r="BG16" i="19" s="1"/>
  <c r="BK61" i="19"/>
  <c r="BL61" i="19" s="1"/>
  <c r="BE23" i="19"/>
  <c r="BF23" i="19" s="1"/>
  <c r="BD23" i="19"/>
  <c r="BG23" i="19" s="1"/>
  <c r="AY93" i="19"/>
  <c r="AZ93" i="19" s="1"/>
  <c r="AX93" i="19"/>
  <c r="BA93" i="19" s="1"/>
  <c r="BQ91" i="19"/>
  <c r="BR91" i="19" s="1"/>
  <c r="AY97" i="19"/>
  <c r="AZ97" i="19" s="1"/>
  <c r="AX97" i="19"/>
  <c r="BA97" i="19" s="1"/>
  <c r="BK29" i="19"/>
  <c r="BL29" i="19" s="1"/>
  <c r="BJ29" i="19"/>
  <c r="BM29" i="19" s="1"/>
  <c r="BE87" i="19"/>
  <c r="BF87" i="19" s="1"/>
  <c r="BD87" i="19"/>
  <c r="BG87" i="19" s="1"/>
  <c r="BC86" i="19"/>
  <c r="BP42" i="19"/>
  <c r="BS42" i="19" s="1"/>
  <c r="BQ42" i="19"/>
  <c r="BR42" i="19" s="1"/>
  <c r="BU48" i="19"/>
  <c r="BV48" i="19" s="1"/>
  <c r="BQ88" i="19"/>
  <c r="BR88" i="19" s="1"/>
  <c r="BE61" i="19"/>
  <c r="BF61" i="19" s="1"/>
  <c r="AX73" i="19"/>
  <c r="BA73" i="19" s="1"/>
  <c r="BQ67" i="19"/>
  <c r="BR67" i="19" s="1"/>
  <c r="BP67" i="19"/>
  <c r="BS67" i="19" s="1"/>
  <c r="AW86" i="19"/>
  <c r="BJ44" i="19"/>
  <c r="BM44" i="19" s="1"/>
  <c r="BK44" i="19"/>
  <c r="BL44" i="19" s="1"/>
  <c r="BE34" i="19"/>
  <c r="BF34" i="19" s="1"/>
  <c r="BE96" i="19"/>
  <c r="BF96" i="19" s="1"/>
  <c r="BO86" i="19"/>
  <c r="BD26" i="19"/>
  <c r="BG26" i="19" s="1"/>
  <c r="BD94" i="19"/>
  <c r="BG94" i="19" s="1"/>
  <c r="BQ93" i="19"/>
  <c r="BR93" i="19" s="1"/>
  <c r="BP93" i="19"/>
  <c r="BS93" i="19" s="1"/>
  <c r="BP89" i="19"/>
  <c r="BS89" i="19" s="1"/>
  <c r="BQ89" i="19"/>
  <c r="BR89" i="19" s="1"/>
  <c r="AX25" i="19"/>
  <c r="BA25" i="19" s="1"/>
  <c r="AY25" i="19"/>
  <c r="AZ25" i="19" s="1"/>
  <c r="BP23" i="19"/>
  <c r="BS23" i="19" s="1"/>
  <c r="AX72" i="19"/>
  <c r="BA72" i="19" s="1"/>
  <c r="AY72" i="19"/>
  <c r="AZ72" i="19" s="1"/>
  <c r="BD5" i="19"/>
  <c r="BG5" i="19" s="1"/>
  <c r="AY38" i="19"/>
  <c r="AZ38" i="19" s="1"/>
  <c r="BI86" i="19"/>
  <c r="AY6" i="19"/>
  <c r="AZ6" i="19" s="1"/>
  <c r="BE30" i="19"/>
  <c r="BF30" i="19" s="1"/>
  <c r="BP98" i="19"/>
  <c r="BS98" i="19" s="1"/>
  <c r="AY94" i="19"/>
  <c r="AZ94" i="19" s="1"/>
  <c r="BE77" i="19"/>
  <c r="BF77" i="19" s="1"/>
  <c r="AY56" i="19"/>
  <c r="AZ56" i="19" s="1"/>
  <c r="BD10" i="19"/>
  <c r="BG10" i="19" s="1"/>
  <c r="BE10" i="19"/>
  <c r="BF10" i="19" s="1"/>
  <c r="BP87" i="19"/>
  <c r="BS87" i="19" s="1"/>
  <c r="BQ87" i="19"/>
  <c r="BR87" i="19" s="1"/>
  <c r="BP68" i="19"/>
  <c r="BS68" i="19" s="1"/>
  <c r="BQ68" i="19"/>
  <c r="BR68" i="19" s="1"/>
  <c r="BJ11" i="19"/>
  <c r="BM11" i="19" s="1"/>
  <c r="BK11" i="19"/>
  <c r="BL11" i="19" s="1"/>
  <c r="BE51" i="19"/>
  <c r="BF51" i="19" s="1"/>
  <c r="BD51" i="19"/>
  <c r="BG51" i="19" s="1"/>
  <c r="AX71" i="19"/>
  <c r="BA71" i="19" s="1"/>
  <c r="AY71" i="19"/>
  <c r="AZ71" i="19" s="1"/>
  <c r="BJ49" i="19"/>
  <c r="BM49" i="19" s="1"/>
  <c r="BJ70" i="19"/>
  <c r="BM70" i="19" s="1"/>
  <c r="BK70" i="19"/>
  <c r="BL70" i="19" s="1"/>
  <c r="AY69" i="19"/>
  <c r="AZ69" i="19" s="1"/>
  <c r="AX69" i="19"/>
  <c r="BA69" i="19" s="1"/>
  <c r="BE70" i="19"/>
  <c r="BF70" i="19" s="1"/>
  <c r="BD70" i="19"/>
  <c r="BG70" i="19" s="1"/>
  <c r="BJ81" i="19"/>
  <c r="BM81" i="19" s="1"/>
  <c r="BK81" i="19"/>
  <c r="BL81" i="19" s="1"/>
  <c r="AY51" i="19"/>
  <c r="AZ51" i="19" s="1"/>
  <c r="AX51" i="19"/>
  <c r="BA51" i="19" s="1"/>
  <c r="BE81" i="19"/>
  <c r="BF81" i="19" s="1"/>
  <c r="BJ4" i="19"/>
  <c r="BM4" i="19" s="1"/>
  <c r="BK4" i="19"/>
  <c r="BL4" i="19" s="1"/>
  <c r="BP72" i="19"/>
  <c r="BS72" i="19" s="1"/>
  <c r="BP63" i="19"/>
  <c r="BS63" i="19" s="1"/>
  <c r="BQ63" i="19"/>
  <c r="BR63" i="19" s="1"/>
  <c r="BE18" i="19"/>
  <c r="BF18" i="19" s="1"/>
  <c r="BD18" i="19"/>
  <c r="BG18" i="19" s="1"/>
  <c r="BJ51" i="19"/>
  <c r="BM51" i="19" s="1"/>
  <c r="BK51" i="19"/>
  <c r="BL51" i="19" s="1"/>
  <c r="BP58" i="19"/>
  <c r="BS58" i="19" s="1"/>
  <c r="BQ58" i="19"/>
  <c r="BR58" i="19" s="1"/>
  <c r="BK31" i="19"/>
  <c r="BL31" i="19" s="1"/>
  <c r="BJ31" i="19"/>
  <c r="BM31" i="19" s="1"/>
  <c r="AX39" i="19"/>
  <c r="BA39" i="19" s="1"/>
  <c r="AY39" i="19"/>
  <c r="AZ39" i="19" s="1"/>
  <c r="BK53" i="19"/>
  <c r="BL53" i="19" s="1"/>
  <c r="BJ53" i="19"/>
  <c r="BM53" i="19" s="1"/>
  <c r="BE4" i="19"/>
  <c r="BF4" i="19" s="1"/>
  <c r="BK72" i="19"/>
  <c r="BL72" i="19" s="1"/>
  <c r="BJ40" i="19"/>
  <c r="BM40" i="19" s="1"/>
  <c r="BK40" i="19"/>
  <c r="BL40" i="19" s="1"/>
  <c r="BE45" i="19"/>
  <c r="BF45" i="19" s="1"/>
  <c r="BJ85" i="19"/>
  <c r="BM85" i="19" s="1"/>
  <c r="BK85" i="19"/>
  <c r="BL85" i="19" s="1"/>
  <c r="BD73" i="19"/>
  <c r="BG73" i="19" s="1"/>
  <c r="BE73" i="19"/>
  <c r="BF73" i="19" s="1"/>
  <c r="AY54" i="19"/>
  <c r="AZ54" i="19" s="1"/>
  <c r="BP53" i="19"/>
  <c r="BS53" i="19" s="1"/>
  <c r="BQ9" i="19"/>
  <c r="BR9" i="19" s="1"/>
  <c r="BD19" i="19"/>
  <c r="BG19" i="19" s="1"/>
  <c r="BQ39" i="19"/>
  <c r="BR39" i="19" s="1"/>
  <c r="BQ41" i="19"/>
  <c r="BR41" i="19" s="1"/>
  <c r="BE72" i="19"/>
  <c r="BF72" i="19" s="1"/>
  <c r="AX16" i="19"/>
  <c r="BA16" i="19" s="1"/>
  <c r="AY16" i="19"/>
  <c r="AZ16" i="19" s="1"/>
  <c r="BP96" i="19"/>
  <c r="BS96" i="19" s="1"/>
  <c r="BQ96" i="19"/>
  <c r="BR96" i="19" s="1"/>
  <c r="AY99" i="19"/>
  <c r="AZ99" i="19" s="1"/>
  <c r="AX99" i="19"/>
  <c r="BA99" i="19" s="1"/>
  <c r="BQ30" i="19"/>
  <c r="BR30" i="19" s="1"/>
  <c r="BP30" i="19"/>
  <c r="BS30" i="19" s="1"/>
  <c r="AX83" i="19"/>
  <c r="BA83" i="19" s="1"/>
  <c r="AY83" i="19"/>
  <c r="AZ83" i="19" s="1"/>
  <c r="BP5" i="19"/>
  <c r="BS5" i="19" s="1"/>
  <c r="BQ5" i="19"/>
  <c r="BR5" i="19" s="1"/>
  <c r="BD20" i="19"/>
  <c r="BG20" i="19" s="1"/>
  <c r="BE20" i="19"/>
  <c r="BF20" i="19" s="1"/>
  <c r="BP50" i="19"/>
  <c r="BS50" i="19" s="1"/>
  <c r="BQ50" i="19"/>
  <c r="BR50" i="19" s="1"/>
  <c r="BJ99" i="19"/>
  <c r="BM99" i="19" s="1"/>
  <c r="BD36" i="19"/>
  <c r="BG36" i="19" s="1"/>
  <c r="BE36" i="19"/>
  <c r="BF36" i="19" s="1"/>
  <c r="BQ60" i="19"/>
  <c r="BR60" i="19" s="1"/>
  <c r="BP60" i="19"/>
  <c r="BS60" i="19" s="1"/>
  <c r="BK58" i="19"/>
  <c r="BL58" i="19" s="1"/>
  <c r="BJ58" i="19"/>
  <c r="BM58" i="19" s="1"/>
  <c r="BP3" i="19"/>
  <c r="BS3" i="19" s="1"/>
  <c r="BQ3" i="19"/>
  <c r="BR3" i="19" s="1"/>
  <c r="BK52" i="19"/>
  <c r="BL52" i="19" s="1"/>
  <c r="BJ52" i="19"/>
  <c r="BM52" i="19" s="1"/>
  <c r="BJ32" i="19"/>
  <c r="BM32" i="19" s="1"/>
  <c r="BK32" i="19"/>
  <c r="BL32" i="19" s="1"/>
  <c r="BP8" i="19"/>
  <c r="BS8" i="19" s="1"/>
  <c r="BQ8" i="19"/>
  <c r="BR8" i="19" s="1"/>
  <c r="BJ43" i="19"/>
  <c r="BM43" i="19" s="1"/>
  <c r="BK43" i="19"/>
  <c r="BL43" i="19" s="1"/>
  <c r="AX5" i="19"/>
  <c r="BA5" i="19" s="1"/>
  <c r="AY5" i="19"/>
  <c r="AZ5" i="19" s="1"/>
  <c r="BQ100" i="19"/>
  <c r="BR100" i="19" s="1"/>
  <c r="BP100" i="19"/>
  <c r="BS100" i="19" s="1"/>
  <c r="BK98" i="19"/>
  <c r="BL98" i="19" s="1"/>
  <c r="BJ98" i="19"/>
  <c r="BM98" i="19" s="1"/>
  <c r="BE60" i="19"/>
  <c r="BF60" i="19" s="1"/>
  <c r="BD60" i="19"/>
  <c r="BG60" i="19" s="1"/>
  <c r="BQ21" i="19"/>
  <c r="BR21" i="19" s="1"/>
  <c r="BP21" i="19"/>
  <c r="BS21" i="19" s="1"/>
  <c r="BQ45" i="19"/>
  <c r="BR45" i="19" s="1"/>
  <c r="BP45" i="19"/>
  <c r="BS45" i="19" s="1"/>
  <c r="BD38" i="19"/>
  <c r="BG38" i="19" s="1"/>
  <c r="BE38" i="19"/>
  <c r="BF38" i="19" s="1"/>
  <c r="BD95" i="19"/>
  <c r="BG95" i="19" s="1"/>
  <c r="BE95" i="19"/>
  <c r="BF95" i="19" s="1"/>
  <c r="BK91" i="19"/>
  <c r="BL91" i="19" s="1"/>
  <c r="BQ6" i="19"/>
  <c r="BR6" i="19" s="1"/>
  <c r="BD98" i="19"/>
  <c r="BG98" i="19" s="1"/>
  <c r="BE98" i="19"/>
  <c r="BF98" i="19" s="1"/>
  <c r="BE66" i="19"/>
  <c r="BF66" i="19" s="1"/>
  <c r="BD66" i="19"/>
  <c r="BG66" i="19" s="1"/>
  <c r="AX91" i="19"/>
  <c r="BA91" i="19" s="1"/>
  <c r="BD99" i="19"/>
  <c r="BG99" i="19" s="1"/>
  <c r="BE99" i="19"/>
  <c r="BF99" i="19" s="1"/>
  <c r="BQ95" i="19"/>
  <c r="BR95" i="19" s="1"/>
  <c r="BP95" i="19"/>
  <c r="BS95" i="19" s="1"/>
  <c r="BD37" i="19"/>
  <c r="BG37" i="19" s="1"/>
  <c r="BE37" i="19"/>
  <c r="BF37" i="19" s="1"/>
  <c r="AX96" i="19"/>
  <c r="BA96" i="19" s="1"/>
  <c r="AY96" i="19"/>
  <c r="AZ96" i="19" s="1"/>
  <c r="BJ74" i="19"/>
  <c r="BM74" i="19" s="1"/>
  <c r="BK74" i="19"/>
  <c r="BL74" i="19" s="1"/>
  <c r="AX88" i="19"/>
  <c r="BA88" i="19" s="1"/>
  <c r="AY88" i="19"/>
  <c r="AZ88" i="19" s="1"/>
  <c r="BJ95" i="19"/>
  <c r="BM95" i="19" s="1"/>
  <c r="AX98" i="19"/>
  <c r="BA98" i="19" s="1"/>
  <c r="AY98" i="19"/>
  <c r="AZ98" i="19" s="1"/>
  <c r="BP66" i="19"/>
  <c r="BS66" i="19" s="1"/>
  <c r="BQ66" i="19"/>
  <c r="BR66" i="19" s="1"/>
  <c r="BD100" i="19"/>
  <c r="BG100" i="19" s="1"/>
  <c r="BE100" i="19"/>
  <c r="BF100" i="19" s="1"/>
  <c r="BK8" i="19"/>
  <c r="BL8" i="19" s="1"/>
  <c r="BE43" i="19"/>
  <c r="BF43" i="19" s="1"/>
  <c r="BE50" i="19"/>
  <c r="BF50" i="19" s="1"/>
  <c r="BD50" i="19"/>
  <c r="BG50" i="19" s="1"/>
  <c r="BJ30" i="19"/>
  <c r="BM30" i="19" s="1"/>
  <c r="BK30" i="19"/>
  <c r="BL30" i="19" s="1"/>
  <c r="BP20" i="19"/>
  <c r="BS20" i="19" s="1"/>
  <c r="BJ46" i="19"/>
  <c r="BM46" i="19" s="1"/>
  <c r="AX33" i="19"/>
  <c r="BA33" i="19" s="1"/>
  <c r="BE52" i="19"/>
  <c r="BF52" i="19" s="1"/>
  <c r="BJ66" i="19"/>
  <c r="BM66" i="19" s="1"/>
  <c r="BP33" i="19"/>
  <c r="BS33" i="19" s="1"/>
  <c r="BQ33" i="19"/>
  <c r="BR33" i="19" s="1"/>
  <c r="BD15" i="19"/>
  <c r="BG15" i="19" s="1"/>
  <c r="BE15" i="19"/>
  <c r="BF15" i="19" s="1"/>
  <c r="BP2" i="19"/>
  <c r="BS2" i="19" s="1"/>
  <c r="BQ2" i="19"/>
  <c r="BR2" i="19" s="1"/>
  <c r="BP19" i="19"/>
  <c r="BS19" i="19" s="1"/>
  <c r="BQ19" i="19"/>
  <c r="BR19" i="19" s="1"/>
  <c r="AY31" i="19"/>
  <c r="AZ31" i="19" s="1"/>
  <c r="AX31" i="19"/>
  <c r="BA31" i="19" s="1"/>
  <c r="BQ94" i="19"/>
  <c r="BR94" i="19" s="1"/>
  <c r="BP94" i="19"/>
  <c r="BS94" i="19" s="1"/>
  <c r="BK62" i="19"/>
  <c r="BL62" i="19" s="1"/>
  <c r="BJ62" i="19"/>
  <c r="BM62" i="19" s="1"/>
  <c r="BJ7" i="19"/>
  <c r="BM7" i="19" s="1"/>
  <c r="BK7" i="19"/>
  <c r="BL7" i="19" s="1"/>
  <c r="AX52" i="19"/>
  <c r="BA52" i="19" s="1"/>
  <c r="AX42" i="19"/>
  <c r="BA42" i="19" s="1"/>
  <c r="AY42" i="19"/>
  <c r="AZ42" i="19" s="1"/>
  <c r="BJ76" i="19"/>
  <c r="BM76" i="19" s="1"/>
  <c r="BK76" i="19"/>
  <c r="BL76" i="19" s="1"/>
  <c r="BP36" i="19"/>
  <c r="BS36" i="19" s="1"/>
  <c r="BQ36" i="19"/>
  <c r="BR36" i="19" s="1"/>
  <c r="BP24" i="19"/>
  <c r="BS24" i="19" s="1"/>
  <c r="BQ24" i="19"/>
  <c r="BR24" i="19" s="1"/>
  <c r="BD7" i="19"/>
  <c r="BG7" i="19" s="1"/>
  <c r="BE7" i="19"/>
  <c r="BF7" i="19" s="1"/>
  <c r="BK88" i="19"/>
  <c r="BL88" i="19" s="1"/>
  <c r="BJ88" i="19"/>
  <c r="BM88" i="19" s="1"/>
  <c r="AY60" i="19"/>
  <c r="AZ60" i="19" s="1"/>
  <c r="AX60" i="19"/>
  <c r="BA60" i="19" s="1"/>
  <c r="BE2" i="19"/>
  <c r="BF2" i="19" s="1"/>
  <c r="BD2" i="19"/>
  <c r="BG2" i="19" s="1"/>
  <c r="BD11" i="19"/>
  <c r="BG11" i="19" s="1"/>
  <c r="BE11" i="19"/>
  <c r="BF11" i="19" s="1"/>
  <c r="AX61" i="19"/>
  <c r="BA61" i="19" s="1"/>
  <c r="AY61" i="19"/>
  <c r="AZ61" i="19" s="1"/>
  <c r="BD93" i="19"/>
  <c r="BG93" i="19" s="1"/>
  <c r="BE93" i="19"/>
  <c r="BF93" i="19" s="1"/>
  <c r="AX19" i="19"/>
  <c r="BA19" i="19" s="1"/>
  <c r="AY19" i="19"/>
  <c r="AZ19" i="19" s="1"/>
  <c r="BJ9" i="19"/>
  <c r="BM9" i="19" s="1"/>
  <c r="BK9" i="19"/>
  <c r="BL9" i="19" s="1"/>
  <c r="BK21" i="19"/>
  <c r="BL21" i="19" s="1"/>
  <c r="BJ19" i="19"/>
  <c r="BM19" i="19" s="1"/>
  <c r="BK19" i="19"/>
  <c r="BL19" i="19" s="1"/>
  <c r="BJ42" i="19"/>
  <c r="BM42" i="19" s="1"/>
  <c r="BK42" i="19"/>
  <c r="BL42" i="19" s="1"/>
  <c r="BD29" i="19"/>
  <c r="BG29" i="19" s="1"/>
  <c r="BE29" i="19"/>
  <c r="BF29" i="19" s="1"/>
  <c r="BP90" i="19"/>
  <c r="BS90" i="19" s="1"/>
  <c r="BQ90" i="19"/>
  <c r="BR90" i="19" s="1"/>
  <c r="BJ41" i="19"/>
  <c r="BM41" i="19" s="1"/>
  <c r="BK41" i="19"/>
  <c r="BL41" i="19" s="1"/>
  <c r="AX44" i="19"/>
  <c r="BA44" i="19" s="1"/>
  <c r="AY44" i="19"/>
  <c r="AZ44" i="19" s="1"/>
  <c r="BE24" i="19"/>
  <c r="BF24" i="19" s="1"/>
  <c r="BQ16" i="19"/>
  <c r="BR16" i="19" s="1"/>
  <c r="BE9" i="19"/>
  <c r="BF9" i="19" s="1"/>
  <c r="BE12" i="19"/>
  <c r="BF12" i="19" s="1"/>
  <c r="BP35" i="19"/>
  <c r="BS35" i="19" s="1"/>
  <c r="BQ35" i="19"/>
  <c r="BR35" i="19" s="1"/>
  <c r="AY29" i="19"/>
  <c r="AZ29" i="19" s="1"/>
  <c r="BD28" i="19"/>
  <c r="BG28" i="19" s="1"/>
  <c r="BE28" i="19"/>
  <c r="BF28" i="19" s="1"/>
  <c r="BP18" i="19"/>
  <c r="BS18" i="19" s="1"/>
  <c r="BQ18" i="19"/>
  <c r="BR18" i="19" s="1"/>
  <c r="BD42" i="19"/>
  <c r="BG42" i="19" s="1"/>
  <c r="BE42" i="19"/>
  <c r="BF42" i="19" s="1"/>
  <c r="BJ35" i="19"/>
  <c r="BM35" i="19" s="1"/>
  <c r="BK35" i="19"/>
  <c r="BL35" i="19" s="1"/>
  <c r="AX23" i="19"/>
  <c r="BA23" i="19" s="1"/>
  <c r="AX4" i="19"/>
  <c r="BA4" i="19" s="1"/>
  <c r="AY4" i="19"/>
  <c r="AZ4" i="19" s="1"/>
  <c r="AX22" i="19"/>
  <c r="BA22" i="19" s="1"/>
  <c r="AY22" i="19"/>
  <c r="AZ22" i="19" s="1"/>
  <c r="BD56" i="19"/>
  <c r="BG56" i="19" s="1"/>
  <c r="BE56" i="19"/>
  <c r="BF56" i="19" s="1"/>
  <c r="BP59" i="19"/>
  <c r="BS59" i="19" s="1"/>
  <c r="BQ59" i="19"/>
  <c r="BR59" i="19" s="1"/>
  <c r="BD90" i="19"/>
  <c r="BG90" i="19" s="1"/>
  <c r="BE90" i="19"/>
  <c r="BF90" i="19" s="1"/>
  <c r="AX41" i="19"/>
  <c r="BA41" i="19" s="1"/>
  <c r="AY41" i="19"/>
  <c r="AZ41" i="19" s="1"/>
  <c r="BK89" i="19"/>
  <c r="BL89" i="19" s="1"/>
  <c r="BJ33" i="19"/>
  <c r="BM33" i="19" s="1"/>
  <c r="BK33" i="19"/>
  <c r="BL33" i="19" s="1"/>
  <c r="BP47" i="19"/>
  <c r="BS47" i="19" s="1"/>
  <c r="BQ47" i="19"/>
  <c r="BR47" i="19" s="1"/>
  <c r="AX11" i="19"/>
  <c r="BA11" i="19" s="1"/>
  <c r="AY11" i="19"/>
  <c r="AZ11" i="19" s="1"/>
  <c r="BD31" i="19"/>
  <c r="BG31" i="19" s="1"/>
  <c r="BE31" i="19"/>
  <c r="BF31" i="19" s="1"/>
  <c r="BP32" i="19"/>
  <c r="BS32" i="19" s="1"/>
  <c r="BQ32" i="19"/>
  <c r="BR32" i="19" s="1"/>
  <c r="AX24" i="19"/>
  <c r="BA24" i="19" s="1"/>
  <c r="AY24" i="19"/>
  <c r="AZ24" i="19" s="1"/>
  <c r="AX9" i="19"/>
  <c r="BA9" i="19" s="1"/>
  <c r="AY9" i="19"/>
  <c r="AZ9" i="19" s="1"/>
  <c r="BD35" i="19"/>
  <c r="BG35" i="19" s="1"/>
  <c r="BE35" i="19"/>
  <c r="BF35" i="19" s="1"/>
  <c r="BP29" i="19"/>
  <c r="BS29" i="19" s="1"/>
  <c r="BQ29" i="19"/>
  <c r="BR29" i="19" s="1"/>
  <c r="BP61" i="19"/>
  <c r="BS61" i="19" s="1"/>
  <c r="BQ61" i="19"/>
  <c r="BR61" i="19" s="1"/>
  <c r="BJ23" i="19"/>
  <c r="BM23" i="19" s="1"/>
  <c r="BK23" i="19"/>
  <c r="BL23" i="19" s="1"/>
  <c r="AX10" i="19"/>
  <c r="BA10" i="19" s="1"/>
  <c r="AY10" i="19"/>
  <c r="AZ10" i="19" s="1"/>
  <c r="BD82" i="19"/>
  <c r="BG82" i="19" s="1"/>
  <c r="BE82" i="19"/>
  <c r="BF82" i="19" s="1"/>
  <c r="BP73" i="19"/>
  <c r="BS73" i="19" s="1"/>
  <c r="BQ73" i="19"/>
  <c r="BR73" i="19" s="1"/>
  <c r="AY75" i="19"/>
  <c r="AZ75" i="19" s="1"/>
  <c r="AX75" i="19"/>
  <c r="BA75" i="19" s="1"/>
  <c r="BP71" i="19"/>
  <c r="BS71" i="19" s="1"/>
  <c r="BQ71" i="19"/>
  <c r="BR71" i="19" s="1"/>
  <c r="BJ57" i="19"/>
  <c r="BM57" i="19" s="1"/>
  <c r="BK57" i="19"/>
  <c r="BL57" i="19" s="1"/>
  <c r="BK90" i="19"/>
  <c r="BL90" i="19" s="1"/>
  <c r="BE41" i="19"/>
  <c r="BF41" i="19" s="1"/>
  <c r="BP12" i="19"/>
  <c r="BS12" i="19" s="1"/>
  <c r="BQ12" i="19"/>
  <c r="BR12" i="19" s="1"/>
  <c r="BK34" i="19"/>
  <c r="BL34" i="19" s="1"/>
  <c r="BE40" i="19"/>
  <c r="BF40" i="19" s="1"/>
  <c r="BP69" i="19"/>
  <c r="BS69" i="19" s="1"/>
  <c r="BQ69" i="19"/>
  <c r="BR69" i="19" s="1"/>
  <c r="BD57" i="19"/>
  <c r="BG57" i="19" s="1"/>
  <c r="BE57" i="19"/>
  <c r="BF57" i="19" s="1"/>
  <c r="AY32" i="19"/>
  <c r="AZ32" i="19" s="1"/>
  <c r="BE27" i="19"/>
  <c r="BF27" i="19" s="1"/>
  <c r="BK15" i="19"/>
  <c r="BL15" i="19" s="1"/>
  <c r="AY15" i="19"/>
  <c r="AZ15" i="19" s="1"/>
  <c r="BQ10" i="19"/>
  <c r="BR10" i="19" s="1"/>
  <c r="BK93" i="19"/>
  <c r="BL93" i="19" s="1"/>
  <c r="BE44" i="19"/>
  <c r="BF44" i="19" s="1"/>
  <c r="BK87" i="19"/>
  <c r="BL87" i="19" s="1"/>
  <c r="BE92" i="19"/>
  <c r="BF92" i="19" s="1"/>
  <c r="BQ22" i="19"/>
  <c r="BR22" i="19" s="1"/>
  <c r="BJ14" i="19"/>
  <c r="BM14" i="19" s="1"/>
  <c r="BK14" i="19"/>
  <c r="BL14" i="19" s="1"/>
  <c r="BJ69" i="19"/>
  <c r="BM69" i="19" s="1"/>
  <c r="BK69" i="19"/>
  <c r="BL69" i="19" s="1"/>
  <c r="BE22" i="19"/>
  <c r="BF22" i="19" s="1"/>
  <c r="BJ80" i="19"/>
  <c r="BM80" i="19" s="1"/>
  <c r="BP82" i="19"/>
  <c r="BS82" i="19" s="1"/>
  <c r="BQ82" i="19"/>
  <c r="BR82" i="19" s="1"/>
  <c r="BP78" i="19"/>
  <c r="BS78" i="19" s="1"/>
  <c r="BP27" i="19"/>
  <c r="BS27" i="19" s="1"/>
  <c r="BQ27" i="19"/>
  <c r="BR27" i="19" s="1"/>
  <c r="BP92" i="19"/>
  <c r="BS92" i="19" s="1"/>
  <c r="BQ92" i="19"/>
  <c r="BR92" i="19" s="1"/>
  <c r="BD85" i="19"/>
  <c r="BG85" i="19" s="1"/>
  <c r="BE85" i="19"/>
  <c r="BF85" i="19" s="1"/>
  <c r="AX81" i="19"/>
  <c r="BA81" i="19" s="1"/>
  <c r="AY81" i="19"/>
  <c r="AZ81" i="19" s="1"/>
  <c r="BP40" i="19"/>
  <c r="BS40" i="19" s="1"/>
  <c r="BQ40" i="19"/>
  <c r="BR40" i="19" s="1"/>
  <c r="AX84" i="19"/>
  <c r="BA84" i="19" s="1"/>
  <c r="AY84" i="19"/>
  <c r="AZ84" i="19" s="1"/>
  <c r="BD14" i="19"/>
  <c r="BG14" i="19" s="1"/>
  <c r="BE14" i="19"/>
  <c r="BF14" i="19" s="1"/>
  <c r="AX45" i="19"/>
  <c r="BA45" i="19" s="1"/>
  <c r="AY45" i="19"/>
  <c r="AZ45" i="19" s="1"/>
  <c r="BQ76" i="19"/>
  <c r="BR76" i="19" s="1"/>
  <c r="BK28" i="19"/>
  <c r="BL28" i="19" s="1"/>
  <c r="BJ39" i="19"/>
  <c r="BM39" i="19" s="1"/>
  <c r="BK39" i="19"/>
  <c r="BL39" i="19" s="1"/>
  <c r="BD80" i="19"/>
  <c r="BG80" i="19" s="1"/>
  <c r="BE80" i="19"/>
  <c r="BF80" i="19" s="1"/>
  <c r="BP84" i="19"/>
  <c r="BS84" i="19" s="1"/>
  <c r="BQ84" i="19"/>
  <c r="BR84" i="19" s="1"/>
  <c r="BJ75" i="19"/>
  <c r="BM75" i="19" s="1"/>
  <c r="BK75" i="19"/>
  <c r="BL75" i="19" s="1"/>
  <c r="BJ73" i="19"/>
  <c r="BM73" i="19" s="1"/>
  <c r="BK73" i="19"/>
  <c r="BL73" i="19" s="1"/>
  <c r="BJ63" i="19"/>
  <c r="BM63" i="19" s="1"/>
  <c r="BK63" i="19"/>
  <c r="BL63" i="19" s="1"/>
  <c r="BJ55" i="19"/>
  <c r="BM55" i="19" s="1"/>
  <c r="BK55" i="19"/>
  <c r="BL55" i="19" s="1"/>
  <c r="AX82" i="19"/>
  <c r="BA82" i="19" s="1"/>
  <c r="AY82" i="19"/>
  <c r="AZ82" i="19" s="1"/>
  <c r="BD68" i="19"/>
  <c r="BG68" i="19" s="1"/>
  <c r="BE68" i="19"/>
  <c r="BF68" i="19" s="1"/>
  <c r="BJ78" i="19"/>
  <c r="BM78" i="19" s="1"/>
  <c r="BK78" i="19"/>
  <c r="BL78" i="19" s="1"/>
  <c r="BE55" i="19"/>
  <c r="BF55" i="19" s="1"/>
  <c r="BD55" i="19"/>
  <c r="BG55" i="19" s="1"/>
  <c r="BD69" i="19"/>
  <c r="BG69" i="19" s="1"/>
  <c r="BE69" i="19"/>
  <c r="BF69" i="19" s="1"/>
  <c r="AX57" i="19"/>
  <c r="BA57" i="19" s="1"/>
  <c r="AY57" i="19"/>
  <c r="AZ57" i="19" s="1"/>
  <c r="BQ34" i="19"/>
  <c r="BR34" i="19" s="1"/>
  <c r="AY14" i="19"/>
  <c r="AZ14" i="19" s="1"/>
  <c r="BP75" i="19"/>
  <c r="BS75" i="19" s="1"/>
  <c r="BQ75" i="19"/>
  <c r="BR75" i="19" s="1"/>
  <c r="AY68" i="19"/>
  <c r="AZ68" i="19" s="1"/>
  <c r="AX68" i="19"/>
  <c r="BA68" i="19" s="1"/>
  <c r="BE78" i="19"/>
  <c r="BF78" i="19" s="1"/>
  <c r="AX58" i="19"/>
  <c r="BA58" i="19" s="1"/>
  <c r="AY58" i="19"/>
  <c r="AZ58" i="19" s="1"/>
  <c r="BD71" i="19"/>
  <c r="BG71" i="19" s="1"/>
  <c r="BJ65" i="19"/>
  <c r="BM65" i="19" s="1"/>
  <c r="BK65" i="19"/>
  <c r="BL65" i="19" s="1"/>
  <c r="BD67" i="19"/>
  <c r="BG67" i="19" s="1"/>
  <c r="BE67" i="19"/>
  <c r="BF67" i="19" s="1"/>
  <c r="BP49" i="19"/>
  <c r="BS49" i="19" s="1"/>
  <c r="BQ49" i="19"/>
  <c r="BR49" i="19" s="1"/>
  <c r="BJ54" i="19"/>
  <c r="BM54" i="19" s="1"/>
  <c r="BK54" i="19"/>
  <c r="BL54" i="19" s="1"/>
  <c r="BP80" i="19"/>
  <c r="BS80" i="19" s="1"/>
  <c r="BQ80" i="19"/>
  <c r="BR80" i="19" s="1"/>
  <c r="AX63" i="19"/>
  <c r="BA63" i="19" s="1"/>
  <c r="AY63" i="19"/>
  <c r="AZ63" i="19" s="1"/>
  <c r="AX49" i="19"/>
  <c r="BA49" i="19" s="1"/>
  <c r="AY49" i="19"/>
  <c r="AZ49" i="19" s="1"/>
  <c r="BE54" i="19"/>
  <c r="BF54" i="19" s="1"/>
  <c r="BD54" i="19"/>
  <c r="BG54" i="19" s="1"/>
  <c r="BD64" i="19"/>
  <c r="BG64" i="19" s="1"/>
  <c r="BE64" i="19"/>
  <c r="BF64" i="19" s="1"/>
  <c r="BP57" i="19"/>
  <c r="BS57" i="19" s="1"/>
  <c r="BP70" i="19"/>
  <c r="BS70" i="19" s="1"/>
  <c r="BQ70" i="19"/>
  <c r="BR70" i="19" s="1"/>
  <c r="AX53" i="19"/>
  <c r="BA53" i="19" s="1"/>
  <c r="BJ84" i="19"/>
  <c r="BM84" i="19" s="1"/>
  <c r="BK84" i="19"/>
  <c r="BL84" i="19" s="1"/>
  <c r="AX65" i="19"/>
  <c r="BA65" i="19" s="1"/>
  <c r="AY65" i="19"/>
  <c r="AZ65" i="19" s="1"/>
  <c r="BE63" i="19"/>
  <c r="BF63" i="19" s="1"/>
  <c r="BQ65" i="19"/>
  <c r="BR65" i="19" s="1"/>
  <c r="BK67" i="19"/>
  <c r="BL67" i="19" s="1"/>
  <c r="AY55" i="19"/>
  <c r="AZ55" i="19" s="1"/>
  <c r="BE65" i="19"/>
  <c r="BF65" i="19" s="1"/>
  <c r="AY67" i="19"/>
  <c r="AZ67" i="19" s="1"/>
  <c r="BD75" i="19"/>
  <c r="BG75" i="19" s="1"/>
  <c r="BJ71" i="19"/>
  <c r="BM71" i="19" s="1"/>
  <c r="BD58" i="19"/>
  <c r="BG58" i="19" s="1"/>
  <c r="BE58" i="19"/>
  <c r="BF58" i="19" s="1"/>
  <c r="AX70" i="19"/>
  <c r="BA70" i="19" s="1"/>
  <c r="AY70" i="19"/>
  <c r="AZ70" i="19" s="1"/>
  <c r="BE53" i="19"/>
  <c r="BF53" i="19" s="1"/>
  <c r="BK68" i="19"/>
  <c r="BL68" i="19" s="1"/>
  <c r="AX64" i="19"/>
  <c r="BA64" i="19" s="1"/>
  <c r="AY64" i="19"/>
  <c r="AZ64" i="19" s="1"/>
  <c r="BQ54" i="19"/>
  <c r="BR54" i="19" s="1"/>
  <c r="L167" i="24"/>
  <c r="M167" i="24" s="1"/>
  <c r="N167" i="24" s="1"/>
  <c r="O163" i="24"/>
  <c r="P163" i="24" s="1"/>
  <c r="L158" i="24"/>
  <c r="M158" i="24" s="1"/>
  <c r="N158" i="24" s="1"/>
  <c r="O155" i="24"/>
  <c r="P155" i="24" s="1"/>
  <c r="O168" i="24"/>
  <c r="P168" i="24" s="1"/>
  <c r="O170" i="24"/>
  <c r="P170" i="24" s="1"/>
  <c r="O181" i="24"/>
  <c r="P181" i="24" s="1"/>
  <c r="O156" i="24"/>
  <c r="P156" i="24" s="1"/>
  <c r="O152" i="24"/>
  <c r="P152" i="24" s="1"/>
  <c r="L177" i="24"/>
  <c r="M177" i="24" s="1"/>
  <c r="N177" i="24" s="1"/>
  <c r="L148" i="24"/>
  <c r="M148" i="24" s="1"/>
  <c r="N148" i="24" s="1"/>
  <c r="L217" i="24"/>
  <c r="M217" i="24" s="1"/>
  <c r="N217" i="24" s="1"/>
  <c r="L212" i="24"/>
  <c r="M212" i="24" s="1"/>
  <c r="N212" i="24" s="1"/>
  <c r="O188" i="24"/>
  <c r="P188" i="24" s="1"/>
  <c r="L183" i="24"/>
  <c r="M183" i="24" s="1"/>
  <c r="N183" i="24" s="1"/>
  <c r="L204" i="24"/>
  <c r="M204" i="24" s="1"/>
  <c r="N204" i="24" s="1"/>
  <c r="O199" i="24"/>
  <c r="P199" i="24" s="1"/>
  <c r="O215" i="24"/>
  <c r="P215" i="24" s="1"/>
  <c r="L211" i="24"/>
  <c r="M211" i="24" s="1"/>
  <c r="N211" i="24" s="1"/>
  <c r="L182" i="24"/>
  <c r="M182" i="24" s="1"/>
  <c r="N182" i="24" s="1"/>
  <c r="O207" i="24"/>
  <c r="P207" i="24" s="1"/>
  <c r="L203" i="24"/>
  <c r="M203" i="24" s="1"/>
  <c r="N203" i="24" s="1"/>
  <c r="O190" i="24"/>
  <c r="P190" i="24" s="1"/>
  <c r="O202" i="24"/>
  <c r="P202" i="24" s="1"/>
  <c r="O198" i="24"/>
  <c r="P198" i="24" s="1"/>
  <c r="O214" i="24"/>
  <c r="P214" i="24" s="1"/>
  <c r="L193" i="24"/>
  <c r="M193" i="24" s="1"/>
  <c r="N193" i="24" s="1"/>
  <c r="L213" i="24"/>
  <c r="M213" i="24" s="1"/>
  <c r="N213" i="24" s="1"/>
  <c r="O205" i="24"/>
  <c r="P205" i="24" s="1"/>
  <c r="O189" i="24"/>
  <c r="P189" i="24" s="1"/>
  <c r="L184" i="24"/>
  <c r="M184" i="24" s="1"/>
  <c r="N184" i="24" s="1"/>
  <c r="O209" i="24"/>
  <c r="P209" i="24" s="1"/>
  <c r="L197" i="24"/>
  <c r="M197" i="24" s="1"/>
  <c r="N197" i="24" s="1"/>
  <c r="O201" i="24"/>
  <c r="P201" i="24" s="1"/>
  <c r="L140" i="24"/>
  <c r="M140" i="24" s="1"/>
  <c r="N140" i="24" s="1"/>
  <c r="L137" i="24"/>
  <c r="M137" i="24" s="1"/>
  <c r="N137" i="24" s="1"/>
  <c r="O134" i="24"/>
  <c r="P134" i="24" s="1"/>
  <c r="L128" i="24"/>
  <c r="M128" i="24" s="1"/>
  <c r="N128" i="24" s="1"/>
  <c r="L118" i="24"/>
  <c r="M118" i="24" s="1"/>
  <c r="N118" i="24" s="1"/>
  <c r="O113" i="24"/>
  <c r="P113" i="24" s="1"/>
  <c r="L143" i="24"/>
  <c r="M143" i="24" s="1"/>
  <c r="N143" i="24" s="1"/>
  <c r="L139" i="24"/>
  <c r="M139" i="24" s="1"/>
  <c r="N139" i="24" s="1"/>
  <c r="O115" i="24"/>
  <c r="P115" i="24" s="1"/>
  <c r="O126" i="24"/>
  <c r="P126" i="24" s="1"/>
  <c r="O117" i="24"/>
  <c r="P117" i="24" s="1"/>
  <c r="O132" i="24"/>
  <c r="P132" i="24" s="1"/>
  <c r="L120" i="24"/>
  <c r="M120" i="24" s="1"/>
  <c r="N120" i="24" s="1"/>
  <c r="L138" i="24"/>
  <c r="M138" i="24" s="1"/>
  <c r="N138" i="24" s="1"/>
  <c r="L124" i="24"/>
  <c r="M124" i="24" s="1"/>
  <c r="N124" i="24" s="1"/>
  <c r="O123" i="24"/>
  <c r="P123" i="24" s="1"/>
  <c r="L131" i="24"/>
  <c r="M131" i="24" s="1"/>
  <c r="N131" i="24" s="1"/>
  <c r="L114" i="24"/>
  <c r="M114" i="24" s="1"/>
  <c r="N114" i="24" s="1"/>
  <c r="L110" i="24"/>
  <c r="M110" i="24" s="1"/>
  <c r="N110" i="24" s="1"/>
  <c r="O54" i="24"/>
  <c r="P54" i="24" s="1"/>
  <c r="L49" i="24"/>
  <c r="M49" i="24" s="1"/>
  <c r="N49" i="24" s="1"/>
  <c r="O46" i="24"/>
  <c r="P46" i="24" s="1"/>
  <c r="O38" i="24"/>
  <c r="P38" i="24" s="1"/>
  <c r="L68" i="24"/>
  <c r="M68" i="24" s="1"/>
  <c r="N68" i="24" s="1"/>
  <c r="L58" i="24"/>
  <c r="M58" i="24" s="1"/>
  <c r="N58" i="24" s="1"/>
  <c r="O55" i="24"/>
  <c r="P55" i="24" s="1"/>
  <c r="O47" i="24"/>
  <c r="P47" i="24" s="1"/>
  <c r="O60" i="24"/>
  <c r="P60" i="24" s="1"/>
  <c r="L32" i="24"/>
  <c r="M32" i="24" s="1"/>
  <c r="N32" i="24" s="1"/>
  <c r="L27" i="24"/>
  <c r="M27" i="24" s="1"/>
  <c r="N27" i="24" s="1"/>
  <c r="L20" i="24"/>
  <c r="M20" i="24" s="1"/>
  <c r="N20" i="24" s="1"/>
  <c r="L13" i="24"/>
  <c r="M13" i="24" s="1"/>
  <c r="N13" i="24" s="1"/>
  <c r="L8" i="24"/>
  <c r="M8" i="24" s="1"/>
  <c r="N8" i="24" s="1"/>
  <c r="L3" i="24"/>
  <c r="M3" i="24" s="1"/>
  <c r="N3" i="24" s="1"/>
  <c r="O36" i="24"/>
  <c r="P36" i="24" s="1"/>
  <c r="L216" i="24"/>
  <c r="M216" i="24" s="1"/>
  <c r="N216" i="24" s="1"/>
  <c r="L200" i="24"/>
  <c r="M200" i="24" s="1"/>
  <c r="N200" i="24" s="1"/>
  <c r="O194" i="24"/>
  <c r="P194" i="24" s="1"/>
  <c r="O185" i="24"/>
  <c r="P185" i="24" s="1"/>
  <c r="L178" i="24"/>
  <c r="M178" i="24" s="1"/>
  <c r="N178" i="24" s="1"/>
  <c r="O161" i="24"/>
  <c r="P161" i="24" s="1"/>
  <c r="L149" i="24"/>
  <c r="M149" i="24" s="1"/>
  <c r="N149" i="24" s="1"/>
  <c r="O141" i="24"/>
  <c r="P141" i="24" s="1"/>
  <c r="L125" i="24"/>
  <c r="M125" i="24" s="1"/>
  <c r="N125" i="24" s="1"/>
  <c r="O112" i="24"/>
  <c r="P112" i="24" s="1"/>
  <c r="L69" i="24"/>
  <c r="M69" i="24" s="1"/>
  <c r="N69" i="24" s="1"/>
  <c r="O52" i="24"/>
  <c r="P52" i="24" s="1"/>
  <c r="L187" i="24"/>
  <c r="M187" i="24" s="1"/>
  <c r="N187" i="24" s="1"/>
  <c r="L192" i="24"/>
  <c r="M192" i="24" s="1"/>
  <c r="N192" i="24" s="1"/>
  <c r="L172" i="24"/>
  <c r="M172" i="24" s="1"/>
  <c r="N172" i="24" s="1"/>
  <c r="L127" i="24"/>
  <c r="M127" i="24" s="1"/>
  <c r="N127" i="24" s="1"/>
  <c r="L119" i="24"/>
  <c r="M119" i="24" s="1"/>
  <c r="N119" i="24" s="1"/>
  <c r="L63" i="24"/>
  <c r="M63" i="24" s="1"/>
  <c r="N63" i="24" s="1"/>
  <c r="L84" i="24"/>
  <c r="M84" i="24" s="1"/>
  <c r="N84" i="24" s="1"/>
  <c r="O195" i="24"/>
  <c r="P195" i="24" s="1"/>
  <c r="O175" i="24"/>
  <c r="P175" i="24" s="1"/>
  <c r="O146" i="24"/>
  <c r="P146" i="24" s="1"/>
  <c r="O122" i="24"/>
  <c r="P122" i="24" s="1"/>
  <c r="O66" i="24"/>
  <c r="P66" i="24" s="1"/>
  <c r="L34" i="24"/>
  <c r="M34" i="24" s="1"/>
  <c r="N34" i="24" s="1"/>
  <c r="L21" i="24"/>
  <c r="M21" i="24" s="1"/>
  <c r="N21" i="24" s="1"/>
  <c r="L206" i="24"/>
  <c r="M206" i="24" s="1"/>
  <c r="N206" i="24" s="1"/>
  <c r="L153" i="24"/>
  <c r="M153" i="24" s="1"/>
  <c r="N153" i="24" s="1"/>
  <c r="L133" i="24"/>
  <c r="M133" i="24" s="1"/>
  <c r="N133" i="24" s="1"/>
  <c r="L73" i="24"/>
  <c r="M73" i="24" s="1"/>
  <c r="N73" i="24" s="1"/>
  <c r="L44" i="24"/>
  <c r="M44" i="24" s="1"/>
  <c r="N44" i="24" s="1"/>
  <c r="L108" i="24"/>
  <c r="M108" i="24" s="1"/>
  <c r="N108" i="24" s="1"/>
  <c r="L79" i="24"/>
  <c r="M79" i="24" s="1"/>
  <c r="N79" i="24" s="1"/>
  <c r="S213" i="24"/>
  <c r="T213" i="24" s="1"/>
  <c r="U213" i="24" s="1"/>
  <c r="S208" i="24"/>
  <c r="T208" i="24" s="1"/>
  <c r="U208" i="24" s="1"/>
  <c r="S203" i="24"/>
  <c r="T203" i="24" s="1"/>
  <c r="U203" i="24" s="1"/>
  <c r="S194" i="24"/>
  <c r="T194" i="24" s="1"/>
  <c r="U194" i="24" s="1"/>
  <c r="S189" i="24"/>
  <c r="T189" i="24" s="1"/>
  <c r="U189" i="24" s="1"/>
  <c r="S184" i="24"/>
  <c r="T184" i="24" s="1"/>
  <c r="U184" i="24" s="1"/>
  <c r="S163" i="24"/>
  <c r="T163" i="24" s="1"/>
  <c r="U163" i="24" s="1"/>
  <c r="S179" i="24"/>
  <c r="T179" i="24" s="1"/>
  <c r="U179" i="24" s="1"/>
  <c r="S174" i="24"/>
  <c r="T174" i="24" s="1"/>
  <c r="U174" i="24" s="1"/>
  <c r="S169" i="24"/>
  <c r="T169" i="24" s="1"/>
  <c r="U169" i="24" s="1"/>
  <c r="S160" i="24"/>
  <c r="T160" i="24" s="1"/>
  <c r="U160" i="24" s="1"/>
  <c r="S155" i="24"/>
  <c r="T155" i="24" s="1"/>
  <c r="U155" i="24" s="1"/>
  <c r="S150" i="24"/>
  <c r="T150" i="24" s="1"/>
  <c r="U150" i="24" s="1"/>
  <c r="S166" i="24"/>
  <c r="T166" i="24" s="1"/>
  <c r="U166" i="24" s="1"/>
  <c r="V144" i="24"/>
  <c r="W144" i="24" s="1"/>
  <c r="V139" i="24"/>
  <c r="W139" i="24" s="1"/>
  <c r="V134" i="24"/>
  <c r="W134" i="24" s="1"/>
  <c r="V124" i="24"/>
  <c r="W124" i="24" s="1"/>
  <c r="V119" i="24"/>
  <c r="W119" i="24" s="1"/>
  <c r="V114" i="24"/>
  <c r="W114" i="24" s="1"/>
  <c r="V130" i="24"/>
  <c r="W130" i="24" s="1"/>
  <c r="V73" i="24"/>
  <c r="W73" i="24" s="1"/>
  <c r="V68" i="24"/>
  <c r="W68" i="24" s="1"/>
  <c r="V63" i="24"/>
  <c r="W63" i="24" s="1"/>
  <c r="V56" i="24"/>
  <c r="W56" i="24" s="1"/>
  <c r="V49" i="24"/>
  <c r="W49" i="24" s="1"/>
  <c r="V44" i="24"/>
  <c r="W44" i="24" s="1"/>
  <c r="V39" i="24"/>
  <c r="W39" i="24" s="1"/>
  <c r="V18" i="24"/>
  <c r="W18" i="24" s="1"/>
  <c r="V34" i="24"/>
  <c r="W34" i="24" s="1"/>
  <c r="V29" i="24"/>
  <c r="W29" i="24" s="1"/>
  <c r="V24" i="24"/>
  <c r="W24" i="24" s="1"/>
  <c r="V15" i="24"/>
  <c r="W15" i="24" s="1"/>
  <c r="V10" i="24"/>
  <c r="W10" i="24" s="1"/>
  <c r="V5" i="24"/>
  <c r="W5" i="24" s="1"/>
  <c r="V21" i="24"/>
  <c r="W21" i="24" s="1"/>
  <c r="V108" i="24"/>
  <c r="W108" i="24" s="1"/>
  <c r="V103" i="24"/>
  <c r="W103" i="24" s="1"/>
  <c r="V98" i="24"/>
  <c r="W98" i="24" s="1"/>
  <c r="X20" i="17"/>
  <c r="AA20" i="17" s="1"/>
  <c r="Y20" i="17"/>
  <c r="Z20" i="17" s="1"/>
  <c r="AW30" i="18"/>
  <c r="AX30" i="18" s="1"/>
  <c r="AV30" i="18"/>
  <c r="AY30" i="18" s="1"/>
  <c r="AW19" i="18"/>
  <c r="AX19" i="18" s="1"/>
  <c r="AV19" i="18"/>
  <c r="AY19" i="18" s="1"/>
  <c r="AV18" i="18"/>
  <c r="AY18" i="18" s="1"/>
  <c r="AW18" i="18"/>
  <c r="AX18" i="18" s="1"/>
  <c r="AD17" i="18"/>
  <c r="AG17" i="18" s="1"/>
  <c r="AE17" i="18"/>
  <c r="AF17" i="18" s="1"/>
  <c r="AJ18" i="18"/>
  <c r="AM18" i="18" s="1"/>
  <c r="AK18" i="18"/>
  <c r="AL18" i="18" s="1"/>
  <c r="AV27" i="18"/>
  <c r="AY27" i="18" s="1"/>
  <c r="AW27" i="18"/>
  <c r="AX27" i="18" s="1"/>
  <c r="AJ20" i="18"/>
  <c r="AM20" i="18" s="1"/>
  <c r="AK20" i="18"/>
  <c r="AL20" i="18" s="1"/>
  <c r="AV16" i="18"/>
  <c r="AY16" i="18" s="1"/>
  <c r="AW16" i="18"/>
  <c r="AX16" i="18" s="1"/>
  <c r="AJ22" i="18"/>
  <c r="AM22" i="18" s="1"/>
  <c r="AK22" i="18"/>
  <c r="AL22" i="18" s="1"/>
  <c r="AJ16" i="18"/>
  <c r="AM16" i="18" s="1"/>
  <c r="AK16" i="18"/>
  <c r="AL16" i="18" s="1"/>
  <c r="AW35" i="18"/>
  <c r="AX35" i="18" s="1"/>
  <c r="AS37" i="18"/>
  <c r="AO17" i="18"/>
  <c r="AO33" i="18"/>
  <c r="AO25" i="18"/>
  <c r="AP25" i="18" s="1"/>
  <c r="AJ14" i="18"/>
  <c r="AM14" i="18" s="1"/>
  <c r="AK14" i="18"/>
  <c r="AL14" i="18" s="1"/>
  <c r="AJ31" i="18"/>
  <c r="AM31" i="18" s="1"/>
  <c r="AK31" i="18"/>
  <c r="AL31" i="18" s="1"/>
  <c r="AV28" i="18"/>
  <c r="AY28" i="18" s="1"/>
  <c r="AW28" i="18"/>
  <c r="AX28" i="18" s="1"/>
  <c r="AJ30" i="18"/>
  <c r="AM30" i="18" s="1"/>
  <c r="AK30" i="18"/>
  <c r="AL30" i="18" s="1"/>
  <c r="BB37" i="18"/>
  <c r="BE37" i="18" s="1"/>
  <c r="BC37" i="18"/>
  <c r="BD37" i="18" s="1"/>
  <c r="AV33" i="18"/>
  <c r="AY33" i="18" s="1"/>
  <c r="AW33" i="18"/>
  <c r="AX33" i="18" s="1"/>
  <c r="AD18" i="18"/>
  <c r="AG18" i="18" s="1"/>
  <c r="AE18" i="18"/>
  <c r="AF18" i="18" s="1"/>
  <c r="AJ17" i="18"/>
  <c r="AM17" i="18" s="1"/>
  <c r="AK17" i="18"/>
  <c r="AL17" i="18" s="1"/>
  <c r="BC36" i="18"/>
  <c r="BD36" i="18" s="1"/>
  <c r="BB36" i="18"/>
  <c r="BE36" i="18" s="1"/>
  <c r="AV14" i="18"/>
  <c r="AY14" i="18" s="1"/>
  <c r="AW14" i="18"/>
  <c r="AX14" i="18" s="1"/>
  <c r="AJ33" i="18"/>
  <c r="AM33" i="18" s="1"/>
  <c r="AK33" i="18"/>
  <c r="AL33" i="18" s="1"/>
  <c r="AJ24" i="18"/>
  <c r="AM24" i="18" s="1"/>
  <c r="AK24" i="18"/>
  <c r="AL24" i="18" s="1"/>
  <c r="AJ23" i="18"/>
  <c r="AM23" i="18" s="1"/>
  <c r="AK23" i="18"/>
  <c r="AL23" i="18" s="1"/>
  <c r="AJ26" i="18"/>
  <c r="AM26" i="18" s="1"/>
  <c r="AK26" i="18"/>
  <c r="AL26" i="18" s="1"/>
  <c r="AV17" i="18"/>
  <c r="AY17" i="18" s="1"/>
  <c r="AW17" i="18"/>
  <c r="AX17" i="18" s="1"/>
  <c r="AQ28" i="18"/>
  <c r="AR28" i="18" s="1"/>
  <c r="AO22" i="18"/>
  <c r="AO20" i="18"/>
  <c r="AO35" i="18"/>
  <c r="AO27" i="18"/>
  <c r="AO19" i="18"/>
  <c r="AO18" i="18"/>
  <c r="AO16" i="18"/>
  <c r="AQ15" i="18"/>
  <c r="AR15" i="18" s="1"/>
  <c r="AW32" i="18"/>
  <c r="AX32" i="18" s="1"/>
  <c r="AK32" i="18"/>
  <c r="AL32" i="18" s="1"/>
  <c r="AK21" i="18"/>
  <c r="AL21" i="18" s="1"/>
  <c r="AW13" i="18"/>
  <c r="AX13" i="18" s="1"/>
  <c r="AO36" i="18"/>
  <c r="AO34" i="18"/>
  <c r="AK25" i="18"/>
  <c r="AL25" i="18" s="1"/>
  <c r="AV23" i="18"/>
  <c r="AY23" i="18" s="1"/>
  <c r="AV25" i="18"/>
  <c r="AY25" i="18" s="1"/>
  <c r="AW34" i="18"/>
  <c r="AX34" i="18" s="1"/>
  <c r="AK34" i="18"/>
  <c r="AL34" i="18" s="1"/>
  <c r="AQ26" i="18"/>
  <c r="AR26" i="18" s="1"/>
  <c r="AQ25" i="18"/>
  <c r="AR25" i="18" s="1"/>
  <c r="AQ21" i="18"/>
  <c r="AR21" i="18" s="1"/>
  <c r="AW15" i="18"/>
  <c r="AX15" i="18" s="1"/>
  <c r="AK15" i="18"/>
  <c r="AL15" i="18" s="1"/>
  <c r="AK13" i="18"/>
  <c r="AL13" i="18" s="1"/>
  <c r="AO32" i="18"/>
  <c r="AO24" i="18"/>
  <c r="AO23" i="18"/>
  <c r="AW37" i="18"/>
  <c r="AX37" i="18" s="1"/>
  <c r="AV37" i="18"/>
  <c r="AY37" i="18" s="1"/>
  <c r="AW36" i="18"/>
  <c r="AX36" i="18" s="1"/>
  <c r="AJ36" i="18"/>
  <c r="AM36" i="18" s="1"/>
  <c r="AK36" i="18"/>
  <c r="AL36" i="18" s="1"/>
  <c r="AD36" i="18"/>
  <c r="AG36" i="18" s="1"/>
  <c r="AE36" i="18"/>
  <c r="AF36" i="18" s="1"/>
  <c r="AP37" i="18"/>
  <c r="AQ37" i="18"/>
  <c r="AR37" i="18" s="1"/>
  <c r="AJ37" i="18"/>
  <c r="AM37" i="18" s="1"/>
  <c r="AK37" i="18"/>
  <c r="AL37" i="18" s="1"/>
  <c r="X37" i="18"/>
  <c r="AA37" i="18" s="1"/>
  <c r="Y37" i="18"/>
  <c r="Z37" i="18" s="1"/>
  <c r="AE37" i="18"/>
  <c r="AF37" i="18" s="1"/>
  <c r="Y36" i="18"/>
  <c r="Z36" i="18" s="1"/>
  <c r="AJ20" i="17"/>
  <c r="AM20" i="17" s="1"/>
  <c r="AK20" i="17"/>
  <c r="AL20" i="17" s="1"/>
  <c r="AD20" i="17"/>
  <c r="AG20" i="17" s="1"/>
  <c r="AE20" i="17"/>
  <c r="AF20" i="17" s="1"/>
  <c r="AD33" i="18"/>
  <c r="AG33" i="18" s="1"/>
  <c r="AE33" i="18"/>
  <c r="AF33" i="18" s="1"/>
  <c r="AD31" i="18"/>
  <c r="AG31" i="18" s="1"/>
  <c r="AE31" i="18"/>
  <c r="AF31" i="18" s="1"/>
  <c r="AD24" i="18"/>
  <c r="AG24" i="18" s="1"/>
  <c r="AE24" i="18"/>
  <c r="AF24" i="18" s="1"/>
  <c r="AD30" i="18"/>
  <c r="AG30" i="18" s="1"/>
  <c r="AE30" i="18"/>
  <c r="AF30" i="18" s="1"/>
  <c r="AD32" i="18"/>
  <c r="AG32" i="18" s="1"/>
  <c r="AE32" i="18"/>
  <c r="AF32" i="18" s="1"/>
  <c r="AD26" i="18"/>
  <c r="AG26" i="18" s="1"/>
  <c r="AE26" i="18"/>
  <c r="AF26" i="18" s="1"/>
  <c r="AD23" i="18"/>
  <c r="AG23" i="18" s="1"/>
  <c r="AE23" i="18"/>
  <c r="AF23" i="18" s="1"/>
  <c r="AD21" i="18"/>
  <c r="AG21" i="18" s="1"/>
  <c r="AE21" i="18"/>
  <c r="AF21" i="18" s="1"/>
  <c r="AD25" i="18"/>
  <c r="AG25" i="18" s="1"/>
  <c r="AE25" i="18"/>
  <c r="AF25" i="18" s="1"/>
  <c r="AD29" i="18"/>
  <c r="AG29" i="18" s="1"/>
  <c r="AE29" i="18"/>
  <c r="AF29" i="18" s="1"/>
  <c r="AD27" i="18"/>
  <c r="AG27" i="18" s="1"/>
  <c r="AE27" i="18"/>
  <c r="AF27" i="18" s="1"/>
  <c r="AD22" i="18"/>
  <c r="AG22" i="18" s="1"/>
  <c r="AE22" i="18"/>
  <c r="AF22" i="18" s="1"/>
  <c r="AD20" i="18"/>
  <c r="AG20" i="18" s="1"/>
  <c r="AE20" i="18"/>
  <c r="AF20" i="18" s="1"/>
  <c r="AD35" i="18"/>
  <c r="AG35" i="18" s="1"/>
  <c r="AE35" i="18"/>
  <c r="AF35" i="18" s="1"/>
  <c r="AD28" i="18"/>
  <c r="AG28" i="18" s="1"/>
  <c r="AE28" i="18"/>
  <c r="AF28" i="18" s="1"/>
  <c r="AD19" i="18"/>
  <c r="AG19" i="18" s="1"/>
  <c r="AE19" i="18"/>
  <c r="AF19" i="18" s="1"/>
  <c r="AD16" i="18"/>
  <c r="AG16" i="18" s="1"/>
  <c r="AE16" i="18"/>
  <c r="AF16" i="18" s="1"/>
  <c r="AD34" i="18"/>
  <c r="AG34" i="18" s="1"/>
  <c r="AE34" i="18"/>
  <c r="AF34" i="18" s="1"/>
  <c r="AD15" i="18"/>
  <c r="AG15" i="18" s="1"/>
  <c r="AE15" i="18"/>
  <c r="AF15" i="18" s="1"/>
  <c r="AD13" i="18"/>
  <c r="AG13" i="18" s="1"/>
  <c r="AE13" i="18"/>
  <c r="AF13" i="18" s="1"/>
  <c r="AO31" i="18"/>
  <c r="AO30" i="18"/>
  <c r="AO29" i="18"/>
  <c r="AE14" i="18"/>
  <c r="AF14" i="18" s="1"/>
  <c r="AO13" i="18"/>
  <c r="AW29" i="18"/>
  <c r="AX29" i="18" s="1"/>
  <c r="AW26" i="18"/>
  <c r="AX26" i="18" s="1"/>
  <c r="AW24" i="18"/>
  <c r="AX24" i="18" s="1"/>
  <c r="AW21" i="18"/>
  <c r="AX21" i="18" s="1"/>
  <c r="BC35" i="18"/>
  <c r="BD35" i="18" s="1"/>
  <c r="Y35" i="18"/>
  <c r="Z35" i="18" s="1"/>
  <c r="BC34" i="18"/>
  <c r="BD34" i="18" s="1"/>
  <c r="Y34" i="18"/>
  <c r="Z34" i="18" s="1"/>
  <c r="BC33" i="18"/>
  <c r="BD33" i="18" s="1"/>
  <c r="Y33" i="18"/>
  <c r="Z33" i="18" s="1"/>
  <c r="BC32" i="18"/>
  <c r="BD32" i="18" s="1"/>
  <c r="Y32" i="18"/>
  <c r="Z32" i="18" s="1"/>
  <c r="BC31" i="18"/>
  <c r="BD31" i="18" s="1"/>
  <c r="Y31" i="18"/>
  <c r="Z31" i="18" s="1"/>
  <c r="BC30" i="18"/>
  <c r="BD30" i="18" s="1"/>
  <c r="Y30" i="18"/>
  <c r="Z30" i="18" s="1"/>
  <c r="BC29" i="18"/>
  <c r="BD29" i="18" s="1"/>
  <c r="Y29" i="18"/>
  <c r="Z29" i="18" s="1"/>
  <c r="BC28" i="18"/>
  <c r="BD28" i="18" s="1"/>
  <c r="Y28" i="18"/>
  <c r="Z28" i="18" s="1"/>
  <c r="BC27" i="18"/>
  <c r="BD27" i="18" s="1"/>
  <c r="Y27" i="18"/>
  <c r="Z27" i="18" s="1"/>
  <c r="BC26" i="18"/>
  <c r="BD26" i="18" s="1"/>
  <c r="Y26" i="18"/>
  <c r="Z26" i="18" s="1"/>
  <c r="BC25" i="18"/>
  <c r="BD25" i="18" s="1"/>
  <c r="Y25" i="18"/>
  <c r="Z25" i="18" s="1"/>
  <c r="BC24" i="18"/>
  <c r="BD24" i="18" s="1"/>
  <c r="Y24" i="18"/>
  <c r="Z24" i="18" s="1"/>
  <c r="BC23" i="18"/>
  <c r="BD23" i="18" s="1"/>
  <c r="Y23" i="18"/>
  <c r="Z23" i="18" s="1"/>
  <c r="BC22" i="18"/>
  <c r="BD22" i="18" s="1"/>
  <c r="Y22" i="18"/>
  <c r="Z22" i="18" s="1"/>
  <c r="BC21" i="18"/>
  <c r="BD21" i="18" s="1"/>
  <c r="Y21" i="18"/>
  <c r="Z21" i="18" s="1"/>
  <c r="BC20" i="18"/>
  <c r="BD20" i="18" s="1"/>
  <c r="Y20" i="18"/>
  <c r="Z20" i="18" s="1"/>
  <c r="BC19" i="18"/>
  <c r="BD19" i="18" s="1"/>
  <c r="Y19" i="18"/>
  <c r="Z19" i="18" s="1"/>
  <c r="BC18" i="18"/>
  <c r="BD18" i="18" s="1"/>
  <c r="Y18" i="18"/>
  <c r="Z18" i="18" s="1"/>
  <c r="BC17" i="18"/>
  <c r="BD17" i="18" s="1"/>
  <c r="Y17" i="18"/>
  <c r="Z17" i="18" s="1"/>
  <c r="BC16" i="18"/>
  <c r="BD16" i="18" s="1"/>
  <c r="Y16" i="18"/>
  <c r="Z16" i="18" s="1"/>
  <c r="BC15" i="18"/>
  <c r="BD15" i="18" s="1"/>
  <c r="Y15" i="18"/>
  <c r="Z15" i="18" s="1"/>
  <c r="BC14" i="18"/>
  <c r="BD14" i="18" s="1"/>
  <c r="Y14" i="18"/>
  <c r="Z14" i="18" s="1"/>
  <c r="BC13" i="18"/>
  <c r="BD13" i="18" s="1"/>
  <c r="Y13" i="18"/>
  <c r="Z13" i="18" s="1"/>
  <c r="N21" i="21"/>
  <c r="O21" i="21" s="1"/>
  <c r="N86" i="21"/>
  <c r="O86" i="21" s="1"/>
  <c r="N56" i="21"/>
  <c r="O56" i="21" s="1"/>
  <c r="N85" i="21"/>
  <c r="O85" i="21" s="1"/>
  <c r="N35" i="21"/>
  <c r="O35" i="21" s="1"/>
  <c r="K70" i="21"/>
  <c r="L70" i="21" s="1"/>
  <c r="M70" i="21" s="1"/>
  <c r="K20" i="21"/>
  <c r="L20" i="21" s="1"/>
  <c r="M20" i="21" s="1"/>
  <c r="N80" i="21"/>
  <c r="O80" i="21" s="1"/>
  <c r="N30" i="21"/>
  <c r="O30" i="21" s="1"/>
  <c r="N45" i="21"/>
  <c r="O45" i="21" s="1"/>
  <c r="N10" i="21"/>
  <c r="O10" i="21" s="1"/>
  <c r="N60" i="21"/>
  <c r="O60" i="21" s="1"/>
  <c r="N75" i="21"/>
  <c r="O75" i="21" s="1"/>
  <c r="N25" i="21"/>
  <c r="O25" i="21" s="1"/>
  <c r="N90" i="21"/>
  <c r="O90" i="21" s="1"/>
  <c r="N40" i="21"/>
  <c r="O40" i="21" s="1"/>
  <c r="N5" i="21"/>
  <c r="O5" i="21" s="1"/>
  <c r="N55" i="21"/>
  <c r="O55" i="21" s="1"/>
  <c r="K73" i="21"/>
  <c r="L73" i="21" s="1"/>
  <c r="M73" i="21" s="1"/>
  <c r="N18" i="21"/>
  <c r="O18" i="21" s="1"/>
  <c r="N3" i="21"/>
  <c r="O3" i="21" s="1"/>
  <c r="N68" i="21"/>
  <c r="O68" i="21" s="1"/>
  <c r="N63" i="21"/>
  <c r="O63" i="21" s="1"/>
  <c r="N13" i="21"/>
  <c r="O13" i="21" s="1"/>
  <c r="N58" i="21"/>
  <c r="O58" i="21" s="1"/>
  <c r="N8" i="21"/>
  <c r="O8" i="21" s="1"/>
  <c r="N23" i="21"/>
  <c r="O23" i="21" s="1"/>
  <c r="K32" i="21"/>
  <c r="L32" i="21" s="1"/>
  <c r="M32" i="21" s="1"/>
  <c r="N77" i="21"/>
  <c r="O77" i="21" s="1"/>
  <c r="N27" i="21"/>
  <c r="O27" i="21" s="1"/>
  <c r="N57" i="21"/>
  <c r="O57" i="21" s="1"/>
  <c r="N7" i="21"/>
  <c r="O7" i="21" s="1"/>
  <c r="K82" i="21"/>
  <c r="L82" i="21" s="1"/>
  <c r="M82" i="21" s="1"/>
  <c r="N72" i="21"/>
  <c r="O72" i="21" s="1"/>
  <c r="N22" i="21"/>
  <c r="O22" i="21" s="1"/>
  <c r="N67" i="21"/>
  <c r="O67" i="21" s="1"/>
  <c r="N17" i="21"/>
  <c r="O17" i="21" s="1"/>
  <c r="N89" i="21"/>
  <c r="O89" i="21" s="1"/>
  <c r="N39" i="21"/>
  <c r="O39" i="21" s="1"/>
  <c r="N69" i="21"/>
  <c r="O69" i="21" s="1"/>
  <c r="N54" i="21"/>
  <c r="O54" i="21" s="1"/>
  <c r="N19" i="21"/>
  <c r="O19" i="21" s="1"/>
  <c r="N64" i="21"/>
  <c r="O64" i="21" s="1"/>
  <c r="N14" i="21"/>
  <c r="O14" i="21" s="1"/>
  <c r="R71" i="21"/>
  <c r="S71" i="21" s="1"/>
  <c r="T71" i="21" s="1"/>
  <c r="R85" i="21"/>
  <c r="S85" i="21" s="1"/>
  <c r="T85" i="21" s="1"/>
  <c r="R60" i="21"/>
  <c r="S60" i="21" s="1"/>
  <c r="T60" i="21" s="1"/>
  <c r="R35" i="21"/>
  <c r="S35" i="21" s="1"/>
  <c r="T35" i="21" s="1"/>
  <c r="R10" i="21"/>
  <c r="S10" i="21" s="1"/>
  <c r="T10" i="21" s="1"/>
  <c r="R73" i="21"/>
  <c r="S73" i="21" s="1"/>
  <c r="T73" i="21" s="1"/>
  <c r="R48" i="21"/>
  <c r="S48" i="21" s="1"/>
  <c r="T48" i="21" s="1"/>
  <c r="R23" i="21"/>
  <c r="S23" i="21" s="1"/>
  <c r="T23" i="21" s="1"/>
  <c r="R87" i="21"/>
  <c r="S87" i="21" s="1"/>
  <c r="T87" i="21" s="1"/>
  <c r="R62" i="21"/>
  <c r="S62" i="21" s="1"/>
  <c r="T62" i="21" s="1"/>
  <c r="R37" i="21"/>
  <c r="S37" i="21" s="1"/>
  <c r="T37" i="21" s="1"/>
  <c r="R12" i="21"/>
  <c r="S12" i="21" s="1"/>
  <c r="T12" i="21" s="1"/>
  <c r="R79" i="21"/>
  <c r="S79" i="21" s="1"/>
  <c r="T79" i="21" s="1"/>
  <c r="R54" i="21"/>
  <c r="S54" i="21" s="1"/>
  <c r="T54" i="21" s="1"/>
  <c r="R29" i="21"/>
  <c r="S29" i="21" s="1"/>
  <c r="T29" i="21" s="1"/>
  <c r="AP14" i="18" l="1"/>
  <c r="AQ14" i="18"/>
  <c r="AR14" i="18" s="1"/>
  <c r="AY48" i="19"/>
  <c r="AZ48" i="19" s="1"/>
  <c r="AA86" i="19"/>
  <c r="AB86" i="19" s="1"/>
  <c r="AG86" i="19"/>
  <c r="AH86" i="19" s="1"/>
  <c r="W481" i="25"/>
  <c r="X481" i="25" s="1"/>
  <c r="T591" i="25"/>
  <c r="U591" i="25" s="1"/>
  <c r="V591" i="25" s="1"/>
  <c r="W492" i="25"/>
  <c r="X492" i="25" s="1"/>
  <c r="W85" i="25"/>
  <c r="X85" i="25" s="1"/>
  <c r="T294" i="25"/>
  <c r="U294" i="25" s="1"/>
  <c r="V294" i="25" s="1"/>
  <c r="BE48" i="19"/>
  <c r="BF48" i="19" s="1"/>
  <c r="AL48" i="19"/>
  <c r="AO48" i="19" s="1"/>
  <c r="AS48" i="19"/>
  <c r="AT48" i="19" s="1"/>
  <c r="AA48" i="19"/>
  <c r="AB48" i="19" s="1"/>
  <c r="AG48" i="19"/>
  <c r="AH48" i="19" s="1"/>
  <c r="T580" i="25"/>
  <c r="U580" i="25" s="1"/>
  <c r="V580" i="25" s="1"/>
  <c r="W382" i="25"/>
  <c r="X382" i="25" s="1"/>
  <c r="T789" i="25"/>
  <c r="U789" i="25" s="1"/>
  <c r="V789" i="25" s="1"/>
  <c r="T690" i="25"/>
  <c r="U690" i="25" s="1"/>
  <c r="V690" i="25" s="1"/>
  <c r="T778" i="25"/>
  <c r="U778" i="25" s="1"/>
  <c r="V778" i="25" s="1"/>
  <c r="W96" i="25"/>
  <c r="X96" i="25" s="1"/>
  <c r="W679" i="25"/>
  <c r="X679" i="25" s="1"/>
  <c r="T679" i="25"/>
  <c r="U679" i="25" s="1"/>
  <c r="V679" i="25" s="1"/>
  <c r="W393" i="25"/>
  <c r="X393" i="25" s="1"/>
  <c r="T184" i="25"/>
  <c r="U184" i="25" s="1"/>
  <c r="V184" i="25" s="1"/>
  <c r="AM86" i="19"/>
  <c r="AN86" i="19" s="1"/>
  <c r="BK48" i="19"/>
  <c r="BL48" i="19" s="1"/>
  <c r="BQ48" i="19"/>
  <c r="BR48" i="19" s="1"/>
  <c r="AR86" i="19"/>
  <c r="AU86" i="19" s="1"/>
  <c r="AS86" i="19"/>
  <c r="AT86" i="19" s="1"/>
  <c r="AY86" i="19"/>
  <c r="AZ86" i="19" s="1"/>
  <c r="AX86" i="19"/>
  <c r="BA86" i="19" s="1"/>
  <c r="BK86" i="19"/>
  <c r="BL86" i="19" s="1"/>
  <c r="BJ86" i="19"/>
  <c r="BM86" i="19" s="1"/>
  <c r="BD86" i="19"/>
  <c r="BG86" i="19" s="1"/>
  <c r="BE86" i="19"/>
  <c r="BF86" i="19" s="1"/>
  <c r="BP86" i="19"/>
  <c r="BS86" i="19" s="1"/>
  <c r="BQ86" i="19"/>
  <c r="BR86" i="19" s="1"/>
  <c r="AQ33" i="18"/>
  <c r="AR33" i="18" s="1"/>
  <c r="AP33" i="18"/>
  <c r="AP17" i="18"/>
  <c r="AQ17" i="18"/>
  <c r="AR17" i="18" s="1"/>
  <c r="AP18" i="18"/>
  <c r="AQ18" i="18"/>
  <c r="AR18" i="18" s="1"/>
  <c r="AP19" i="18"/>
  <c r="AQ19" i="18"/>
  <c r="AR19" i="18" s="1"/>
  <c r="AP34" i="18"/>
  <c r="AQ34" i="18"/>
  <c r="AR34" i="18" s="1"/>
  <c r="AP27" i="18"/>
  <c r="AQ27" i="18"/>
  <c r="AR27" i="18" s="1"/>
  <c r="AP36" i="18"/>
  <c r="AQ36" i="18"/>
  <c r="AR36" i="18" s="1"/>
  <c r="AP35" i="18"/>
  <c r="AQ35" i="18"/>
  <c r="AR35" i="18" s="1"/>
  <c r="AQ20" i="18"/>
  <c r="AR20" i="18" s="1"/>
  <c r="AP20" i="18"/>
  <c r="AQ22" i="18"/>
  <c r="AR22" i="18" s="1"/>
  <c r="AP22" i="18"/>
  <c r="AP23" i="18"/>
  <c r="AQ23" i="18"/>
  <c r="AR23" i="18" s="1"/>
  <c r="AP24" i="18"/>
  <c r="AQ24" i="18"/>
  <c r="AR24" i="18" s="1"/>
  <c r="AP32" i="18"/>
  <c r="AQ32" i="18"/>
  <c r="AR32" i="18" s="1"/>
  <c r="AP16" i="18"/>
  <c r="AQ16" i="18"/>
  <c r="AR16" i="18" s="1"/>
  <c r="AP13" i="18"/>
  <c r="AQ13" i="18"/>
  <c r="AR13" i="18" s="1"/>
  <c r="AP29" i="18"/>
  <c r="AQ29" i="18"/>
  <c r="AR29" i="18" s="1"/>
  <c r="AP31" i="18"/>
  <c r="AQ31" i="18"/>
  <c r="AR31" i="18" s="1"/>
  <c r="AP30" i="18"/>
  <c r="AQ30" i="18"/>
  <c r="AR30" i="18" s="1"/>
  <c r="Y20" i="9" l="1"/>
  <c r="Y13" i="9"/>
  <c r="Y24" i="9"/>
  <c r="Y27" i="9"/>
  <c r="Y32" i="9"/>
  <c r="Y18" i="9"/>
  <c r="Y16" i="9"/>
  <c r="Y25" i="9"/>
  <c r="Y21" i="9"/>
  <c r="Y22" i="9"/>
  <c r="Y15" i="9"/>
  <c r="Y30" i="9"/>
  <c r="Y17" i="9"/>
  <c r="Y34" i="9"/>
  <c r="Y26" i="9"/>
  <c r="Y29" i="9"/>
  <c r="U20" i="9"/>
  <c r="V20" i="9"/>
  <c r="U13" i="9"/>
  <c r="V13" i="9"/>
  <c r="U24" i="9"/>
  <c r="V24" i="9"/>
  <c r="U27" i="9"/>
  <c r="V27" i="9"/>
  <c r="U32" i="9"/>
  <c r="V32" i="9"/>
  <c r="U18" i="9"/>
  <c r="V18" i="9"/>
  <c r="U16" i="9"/>
  <c r="V16" i="9"/>
  <c r="U25" i="9"/>
  <c r="V25" i="9"/>
  <c r="U21" i="9"/>
  <c r="V21" i="9"/>
  <c r="U22" i="9"/>
  <c r="V22" i="9"/>
  <c r="U15" i="9"/>
  <c r="V15" i="9"/>
  <c r="U30" i="9"/>
  <c r="V30" i="9"/>
  <c r="U17" i="9"/>
  <c r="V17" i="9"/>
  <c r="U34" i="9"/>
  <c r="V34" i="9"/>
  <c r="U26" i="9"/>
  <c r="V26" i="9"/>
  <c r="U29" i="9"/>
  <c r="V29" i="9"/>
  <c r="X14" i="11"/>
  <c r="Q34" i="2"/>
  <c r="U31" i="2"/>
  <c r="T31" i="2"/>
  <c r="S31" i="2"/>
  <c r="R31" i="2"/>
  <c r="W14" i="11"/>
  <c r="L18" i="1"/>
  <c r="L17" i="1"/>
  <c r="L23" i="1"/>
  <c r="G23" i="1" s="1"/>
  <c r="G17" i="1"/>
  <c r="G12" i="1"/>
  <c r="G13" i="1"/>
  <c r="G5" i="1"/>
  <c r="G6" i="1"/>
  <c r="G3" i="1"/>
  <c r="G7" i="1"/>
  <c r="G10" i="1"/>
  <c r="R118" i="23" l="1"/>
  <c r="S118" i="23" s="1"/>
  <c r="T118" i="23" s="1"/>
  <c r="U118" i="23" s="1"/>
  <c r="R2" i="23"/>
  <c r="V2" i="23" s="1"/>
  <c r="W2" i="23" s="1"/>
  <c r="R31" i="23"/>
  <c r="S31" i="23" s="1"/>
  <c r="T31" i="23" s="1"/>
  <c r="U31" i="23" s="1"/>
  <c r="R176" i="23"/>
  <c r="V176" i="23" s="1"/>
  <c r="W176" i="23" s="1"/>
  <c r="R147" i="23"/>
  <c r="V147" i="23" s="1"/>
  <c r="W147" i="23" s="1"/>
  <c r="R60" i="23"/>
  <c r="S60" i="23" s="1"/>
  <c r="T60" i="23" s="1"/>
  <c r="U60" i="23" s="1"/>
  <c r="R89" i="23"/>
  <c r="V89" i="23" s="1"/>
  <c r="W89" i="23" s="1"/>
  <c r="T22" i="11"/>
  <c r="U22" i="11"/>
  <c r="V22" i="11"/>
  <c r="AA16" i="11"/>
  <c r="BP6" i="20"/>
  <c r="BQ6" i="20" s="1"/>
  <c r="BS6" i="20" s="1"/>
  <c r="BP28" i="20"/>
  <c r="BQ28" i="20" s="1"/>
  <c r="BR28" i="20" s="1"/>
  <c r="BU28" i="20" s="1"/>
  <c r="BP2" i="20"/>
  <c r="BP22" i="20"/>
  <c r="BQ22" i="20" s="1"/>
  <c r="BP11" i="20"/>
  <c r="BP25" i="20"/>
  <c r="BQ25" i="20" s="1"/>
  <c r="BS25" i="20" s="1"/>
  <c r="BP26" i="20"/>
  <c r="BQ26" i="20" s="1"/>
  <c r="BP12" i="20"/>
  <c r="BQ12" i="20" s="1"/>
  <c r="BS12" i="20" s="1"/>
  <c r="BP9" i="20"/>
  <c r="BQ9" i="20" s="1"/>
  <c r="BS9" i="20" s="1"/>
  <c r="BP30" i="20"/>
  <c r="BQ30" i="20" s="1"/>
  <c r="BS30" i="20" s="1"/>
  <c r="BP10" i="20"/>
  <c r="BQ10" i="20" s="1"/>
  <c r="BS10" i="20" s="1"/>
  <c r="BP21" i="20"/>
  <c r="BQ21" i="20" s="1"/>
  <c r="BS21" i="20" s="1"/>
  <c r="BP15" i="20"/>
  <c r="BQ15" i="20" s="1"/>
  <c r="BS15" i="20" s="1"/>
  <c r="BP27" i="20"/>
  <c r="BQ27" i="20" s="1"/>
  <c r="BS27" i="20" s="1"/>
  <c r="BP29" i="20"/>
  <c r="BP18" i="20"/>
  <c r="BP20" i="20"/>
  <c r="BQ20" i="20" s="1"/>
  <c r="BS20" i="20" s="1"/>
  <c r="BP7" i="20"/>
  <c r="BQ7" i="20" s="1"/>
  <c r="BR7" i="20" s="1"/>
  <c r="BU7" i="20" s="1"/>
  <c r="BP4" i="20"/>
  <c r="BQ4" i="20" s="1"/>
  <c r="BS4" i="20" s="1"/>
  <c r="BP24" i="20"/>
  <c r="BQ24" i="20" s="1"/>
  <c r="BS24" i="20" s="1"/>
  <c r="BP3" i="20"/>
  <c r="BQ3" i="20" s="1"/>
  <c r="BS3" i="20" s="1"/>
  <c r="BP14" i="20"/>
  <c r="BQ14" i="20" s="1"/>
  <c r="BS14" i="20" s="1"/>
  <c r="BP13" i="20"/>
  <c r="BQ13" i="20" s="1"/>
  <c r="BS13" i="20" s="1"/>
  <c r="BP8" i="20"/>
  <c r="BQ8" i="20" s="1"/>
  <c r="BS8" i="20" s="1"/>
  <c r="BP19" i="20"/>
  <c r="BP23" i="20"/>
  <c r="BQ23" i="20" s="1"/>
  <c r="BS23" i="20" s="1"/>
  <c r="BP5" i="20"/>
  <c r="BP17" i="20"/>
  <c r="BQ17" i="20" s="1"/>
  <c r="BS17" i="20" s="1"/>
  <c r="AA106" i="10"/>
  <c r="W106" i="10"/>
  <c r="X106" i="10"/>
  <c r="Y106" i="10"/>
  <c r="Z106" i="10"/>
  <c r="K128" i="23"/>
  <c r="O128" i="23" s="1"/>
  <c r="P128" i="23" s="1"/>
  <c r="K12" i="23"/>
  <c r="O12" i="23" s="1"/>
  <c r="P12" i="23" s="1"/>
  <c r="K41" i="23"/>
  <c r="L41" i="23" s="1"/>
  <c r="M41" i="23" s="1"/>
  <c r="N41" i="23" s="1"/>
  <c r="K186" i="23"/>
  <c r="O186" i="23" s="1"/>
  <c r="P186" i="23" s="1"/>
  <c r="K157" i="23"/>
  <c r="L157" i="23" s="1"/>
  <c r="M157" i="23" s="1"/>
  <c r="N157" i="23" s="1"/>
  <c r="K70" i="23"/>
  <c r="L70" i="23" s="1"/>
  <c r="M70" i="23" s="1"/>
  <c r="N70" i="23" s="1"/>
  <c r="K99" i="23"/>
  <c r="O99" i="23" s="1"/>
  <c r="P99" i="23" s="1"/>
  <c r="R128" i="23"/>
  <c r="S128" i="23" s="1"/>
  <c r="T128" i="23" s="1"/>
  <c r="U128" i="23" s="1"/>
  <c r="R12" i="23"/>
  <c r="V12" i="23" s="1"/>
  <c r="W12" i="23" s="1"/>
  <c r="R41" i="23"/>
  <c r="S41" i="23" s="1"/>
  <c r="T41" i="23" s="1"/>
  <c r="U41" i="23" s="1"/>
  <c r="R186" i="23"/>
  <c r="V186" i="23" s="1"/>
  <c r="W186" i="23" s="1"/>
  <c r="R157" i="23"/>
  <c r="S157" i="23" s="1"/>
  <c r="T157" i="23" s="1"/>
  <c r="U157" i="23" s="1"/>
  <c r="R70" i="23"/>
  <c r="V70" i="23" s="1"/>
  <c r="W70" i="23" s="1"/>
  <c r="R99" i="23"/>
  <c r="V99" i="23" s="1"/>
  <c r="W99" i="23" s="1"/>
  <c r="Q22" i="20"/>
  <c r="R22" i="20"/>
  <c r="S22" i="20"/>
  <c r="T22" i="20"/>
  <c r="U22" i="20"/>
  <c r="V22" i="20"/>
  <c r="W22" i="20"/>
  <c r="X22" i="20"/>
  <c r="Y22" i="20"/>
  <c r="Z22" i="20"/>
  <c r="AA22" i="20" s="1"/>
  <c r="AF22" i="20"/>
  <c r="AG22" i="20" s="1"/>
  <c r="AL22" i="20"/>
  <c r="AM22" i="20" s="1"/>
  <c r="AN22" i="20" s="1"/>
  <c r="AQ22" i="20" s="1"/>
  <c r="AR22" i="20"/>
  <c r="AS22" i="20" s="1"/>
  <c r="AU22" i="20" s="1"/>
  <c r="AV22" i="20" s="1"/>
  <c r="AX22" i="20"/>
  <c r="AY22" i="20" s="1"/>
  <c r="BD22" i="20"/>
  <c r="BE22" i="20" s="1"/>
  <c r="BF22" i="20" s="1"/>
  <c r="BG22" i="20"/>
  <c r="BH22" i="20" s="1"/>
  <c r="BI22" i="20" s="1"/>
  <c r="BJ22" i="20"/>
  <c r="BK22" i="20" s="1"/>
  <c r="X16" i="11"/>
  <c r="T16" i="11"/>
  <c r="U16" i="11"/>
  <c r="V16" i="11"/>
  <c r="W16" i="11"/>
  <c r="K60" i="23"/>
  <c r="L60" i="23" s="1"/>
  <c r="M60" i="23" s="1"/>
  <c r="N60" i="23" s="1"/>
  <c r="K61" i="23"/>
  <c r="O61" i="23" s="1"/>
  <c r="P61" i="23" s="1"/>
  <c r="K63" i="23"/>
  <c r="L63" i="23" s="1"/>
  <c r="M63" i="23" s="1"/>
  <c r="N63" i="23" s="1"/>
  <c r="K64" i="23"/>
  <c r="O64" i="23" s="1"/>
  <c r="P64" i="23" s="1"/>
  <c r="K65" i="23"/>
  <c r="O65" i="23" s="1"/>
  <c r="P65" i="23" s="1"/>
  <c r="K66" i="23"/>
  <c r="L66" i="23" s="1"/>
  <c r="M66" i="23" s="1"/>
  <c r="N66" i="23" s="1"/>
  <c r="K67" i="23"/>
  <c r="O67" i="23" s="1"/>
  <c r="P67" i="23" s="1"/>
  <c r="K68" i="23"/>
  <c r="L68" i="23" s="1"/>
  <c r="M68" i="23" s="1"/>
  <c r="N68" i="23" s="1"/>
  <c r="K69" i="23"/>
  <c r="O69" i="23" s="1"/>
  <c r="P69" i="23" s="1"/>
  <c r="K71" i="23"/>
  <c r="O71" i="23" s="1"/>
  <c r="P71" i="23" s="1"/>
  <c r="K72" i="23"/>
  <c r="L72" i="23" s="1"/>
  <c r="M72" i="23" s="1"/>
  <c r="N72" i="23" s="1"/>
  <c r="K73" i="23"/>
  <c r="O73" i="23" s="1"/>
  <c r="P73" i="23" s="1"/>
  <c r="K74" i="23"/>
  <c r="L74" i="23" s="1"/>
  <c r="M74" i="23" s="1"/>
  <c r="N74" i="23" s="1"/>
  <c r="K75" i="23"/>
  <c r="O75" i="23" s="1"/>
  <c r="P75" i="23" s="1"/>
  <c r="K76" i="23"/>
  <c r="O76" i="23" s="1"/>
  <c r="P76" i="23" s="1"/>
  <c r="K77" i="23"/>
  <c r="L77" i="23" s="1"/>
  <c r="M77" i="23" s="1"/>
  <c r="N77" i="23" s="1"/>
  <c r="K79" i="23"/>
  <c r="L79" i="23" s="1"/>
  <c r="M79" i="23" s="1"/>
  <c r="N79" i="23" s="1"/>
  <c r="K80" i="23"/>
  <c r="O80" i="23" s="1"/>
  <c r="P80" i="23" s="1"/>
  <c r="K81" i="23"/>
  <c r="O81" i="23" s="1"/>
  <c r="P81" i="23" s="1"/>
  <c r="K82" i="23"/>
  <c r="L82" i="23" s="1"/>
  <c r="M82" i="23" s="1"/>
  <c r="N82" i="23" s="1"/>
  <c r="K83" i="23"/>
  <c r="O83" i="23" s="1"/>
  <c r="P83" i="23" s="1"/>
  <c r="K84" i="23"/>
  <c r="L84" i="23" s="1"/>
  <c r="M84" i="23" s="1"/>
  <c r="N84" i="23" s="1"/>
  <c r="K85" i="23"/>
  <c r="O85" i="23" s="1"/>
  <c r="P85" i="23" s="1"/>
  <c r="K86" i="23"/>
  <c r="O86" i="23" s="1"/>
  <c r="P86" i="23" s="1"/>
  <c r="K87" i="23"/>
  <c r="L87" i="23" s="1"/>
  <c r="M87" i="23" s="1"/>
  <c r="N87" i="23" s="1"/>
  <c r="K89" i="23"/>
  <c r="L89" i="23" s="1"/>
  <c r="M89" i="23" s="1"/>
  <c r="N89" i="23" s="1"/>
  <c r="K90" i="23"/>
  <c r="O90" i="23" s="1"/>
  <c r="P90" i="23" s="1"/>
  <c r="K92" i="23"/>
  <c r="O92" i="23" s="1"/>
  <c r="P92" i="23" s="1"/>
  <c r="K93" i="23"/>
  <c r="L93" i="23" s="1"/>
  <c r="M93" i="23" s="1"/>
  <c r="N93" i="23" s="1"/>
  <c r="K94" i="23"/>
  <c r="O94" i="23" s="1"/>
  <c r="P94" i="23" s="1"/>
  <c r="K95" i="23"/>
  <c r="L95" i="23" s="1"/>
  <c r="M95" i="23" s="1"/>
  <c r="N95" i="23" s="1"/>
  <c r="K96" i="23"/>
  <c r="O96" i="23" s="1"/>
  <c r="P96" i="23" s="1"/>
  <c r="K97" i="23"/>
  <c r="O97" i="23" s="1"/>
  <c r="P97" i="23" s="1"/>
  <c r="K98" i="23"/>
  <c r="L98" i="23" s="1"/>
  <c r="M98" i="23" s="1"/>
  <c r="N98" i="23" s="1"/>
  <c r="K100" i="23"/>
  <c r="O100" i="23" s="1"/>
  <c r="P100" i="23" s="1"/>
  <c r="K101" i="23"/>
  <c r="L101" i="23" s="1"/>
  <c r="M101" i="23" s="1"/>
  <c r="N101" i="23" s="1"/>
  <c r="K102" i="23"/>
  <c r="O102" i="23" s="1"/>
  <c r="P102" i="23" s="1"/>
  <c r="K103" i="23"/>
  <c r="O103" i="23" s="1"/>
  <c r="P103" i="23" s="1"/>
  <c r="K104" i="23"/>
  <c r="L104" i="23" s="1"/>
  <c r="M104" i="23" s="1"/>
  <c r="N104" i="23" s="1"/>
  <c r="K105" i="23"/>
  <c r="O105" i="23" s="1"/>
  <c r="P105" i="23" s="1"/>
  <c r="K106" i="23"/>
  <c r="L106" i="23" s="1"/>
  <c r="M106" i="23" s="1"/>
  <c r="N106" i="23" s="1"/>
  <c r="K108" i="23"/>
  <c r="O108" i="23" s="1"/>
  <c r="P108" i="23" s="1"/>
  <c r="K109" i="23"/>
  <c r="L109" i="23" s="1"/>
  <c r="M109" i="23" s="1"/>
  <c r="N109" i="23" s="1"/>
  <c r="K110" i="23"/>
  <c r="O110" i="23" s="1"/>
  <c r="P110" i="23" s="1"/>
  <c r="K111" i="23"/>
  <c r="L111" i="23" s="1"/>
  <c r="M111" i="23" s="1"/>
  <c r="N111" i="23" s="1"/>
  <c r="K112" i="23"/>
  <c r="O112" i="23" s="1"/>
  <c r="P112" i="23" s="1"/>
  <c r="K113" i="23"/>
  <c r="O113" i="23" s="1"/>
  <c r="P113" i="23" s="1"/>
  <c r="K114" i="23"/>
  <c r="L114" i="23" s="1"/>
  <c r="M114" i="23" s="1"/>
  <c r="N114" i="23" s="1"/>
  <c r="K115" i="23"/>
  <c r="O115" i="23" s="1"/>
  <c r="P115" i="23" s="1"/>
  <c r="K116" i="23"/>
  <c r="L116" i="23" s="1"/>
  <c r="M116" i="23" s="1"/>
  <c r="N116" i="23" s="1"/>
  <c r="R61" i="23"/>
  <c r="V61" i="23" s="1"/>
  <c r="W61" i="23" s="1"/>
  <c r="R63" i="23"/>
  <c r="S63" i="23" s="1"/>
  <c r="T63" i="23" s="1"/>
  <c r="U63" i="23" s="1"/>
  <c r="R64" i="23"/>
  <c r="V64" i="23" s="1"/>
  <c r="W64" i="23" s="1"/>
  <c r="R65" i="23"/>
  <c r="S65" i="23" s="1"/>
  <c r="T65" i="23" s="1"/>
  <c r="U65" i="23" s="1"/>
  <c r="R66" i="23"/>
  <c r="V66" i="23" s="1"/>
  <c r="W66" i="23" s="1"/>
  <c r="R67" i="23"/>
  <c r="V67" i="23" s="1"/>
  <c r="W67" i="23" s="1"/>
  <c r="R68" i="23"/>
  <c r="V68" i="23" s="1"/>
  <c r="W68" i="23" s="1"/>
  <c r="R69" i="23"/>
  <c r="V69" i="23" s="1"/>
  <c r="W69" i="23" s="1"/>
  <c r="R71" i="23"/>
  <c r="S71" i="23" s="1"/>
  <c r="T71" i="23" s="1"/>
  <c r="U71" i="23" s="1"/>
  <c r="R72" i="23"/>
  <c r="V72" i="23" s="1"/>
  <c r="W72" i="23" s="1"/>
  <c r="R73" i="23"/>
  <c r="V73" i="23" s="1"/>
  <c r="W73" i="23" s="1"/>
  <c r="R74" i="23"/>
  <c r="S74" i="23" s="1"/>
  <c r="T74" i="23" s="1"/>
  <c r="U74" i="23" s="1"/>
  <c r="R75" i="23"/>
  <c r="V75" i="23" s="1"/>
  <c r="W75" i="23" s="1"/>
  <c r="R76" i="23"/>
  <c r="S76" i="23" s="1"/>
  <c r="T76" i="23" s="1"/>
  <c r="U76" i="23" s="1"/>
  <c r="R77" i="23"/>
  <c r="V77" i="23" s="1"/>
  <c r="W77" i="23" s="1"/>
  <c r="R79" i="23"/>
  <c r="V79" i="23" s="1"/>
  <c r="W79" i="23" s="1"/>
  <c r="R80" i="23"/>
  <c r="V80" i="23" s="1"/>
  <c r="W80" i="23" s="1"/>
  <c r="R81" i="23"/>
  <c r="S81" i="23" s="1"/>
  <c r="T81" i="23" s="1"/>
  <c r="U81" i="23" s="1"/>
  <c r="R82" i="23"/>
  <c r="S82" i="23" s="1"/>
  <c r="T82" i="23" s="1"/>
  <c r="U82" i="23" s="1"/>
  <c r="R83" i="23"/>
  <c r="V83" i="23" s="1"/>
  <c r="W83" i="23" s="1"/>
  <c r="R84" i="23"/>
  <c r="V84" i="23" s="1"/>
  <c r="W84" i="23" s="1"/>
  <c r="R85" i="23"/>
  <c r="V85" i="23" s="1"/>
  <c r="W85" i="23" s="1"/>
  <c r="R86" i="23"/>
  <c r="S86" i="23" s="1"/>
  <c r="T86" i="23" s="1"/>
  <c r="U86" i="23" s="1"/>
  <c r="R87" i="23"/>
  <c r="V87" i="23" s="1"/>
  <c r="W87" i="23" s="1"/>
  <c r="R90" i="23"/>
  <c r="V90" i="23" s="1"/>
  <c r="W90" i="23" s="1"/>
  <c r="R92" i="23"/>
  <c r="S92" i="23" s="1"/>
  <c r="T92" i="23" s="1"/>
  <c r="U92" i="23" s="1"/>
  <c r="R93" i="23"/>
  <c r="S93" i="23" s="1"/>
  <c r="T93" i="23" s="1"/>
  <c r="U93" i="23" s="1"/>
  <c r="R94" i="23"/>
  <c r="V94" i="23" s="1"/>
  <c r="W94" i="23" s="1"/>
  <c r="R95" i="23"/>
  <c r="S95" i="23" s="1"/>
  <c r="T95" i="23" s="1"/>
  <c r="U95" i="23" s="1"/>
  <c r="R96" i="23"/>
  <c r="V96" i="23" s="1"/>
  <c r="W96" i="23" s="1"/>
  <c r="R97" i="23"/>
  <c r="S97" i="23" s="1"/>
  <c r="T97" i="23" s="1"/>
  <c r="U97" i="23" s="1"/>
  <c r="R98" i="23"/>
  <c r="V98" i="23" s="1"/>
  <c r="W98" i="23" s="1"/>
  <c r="R100" i="23"/>
  <c r="V100" i="23" s="1"/>
  <c r="W100" i="23" s="1"/>
  <c r="R101" i="23"/>
  <c r="S101" i="23" s="1"/>
  <c r="T101" i="23" s="1"/>
  <c r="U101" i="23" s="1"/>
  <c r="R102" i="23"/>
  <c r="V102" i="23" s="1"/>
  <c r="W102" i="23" s="1"/>
  <c r="R103" i="23"/>
  <c r="S103" i="23" s="1"/>
  <c r="T103" i="23" s="1"/>
  <c r="U103" i="23" s="1"/>
  <c r="R104" i="23"/>
  <c r="S104" i="23" s="1"/>
  <c r="T104" i="23" s="1"/>
  <c r="U104" i="23" s="1"/>
  <c r="R105" i="23"/>
  <c r="V105" i="23" s="1"/>
  <c r="W105" i="23" s="1"/>
  <c r="R106" i="23"/>
  <c r="S106" i="23" s="1"/>
  <c r="T106" i="23" s="1"/>
  <c r="U106" i="23" s="1"/>
  <c r="R108" i="23"/>
  <c r="S108" i="23" s="1"/>
  <c r="T108" i="23" s="1"/>
  <c r="U108" i="23" s="1"/>
  <c r="R109" i="23"/>
  <c r="V109" i="23" s="1"/>
  <c r="W109" i="23" s="1"/>
  <c r="R110" i="23"/>
  <c r="V110" i="23" s="1"/>
  <c r="W110" i="23" s="1"/>
  <c r="R111" i="23"/>
  <c r="S111" i="23" s="1"/>
  <c r="T111" i="23" s="1"/>
  <c r="U111" i="23" s="1"/>
  <c r="R112" i="23"/>
  <c r="V112" i="23" s="1"/>
  <c r="W112" i="23" s="1"/>
  <c r="R113" i="23"/>
  <c r="S113" i="23" s="1"/>
  <c r="T113" i="23" s="1"/>
  <c r="U113" i="23" s="1"/>
  <c r="R114" i="23"/>
  <c r="V114" i="23" s="1"/>
  <c r="W114" i="23" s="1"/>
  <c r="R115" i="23"/>
  <c r="V115" i="23" s="1"/>
  <c r="W115" i="23" s="1"/>
  <c r="R116" i="23"/>
  <c r="S116" i="23" s="1"/>
  <c r="T116" i="23" s="1"/>
  <c r="U116" i="23" s="1"/>
  <c r="I117" i="23"/>
  <c r="K117" i="23" s="1"/>
  <c r="I107" i="23"/>
  <c r="K107" i="23" s="1"/>
  <c r="I88" i="23"/>
  <c r="K88" i="23" s="1"/>
  <c r="O88" i="23" s="1"/>
  <c r="P88" i="23" s="1"/>
  <c r="I78" i="23"/>
  <c r="K78" i="23" s="1"/>
  <c r="O78" i="23" s="1"/>
  <c r="P78" i="23" s="1"/>
  <c r="W28" i="20"/>
  <c r="W20" i="20"/>
  <c r="W25" i="20"/>
  <c r="W15" i="20"/>
  <c r="W10" i="20"/>
  <c r="W18" i="20"/>
  <c r="W19" i="20"/>
  <c r="W30" i="20"/>
  <c r="W29" i="20"/>
  <c r="W6" i="20"/>
  <c r="W26" i="20"/>
  <c r="W24" i="20"/>
  <c r="W27" i="20"/>
  <c r="W11" i="20"/>
  <c r="W13" i="20"/>
  <c r="W8" i="20"/>
  <c r="W4" i="20"/>
  <c r="W17" i="20"/>
  <c r="W5" i="20"/>
  <c r="W3" i="20"/>
  <c r="W7" i="20"/>
  <c r="W14" i="20"/>
  <c r="W9" i="20"/>
  <c r="W21" i="20"/>
  <c r="W2" i="20"/>
  <c r="W12" i="20"/>
  <c r="W23" i="20"/>
  <c r="V28" i="20"/>
  <c r="V20" i="20"/>
  <c r="V25" i="20"/>
  <c r="V15" i="20"/>
  <c r="V10" i="20"/>
  <c r="V18" i="20"/>
  <c r="V19" i="20"/>
  <c r="V30" i="20"/>
  <c r="V29" i="20"/>
  <c r="V6" i="20"/>
  <c r="V26" i="20"/>
  <c r="V24" i="20"/>
  <c r="V27" i="20"/>
  <c r="V11" i="20"/>
  <c r="V13" i="20"/>
  <c r="V8" i="20"/>
  <c r="V4" i="20"/>
  <c r="V17" i="20"/>
  <c r="V5" i="20"/>
  <c r="V3" i="20"/>
  <c r="V7" i="20"/>
  <c r="V14" i="20"/>
  <c r="V9" i="20"/>
  <c r="V21" i="20"/>
  <c r="V2" i="20"/>
  <c r="V12" i="20"/>
  <c r="V23" i="20"/>
  <c r="BQ11" i="20"/>
  <c r="BS11" i="20" s="1"/>
  <c r="BQ18" i="20"/>
  <c r="BS18" i="20" s="1"/>
  <c r="BQ19" i="20"/>
  <c r="BS19" i="20" s="1"/>
  <c r="BQ29" i="20"/>
  <c r="BS29" i="20" s="1"/>
  <c r="BJ21" i="20"/>
  <c r="BK21" i="20" s="1"/>
  <c r="BM21" i="20" s="1"/>
  <c r="BJ15" i="20"/>
  <c r="BK15" i="20" s="1"/>
  <c r="BM15" i="20" s="1"/>
  <c r="BJ27" i="20"/>
  <c r="BK27" i="20" s="1"/>
  <c r="BM27" i="20" s="1"/>
  <c r="BJ29" i="20"/>
  <c r="BK29" i="20" s="1"/>
  <c r="BM29" i="20" s="1"/>
  <c r="BJ18" i="20"/>
  <c r="BK18" i="20" s="1"/>
  <c r="BM18" i="20" s="1"/>
  <c r="BJ20" i="20"/>
  <c r="BK20" i="20" s="1"/>
  <c r="BM20" i="20" s="1"/>
  <c r="BJ7" i="20"/>
  <c r="BK7" i="20" s="1"/>
  <c r="BJ4" i="20"/>
  <c r="BK4" i="20" s="1"/>
  <c r="BM4" i="20" s="1"/>
  <c r="BJ24" i="20"/>
  <c r="BK24" i="20" s="1"/>
  <c r="BJ3" i="20"/>
  <c r="BK3" i="20" s="1"/>
  <c r="BM3" i="20" s="1"/>
  <c r="BJ14" i="20"/>
  <c r="BK14" i="20" s="1"/>
  <c r="BL14" i="20" s="1"/>
  <c r="BO14" i="20" s="1"/>
  <c r="BJ13" i="20"/>
  <c r="BK13" i="20" s="1"/>
  <c r="BM13" i="20" s="1"/>
  <c r="BJ8" i="20"/>
  <c r="BK8" i="20" s="1"/>
  <c r="BL8" i="20" s="1"/>
  <c r="BO8" i="20" s="1"/>
  <c r="BJ19" i="20"/>
  <c r="BK19" i="20" s="1"/>
  <c r="BM19" i="20" s="1"/>
  <c r="BJ23" i="20"/>
  <c r="BK23" i="20" s="1"/>
  <c r="BL23" i="20" s="1"/>
  <c r="BO23" i="20" s="1"/>
  <c r="BJ5" i="20"/>
  <c r="BJ11" i="20"/>
  <c r="BK11" i="20" s="1"/>
  <c r="BJ25" i="20"/>
  <c r="BK25" i="20" s="1"/>
  <c r="BM25" i="20" s="1"/>
  <c r="BJ26" i="20"/>
  <c r="BK26" i="20" s="1"/>
  <c r="BL26" i="20" s="1"/>
  <c r="BO26" i="20" s="1"/>
  <c r="BJ12" i="20"/>
  <c r="BK12" i="20" s="1"/>
  <c r="BM12" i="20" s="1"/>
  <c r="BJ9" i="20"/>
  <c r="BK9" i="20" s="1"/>
  <c r="BL9" i="20" s="1"/>
  <c r="BO9" i="20" s="1"/>
  <c r="BJ30" i="20"/>
  <c r="BK30" i="20" s="1"/>
  <c r="BM30" i="20" s="1"/>
  <c r="BJ10" i="20"/>
  <c r="BK10" i="20" s="1"/>
  <c r="BL10" i="20" s="1"/>
  <c r="BO10" i="20" s="1"/>
  <c r="BJ6" i="20"/>
  <c r="BK6" i="20" s="1"/>
  <c r="BM6" i="20" s="1"/>
  <c r="BJ28" i="20"/>
  <c r="BK28" i="20" s="1"/>
  <c r="BL28" i="20" s="1"/>
  <c r="BO28" i="20" s="1"/>
  <c r="BJ2" i="20"/>
  <c r="BJ17" i="20"/>
  <c r="BK17" i="20" s="1"/>
  <c r="BM17" i="20" s="1"/>
  <c r="L90" i="23" l="1"/>
  <c r="M90" i="23" s="1"/>
  <c r="N90" i="23" s="1"/>
  <c r="O98" i="23"/>
  <c r="P98" i="23" s="1"/>
  <c r="V82" i="23"/>
  <c r="W82" i="23" s="1"/>
  <c r="O116" i="23"/>
  <c r="P116" i="23" s="1"/>
  <c r="L96" i="23"/>
  <c r="M96" i="23" s="1"/>
  <c r="N96" i="23" s="1"/>
  <c r="V92" i="23"/>
  <c r="W92" i="23" s="1"/>
  <c r="S68" i="23"/>
  <c r="T68" i="23" s="1"/>
  <c r="U68" i="23" s="1"/>
  <c r="O66" i="23"/>
  <c r="P66" i="23" s="1"/>
  <c r="V97" i="23"/>
  <c r="W97" i="23" s="1"/>
  <c r="O114" i="23"/>
  <c r="P114" i="23" s="1"/>
  <c r="R78" i="23"/>
  <c r="V78" i="23" s="1"/>
  <c r="W78" i="23" s="1"/>
  <c r="V103" i="23"/>
  <c r="W103" i="23" s="1"/>
  <c r="O101" i="23"/>
  <c r="P101" i="23" s="1"/>
  <c r="O93" i="23"/>
  <c r="P93" i="23" s="1"/>
  <c r="S112" i="23"/>
  <c r="T112" i="23" s="1"/>
  <c r="U112" i="23" s="1"/>
  <c r="V31" i="23"/>
  <c r="W31" i="23" s="1"/>
  <c r="S72" i="23"/>
  <c r="T72" i="23" s="1"/>
  <c r="U72" i="23" s="1"/>
  <c r="V65" i="23"/>
  <c r="W65" i="23" s="1"/>
  <c r="L85" i="23"/>
  <c r="M85" i="23" s="1"/>
  <c r="N85" i="23" s="1"/>
  <c r="L69" i="23"/>
  <c r="M69" i="23" s="1"/>
  <c r="N69" i="23" s="1"/>
  <c r="O63" i="23"/>
  <c r="P63" i="23" s="1"/>
  <c r="S90" i="23"/>
  <c r="T90" i="23" s="1"/>
  <c r="U90" i="23" s="1"/>
  <c r="L75" i="23"/>
  <c r="M75" i="23" s="1"/>
  <c r="N75" i="23" s="1"/>
  <c r="O111" i="23"/>
  <c r="P111" i="23" s="1"/>
  <c r="O74" i="23"/>
  <c r="P74" i="23" s="1"/>
  <c r="L128" i="23"/>
  <c r="M128" i="23" s="1"/>
  <c r="N128" i="23" s="1"/>
  <c r="R107" i="23"/>
  <c r="V107" i="23" s="1"/>
  <c r="W107" i="23" s="1"/>
  <c r="S114" i="23"/>
  <c r="T114" i="23" s="1"/>
  <c r="U114" i="23" s="1"/>
  <c r="O70" i="23"/>
  <c r="P70" i="23" s="1"/>
  <c r="V76" i="23"/>
  <c r="W76" i="23" s="1"/>
  <c r="O79" i="23"/>
  <c r="P79" i="23" s="1"/>
  <c r="O72" i="23"/>
  <c r="P72" i="23" s="1"/>
  <c r="L64" i="23"/>
  <c r="M64" i="23" s="1"/>
  <c r="N64" i="23" s="1"/>
  <c r="O107" i="23"/>
  <c r="P107" i="23" s="1"/>
  <c r="L107" i="23"/>
  <c r="M107" i="23" s="1"/>
  <c r="N107" i="23" s="1"/>
  <c r="O117" i="23"/>
  <c r="P117" i="23" s="1"/>
  <c r="L117" i="23"/>
  <c r="M117" i="23" s="1"/>
  <c r="N117" i="23" s="1"/>
  <c r="R88" i="23"/>
  <c r="V88" i="23" s="1"/>
  <c r="W88" i="23" s="1"/>
  <c r="S109" i="23"/>
  <c r="T109" i="23" s="1"/>
  <c r="U109" i="23" s="1"/>
  <c r="S79" i="23"/>
  <c r="T79" i="23" s="1"/>
  <c r="U79" i="23" s="1"/>
  <c r="L102" i="23"/>
  <c r="M102" i="23" s="1"/>
  <c r="N102" i="23" s="1"/>
  <c r="O95" i="23"/>
  <c r="P95" i="23" s="1"/>
  <c r="S98" i="23"/>
  <c r="T98" i="23" s="1"/>
  <c r="U98" i="23" s="1"/>
  <c r="V71" i="23"/>
  <c r="W71" i="23" s="1"/>
  <c r="L112" i="23"/>
  <c r="M112" i="23" s="1"/>
  <c r="N112" i="23" s="1"/>
  <c r="O106" i="23"/>
  <c r="P106" i="23" s="1"/>
  <c r="O84" i="23"/>
  <c r="P84" i="23" s="1"/>
  <c r="R117" i="23"/>
  <c r="V117" i="23" s="1"/>
  <c r="W117" i="23" s="1"/>
  <c r="O104" i="23"/>
  <c r="P104" i="23" s="1"/>
  <c r="O68" i="23"/>
  <c r="P68" i="23" s="1"/>
  <c r="S70" i="23"/>
  <c r="T70" i="23" s="1"/>
  <c r="U70" i="23" s="1"/>
  <c r="S102" i="23"/>
  <c r="T102" i="23" s="1"/>
  <c r="U102" i="23" s="1"/>
  <c r="S66" i="23"/>
  <c r="T66" i="23" s="1"/>
  <c r="U66" i="23" s="1"/>
  <c r="O109" i="23"/>
  <c r="P109" i="23" s="1"/>
  <c r="L80" i="23"/>
  <c r="M80" i="23" s="1"/>
  <c r="N80" i="23" s="1"/>
  <c r="L61" i="23"/>
  <c r="M61" i="23" s="1"/>
  <c r="N61" i="23" s="1"/>
  <c r="O157" i="23"/>
  <c r="P157" i="23" s="1"/>
  <c r="AO22" i="20"/>
  <c r="AP22" i="20" s="1"/>
  <c r="L113" i="23"/>
  <c r="M113" i="23" s="1"/>
  <c r="N113" i="23" s="1"/>
  <c r="L108" i="23"/>
  <c r="M108" i="23" s="1"/>
  <c r="N108" i="23" s="1"/>
  <c r="L103" i="23"/>
  <c r="M103" i="23" s="1"/>
  <c r="N103" i="23" s="1"/>
  <c r="L97" i="23"/>
  <c r="M97" i="23" s="1"/>
  <c r="N97" i="23" s="1"/>
  <c r="L92" i="23"/>
  <c r="M92" i="23" s="1"/>
  <c r="N92" i="23" s="1"/>
  <c r="S147" i="23"/>
  <c r="T147" i="23" s="1"/>
  <c r="U147" i="23" s="1"/>
  <c r="S176" i="23"/>
  <c r="T176" i="23" s="1"/>
  <c r="U176" i="23" s="1"/>
  <c r="O87" i="23"/>
  <c r="P87" i="23" s="1"/>
  <c r="O82" i="23"/>
  <c r="P82" i="23" s="1"/>
  <c r="O77" i="23"/>
  <c r="P77" i="23" s="1"/>
  <c r="V86" i="23"/>
  <c r="W86" i="23" s="1"/>
  <c r="S75" i="23"/>
  <c r="T75" i="23" s="1"/>
  <c r="U75" i="23" s="1"/>
  <c r="S69" i="23"/>
  <c r="T69" i="23" s="1"/>
  <c r="U69" i="23" s="1"/>
  <c r="S64" i="23"/>
  <c r="T64" i="23" s="1"/>
  <c r="U64" i="23" s="1"/>
  <c r="O60" i="23"/>
  <c r="P60" i="23" s="1"/>
  <c r="V128" i="23"/>
  <c r="W128" i="23" s="1"/>
  <c r="O41" i="23"/>
  <c r="P41" i="23" s="1"/>
  <c r="V118" i="23"/>
  <c r="W118" i="23" s="1"/>
  <c r="V116" i="23"/>
  <c r="W116" i="23" s="1"/>
  <c r="V113" i="23"/>
  <c r="W113" i="23" s="1"/>
  <c r="V101" i="23"/>
  <c r="W101" i="23" s="1"/>
  <c r="S80" i="23"/>
  <c r="T80" i="23" s="1"/>
  <c r="U80" i="23" s="1"/>
  <c r="L86" i="23"/>
  <c r="M86" i="23" s="1"/>
  <c r="N86" i="23" s="1"/>
  <c r="L81" i="23"/>
  <c r="M81" i="23" s="1"/>
  <c r="N81" i="23" s="1"/>
  <c r="L76" i="23"/>
  <c r="M76" i="23" s="1"/>
  <c r="N76" i="23" s="1"/>
  <c r="L71" i="23"/>
  <c r="M71" i="23" s="1"/>
  <c r="N71" i="23" s="1"/>
  <c r="V60" i="23"/>
  <c r="W60" i="23" s="1"/>
  <c r="S89" i="23"/>
  <c r="T89" i="23" s="1"/>
  <c r="U89" i="23" s="1"/>
  <c r="S2" i="23"/>
  <c r="T2" i="23" s="1"/>
  <c r="U2" i="23" s="1"/>
  <c r="O89" i="23"/>
  <c r="P89" i="23" s="1"/>
  <c r="V95" i="23"/>
  <c r="W95" i="23" s="1"/>
  <c r="S84" i="23"/>
  <c r="T84" i="23" s="1"/>
  <c r="U84" i="23" s="1"/>
  <c r="S77" i="23"/>
  <c r="T77" i="23" s="1"/>
  <c r="U77" i="23" s="1"/>
  <c r="V157" i="23"/>
  <c r="W157" i="23" s="1"/>
  <c r="V106" i="23"/>
  <c r="W106" i="23" s="1"/>
  <c r="S87" i="23"/>
  <c r="T87" i="23" s="1"/>
  <c r="U87" i="23" s="1"/>
  <c r="L115" i="23"/>
  <c r="M115" i="23" s="1"/>
  <c r="N115" i="23" s="1"/>
  <c r="L110" i="23"/>
  <c r="M110" i="23" s="1"/>
  <c r="N110" i="23" s="1"/>
  <c r="L105" i="23"/>
  <c r="M105" i="23" s="1"/>
  <c r="N105" i="23" s="1"/>
  <c r="L100" i="23"/>
  <c r="M100" i="23" s="1"/>
  <c r="N100" i="23" s="1"/>
  <c r="L94" i="23"/>
  <c r="M94" i="23" s="1"/>
  <c r="N94" i="23" s="1"/>
  <c r="L88" i="23"/>
  <c r="M88" i="23" s="1"/>
  <c r="N88" i="23" s="1"/>
  <c r="L83" i="23"/>
  <c r="M83" i="23" s="1"/>
  <c r="N83" i="23" s="1"/>
  <c r="L78" i="23"/>
  <c r="M78" i="23" s="1"/>
  <c r="N78" i="23" s="1"/>
  <c r="L73" i="23"/>
  <c r="M73" i="23" s="1"/>
  <c r="N73" i="23" s="1"/>
  <c r="L67" i="23"/>
  <c r="M67" i="23" s="1"/>
  <c r="N67" i="23" s="1"/>
  <c r="L65" i="23"/>
  <c r="M65" i="23" s="1"/>
  <c r="N65" i="23" s="1"/>
  <c r="V41" i="23"/>
  <c r="W41" i="23" s="1"/>
  <c r="L12" i="23"/>
  <c r="M12" i="23" s="1"/>
  <c r="N12" i="23" s="1"/>
  <c r="V93" i="23"/>
  <c r="W93" i="23" s="1"/>
  <c r="V111" i="23"/>
  <c r="W111" i="23" s="1"/>
  <c r="V108" i="23"/>
  <c r="W108" i="23" s="1"/>
  <c r="S85" i="23"/>
  <c r="T85" i="23" s="1"/>
  <c r="U85" i="23" s="1"/>
  <c r="V74" i="23"/>
  <c r="W74" i="23" s="1"/>
  <c r="V63" i="23"/>
  <c r="W63" i="23" s="1"/>
  <c r="V104" i="23"/>
  <c r="W104" i="23" s="1"/>
  <c r="S96" i="23"/>
  <c r="T96" i="23" s="1"/>
  <c r="U96" i="23" s="1"/>
  <c r="V81" i="23"/>
  <c r="W81" i="23" s="1"/>
  <c r="L99" i="23"/>
  <c r="M99" i="23" s="1"/>
  <c r="N99" i="23" s="1"/>
  <c r="L186" i="23"/>
  <c r="M186" i="23" s="1"/>
  <c r="N186" i="23" s="1"/>
  <c r="S186" i="23"/>
  <c r="T186" i="23" s="1"/>
  <c r="U186" i="23" s="1"/>
  <c r="S99" i="23"/>
  <c r="T99" i="23" s="1"/>
  <c r="U99" i="23" s="1"/>
  <c r="S12" i="23"/>
  <c r="T12" i="23" s="1"/>
  <c r="U12" i="23" s="1"/>
  <c r="AB22" i="20"/>
  <c r="AE22" i="20" s="1"/>
  <c r="AC22" i="20"/>
  <c r="AD22" i="20" s="1"/>
  <c r="AZ22" i="20"/>
  <c r="BC22" i="20" s="1"/>
  <c r="BA22" i="20"/>
  <c r="BB22" i="20" s="1"/>
  <c r="BR22" i="20"/>
  <c r="BU22" i="20" s="1"/>
  <c r="BS22" i="20"/>
  <c r="BT22" i="20" s="1"/>
  <c r="BM22" i="20"/>
  <c r="BN22" i="20" s="1"/>
  <c r="BL22" i="20"/>
  <c r="BO22" i="20" s="1"/>
  <c r="AH22" i="20"/>
  <c r="AK22" i="20" s="1"/>
  <c r="AI22" i="20"/>
  <c r="AJ22" i="20" s="1"/>
  <c r="AT22" i="20"/>
  <c r="AW22" i="20" s="1"/>
  <c r="S115" i="23"/>
  <c r="T115" i="23" s="1"/>
  <c r="U115" i="23" s="1"/>
  <c r="S110" i="23"/>
  <c r="T110" i="23" s="1"/>
  <c r="U110" i="23" s="1"/>
  <c r="S105" i="23"/>
  <c r="T105" i="23" s="1"/>
  <c r="U105" i="23" s="1"/>
  <c r="S100" i="23"/>
  <c r="T100" i="23" s="1"/>
  <c r="U100" i="23" s="1"/>
  <c r="S94" i="23"/>
  <c r="T94" i="23" s="1"/>
  <c r="U94" i="23" s="1"/>
  <c r="S83" i="23"/>
  <c r="T83" i="23" s="1"/>
  <c r="U83" i="23" s="1"/>
  <c r="S73" i="23"/>
  <c r="T73" i="23" s="1"/>
  <c r="U73" i="23" s="1"/>
  <c r="S67" i="23"/>
  <c r="T67" i="23" s="1"/>
  <c r="U67" i="23" s="1"/>
  <c r="S61" i="23"/>
  <c r="T61" i="23" s="1"/>
  <c r="U61" i="23" s="1"/>
  <c r="BM8" i="20"/>
  <c r="BL3" i="20"/>
  <c r="BO3" i="20" s="1"/>
  <c r="BS26" i="20"/>
  <c r="BR26" i="20"/>
  <c r="BU26" i="20" s="1"/>
  <c r="BM23" i="20"/>
  <c r="BS7" i="20"/>
  <c r="BS28" i="20"/>
  <c r="BL11" i="20"/>
  <c r="BO11" i="20" s="1"/>
  <c r="BM11" i="20"/>
  <c r="BL7" i="20"/>
  <c r="BO7" i="20" s="1"/>
  <c r="BM7" i="20"/>
  <c r="BL24" i="20"/>
  <c r="BO24" i="20" s="1"/>
  <c r="BM24" i="20"/>
  <c r="BM10" i="20"/>
  <c r="BM9" i="20"/>
  <c r="BM14" i="20"/>
  <c r="BM26" i="20"/>
  <c r="BM28" i="20"/>
  <c r="BR10" i="20"/>
  <c r="BU10" i="20" s="1"/>
  <c r="BR23" i="20"/>
  <c r="BU23" i="20" s="1"/>
  <c r="BR24" i="20"/>
  <c r="BU24" i="20" s="1"/>
  <c r="BR11" i="20"/>
  <c r="BU11" i="20" s="1"/>
  <c r="BR8" i="20"/>
  <c r="BU8" i="20" s="1"/>
  <c r="BR17" i="20"/>
  <c r="BU17" i="20" s="1"/>
  <c r="BR3" i="20"/>
  <c r="BU3" i="20" s="1"/>
  <c r="BR14" i="20"/>
  <c r="BU14" i="20" s="1"/>
  <c r="BL25" i="20"/>
  <c r="BO25" i="20" s="1"/>
  <c r="BL20" i="20"/>
  <c r="BO20" i="20" s="1"/>
  <c r="BR20" i="20" s="1"/>
  <c r="BU20" i="20" s="1"/>
  <c r="BL18" i="20"/>
  <c r="BO18" i="20" s="1"/>
  <c r="BL29" i="20"/>
  <c r="BO29" i="20" s="1"/>
  <c r="BL27" i="20"/>
  <c r="BO27" i="20" s="1"/>
  <c r="BL4" i="20"/>
  <c r="BO4" i="20" s="1"/>
  <c r="BL19" i="20"/>
  <c r="BO19" i="20" s="1"/>
  <c r="BL30" i="20"/>
  <c r="BO30" i="20" s="1"/>
  <c r="BL13" i="20"/>
  <c r="BO13" i="20" s="1"/>
  <c r="BL15" i="20"/>
  <c r="BO15" i="20" s="1"/>
  <c r="BL21" i="20"/>
  <c r="BO21" i="20" s="1"/>
  <c r="BL12" i="20"/>
  <c r="BO12" i="20" s="1"/>
  <c r="BL6" i="20"/>
  <c r="BO6" i="20" s="1"/>
  <c r="BL17" i="20"/>
  <c r="BO17" i="20" s="1"/>
  <c r="S78" i="23" l="1"/>
  <c r="T78" i="23" s="1"/>
  <c r="U78" i="23" s="1"/>
  <c r="S88" i="23"/>
  <c r="T88" i="23" s="1"/>
  <c r="U88" i="23" s="1"/>
  <c r="S107" i="23"/>
  <c r="T107" i="23" s="1"/>
  <c r="U107" i="23" s="1"/>
  <c r="S117" i="23"/>
  <c r="T117" i="23" s="1"/>
  <c r="U117" i="23" s="1"/>
  <c r="BR27" i="20"/>
  <c r="BU27" i="20" s="1"/>
  <c r="BR29" i="20"/>
  <c r="BU29" i="20" s="1"/>
  <c r="BR19" i="20"/>
  <c r="BU19" i="20" s="1"/>
  <c r="BR4" i="20"/>
  <c r="BU4" i="20" s="1"/>
  <c r="BR6" i="20"/>
  <c r="BU6" i="20" s="1"/>
  <c r="BR25" i="20"/>
  <c r="BU25" i="20" s="1"/>
  <c r="BR30" i="20"/>
  <c r="BU30" i="20" s="1"/>
  <c r="BR12" i="20"/>
  <c r="BU12" i="20" s="1"/>
  <c r="BR18" i="20"/>
  <c r="BU18" i="20" s="1"/>
  <c r="BR13" i="20"/>
  <c r="BU13" i="20" s="1"/>
  <c r="BR21" i="20"/>
  <c r="BU21" i="20" s="1"/>
  <c r="BR15" i="20"/>
  <c r="BU15" i="20" s="1"/>
  <c r="AZ17" i="17" l="1"/>
  <c r="AZ19" i="17"/>
  <c r="AZ13" i="17"/>
  <c r="AZ10" i="17"/>
  <c r="AZ11" i="17"/>
  <c r="AZ12" i="17"/>
  <c r="AZ8" i="17"/>
  <c r="AZ5" i="17"/>
  <c r="AZ9" i="17"/>
  <c r="AZ6" i="17"/>
  <c r="AZ7" i="17"/>
  <c r="AZ15" i="17"/>
  <c r="AZ14" i="17"/>
  <c r="AZ16" i="17"/>
  <c r="AZ18" i="17"/>
  <c r="AZ4" i="17"/>
  <c r="AZ2" i="17"/>
  <c r="AZ3" i="17"/>
  <c r="U33" i="9"/>
  <c r="Y33" i="9"/>
  <c r="T31" i="9"/>
  <c r="S31" i="9"/>
  <c r="R31" i="9"/>
  <c r="U31" i="9"/>
  <c r="V31" i="9"/>
  <c r="V33" i="9"/>
  <c r="U49" i="9"/>
  <c r="AR28" i="20"/>
  <c r="AR20" i="20"/>
  <c r="AR25" i="20"/>
  <c r="AR15" i="20"/>
  <c r="AR10" i="20"/>
  <c r="AR18" i="20"/>
  <c r="AR19" i="20"/>
  <c r="AR30" i="20"/>
  <c r="AR29" i="20"/>
  <c r="AR6" i="20"/>
  <c r="AR26" i="20"/>
  <c r="AR24" i="20"/>
  <c r="AR27" i="20"/>
  <c r="AR11" i="20"/>
  <c r="AR13" i="20"/>
  <c r="AR8" i="20"/>
  <c r="AR4" i="20"/>
  <c r="AR17" i="20"/>
  <c r="AR5" i="20"/>
  <c r="AR3" i="20"/>
  <c r="AR7" i="20"/>
  <c r="AR14" i="20"/>
  <c r="AR9" i="20"/>
  <c r="AR21" i="20"/>
  <c r="AR2" i="20"/>
  <c r="AR12" i="20"/>
  <c r="BT79" i="19" l="1"/>
  <c r="K171" i="23"/>
  <c r="K172" i="23"/>
  <c r="K173" i="23"/>
  <c r="K174" i="23"/>
  <c r="K200" i="23"/>
  <c r="K201" i="23"/>
  <c r="K202" i="23"/>
  <c r="K203" i="23"/>
  <c r="K55" i="23"/>
  <c r="K56" i="23"/>
  <c r="K57" i="23"/>
  <c r="K58" i="23"/>
  <c r="K26" i="23"/>
  <c r="K27" i="23"/>
  <c r="K28" i="23"/>
  <c r="K29" i="23"/>
  <c r="K142" i="23"/>
  <c r="K143" i="23"/>
  <c r="K144" i="23"/>
  <c r="K145" i="23"/>
  <c r="K146" i="23"/>
  <c r="R139" i="23"/>
  <c r="R140" i="23"/>
  <c r="R141" i="23"/>
  <c r="R142" i="23"/>
  <c r="R143" i="23"/>
  <c r="R144" i="23"/>
  <c r="R145" i="23"/>
  <c r="R146" i="23"/>
  <c r="R3" i="23"/>
  <c r="R5" i="23"/>
  <c r="R6" i="23"/>
  <c r="R7" i="23"/>
  <c r="R8" i="23"/>
  <c r="R9" i="23"/>
  <c r="R10" i="23"/>
  <c r="R11" i="23"/>
  <c r="R13" i="23"/>
  <c r="R14" i="23"/>
  <c r="R15" i="23"/>
  <c r="R16" i="23"/>
  <c r="R17" i="23"/>
  <c r="R18" i="23"/>
  <c r="R19" i="23"/>
  <c r="R21" i="23"/>
  <c r="R22" i="23"/>
  <c r="R23" i="23"/>
  <c r="R24" i="23"/>
  <c r="R25" i="23"/>
  <c r="R26" i="23"/>
  <c r="R27" i="23"/>
  <c r="R28" i="23"/>
  <c r="R29" i="23"/>
  <c r="R32" i="23"/>
  <c r="R34" i="23"/>
  <c r="R35" i="23"/>
  <c r="R36" i="23"/>
  <c r="R37" i="23"/>
  <c r="R38" i="23"/>
  <c r="R39" i="23"/>
  <c r="R40" i="23"/>
  <c r="R42" i="23"/>
  <c r="R43" i="23"/>
  <c r="R44" i="23"/>
  <c r="R45" i="23"/>
  <c r="R46" i="23"/>
  <c r="R47" i="23"/>
  <c r="R48" i="23"/>
  <c r="R50" i="23"/>
  <c r="R51" i="23"/>
  <c r="R52" i="23"/>
  <c r="R53" i="23"/>
  <c r="R54" i="23"/>
  <c r="R55" i="23"/>
  <c r="R56" i="23"/>
  <c r="R57" i="23"/>
  <c r="R58" i="23"/>
  <c r="R177" i="23"/>
  <c r="R179" i="23"/>
  <c r="R180" i="23"/>
  <c r="R181" i="23"/>
  <c r="R182" i="23"/>
  <c r="R183" i="23"/>
  <c r="R184" i="23"/>
  <c r="R185" i="23"/>
  <c r="R200" i="23"/>
  <c r="R201" i="23"/>
  <c r="R202" i="23"/>
  <c r="R203" i="23"/>
  <c r="R148" i="23"/>
  <c r="R150" i="23"/>
  <c r="R151" i="23"/>
  <c r="V151" i="23" s="1"/>
  <c r="W151" i="23" s="1"/>
  <c r="R152" i="23"/>
  <c r="V152" i="23" s="1"/>
  <c r="W152" i="23" s="1"/>
  <c r="R153" i="23"/>
  <c r="R154" i="23"/>
  <c r="R155" i="23"/>
  <c r="R156" i="23"/>
  <c r="R158" i="23"/>
  <c r="R159" i="23"/>
  <c r="R160" i="23"/>
  <c r="R161" i="23"/>
  <c r="R162" i="23"/>
  <c r="R163" i="23"/>
  <c r="R164" i="23"/>
  <c r="R166" i="23"/>
  <c r="R167" i="23"/>
  <c r="R168" i="23"/>
  <c r="R169" i="23"/>
  <c r="R170" i="23"/>
  <c r="R171" i="23"/>
  <c r="R172" i="23"/>
  <c r="R173" i="23"/>
  <c r="R174" i="23"/>
  <c r="I175" i="23"/>
  <c r="K175" i="23" s="1"/>
  <c r="I165" i="23"/>
  <c r="R165" i="23" s="1"/>
  <c r="I204" i="23"/>
  <c r="K204" i="23" s="1"/>
  <c r="I194" i="23"/>
  <c r="I59" i="23"/>
  <c r="R59" i="23" s="1"/>
  <c r="I49" i="23"/>
  <c r="R49" i="23" s="1"/>
  <c r="I30" i="23"/>
  <c r="R30" i="23" s="1"/>
  <c r="I20" i="23"/>
  <c r="R20" i="23" s="1"/>
  <c r="Q6" i="17"/>
  <c r="AN3" i="17"/>
  <c r="AN4" i="17"/>
  <c r="AN5" i="17"/>
  <c r="AN6" i="17"/>
  <c r="AN7" i="17"/>
  <c r="AN8" i="17"/>
  <c r="AN9" i="17"/>
  <c r="AN11" i="17"/>
  <c r="AN12" i="17"/>
  <c r="AN14" i="17"/>
  <c r="AN15" i="17"/>
  <c r="AN16" i="17"/>
  <c r="AN18" i="17"/>
  <c r="AS18" i="17" s="1"/>
  <c r="AN19" i="17"/>
  <c r="AT17" i="17"/>
  <c r="BA17" i="17"/>
  <c r="BB17" i="17" s="1"/>
  <c r="BC17" i="17"/>
  <c r="BD17" i="17" s="1"/>
  <c r="BE17" i="17" s="1"/>
  <c r="BF17" i="17"/>
  <c r="BG17" i="17" s="1"/>
  <c r="BH17" i="17" s="1"/>
  <c r="J18" i="2"/>
  <c r="M18" i="2"/>
  <c r="L18" i="2"/>
  <c r="R17" i="17"/>
  <c r="S17" i="17"/>
  <c r="T17" i="17"/>
  <c r="U17" i="17"/>
  <c r="V17" i="17"/>
  <c r="W17" i="17" s="1"/>
  <c r="AB17" i="17"/>
  <c r="AC17" i="17" s="1"/>
  <c r="AH17" i="17"/>
  <c r="AI17" i="17" s="1"/>
  <c r="N17" i="17"/>
  <c r="O17" i="17"/>
  <c r="P17" i="17"/>
  <c r="Q4" i="17"/>
  <c r="Q8" i="17"/>
  <c r="Q9" i="17"/>
  <c r="Q12" i="17"/>
  <c r="Q14" i="17"/>
  <c r="Q15" i="17"/>
  <c r="Q16" i="17"/>
  <c r="Q18" i="17"/>
  <c r="Q2" i="17"/>
  <c r="N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8" i="17"/>
  <c r="N19" i="17"/>
  <c r="N3" i="18"/>
  <c r="N4" i="18"/>
  <c r="N11" i="18"/>
  <c r="N2" i="18"/>
  <c r="N5" i="18"/>
  <c r="N6" i="18"/>
  <c r="N8" i="18"/>
  <c r="N10" i="18"/>
  <c r="N9" i="18"/>
  <c r="N7" i="18"/>
  <c r="N12" i="18"/>
  <c r="BG21" i="20"/>
  <c r="BH21" i="20" s="1"/>
  <c r="BI21" i="20" s="1"/>
  <c r="BG15" i="20"/>
  <c r="BH15" i="20" s="1"/>
  <c r="BI15" i="20" s="1"/>
  <c r="BG27" i="20"/>
  <c r="BH27" i="20" s="1"/>
  <c r="BI27" i="20" s="1"/>
  <c r="BG29" i="20"/>
  <c r="BH29" i="20" s="1"/>
  <c r="BI29" i="20" s="1"/>
  <c r="BG18" i="20"/>
  <c r="BH18" i="20" s="1"/>
  <c r="BI18" i="20" s="1"/>
  <c r="BG20" i="20"/>
  <c r="BH20" i="20" s="1"/>
  <c r="BI20" i="20" s="1"/>
  <c r="BG7" i="20"/>
  <c r="BH7" i="20" s="1"/>
  <c r="BI7" i="20" s="1"/>
  <c r="BG4" i="20"/>
  <c r="BH4" i="20" s="1"/>
  <c r="BI4" i="20" s="1"/>
  <c r="BG24" i="20"/>
  <c r="BH24" i="20" s="1"/>
  <c r="BI24" i="20" s="1"/>
  <c r="BG3" i="20"/>
  <c r="BH3" i="20" s="1"/>
  <c r="BI3" i="20" s="1"/>
  <c r="BG14" i="20"/>
  <c r="BH14" i="20" s="1"/>
  <c r="BI14" i="20" s="1"/>
  <c r="BG13" i="20"/>
  <c r="BH13" i="20" s="1"/>
  <c r="BI13" i="20" s="1"/>
  <c r="BG8" i="20"/>
  <c r="BH8" i="20" s="1"/>
  <c r="BI8" i="20" s="1"/>
  <c r="BG19" i="20"/>
  <c r="BH19" i="20" s="1"/>
  <c r="BI19" i="20" s="1"/>
  <c r="BG23" i="20"/>
  <c r="BH23" i="20" s="1"/>
  <c r="BI23" i="20" s="1"/>
  <c r="BG5" i="20"/>
  <c r="BG11" i="20"/>
  <c r="BH11" i="20" s="1"/>
  <c r="BI11" i="20" s="1"/>
  <c r="BG25" i="20"/>
  <c r="BH25" i="20" s="1"/>
  <c r="BI25" i="20" s="1"/>
  <c r="BG26" i="20"/>
  <c r="BH26" i="20" s="1"/>
  <c r="BI26" i="20" s="1"/>
  <c r="BG12" i="20"/>
  <c r="BH12" i="20" s="1"/>
  <c r="BI12" i="20" s="1"/>
  <c r="BG9" i="20"/>
  <c r="BH9" i="20" s="1"/>
  <c r="BI9" i="20" s="1"/>
  <c r="BG30" i="20"/>
  <c r="BH30" i="20" s="1"/>
  <c r="BI30" i="20" s="1"/>
  <c r="BG10" i="20"/>
  <c r="BH10" i="20" s="1"/>
  <c r="BI10" i="20" s="1"/>
  <c r="BG6" i="20"/>
  <c r="BH6" i="20" s="1"/>
  <c r="BI6" i="20" s="1"/>
  <c r="BG28" i="20"/>
  <c r="BH28" i="20" s="1"/>
  <c r="BI28" i="20" s="1"/>
  <c r="BG2" i="20"/>
  <c r="BG17" i="20"/>
  <c r="BH17" i="20" s="1"/>
  <c r="BI17" i="20" s="1"/>
  <c r="BD2" i="20"/>
  <c r="BD15" i="20"/>
  <c r="BE15" i="20" s="1"/>
  <c r="BF15" i="20" s="1"/>
  <c r="BD27" i="20"/>
  <c r="BE27" i="20" s="1"/>
  <c r="BF27" i="20" s="1"/>
  <c r="BD29" i="20"/>
  <c r="BE29" i="20" s="1"/>
  <c r="BF29" i="20" s="1"/>
  <c r="BD18" i="20"/>
  <c r="BE18" i="20" s="1"/>
  <c r="BF18" i="20" s="1"/>
  <c r="BD20" i="20"/>
  <c r="BE20" i="20" s="1"/>
  <c r="BF20" i="20" s="1"/>
  <c r="BD7" i="20"/>
  <c r="BE7" i="20" s="1"/>
  <c r="BF7" i="20" s="1"/>
  <c r="BD4" i="20"/>
  <c r="BE4" i="20" s="1"/>
  <c r="BF4" i="20" s="1"/>
  <c r="BD24" i="20"/>
  <c r="BE24" i="20" s="1"/>
  <c r="BF24" i="20" s="1"/>
  <c r="BD3" i="20"/>
  <c r="BE3" i="20" s="1"/>
  <c r="BF3" i="20" s="1"/>
  <c r="BD14" i="20"/>
  <c r="BE14" i="20" s="1"/>
  <c r="BF14" i="20" s="1"/>
  <c r="BD13" i="20"/>
  <c r="BE13" i="20" s="1"/>
  <c r="BF13" i="20" s="1"/>
  <c r="BD8" i="20"/>
  <c r="BE8" i="20" s="1"/>
  <c r="BF8" i="20" s="1"/>
  <c r="BD19" i="20"/>
  <c r="BE19" i="20" s="1"/>
  <c r="BF19" i="20" s="1"/>
  <c r="BD23" i="20"/>
  <c r="BE23" i="20" s="1"/>
  <c r="BF23" i="20" s="1"/>
  <c r="BD5" i="20"/>
  <c r="BD11" i="20"/>
  <c r="BE11" i="20" s="1"/>
  <c r="BF11" i="20" s="1"/>
  <c r="BD25" i="20"/>
  <c r="BE25" i="20" s="1"/>
  <c r="BF25" i="20" s="1"/>
  <c r="BD26" i="20"/>
  <c r="BE26" i="20" s="1"/>
  <c r="BF26" i="20" s="1"/>
  <c r="BD12" i="20"/>
  <c r="BE12" i="20" s="1"/>
  <c r="BF12" i="20" s="1"/>
  <c r="BD9" i="20"/>
  <c r="BE9" i="20" s="1"/>
  <c r="BF9" i="20" s="1"/>
  <c r="BD30" i="20"/>
  <c r="BE30" i="20" s="1"/>
  <c r="BF30" i="20" s="1"/>
  <c r="BD10" i="20"/>
  <c r="BE10" i="20" s="1"/>
  <c r="BF10" i="20" s="1"/>
  <c r="BD6" i="20"/>
  <c r="BE6" i="20" s="1"/>
  <c r="BF6" i="20" s="1"/>
  <c r="BD28" i="20"/>
  <c r="BE28" i="20" s="1"/>
  <c r="BF28" i="20" s="1"/>
  <c r="BD17" i="20"/>
  <c r="Z21" i="20"/>
  <c r="Z15" i="20"/>
  <c r="Z27" i="20"/>
  <c r="Z29" i="20"/>
  <c r="Z18" i="20"/>
  <c r="Z7" i="20"/>
  <c r="Z4" i="20"/>
  <c r="Z24" i="20"/>
  <c r="Z3" i="20"/>
  <c r="Z14" i="20"/>
  <c r="Z13" i="20"/>
  <c r="Z8" i="20"/>
  <c r="Z19" i="20"/>
  <c r="Z23" i="20"/>
  <c r="Z5" i="20"/>
  <c r="Z11" i="20"/>
  <c r="Z25" i="20"/>
  <c r="Z26" i="20"/>
  <c r="Z12" i="20"/>
  <c r="Z9" i="20"/>
  <c r="Z30" i="20"/>
  <c r="Z10" i="20"/>
  <c r="Z6" i="20"/>
  <c r="Z28" i="20"/>
  <c r="Z2" i="20"/>
  <c r="Z17" i="20"/>
  <c r="Y21" i="20"/>
  <c r="Y15" i="20"/>
  <c r="Y27" i="20"/>
  <c r="Y29" i="20"/>
  <c r="Y18" i="20"/>
  <c r="Y20" i="20"/>
  <c r="Y7" i="20"/>
  <c r="Y4" i="20"/>
  <c r="Y24" i="20"/>
  <c r="Y3" i="20"/>
  <c r="Y14" i="20"/>
  <c r="Y13" i="20"/>
  <c r="Y8" i="20"/>
  <c r="Y19" i="20"/>
  <c r="Y23" i="20"/>
  <c r="Y5" i="20"/>
  <c r="Y11" i="20"/>
  <c r="Y25" i="20"/>
  <c r="Y26" i="20"/>
  <c r="Y12" i="20"/>
  <c r="Y9" i="20"/>
  <c r="Y30" i="20"/>
  <c r="Y10" i="20"/>
  <c r="Y6" i="20"/>
  <c r="Y28" i="20"/>
  <c r="Y2" i="20"/>
  <c r="Y17" i="20"/>
  <c r="X21" i="20"/>
  <c r="BN21" i="20" s="1"/>
  <c r="X15" i="20"/>
  <c r="BN15" i="20" s="1"/>
  <c r="X27" i="20"/>
  <c r="BN27" i="20" s="1"/>
  <c r="X29" i="20"/>
  <c r="BN29" i="20" s="1"/>
  <c r="X18" i="20"/>
  <c r="BN18" i="20" s="1"/>
  <c r="X20" i="20"/>
  <c r="BN20" i="20" s="1"/>
  <c r="X7" i="20"/>
  <c r="BN7" i="20" s="1"/>
  <c r="X4" i="20"/>
  <c r="BN4" i="20" s="1"/>
  <c r="X24" i="20"/>
  <c r="BN24" i="20" s="1"/>
  <c r="X3" i="20"/>
  <c r="BN3" i="20" s="1"/>
  <c r="X14" i="20"/>
  <c r="BN14" i="20" s="1"/>
  <c r="X13" i="20"/>
  <c r="BN13" i="20" s="1"/>
  <c r="X8" i="20"/>
  <c r="BN8" i="20" s="1"/>
  <c r="X19" i="20"/>
  <c r="BN19" i="20" s="1"/>
  <c r="X23" i="20"/>
  <c r="BN23" i="20" s="1"/>
  <c r="X5" i="20"/>
  <c r="X11" i="20"/>
  <c r="BN11" i="20" s="1"/>
  <c r="X25" i="20"/>
  <c r="BN25" i="20" s="1"/>
  <c r="X26" i="20"/>
  <c r="BN26" i="20" s="1"/>
  <c r="X12" i="20"/>
  <c r="BN12" i="20" s="1"/>
  <c r="X9" i="20"/>
  <c r="BN9" i="20" s="1"/>
  <c r="X30" i="20"/>
  <c r="BN30" i="20" s="1"/>
  <c r="X10" i="20"/>
  <c r="BN10" i="20" s="1"/>
  <c r="X6" i="20"/>
  <c r="BN6" i="20" s="1"/>
  <c r="X28" i="20"/>
  <c r="BN28" i="20" s="1"/>
  <c r="X2" i="20"/>
  <c r="X17" i="20"/>
  <c r="BN17" i="20" s="1"/>
  <c r="Q21" i="20"/>
  <c r="Q15" i="20"/>
  <c r="Q27" i="20"/>
  <c r="Q29" i="20"/>
  <c r="Q18" i="20"/>
  <c r="Q20" i="20"/>
  <c r="Q7" i="20"/>
  <c r="Q4" i="20"/>
  <c r="Q24" i="20"/>
  <c r="Q3" i="20"/>
  <c r="Q14" i="20"/>
  <c r="Q13" i="20"/>
  <c r="Q8" i="20"/>
  <c r="Q19" i="20"/>
  <c r="Q23" i="20"/>
  <c r="Q5" i="20"/>
  <c r="Q11" i="20"/>
  <c r="Q25" i="20"/>
  <c r="Q26" i="20"/>
  <c r="Q12" i="20"/>
  <c r="Q9" i="20"/>
  <c r="Q30" i="20"/>
  <c r="Q10" i="20"/>
  <c r="Q6" i="20"/>
  <c r="Q28" i="20"/>
  <c r="Q2" i="20"/>
  <c r="Q17" i="20"/>
  <c r="BW79" i="19"/>
  <c r="X79" i="19"/>
  <c r="Y79" i="19" s="1"/>
  <c r="BI12" i="18"/>
  <c r="BJ12" i="18" s="1"/>
  <c r="BK12" i="18" s="1"/>
  <c r="BI3" i="18"/>
  <c r="BJ3" i="18" s="1"/>
  <c r="BK3" i="18" s="1"/>
  <c r="BI4" i="18"/>
  <c r="BJ4" i="18" s="1"/>
  <c r="BK4" i="18" s="1"/>
  <c r="BI11" i="18"/>
  <c r="BJ11" i="18" s="1"/>
  <c r="BK11" i="18" s="1"/>
  <c r="BI2" i="18"/>
  <c r="BJ2" i="18" s="1"/>
  <c r="BK2" i="18" s="1"/>
  <c r="BI5" i="18"/>
  <c r="BJ5" i="18" s="1"/>
  <c r="BK5" i="18" s="1"/>
  <c r="BI6" i="18"/>
  <c r="BJ6" i="18" s="1"/>
  <c r="BK6" i="18" s="1"/>
  <c r="BI8" i="18"/>
  <c r="BJ8" i="18" s="1"/>
  <c r="BK8" i="18" s="1"/>
  <c r="BI10" i="18"/>
  <c r="BJ10" i="18" s="1"/>
  <c r="BK10" i="18" s="1"/>
  <c r="BI9" i="18"/>
  <c r="BJ9" i="18" s="1"/>
  <c r="BK9" i="18" s="1"/>
  <c r="BI7" i="18"/>
  <c r="BJ7" i="18" s="1"/>
  <c r="BK7" i="18" s="1"/>
  <c r="BF12" i="18"/>
  <c r="BG12" i="18" s="1"/>
  <c r="BH12" i="18" s="1"/>
  <c r="BF3" i="18"/>
  <c r="BG3" i="18" s="1"/>
  <c r="BH3" i="18" s="1"/>
  <c r="BF4" i="18"/>
  <c r="BG4" i="18" s="1"/>
  <c r="BH4" i="18" s="1"/>
  <c r="BF11" i="18"/>
  <c r="BG11" i="18" s="1"/>
  <c r="BH11" i="18" s="1"/>
  <c r="BF2" i="18"/>
  <c r="BG2" i="18" s="1"/>
  <c r="BH2" i="18" s="1"/>
  <c r="BF5" i="18"/>
  <c r="BG5" i="18" s="1"/>
  <c r="BH5" i="18" s="1"/>
  <c r="BF6" i="18"/>
  <c r="BG6" i="18" s="1"/>
  <c r="BH6" i="18" s="1"/>
  <c r="BF8" i="18"/>
  <c r="BG8" i="18" s="1"/>
  <c r="BH8" i="18" s="1"/>
  <c r="BF10" i="18"/>
  <c r="BG10" i="18" s="1"/>
  <c r="BH10" i="18" s="1"/>
  <c r="BF9" i="18"/>
  <c r="BG9" i="18" s="1"/>
  <c r="BH9" i="18" s="1"/>
  <c r="BF7" i="18"/>
  <c r="BG7" i="18" s="1"/>
  <c r="BH7" i="18" s="1"/>
  <c r="V12" i="18"/>
  <c r="V3" i="18"/>
  <c r="V4" i="18"/>
  <c r="V11" i="18"/>
  <c r="V2" i="18"/>
  <c r="V5" i="18"/>
  <c r="V6" i="18"/>
  <c r="V8" i="18"/>
  <c r="V10" i="18"/>
  <c r="V9" i="18"/>
  <c r="V7" i="18"/>
  <c r="T3" i="18"/>
  <c r="U3" i="18"/>
  <c r="T4" i="18"/>
  <c r="U4" i="18"/>
  <c r="T11" i="18"/>
  <c r="U11" i="18"/>
  <c r="T2" i="18"/>
  <c r="U2" i="18"/>
  <c r="T5" i="18"/>
  <c r="U5" i="18"/>
  <c r="T6" i="18"/>
  <c r="U6" i="18"/>
  <c r="T8" i="18"/>
  <c r="U8" i="18"/>
  <c r="T10" i="18"/>
  <c r="U10" i="18"/>
  <c r="T9" i="18"/>
  <c r="U9" i="18"/>
  <c r="T7" i="18"/>
  <c r="U7" i="18"/>
  <c r="U12" i="18"/>
  <c r="T12" i="18"/>
  <c r="BF2" i="17"/>
  <c r="BF3" i="17"/>
  <c r="BF4" i="17"/>
  <c r="BF5" i="17"/>
  <c r="BF6" i="17"/>
  <c r="BF7" i="17"/>
  <c r="BF8" i="17"/>
  <c r="BF9" i="17"/>
  <c r="BF10" i="17"/>
  <c r="BF11" i="17"/>
  <c r="BF12" i="17"/>
  <c r="BF13" i="17"/>
  <c r="BF14" i="17"/>
  <c r="BF15" i="17"/>
  <c r="BF16" i="17"/>
  <c r="BF18" i="17"/>
  <c r="BF19" i="17"/>
  <c r="BC2" i="17"/>
  <c r="BC3" i="17"/>
  <c r="BC4" i="17"/>
  <c r="BC5" i="17"/>
  <c r="BC6" i="17"/>
  <c r="BC7" i="17"/>
  <c r="BC8" i="17"/>
  <c r="BC9" i="17"/>
  <c r="BC10" i="17"/>
  <c r="BC11" i="17"/>
  <c r="BC12" i="17"/>
  <c r="BC13" i="17"/>
  <c r="BC14" i="17"/>
  <c r="BC15" i="17"/>
  <c r="BC16" i="17"/>
  <c r="BC18" i="17"/>
  <c r="BC19" i="17"/>
  <c r="V2" i="17"/>
  <c r="V3" i="17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8" i="17"/>
  <c r="V19" i="17"/>
  <c r="S2" i="17"/>
  <c r="T2" i="17"/>
  <c r="U2" i="17"/>
  <c r="S3" i="17"/>
  <c r="T3" i="17"/>
  <c r="U3" i="17"/>
  <c r="S4" i="17"/>
  <c r="T4" i="17"/>
  <c r="U4" i="17"/>
  <c r="S5" i="17"/>
  <c r="T5" i="17"/>
  <c r="U5" i="17"/>
  <c r="S6" i="17"/>
  <c r="T6" i="17"/>
  <c r="U6" i="17"/>
  <c r="S7" i="17"/>
  <c r="T7" i="17"/>
  <c r="U7" i="17"/>
  <c r="S8" i="17"/>
  <c r="T8" i="17"/>
  <c r="U8" i="17"/>
  <c r="S9" i="17"/>
  <c r="T9" i="17"/>
  <c r="U9" i="17"/>
  <c r="S10" i="17"/>
  <c r="T10" i="17"/>
  <c r="U10" i="17"/>
  <c r="S11" i="17"/>
  <c r="T11" i="17"/>
  <c r="U11" i="17"/>
  <c r="S12" i="17"/>
  <c r="T12" i="17"/>
  <c r="U12" i="17"/>
  <c r="S13" i="17"/>
  <c r="T13" i="17"/>
  <c r="U13" i="17"/>
  <c r="S14" i="17"/>
  <c r="T14" i="17"/>
  <c r="U14" i="17"/>
  <c r="S15" i="17"/>
  <c r="T15" i="17"/>
  <c r="U15" i="17"/>
  <c r="S16" i="17"/>
  <c r="T16" i="17"/>
  <c r="U16" i="17"/>
  <c r="S18" i="17"/>
  <c r="T18" i="17"/>
  <c r="U18" i="17"/>
  <c r="S19" i="17"/>
  <c r="T19" i="17"/>
  <c r="U19" i="17"/>
  <c r="S8" i="2"/>
  <c r="Z79" i="19" l="1"/>
  <c r="AC79" i="19" s="1"/>
  <c r="AA79" i="19"/>
  <c r="AB79" i="19" s="1"/>
  <c r="S152" i="23"/>
  <c r="T152" i="23" s="1"/>
  <c r="U152" i="23" s="1"/>
  <c r="S49" i="23"/>
  <c r="T49" i="23" s="1"/>
  <c r="U49" i="23" s="1"/>
  <c r="V49" i="23"/>
  <c r="W49" i="23" s="1"/>
  <c r="S170" i="23"/>
  <c r="T170" i="23" s="1"/>
  <c r="U170" i="23" s="1"/>
  <c r="V170" i="23"/>
  <c r="W170" i="23" s="1"/>
  <c r="S159" i="23"/>
  <c r="T159" i="23" s="1"/>
  <c r="U159" i="23" s="1"/>
  <c r="V159" i="23"/>
  <c r="W159" i="23" s="1"/>
  <c r="S150" i="23"/>
  <c r="T150" i="23" s="1"/>
  <c r="U150" i="23" s="1"/>
  <c r="V150" i="23"/>
  <c r="W150" i="23" s="1"/>
  <c r="S182" i="23"/>
  <c r="T182" i="23" s="1"/>
  <c r="U182" i="23" s="1"/>
  <c r="V182" i="23"/>
  <c r="W182" i="23" s="1"/>
  <c r="S55" i="23"/>
  <c r="T55" i="23" s="1"/>
  <c r="U55" i="23" s="1"/>
  <c r="V55" i="23"/>
  <c r="W55" i="23" s="1"/>
  <c r="S44" i="23"/>
  <c r="T44" i="23" s="1"/>
  <c r="U44" i="23" s="1"/>
  <c r="V44" i="23"/>
  <c r="W44" i="23" s="1"/>
  <c r="S32" i="23"/>
  <c r="T32" i="23" s="1"/>
  <c r="U32" i="23" s="1"/>
  <c r="V32" i="23"/>
  <c r="W32" i="23" s="1"/>
  <c r="S21" i="23"/>
  <c r="T21" i="23" s="1"/>
  <c r="U21" i="23" s="1"/>
  <c r="V21" i="23"/>
  <c r="W21" i="23" s="1"/>
  <c r="S9" i="23"/>
  <c r="T9" i="23" s="1"/>
  <c r="U9" i="23" s="1"/>
  <c r="V9" i="23"/>
  <c r="W9" i="23" s="1"/>
  <c r="S143" i="23"/>
  <c r="T143" i="23" s="1"/>
  <c r="U143" i="23" s="1"/>
  <c r="V143" i="23"/>
  <c r="W143" i="23" s="1"/>
  <c r="L29" i="23"/>
  <c r="M29" i="23" s="1"/>
  <c r="N29" i="23" s="1"/>
  <c r="O29" i="23"/>
  <c r="P29" i="23" s="1"/>
  <c r="L201" i="23"/>
  <c r="M201" i="23" s="1"/>
  <c r="N201" i="23" s="1"/>
  <c r="O201" i="23"/>
  <c r="P201" i="23" s="1"/>
  <c r="S148" i="23"/>
  <c r="T148" i="23" s="1"/>
  <c r="U148" i="23" s="1"/>
  <c r="V148" i="23"/>
  <c r="W148" i="23" s="1"/>
  <c r="S181" i="23"/>
  <c r="T181" i="23" s="1"/>
  <c r="U181" i="23" s="1"/>
  <c r="V181" i="23"/>
  <c r="W181" i="23" s="1"/>
  <c r="S54" i="23"/>
  <c r="T54" i="23" s="1"/>
  <c r="U54" i="23" s="1"/>
  <c r="V54" i="23"/>
  <c r="W54" i="23" s="1"/>
  <c r="S43" i="23"/>
  <c r="T43" i="23" s="1"/>
  <c r="U43" i="23" s="1"/>
  <c r="V43" i="23"/>
  <c r="W43" i="23" s="1"/>
  <c r="S19" i="23"/>
  <c r="T19" i="23" s="1"/>
  <c r="U19" i="23" s="1"/>
  <c r="V19" i="23"/>
  <c r="W19" i="23" s="1"/>
  <c r="S8" i="23"/>
  <c r="T8" i="23" s="1"/>
  <c r="U8" i="23" s="1"/>
  <c r="V8" i="23"/>
  <c r="W8" i="23" s="1"/>
  <c r="S142" i="23"/>
  <c r="T142" i="23" s="1"/>
  <c r="U142" i="23" s="1"/>
  <c r="V142" i="23"/>
  <c r="W142" i="23" s="1"/>
  <c r="L28" i="23"/>
  <c r="M28" i="23" s="1"/>
  <c r="N28" i="23" s="1"/>
  <c r="O28" i="23"/>
  <c r="P28" i="23" s="1"/>
  <c r="L200" i="23"/>
  <c r="M200" i="23" s="1"/>
  <c r="N200" i="23" s="1"/>
  <c r="O200" i="23"/>
  <c r="P200" i="23" s="1"/>
  <c r="S168" i="23"/>
  <c r="T168" i="23" s="1"/>
  <c r="U168" i="23" s="1"/>
  <c r="V168" i="23"/>
  <c r="W168" i="23" s="1"/>
  <c r="S156" i="23"/>
  <c r="T156" i="23" s="1"/>
  <c r="U156" i="23" s="1"/>
  <c r="V156" i="23"/>
  <c r="W156" i="23" s="1"/>
  <c r="S180" i="23"/>
  <c r="T180" i="23" s="1"/>
  <c r="U180" i="23" s="1"/>
  <c r="V180" i="23"/>
  <c r="W180" i="23" s="1"/>
  <c r="S53" i="23"/>
  <c r="T53" i="23" s="1"/>
  <c r="U53" i="23" s="1"/>
  <c r="V53" i="23"/>
  <c r="W53" i="23" s="1"/>
  <c r="S42" i="23"/>
  <c r="T42" i="23" s="1"/>
  <c r="U42" i="23" s="1"/>
  <c r="V42" i="23"/>
  <c r="W42" i="23" s="1"/>
  <c r="S29" i="23"/>
  <c r="T29" i="23" s="1"/>
  <c r="U29" i="23" s="1"/>
  <c r="V29" i="23"/>
  <c r="W29" i="23" s="1"/>
  <c r="S18" i="23"/>
  <c r="T18" i="23" s="1"/>
  <c r="U18" i="23" s="1"/>
  <c r="V18" i="23"/>
  <c r="W18" i="23" s="1"/>
  <c r="S7" i="23"/>
  <c r="T7" i="23" s="1"/>
  <c r="U7" i="23" s="1"/>
  <c r="V7" i="23"/>
  <c r="W7" i="23" s="1"/>
  <c r="S141" i="23"/>
  <c r="T141" i="23" s="1"/>
  <c r="U141" i="23" s="1"/>
  <c r="V141" i="23"/>
  <c r="W141" i="23" s="1"/>
  <c r="L27" i="23"/>
  <c r="M27" i="23" s="1"/>
  <c r="N27" i="23" s="1"/>
  <c r="O27" i="23"/>
  <c r="P27" i="23" s="1"/>
  <c r="L174" i="23"/>
  <c r="M174" i="23" s="1"/>
  <c r="N174" i="23" s="1"/>
  <c r="O174" i="23"/>
  <c r="P174" i="23" s="1"/>
  <c r="L204" i="23"/>
  <c r="M204" i="23" s="1"/>
  <c r="N204" i="23" s="1"/>
  <c r="O204" i="23"/>
  <c r="P204" i="23" s="1"/>
  <c r="S167" i="23"/>
  <c r="T167" i="23" s="1"/>
  <c r="U167" i="23" s="1"/>
  <c r="V167" i="23"/>
  <c r="W167" i="23" s="1"/>
  <c r="S155" i="23"/>
  <c r="T155" i="23" s="1"/>
  <c r="U155" i="23" s="1"/>
  <c r="V155" i="23"/>
  <c r="W155" i="23" s="1"/>
  <c r="S203" i="23"/>
  <c r="T203" i="23" s="1"/>
  <c r="U203" i="23" s="1"/>
  <c r="V203" i="23"/>
  <c r="W203" i="23" s="1"/>
  <c r="S179" i="23"/>
  <c r="T179" i="23" s="1"/>
  <c r="U179" i="23" s="1"/>
  <c r="V179" i="23"/>
  <c r="W179" i="23" s="1"/>
  <c r="S52" i="23"/>
  <c r="T52" i="23" s="1"/>
  <c r="U52" i="23" s="1"/>
  <c r="V52" i="23"/>
  <c r="W52" i="23" s="1"/>
  <c r="S40" i="23"/>
  <c r="T40" i="23" s="1"/>
  <c r="U40" i="23" s="1"/>
  <c r="V40" i="23"/>
  <c r="W40" i="23" s="1"/>
  <c r="S28" i="23"/>
  <c r="T28" i="23" s="1"/>
  <c r="U28" i="23" s="1"/>
  <c r="V28" i="23"/>
  <c r="W28" i="23" s="1"/>
  <c r="S17" i="23"/>
  <c r="T17" i="23" s="1"/>
  <c r="U17" i="23" s="1"/>
  <c r="V17" i="23"/>
  <c r="W17" i="23" s="1"/>
  <c r="S6" i="23"/>
  <c r="T6" i="23" s="1"/>
  <c r="U6" i="23" s="1"/>
  <c r="V6" i="23"/>
  <c r="W6" i="23" s="1"/>
  <c r="S140" i="23"/>
  <c r="T140" i="23" s="1"/>
  <c r="U140" i="23" s="1"/>
  <c r="V140" i="23"/>
  <c r="W140" i="23" s="1"/>
  <c r="L26" i="23"/>
  <c r="M26" i="23" s="1"/>
  <c r="N26" i="23" s="1"/>
  <c r="O26" i="23"/>
  <c r="P26" i="23" s="1"/>
  <c r="L173" i="23"/>
  <c r="M173" i="23" s="1"/>
  <c r="N173" i="23" s="1"/>
  <c r="O173" i="23"/>
  <c r="P173" i="23" s="1"/>
  <c r="S165" i="23"/>
  <c r="T165" i="23" s="1"/>
  <c r="U165" i="23" s="1"/>
  <c r="V165" i="23"/>
  <c r="W165" i="23" s="1"/>
  <c r="S166" i="23"/>
  <c r="T166" i="23" s="1"/>
  <c r="U166" i="23" s="1"/>
  <c r="V166" i="23"/>
  <c r="W166" i="23" s="1"/>
  <c r="S154" i="23"/>
  <c r="T154" i="23" s="1"/>
  <c r="U154" i="23" s="1"/>
  <c r="V154" i="23"/>
  <c r="W154" i="23" s="1"/>
  <c r="S202" i="23"/>
  <c r="T202" i="23" s="1"/>
  <c r="U202" i="23" s="1"/>
  <c r="V202" i="23"/>
  <c r="W202" i="23" s="1"/>
  <c r="S177" i="23"/>
  <c r="T177" i="23" s="1"/>
  <c r="U177" i="23" s="1"/>
  <c r="V177" i="23"/>
  <c r="W177" i="23" s="1"/>
  <c r="S51" i="23"/>
  <c r="T51" i="23" s="1"/>
  <c r="U51" i="23" s="1"/>
  <c r="V51" i="23"/>
  <c r="W51" i="23" s="1"/>
  <c r="S39" i="23"/>
  <c r="T39" i="23" s="1"/>
  <c r="U39" i="23" s="1"/>
  <c r="V39" i="23"/>
  <c r="W39" i="23" s="1"/>
  <c r="S27" i="23"/>
  <c r="T27" i="23" s="1"/>
  <c r="U27" i="23" s="1"/>
  <c r="V27" i="23"/>
  <c r="W27" i="23" s="1"/>
  <c r="S16" i="23"/>
  <c r="T16" i="23" s="1"/>
  <c r="U16" i="23" s="1"/>
  <c r="V16" i="23"/>
  <c r="W16" i="23" s="1"/>
  <c r="S5" i="23"/>
  <c r="T5" i="23" s="1"/>
  <c r="U5" i="23" s="1"/>
  <c r="V5" i="23"/>
  <c r="W5" i="23" s="1"/>
  <c r="S139" i="23"/>
  <c r="T139" i="23" s="1"/>
  <c r="U139" i="23" s="1"/>
  <c r="V139" i="23"/>
  <c r="W139" i="23" s="1"/>
  <c r="L58" i="23"/>
  <c r="M58" i="23" s="1"/>
  <c r="N58" i="23" s="1"/>
  <c r="O58" i="23"/>
  <c r="P58" i="23" s="1"/>
  <c r="L172" i="23"/>
  <c r="M172" i="23" s="1"/>
  <c r="N172" i="23" s="1"/>
  <c r="O172" i="23"/>
  <c r="P172" i="23" s="1"/>
  <c r="L175" i="23"/>
  <c r="M175" i="23" s="1"/>
  <c r="N175" i="23" s="1"/>
  <c r="O175" i="23"/>
  <c r="P175" i="23" s="1"/>
  <c r="S164" i="23"/>
  <c r="T164" i="23" s="1"/>
  <c r="U164" i="23" s="1"/>
  <c r="V164" i="23"/>
  <c r="W164" i="23" s="1"/>
  <c r="S153" i="23"/>
  <c r="T153" i="23" s="1"/>
  <c r="U153" i="23" s="1"/>
  <c r="V153" i="23"/>
  <c r="W153" i="23" s="1"/>
  <c r="S201" i="23"/>
  <c r="T201" i="23" s="1"/>
  <c r="U201" i="23" s="1"/>
  <c r="V201" i="23"/>
  <c r="W201" i="23" s="1"/>
  <c r="S50" i="23"/>
  <c r="T50" i="23" s="1"/>
  <c r="U50" i="23" s="1"/>
  <c r="V50" i="23"/>
  <c r="W50" i="23" s="1"/>
  <c r="S38" i="23"/>
  <c r="T38" i="23" s="1"/>
  <c r="U38" i="23" s="1"/>
  <c r="V38" i="23"/>
  <c r="W38" i="23" s="1"/>
  <c r="S26" i="23"/>
  <c r="T26" i="23" s="1"/>
  <c r="U26" i="23" s="1"/>
  <c r="V26" i="23"/>
  <c r="W26" i="23" s="1"/>
  <c r="S15" i="23"/>
  <c r="T15" i="23" s="1"/>
  <c r="U15" i="23" s="1"/>
  <c r="V15" i="23"/>
  <c r="W15" i="23" s="1"/>
  <c r="S3" i="23"/>
  <c r="T3" i="23" s="1"/>
  <c r="U3" i="23" s="1"/>
  <c r="V3" i="23"/>
  <c r="W3" i="23" s="1"/>
  <c r="L146" i="23"/>
  <c r="M146" i="23" s="1"/>
  <c r="N146" i="23" s="1"/>
  <c r="O146" i="23"/>
  <c r="P146" i="23" s="1"/>
  <c r="L57" i="23"/>
  <c r="M57" i="23" s="1"/>
  <c r="N57" i="23" s="1"/>
  <c r="O57" i="23"/>
  <c r="P57" i="23" s="1"/>
  <c r="L171" i="23"/>
  <c r="M171" i="23" s="1"/>
  <c r="N171" i="23" s="1"/>
  <c r="O171" i="23"/>
  <c r="P171" i="23" s="1"/>
  <c r="S30" i="23"/>
  <c r="T30" i="23" s="1"/>
  <c r="U30" i="23" s="1"/>
  <c r="V30" i="23"/>
  <c r="W30" i="23" s="1"/>
  <c r="S171" i="23"/>
  <c r="T171" i="23" s="1"/>
  <c r="U171" i="23" s="1"/>
  <c r="V171" i="23"/>
  <c r="W171" i="23" s="1"/>
  <c r="S160" i="23"/>
  <c r="T160" i="23" s="1"/>
  <c r="U160" i="23" s="1"/>
  <c r="V160" i="23"/>
  <c r="W160" i="23" s="1"/>
  <c r="S183" i="23"/>
  <c r="T183" i="23" s="1"/>
  <c r="U183" i="23" s="1"/>
  <c r="V183" i="23"/>
  <c r="W183" i="23" s="1"/>
  <c r="S45" i="23"/>
  <c r="T45" i="23" s="1"/>
  <c r="U45" i="23" s="1"/>
  <c r="V45" i="23"/>
  <c r="W45" i="23" s="1"/>
  <c r="S34" i="23"/>
  <c r="T34" i="23" s="1"/>
  <c r="U34" i="23" s="1"/>
  <c r="V34" i="23"/>
  <c r="W34" i="23" s="1"/>
  <c r="S10" i="23"/>
  <c r="T10" i="23" s="1"/>
  <c r="U10" i="23" s="1"/>
  <c r="V10" i="23"/>
  <c r="W10" i="23" s="1"/>
  <c r="L142" i="23"/>
  <c r="M142" i="23" s="1"/>
  <c r="N142" i="23" s="1"/>
  <c r="O142" i="23"/>
  <c r="P142" i="23" s="1"/>
  <c r="S158" i="23"/>
  <c r="T158" i="23" s="1"/>
  <c r="U158" i="23" s="1"/>
  <c r="V158" i="23"/>
  <c r="W158" i="23" s="1"/>
  <c r="S174" i="23"/>
  <c r="T174" i="23" s="1"/>
  <c r="U174" i="23" s="1"/>
  <c r="V174" i="23"/>
  <c r="W174" i="23" s="1"/>
  <c r="S163" i="23"/>
  <c r="T163" i="23" s="1"/>
  <c r="U163" i="23" s="1"/>
  <c r="V163" i="23"/>
  <c r="W163" i="23" s="1"/>
  <c r="S200" i="23"/>
  <c r="T200" i="23" s="1"/>
  <c r="U200" i="23" s="1"/>
  <c r="V200" i="23"/>
  <c r="W200" i="23" s="1"/>
  <c r="S48" i="23"/>
  <c r="T48" i="23" s="1"/>
  <c r="U48" i="23" s="1"/>
  <c r="V48" i="23"/>
  <c r="W48" i="23" s="1"/>
  <c r="S37" i="23"/>
  <c r="T37" i="23" s="1"/>
  <c r="U37" i="23" s="1"/>
  <c r="V37" i="23"/>
  <c r="W37" i="23" s="1"/>
  <c r="S25" i="23"/>
  <c r="T25" i="23" s="1"/>
  <c r="U25" i="23" s="1"/>
  <c r="V25" i="23"/>
  <c r="W25" i="23" s="1"/>
  <c r="S14" i="23"/>
  <c r="T14" i="23" s="1"/>
  <c r="U14" i="23" s="1"/>
  <c r="V14" i="23"/>
  <c r="W14" i="23" s="1"/>
  <c r="L145" i="23"/>
  <c r="M145" i="23" s="1"/>
  <c r="N145" i="23" s="1"/>
  <c r="O145" i="23"/>
  <c r="P145" i="23" s="1"/>
  <c r="L56" i="23"/>
  <c r="M56" i="23" s="1"/>
  <c r="N56" i="23" s="1"/>
  <c r="O56" i="23"/>
  <c r="P56" i="23" s="1"/>
  <c r="S56" i="23"/>
  <c r="T56" i="23" s="1"/>
  <c r="U56" i="23" s="1"/>
  <c r="V56" i="23"/>
  <c r="W56" i="23" s="1"/>
  <c r="S22" i="23"/>
  <c r="T22" i="23" s="1"/>
  <c r="U22" i="23" s="1"/>
  <c r="V22" i="23"/>
  <c r="W22" i="23" s="1"/>
  <c r="S144" i="23"/>
  <c r="T144" i="23" s="1"/>
  <c r="U144" i="23" s="1"/>
  <c r="V144" i="23"/>
  <c r="W144" i="23" s="1"/>
  <c r="L202" i="23"/>
  <c r="M202" i="23" s="1"/>
  <c r="N202" i="23" s="1"/>
  <c r="O202" i="23"/>
  <c r="P202" i="23" s="1"/>
  <c r="S169" i="23"/>
  <c r="T169" i="23" s="1"/>
  <c r="U169" i="23" s="1"/>
  <c r="V169" i="23"/>
  <c r="W169" i="23" s="1"/>
  <c r="S173" i="23"/>
  <c r="T173" i="23" s="1"/>
  <c r="U173" i="23" s="1"/>
  <c r="V173" i="23"/>
  <c r="W173" i="23" s="1"/>
  <c r="S162" i="23"/>
  <c r="T162" i="23" s="1"/>
  <c r="U162" i="23" s="1"/>
  <c r="V162" i="23"/>
  <c r="W162" i="23" s="1"/>
  <c r="S185" i="23"/>
  <c r="T185" i="23" s="1"/>
  <c r="U185" i="23" s="1"/>
  <c r="V185" i="23"/>
  <c r="W185" i="23" s="1"/>
  <c r="S58" i="23"/>
  <c r="T58" i="23" s="1"/>
  <c r="U58" i="23" s="1"/>
  <c r="V58" i="23"/>
  <c r="W58" i="23" s="1"/>
  <c r="S47" i="23"/>
  <c r="T47" i="23" s="1"/>
  <c r="U47" i="23" s="1"/>
  <c r="V47" i="23"/>
  <c r="W47" i="23" s="1"/>
  <c r="S36" i="23"/>
  <c r="T36" i="23" s="1"/>
  <c r="U36" i="23" s="1"/>
  <c r="V36" i="23"/>
  <c r="W36" i="23" s="1"/>
  <c r="S24" i="23"/>
  <c r="T24" i="23" s="1"/>
  <c r="U24" i="23" s="1"/>
  <c r="V24" i="23"/>
  <c r="W24" i="23" s="1"/>
  <c r="S13" i="23"/>
  <c r="T13" i="23" s="1"/>
  <c r="U13" i="23" s="1"/>
  <c r="V13" i="23"/>
  <c r="W13" i="23" s="1"/>
  <c r="S146" i="23"/>
  <c r="T146" i="23" s="1"/>
  <c r="U146" i="23" s="1"/>
  <c r="V146" i="23"/>
  <c r="W146" i="23" s="1"/>
  <c r="L144" i="23"/>
  <c r="M144" i="23" s="1"/>
  <c r="N144" i="23" s="1"/>
  <c r="O144" i="23"/>
  <c r="P144" i="23" s="1"/>
  <c r="L55" i="23"/>
  <c r="M55" i="23" s="1"/>
  <c r="N55" i="23" s="1"/>
  <c r="O55" i="23"/>
  <c r="P55" i="23" s="1"/>
  <c r="S59" i="23"/>
  <c r="T59" i="23" s="1"/>
  <c r="U59" i="23" s="1"/>
  <c r="V59" i="23"/>
  <c r="W59" i="23" s="1"/>
  <c r="S20" i="23"/>
  <c r="T20" i="23" s="1"/>
  <c r="U20" i="23" s="1"/>
  <c r="V20" i="23"/>
  <c r="W20" i="23" s="1"/>
  <c r="S172" i="23"/>
  <c r="T172" i="23" s="1"/>
  <c r="U172" i="23" s="1"/>
  <c r="V172" i="23"/>
  <c r="W172" i="23" s="1"/>
  <c r="S161" i="23"/>
  <c r="T161" i="23" s="1"/>
  <c r="U161" i="23" s="1"/>
  <c r="V161" i="23"/>
  <c r="W161" i="23" s="1"/>
  <c r="S151" i="23"/>
  <c r="T151" i="23" s="1"/>
  <c r="U151" i="23" s="1"/>
  <c r="S184" i="23"/>
  <c r="T184" i="23" s="1"/>
  <c r="U184" i="23" s="1"/>
  <c r="V184" i="23"/>
  <c r="W184" i="23" s="1"/>
  <c r="S57" i="23"/>
  <c r="T57" i="23" s="1"/>
  <c r="U57" i="23" s="1"/>
  <c r="V57" i="23"/>
  <c r="W57" i="23" s="1"/>
  <c r="S46" i="23"/>
  <c r="T46" i="23" s="1"/>
  <c r="U46" i="23" s="1"/>
  <c r="V46" i="23"/>
  <c r="W46" i="23" s="1"/>
  <c r="S35" i="23"/>
  <c r="T35" i="23" s="1"/>
  <c r="U35" i="23" s="1"/>
  <c r="V35" i="23"/>
  <c r="W35" i="23" s="1"/>
  <c r="S23" i="23"/>
  <c r="T23" i="23" s="1"/>
  <c r="U23" i="23" s="1"/>
  <c r="V23" i="23"/>
  <c r="W23" i="23" s="1"/>
  <c r="S11" i="23"/>
  <c r="T11" i="23" s="1"/>
  <c r="U11" i="23" s="1"/>
  <c r="V11" i="23"/>
  <c r="W11" i="23" s="1"/>
  <c r="S145" i="23"/>
  <c r="T145" i="23" s="1"/>
  <c r="U145" i="23" s="1"/>
  <c r="V145" i="23"/>
  <c r="W145" i="23" s="1"/>
  <c r="L143" i="23"/>
  <c r="M143" i="23" s="1"/>
  <c r="N143" i="23" s="1"/>
  <c r="O143" i="23"/>
  <c r="P143" i="23" s="1"/>
  <c r="L203" i="23"/>
  <c r="M203" i="23" s="1"/>
  <c r="N203" i="23" s="1"/>
  <c r="O203" i="23"/>
  <c r="P203" i="23" s="1"/>
  <c r="AO4" i="17"/>
  <c r="AP4" i="17" s="1"/>
  <c r="AS4" i="17"/>
  <c r="AO16" i="17"/>
  <c r="AP16" i="17" s="1"/>
  <c r="AS16" i="17"/>
  <c r="AO5" i="17"/>
  <c r="AQ5" i="17" s="1"/>
  <c r="AS5" i="17"/>
  <c r="AO14" i="17"/>
  <c r="AS14" i="17"/>
  <c r="AO12" i="17"/>
  <c r="AP12" i="17" s="1"/>
  <c r="AS12" i="17"/>
  <c r="AO11" i="17"/>
  <c r="AP11" i="17" s="1"/>
  <c r="AS11" i="17"/>
  <c r="AO9" i="17"/>
  <c r="AQ9" i="17" s="1"/>
  <c r="AS9" i="17"/>
  <c r="AO8" i="17"/>
  <c r="AQ8" i="17" s="1"/>
  <c r="AS8" i="17"/>
  <c r="AO15" i="17"/>
  <c r="AS15" i="17"/>
  <c r="AO3" i="17"/>
  <c r="AQ3" i="17" s="1"/>
  <c r="AS3" i="17"/>
  <c r="AO19" i="17"/>
  <c r="AQ19" i="17" s="1"/>
  <c r="AS19" i="17"/>
  <c r="AO7" i="17"/>
  <c r="AQ7" i="17" s="1"/>
  <c r="AS7" i="17"/>
  <c r="AO6" i="17"/>
  <c r="AP6" i="17" s="1"/>
  <c r="AS6" i="17"/>
  <c r="AK17" i="17"/>
  <c r="AL17" i="17" s="1"/>
  <c r="AE17" i="17"/>
  <c r="AF17" i="17" s="1"/>
  <c r="AU17" i="17"/>
  <c r="AW17" i="17" s="1"/>
  <c r="AJ17" i="17"/>
  <c r="AM17" i="17" s="1"/>
  <c r="AD17" i="17"/>
  <c r="AG17" i="17" s="1"/>
  <c r="X17" i="17"/>
  <c r="AA17" i="17" s="1"/>
  <c r="Y17" i="17"/>
  <c r="Z17" i="17" s="1"/>
  <c r="K30" i="23"/>
  <c r="R204" i="23"/>
  <c r="K59" i="23"/>
  <c r="R175" i="23"/>
  <c r="R30" i="20"/>
  <c r="S30" i="20"/>
  <c r="T30" i="20"/>
  <c r="U30" i="20"/>
  <c r="AA30" i="20"/>
  <c r="AC30" i="20" s="1"/>
  <c r="AF30" i="20"/>
  <c r="AG30" i="20" s="1"/>
  <c r="AI30" i="20" s="1"/>
  <c r="AJ30" i="20" s="1"/>
  <c r="AL30" i="20"/>
  <c r="AM30" i="20" s="1"/>
  <c r="AO30" i="20" s="1"/>
  <c r="AP30" i="20" s="1"/>
  <c r="AS30" i="20"/>
  <c r="AU30" i="20" s="1"/>
  <c r="AV30" i="20" s="1"/>
  <c r="AX30" i="20"/>
  <c r="AY30" i="20" s="1"/>
  <c r="BA30" i="20" s="1"/>
  <c r="BB30" i="20" s="1"/>
  <c r="R10" i="20"/>
  <c r="S10" i="20"/>
  <c r="T10" i="20"/>
  <c r="U10" i="20"/>
  <c r="AA10" i="20"/>
  <c r="AF10" i="20"/>
  <c r="AG10" i="20" s="1"/>
  <c r="AI10" i="20" s="1"/>
  <c r="AJ10" i="20" s="1"/>
  <c r="AL10" i="20"/>
  <c r="AM10" i="20" s="1"/>
  <c r="AO10" i="20" s="1"/>
  <c r="AP10" i="20" s="1"/>
  <c r="AS10" i="20"/>
  <c r="AU10" i="20" s="1"/>
  <c r="AV10" i="20" s="1"/>
  <c r="AX10" i="20"/>
  <c r="AY10" i="20" s="1"/>
  <c r="BA10" i="20" s="1"/>
  <c r="BB10" i="20" s="1"/>
  <c r="R6" i="20"/>
  <c r="S6" i="20"/>
  <c r="T6" i="20"/>
  <c r="U6" i="20"/>
  <c r="AA6" i="20"/>
  <c r="AF6" i="20"/>
  <c r="AG6" i="20" s="1"/>
  <c r="AI6" i="20" s="1"/>
  <c r="AJ6" i="20" s="1"/>
  <c r="AL6" i="20"/>
  <c r="AM6" i="20" s="1"/>
  <c r="AO6" i="20" s="1"/>
  <c r="AP6" i="20" s="1"/>
  <c r="AS6" i="20"/>
  <c r="AU6" i="20" s="1"/>
  <c r="AV6" i="20" s="1"/>
  <c r="AX6" i="20"/>
  <c r="AY6" i="20" s="1"/>
  <c r="BA6" i="20" s="1"/>
  <c r="BB6" i="20" s="1"/>
  <c r="R28" i="20"/>
  <c r="S28" i="20"/>
  <c r="T28" i="20"/>
  <c r="U28" i="20"/>
  <c r="AA28" i="20"/>
  <c r="AF28" i="20"/>
  <c r="AG28" i="20" s="1"/>
  <c r="AI28" i="20" s="1"/>
  <c r="AJ28" i="20" s="1"/>
  <c r="AL28" i="20"/>
  <c r="AM28" i="20" s="1"/>
  <c r="AO28" i="20" s="1"/>
  <c r="AP28" i="20" s="1"/>
  <c r="AS28" i="20"/>
  <c r="AU28" i="20" s="1"/>
  <c r="AV28" i="20" s="1"/>
  <c r="AX28" i="20"/>
  <c r="AY28" i="20" s="1"/>
  <c r="BA28" i="20" s="1"/>
  <c r="BB28" i="20" s="1"/>
  <c r="R2" i="20"/>
  <c r="S2" i="20"/>
  <c r="T2" i="20"/>
  <c r="U2" i="20"/>
  <c r="AF2" i="20"/>
  <c r="AL2" i="20"/>
  <c r="AX2" i="20"/>
  <c r="BQ2" i="20"/>
  <c r="BS2" i="20" s="1"/>
  <c r="AO18" i="17"/>
  <c r="AA5" i="11"/>
  <c r="O5" i="11"/>
  <c r="M5" i="11"/>
  <c r="T5" i="11"/>
  <c r="U5" i="11"/>
  <c r="V5" i="11"/>
  <c r="W5" i="11"/>
  <c r="P5" i="11"/>
  <c r="X5" i="11" s="1"/>
  <c r="T30" i="11"/>
  <c r="AA30" i="11"/>
  <c r="W30" i="11"/>
  <c r="V30" i="11"/>
  <c r="U30" i="11"/>
  <c r="X30" i="11"/>
  <c r="W40" i="10"/>
  <c r="AA40" i="10"/>
  <c r="X40" i="10"/>
  <c r="Y40" i="10"/>
  <c r="Z40" i="10"/>
  <c r="AD40" i="10"/>
  <c r="S24" i="11"/>
  <c r="T24" i="11" s="1"/>
  <c r="X25" i="11"/>
  <c r="W25" i="11"/>
  <c r="T34" i="11"/>
  <c r="P34" i="11" s="1"/>
  <c r="T31" i="11"/>
  <c r="P31" i="11" s="1"/>
  <c r="T4" i="11"/>
  <c r="M4" i="11"/>
  <c r="P29" i="11"/>
  <c r="T35" i="11"/>
  <c r="P35" i="11" s="1"/>
  <c r="T3" i="11"/>
  <c r="P9" i="11"/>
  <c r="AA12" i="11"/>
  <c r="T33" i="11"/>
  <c r="P33" i="11" s="1"/>
  <c r="T36" i="11"/>
  <c r="BK5" i="20" l="1"/>
  <c r="BQ5" i="20"/>
  <c r="BS5" i="20" s="1"/>
  <c r="BH2" i="20"/>
  <c r="BI2" i="20" s="1"/>
  <c r="BK2" i="20"/>
  <c r="BM2" i="20" s="1"/>
  <c r="AD30" i="20"/>
  <c r="BT30" i="20"/>
  <c r="BR9" i="20"/>
  <c r="BU9" i="20" s="1"/>
  <c r="S204" i="23"/>
  <c r="T204" i="23" s="1"/>
  <c r="U204" i="23" s="1"/>
  <c r="V204" i="23"/>
  <c r="W204" i="23" s="1"/>
  <c r="L30" i="23"/>
  <c r="M30" i="23" s="1"/>
  <c r="N30" i="23" s="1"/>
  <c r="O30" i="23"/>
  <c r="P30" i="23" s="1"/>
  <c r="S175" i="23"/>
  <c r="T175" i="23" s="1"/>
  <c r="U175" i="23" s="1"/>
  <c r="V175" i="23"/>
  <c r="W175" i="23" s="1"/>
  <c r="L59" i="23"/>
  <c r="M59" i="23" s="1"/>
  <c r="N59" i="23" s="1"/>
  <c r="O59" i="23"/>
  <c r="P59" i="23" s="1"/>
  <c r="AZ30" i="20"/>
  <c r="BC30" i="20" s="1"/>
  <c r="AZ10" i="20"/>
  <c r="BC10" i="20" s="1"/>
  <c r="AZ6" i="20"/>
  <c r="BC6" i="20" s="1"/>
  <c r="AZ28" i="20"/>
  <c r="BC28" i="20" s="1"/>
  <c r="AT30" i="20"/>
  <c r="AW30" i="20" s="1"/>
  <c r="AT10" i="20"/>
  <c r="AW10" i="20" s="1"/>
  <c r="BE5" i="20"/>
  <c r="BF5" i="20" s="1"/>
  <c r="AS5" i="20"/>
  <c r="AU5" i="20" s="1"/>
  <c r="AV5" i="20" s="1"/>
  <c r="AT6" i="20"/>
  <c r="AW6" i="20" s="1"/>
  <c r="AT28" i="20"/>
  <c r="AW28" i="20" s="1"/>
  <c r="AN30" i="20"/>
  <c r="AQ30" i="20" s="1"/>
  <c r="AN6" i="20"/>
  <c r="AQ6" i="20" s="1"/>
  <c r="AN10" i="20"/>
  <c r="AQ10" i="20" s="1"/>
  <c r="AN28" i="20"/>
  <c r="AQ28" i="20" s="1"/>
  <c r="AB30" i="20"/>
  <c r="AE30" i="20" s="1"/>
  <c r="AH6" i="20"/>
  <c r="AK6" i="20" s="1"/>
  <c r="AH30" i="20"/>
  <c r="AK30" i="20" s="1"/>
  <c r="AH28" i="20"/>
  <c r="AK28" i="20" s="1"/>
  <c r="AH10" i="20"/>
  <c r="AK10" i="20" s="1"/>
  <c r="AB28" i="20"/>
  <c r="AE28" i="20" s="1"/>
  <c r="AC28" i="20"/>
  <c r="AB6" i="20"/>
  <c r="AE6" i="20" s="1"/>
  <c r="AC6" i="20"/>
  <c r="AB10" i="20"/>
  <c r="AE10" i="20" s="1"/>
  <c r="AC10" i="20"/>
  <c r="AA2" i="20"/>
  <c r="AQ14" i="17"/>
  <c r="AR14" i="17" s="1"/>
  <c r="AP14" i="17"/>
  <c r="AQ11" i="17"/>
  <c r="AR11" i="17" s="1"/>
  <c r="AQ16" i="17"/>
  <c r="AR16" i="17" s="1"/>
  <c r="AQ18" i="17"/>
  <c r="AR18" i="17" s="1"/>
  <c r="AV17" i="17"/>
  <c r="AY17" i="17" s="1"/>
  <c r="AX17" i="17"/>
  <c r="AQ6" i="17"/>
  <c r="AR6" i="17" s="1"/>
  <c r="AQ15" i="17"/>
  <c r="AR15" i="17" s="1"/>
  <c r="AQ12" i="17"/>
  <c r="AR12" i="17" s="1"/>
  <c r="AQ4" i="17"/>
  <c r="AR4" i="17" s="1"/>
  <c r="AP8" i="17"/>
  <c r="AR8" i="17"/>
  <c r="AP7" i="17"/>
  <c r="AR7" i="17"/>
  <c r="AP9" i="17"/>
  <c r="AR9" i="17"/>
  <c r="AP19" i="17"/>
  <c r="AR19" i="17"/>
  <c r="AP5" i="17"/>
  <c r="AR5" i="17"/>
  <c r="AP15" i="17"/>
  <c r="AP3" i="17"/>
  <c r="AR3" i="17"/>
  <c r="AP18" i="17"/>
  <c r="AM2" i="20"/>
  <c r="BE2" i="20"/>
  <c r="BF2" i="20" s="1"/>
  <c r="AY2" i="20"/>
  <c r="AS2" i="20"/>
  <c r="AG2" i="20"/>
  <c r="BH5" i="20"/>
  <c r="BI5" i="20" s="1"/>
  <c r="W113" i="10"/>
  <c r="S113" i="10" s="1"/>
  <c r="X113" i="10"/>
  <c r="Y113" i="10"/>
  <c r="Z113" i="10"/>
  <c r="W10" i="10"/>
  <c r="W6" i="10"/>
  <c r="S6" i="10" s="1"/>
  <c r="W99" i="10"/>
  <c r="S99" i="10" s="1"/>
  <c r="AA99" i="10" s="1"/>
  <c r="BR5" i="20" l="1"/>
  <c r="BU5" i="20" s="1"/>
  <c r="BL5" i="20"/>
  <c r="BO5" i="20" s="1"/>
  <c r="BM5" i="20"/>
  <c r="BN5" i="20" s="1"/>
  <c r="AD6" i="20"/>
  <c r="BT6" i="20"/>
  <c r="AD28" i="20"/>
  <c r="BT28" i="20"/>
  <c r="BL2" i="20"/>
  <c r="BO2" i="20" s="1"/>
  <c r="BN2" i="20"/>
  <c r="AD10" i="20"/>
  <c r="BT10" i="20"/>
  <c r="AZ2" i="20"/>
  <c r="BC2" i="20" s="1"/>
  <c r="BA2" i="20"/>
  <c r="BB2" i="20" s="1"/>
  <c r="AT2" i="20"/>
  <c r="AW2" i="20" s="1"/>
  <c r="AU2" i="20"/>
  <c r="AV2" i="20" s="1"/>
  <c r="AN2" i="20"/>
  <c r="AQ2" i="20" s="1"/>
  <c r="AO2" i="20"/>
  <c r="AP2" i="20" s="1"/>
  <c r="AH2" i="20"/>
  <c r="AK2" i="20" s="1"/>
  <c r="AI2" i="20"/>
  <c r="AJ2" i="20" s="1"/>
  <c r="AB2" i="20"/>
  <c r="AE2" i="20" s="1"/>
  <c r="AC2" i="20"/>
  <c r="AD2" i="20" s="1"/>
  <c r="R94" i="10"/>
  <c r="P94" i="10"/>
  <c r="S94" i="10"/>
  <c r="W94" i="10" s="1"/>
  <c r="W96" i="10"/>
  <c r="R12" i="9"/>
  <c r="S12" i="9"/>
  <c r="T12" i="9"/>
  <c r="U12" i="9"/>
  <c r="V12" i="9"/>
  <c r="R10" i="9"/>
  <c r="R19" i="9"/>
  <c r="R35" i="9"/>
  <c r="L20" i="2"/>
  <c r="M20" i="2"/>
  <c r="Q29" i="2"/>
  <c r="X12" i="11"/>
  <c r="T12" i="11"/>
  <c r="U12" i="11"/>
  <c r="V12" i="11"/>
  <c r="W12" i="11"/>
  <c r="U11" i="11"/>
  <c r="V11" i="11"/>
  <c r="W11" i="11"/>
  <c r="X11" i="11"/>
  <c r="T11" i="11"/>
  <c r="W82" i="10"/>
  <c r="X82" i="10"/>
  <c r="Y82" i="10"/>
  <c r="Z82" i="10"/>
  <c r="AA82" i="10"/>
  <c r="W91" i="10"/>
  <c r="W50" i="10"/>
  <c r="S50" i="10" s="1"/>
  <c r="W7" i="10"/>
  <c r="X7" i="10"/>
  <c r="Y7" i="10"/>
  <c r="Z7" i="10"/>
  <c r="W108" i="10"/>
  <c r="S108" i="10" s="1"/>
  <c r="AA108" i="10" s="1"/>
  <c r="X108" i="10"/>
  <c r="Y108" i="10"/>
  <c r="Z108" i="10"/>
  <c r="U9" i="9"/>
  <c r="T9" i="9"/>
  <c r="S9" i="9"/>
  <c r="N9" i="9"/>
  <c r="R9" i="9" s="1"/>
  <c r="V8" i="9"/>
  <c r="U8" i="9"/>
  <c r="T8" i="9"/>
  <c r="S8" i="9"/>
  <c r="R8" i="9"/>
  <c r="T34" i="2"/>
  <c r="S34" i="2"/>
  <c r="P15" i="11"/>
  <c r="T21" i="11"/>
  <c r="W46" i="10"/>
  <c r="S46" i="10" s="1"/>
  <c r="P52" i="10"/>
  <c r="S52" i="10"/>
  <c r="W52" i="10" s="1"/>
  <c r="Q13" i="2"/>
  <c r="R13" i="2"/>
  <c r="S13" i="2"/>
  <c r="T13" i="2"/>
  <c r="Y13" i="2"/>
  <c r="BT2" i="20" l="1"/>
  <c r="BR2" i="20"/>
  <c r="BU2" i="20" s="1"/>
  <c r="V9" i="9"/>
  <c r="O9" i="18"/>
  <c r="P9" i="18"/>
  <c r="Q9" i="18"/>
  <c r="R9" i="18"/>
  <c r="S9" i="18"/>
  <c r="W9" i="18"/>
  <c r="AB9" i="18"/>
  <c r="AC9" i="18" s="1"/>
  <c r="AH9" i="18"/>
  <c r="AI9" i="18" s="1"/>
  <c r="AN9" i="18"/>
  <c r="AT9" i="18"/>
  <c r="AU9" i="18" s="1"/>
  <c r="AZ9" i="18"/>
  <c r="BA9" i="18" s="1"/>
  <c r="BC9" i="18" s="1"/>
  <c r="O7" i="18"/>
  <c r="P7" i="18"/>
  <c r="Q7" i="18"/>
  <c r="R7" i="18"/>
  <c r="S7" i="18"/>
  <c r="W7" i="18"/>
  <c r="AB7" i="18"/>
  <c r="AC7" i="18" s="1"/>
  <c r="AH7" i="18"/>
  <c r="AI7" i="18" s="1"/>
  <c r="AN7" i="18"/>
  <c r="AT7" i="18"/>
  <c r="AU7" i="18" s="1"/>
  <c r="AZ7" i="18"/>
  <c r="BA7" i="18" s="1"/>
  <c r="BC7" i="18" s="1"/>
  <c r="K170" i="23"/>
  <c r="K155" i="23"/>
  <c r="K184" i="23"/>
  <c r="K180" i="23"/>
  <c r="K39" i="23"/>
  <c r="K35" i="23"/>
  <c r="K10" i="23"/>
  <c r="K6" i="23"/>
  <c r="K126" i="23"/>
  <c r="R122" i="23"/>
  <c r="K136" i="23"/>
  <c r="R136" i="23"/>
  <c r="K137" i="23"/>
  <c r="R137" i="23"/>
  <c r="K138" i="23"/>
  <c r="R138" i="23"/>
  <c r="K139" i="23"/>
  <c r="K140" i="23"/>
  <c r="K141" i="23"/>
  <c r="K2" i="23"/>
  <c r="K3" i="23"/>
  <c r="K5" i="23"/>
  <c r="K7" i="23"/>
  <c r="K8" i="23"/>
  <c r="K9" i="23"/>
  <c r="K11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31" i="23"/>
  <c r="K32" i="23"/>
  <c r="K34" i="23"/>
  <c r="K36" i="23"/>
  <c r="K37" i="23"/>
  <c r="K38" i="23"/>
  <c r="K40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176" i="23"/>
  <c r="K177" i="23"/>
  <c r="K179" i="23"/>
  <c r="K181" i="23"/>
  <c r="K182" i="23"/>
  <c r="K183" i="23"/>
  <c r="K185" i="23"/>
  <c r="K187" i="23"/>
  <c r="R187" i="23"/>
  <c r="K188" i="23"/>
  <c r="R188" i="23"/>
  <c r="K189" i="23"/>
  <c r="R189" i="23"/>
  <c r="K190" i="23"/>
  <c r="R190" i="23"/>
  <c r="K191" i="23"/>
  <c r="R191" i="23"/>
  <c r="K192" i="23"/>
  <c r="R192" i="23"/>
  <c r="K193" i="23"/>
  <c r="R193" i="23"/>
  <c r="K194" i="23"/>
  <c r="R194" i="23"/>
  <c r="K195" i="23"/>
  <c r="R195" i="23"/>
  <c r="K196" i="23"/>
  <c r="R196" i="23"/>
  <c r="K197" i="23"/>
  <c r="R197" i="23"/>
  <c r="K198" i="23"/>
  <c r="R198" i="23"/>
  <c r="K199" i="23"/>
  <c r="R199" i="23"/>
  <c r="K147" i="23"/>
  <c r="K148" i="23"/>
  <c r="K150" i="23"/>
  <c r="K152" i="23"/>
  <c r="K153" i="23"/>
  <c r="K154" i="23"/>
  <c r="K156" i="23"/>
  <c r="K158" i="23"/>
  <c r="K159" i="23"/>
  <c r="K160" i="23"/>
  <c r="K161" i="23"/>
  <c r="K162" i="23"/>
  <c r="K163" i="23"/>
  <c r="K164" i="23"/>
  <c r="K165" i="23"/>
  <c r="K166" i="23"/>
  <c r="K167" i="23"/>
  <c r="K168" i="23"/>
  <c r="K169" i="23"/>
  <c r="R9" i="20"/>
  <c r="S9" i="20"/>
  <c r="T9" i="20"/>
  <c r="U9" i="20"/>
  <c r="AA9" i="20"/>
  <c r="AF9" i="20"/>
  <c r="AG9" i="20" s="1"/>
  <c r="AL9" i="20"/>
  <c r="AM9" i="20" s="1"/>
  <c r="AS9" i="20"/>
  <c r="AX9" i="20"/>
  <c r="AY9" i="20" s="1"/>
  <c r="R13" i="20"/>
  <c r="S13" i="20"/>
  <c r="T13" i="20"/>
  <c r="U13" i="20"/>
  <c r="AA13" i="20"/>
  <c r="AF13" i="20"/>
  <c r="AG13" i="20" s="1"/>
  <c r="AI13" i="20" s="1"/>
  <c r="AJ13" i="20" s="1"/>
  <c r="AL13" i="20"/>
  <c r="AM13" i="20" s="1"/>
  <c r="AO13" i="20" s="1"/>
  <c r="AP13" i="20" s="1"/>
  <c r="AS13" i="20"/>
  <c r="AU13" i="20" s="1"/>
  <c r="AV13" i="20" s="1"/>
  <c r="AX13" i="20"/>
  <c r="AY13" i="20" s="1"/>
  <c r="BA13" i="20" s="1"/>
  <c r="BB13" i="20" s="1"/>
  <c r="X21" i="11"/>
  <c r="U21" i="11"/>
  <c r="V21" i="11"/>
  <c r="W21" i="11"/>
  <c r="AA21" i="11"/>
  <c r="U26" i="11"/>
  <c r="V26" i="11"/>
  <c r="W26" i="11"/>
  <c r="R12" i="20"/>
  <c r="S12" i="20"/>
  <c r="T12" i="20"/>
  <c r="U12" i="20"/>
  <c r="AA12" i="20"/>
  <c r="AF12" i="20"/>
  <c r="AG12" i="20" s="1"/>
  <c r="AL12" i="20"/>
  <c r="AM12" i="20" s="1"/>
  <c r="AS12" i="20"/>
  <c r="AX12" i="20"/>
  <c r="AY12" i="20" s="1"/>
  <c r="P7" i="11"/>
  <c r="X7" i="11" s="1"/>
  <c r="U7" i="11"/>
  <c r="V7" i="11"/>
  <c r="W7" i="11"/>
  <c r="Y14" i="9"/>
  <c r="Y19" i="9"/>
  <c r="Y10" i="9"/>
  <c r="Y7" i="9"/>
  <c r="Y37" i="9"/>
  <c r="Y36" i="9"/>
  <c r="U36" i="9"/>
  <c r="V36" i="9"/>
  <c r="U37" i="9"/>
  <c r="V37" i="9"/>
  <c r="V7" i="9"/>
  <c r="R7" i="9"/>
  <c r="S7" i="9"/>
  <c r="T7" i="9"/>
  <c r="U7" i="9"/>
  <c r="R119" i="23"/>
  <c r="R121" i="23"/>
  <c r="R123" i="23"/>
  <c r="R124" i="23"/>
  <c r="R125" i="23"/>
  <c r="R127" i="23"/>
  <c r="R129" i="23"/>
  <c r="R130" i="23"/>
  <c r="R131" i="23"/>
  <c r="R132" i="23"/>
  <c r="R133" i="23"/>
  <c r="R134" i="23"/>
  <c r="R135" i="23"/>
  <c r="K119" i="23"/>
  <c r="K121" i="23"/>
  <c r="K123" i="23"/>
  <c r="K124" i="23"/>
  <c r="K125" i="23"/>
  <c r="K127" i="23"/>
  <c r="K129" i="23"/>
  <c r="K130" i="23"/>
  <c r="K131" i="23"/>
  <c r="K132" i="23"/>
  <c r="K133" i="23"/>
  <c r="K134" i="23"/>
  <c r="K135" i="23"/>
  <c r="K118" i="23"/>
  <c r="R11" i="20"/>
  <c r="S11" i="20"/>
  <c r="T11" i="20"/>
  <c r="U11" i="20"/>
  <c r="AA11" i="20"/>
  <c r="AF11" i="20"/>
  <c r="AG11" i="20" s="1"/>
  <c r="AI11" i="20" s="1"/>
  <c r="AJ11" i="20" s="1"/>
  <c r="AL11" i="20"/>
  <c r="AM11" i="20" s="1"/>
  <c r="AO11" i="20" s="1"/>
  <c r="AP11" i="20" s="1"/>
  <c r="AS11" i="20"/>
  <c r="AU11" i="20" s="1"/>
  <c r="AV11" i="20" s="1"/>
  <c r="AX11" i="20"/>
  <c r="AY11" i="20" s="1"/>
  <c r="BA11" i="20" s="1"/>
  <c r="BB11" i="20" s="1"/>
  <c r="R24" i="20"/>
  <c r="S24" i="20"/>
  <c r="T24" i="20"/>
  <c r="U24" i="20"/>
  <c r="AA24" i="20"/>
  <c r="AF24" i="20"/>
  <c r="AG24" i="20" s="1"/>
  <c r="AI24" i="20" s="1"/>
  <c r="AJ24" i="20" s="1"/>
  <c r="AL24" i="20"/>
  <c r="AM24" i="20" s="1"/>
  <c r="AO24" i="20" s="1"/>
  <c r="AP24" i="20" s="1"/>
  <c r="AS24" i="20"/>
  <c r="AU24" i="20" s="1"/>
  <c r="AV24" i="20" s="1"/>
  <c r="AX24" i="20"/>
  <c r="AY24" i="20" s="1"/>
  <c r="BA24" i="20" s="1"/>
  <c r="BB24" i="20" s="1"/>
  <c r="K93" i="24"/>
  <c r="Q5" i="18"/>
  <c r="R5" i="18"/>
  <c r="S5" i="18"/>
  <c r="O5" i="18"/>
  <c r="P5" i="18"/>
  <c r="W5" i="18"/>
  <c r="AN5" i="18"/>
  <c r="AS5" i="18" s="1"/>
  <c r="AT5" i="18"/>
  <c r="AU5" i="18" s="1"/>
  <c r="AZ5" i="18"/>
  <c r="BA5" i="18" s="1"/>
  <c r="BC5" i="18" s="1"/>
  <c r="AB5" i="18"/>
  <c r="AC5" i="18" s="1"/>
  <c r="AH5" i="18"/>
  <c r="AI5" i="18" s="1"/>
  <c r="Q6" i="18"/>
  <c r="R6" i="18"/>
  <c r="S6" i="18"/>
  <c r="O6" i="18"/>
  <c r="P6" i="18"/>
  <c r="W6" i="18"/>
  <c r="AN6" i="18"/>
  <c r="AS6" i="18" s="1"/>
  <c r="AT6" i="18"/>
  <c r="AU6" i="18" s="1"/>
  <c r="AZ6" i="18"/>
  <c r="BA6" i="18" s="1"/>
  <c r="BC6" i="18" s="1"/>
  <c r="AB6" i="18"/>
  <c r="AC6" i="18" s="1"/>
  <c r="AH6" i="18"/>
  <c r="AI6" i="18" s="1"/>
  <c r="Q8" i="18"/>
  <c r="R8" i="18"/>
  <c r="S8" i="18"/>
  <c r="O8" i="18"/>
  <c r="P8" i="18"/>
  <c r="W8" i="18"/>
  <c r="AN8" i="18"/>
  <c r="AS8" i="18" s="1"/>
  <c r="AT8" i="18"/>
  <c r="AU8" i="18" s="1"/>
  <c r="AZ8" i="18"/>
  <c r="BA8" i="18" s="1"/>
  <c r="BC8" i="18" s="1"/>
  <c r="AB8" i="18"/>
  <c r="AC8" i="18" s="1"/>
  <c r="AH8" i="18"/>
  <c r="AI8" i="18" s="1"/>
  <c r="Q10" i="18"/>
  <c r="R10" i="18"/>
  <c r="S10" i="18"/>
  <c r="O10" i="18"/>
  <c r="P10" i="18"/>
  <c r="W10" i="18"/>
  <c r="AN10" i="18"/>
  <c r="AT10" i="18"/>
  <c r="AU10" i="18" s="1"/>
  <c r="AZ10" i="18"/>
  <c r="BA10" i="18" s="1"/>
  <c r="BC10" i="18" s="1"/>
  <c r="AB10" i="18"/>
  <c r="AC10" i="18" s="1"/>
  <c r="AH10" i="18"/>
  <c r="AI10" i="18" s="1"/>
  <c r="V10" i="9"/>
  <c r="S10" i="9"/>
  <c r="T10" i="9"/>
  <c r="U10" i="9"/>
  <c r="V19" i="9"/>
  <c r="S19" i="9"/>
  <c r="T19" i="9"/>
  <c r="U19" i="9"/>
  <c r="N14" i="9"/>
  <c r="V14" i="9" s="1"/>
  <c r="S14" i="9"/>
  <c r="T14" i="9"/>
  <c r="U14" i="9"/>
  <c r="V35" i="9"/>
  <c r="S35" i="9"/>
  <c r="T35" i="9"/>
  <c r="U35" i="9"/>
  <c r="O19" i="17"/>
  <c r="P19" i="17"/>
  <c r="R19" i="17"/>
  <c r="W19" i="17"/>
  <c r="AB19" i="17"/>
  <c r="AC19" i="17" s="1"/>
  <c r="O18" i="17"/>
  <c r="P18" i="17"/>
  <c r="R18" i="17"/>
  <c r="AH19" i="17"/>
  <c r="AI19" i="17" s="1"/>
  <c r="X99" i="10"/>
  <c r="Z99" i="10"/>
  <c r="Y99" i="10"/>
  <c r="Y34" i="2"/>
  <c r="AA10" i="11"/>
  <c r="T10" i="11"/>
  <c r="P10" i="11" s="1"/>
  <c r="X10" i="11" s="1"/>
  <c r="U10" i="11"/>
  <c r="V10" i="11"/>
  <c r="W10" i="11"/>
  <c r="S105" i="10"/>
  <c r="AA105" i="10" s="1"/>
  <c r="X105" i="10"/>
  <c r="Y105" i="10"/>
  <c r="Z105" i="10"/>
  <c r="N42" i="9"/>
  <c r="V42" i="9" s="1"/>
  <c r="S42" i="9"/>
  <c r="T42" i="9"/>
  <c r="U42" i="9"/>
  <c r="N43" i="9"/>
  <c r="V43" i="9" s="1"/>
  <c r="S43" i="9"/>
  <c r="T43" i="9"/>
  <c r="U43" i="9"/>
  <c r="Y104" i="10"/>
  <c r="X104" i="10"/>
  <c r="W104" i="10"/>
  <c r="AA104" i="10"/>
  <c r="Z104" i="10"/>
  <c r="Y19" i="2"/>
  <c r="Q19" i="2"/>
  <c r="R19" i="2"/>
  <c r="S19" i="2"/>
  <c r="T19" i="2"/>
  <c r="U19" i="2"/>
  <c r="K4" i="21" l="1"/>
  <c r="L4" i="21" s="1"/>
  <c r="M4" i="21" s="1"/>
  <c r="N4" i="21"/>
  <c r="O4" i="21" s="1"/>
  <c r="AZ12" i="20"/>
  <c r="BC12" i="20" s="1"/>
  <c r="BA12" i="20"/>
  <c r="BB12" i="20" s="1"/>
  <c r="AZ9" i="20"/>
  <c r="BC9" i="20" s="1"/>
  <c r="BA9" i="20"/>
  <c r="BB9" i="20" s="1"/>
  <c r="L127" i="23"/>
  <c r="M127" i="23" s="1"/>
  <c r="N127" i="23" s="1"/>
  <c r="O127" i="23"/>
  <c r="P127" i="23" s="1"/>
  <c r="L150" i="23"/>
  <c r="M150" i="23" s="1"/>
  <c r="N150" i="23" s="1"/>
  <c r="O150" i="23"/>
  <c r="P150" i="23" s="1"/>
  <c r="L191" i="23"/>
  <c r="M191" i="23" s="1"/>
  <c r="N191" i="23" s="1"/>
  <c r="O191" i="23"/>
  <c r="P191" i="23" s="1"/>
  <c r="L38" i="23"/>
  <c r="M38" i="23" s="1"/>
  <c r="N38" i="23" s="1"/>
  <c r="O38" i="23"/>
  <c r="P38" i="23" s="1"/>
  <c r="L138" i="23"/>
  <c r="M138" i="23" s="1"/>
  <c r="N138" i="23" s="1"/>
  <c r="O138" i="23"/>
  <c r="P138" i="23" s="1"/>
  <c r="L39" i="23"/>
  <c r="M39" i="23" s="1"/>
  <c r="N39" i="23" s="1"/>
  <c r="O39" i="23"/>
  <c r="P39" i="23" s="1"/>
  <c r="L130" i="23"/>
  <c r="M130" i="23" s="1"/>
  <c r="N130" i="23" s="1"/>
  <c r="O130" i="23"/>
  <c r="P130" i="23" s="1"/>
  <c r="S133" i="23"/>
  <c r="T133" i="23" s="1"/>
  <c r="U133" i="23" s="1"/>
  <c r="V133" i="23"/>
  <c r="W133" i="23" s="1"/>
  <c r="S119" i="23"/>
  <c r="T119" i="23" s="1"/>
  <c r="U119" i="23" s="1"/>
  <c r="V119" i="23"/>
  <c r="W119" i="23" s="1"/>
  <c r="L165" i="23"/>
  <c r="M165" i="23" s="1"/>
  <c r="N165" i="23" s="1"/>
  <c r="O165" i="23"/>
  <c r="P165" i="23" s="1"/>
  <c r="L153" i="23"/>
  <c r="M153" i="23" s="1"/>
  <c r="N153" i="23" s="1"/>
  <c r="O153" i="23"/>
  <c r="P153" i="23" s="1"/>
  <c r="L197" i="23"/>
  <c r="M197" i="23" s="1"/>
  <c r="N197" i="23" s="1"/>
  <c r="O197" i="23"/>
  <c r="P197" i="23" s="1"/>
  <c r="L192" i="23"/>
  <c r="M192" i="23" s="1"/>
  <c r="N192" i="23" s="1"/>
  <c r="O192" i="23"/>
  <c r="P192" i="23" s="1"/>
  <c r="L187" i="23"/>
  <c r="M187" i="23" s="1"/>
  <c r="N187" i="23" s="1"/>
  <c r="O187" i="23"/>
  <c r="P187" i="23" s="1"/>
  <c r="L52" i="23"/>
  <c r="M52" i="23" s="1"/>
  <c r="N52" i="23" s="1"/>
  <c r="O52" i="23"/>
  <c r="P52" i="23" s="1"/>
  <c r="L42" i="23"/>
  <c r="M42" i="23" s="1"/>
  <c r="N42" i="23" s="1"/>
  <c r="O42" i="23"/>
  <c r="P42" i="23" s="1"/>
  <c r="L23" i="23"/>
  <c r="M23" i="23" s="1"/>
  <c r="N23" i="23" s="1"/>
  <c r="O23" i="23"/>
  <c r="P23" i="23" s="1"/>
  <c r="L13" i="23"/>
  <c r="M13" i="23" s="1"/>
  <c r="N13" i="23" s="1"/>
  <c r="O13" i="23"/>
  <c r="P13" i="23" s="1"/>
  <c r="L139" i="23"/>
  <c r="M139" i="23" s="1"/>
  <c r="N139" i="23" s="1"/>
  <c r="O139" i="23"/>
  <c r="P139" i="23" s="1"/>
  <c r="L10" i="23"/>
  <c r="M10" i="23" s="1"/>
  <c r="N10" i="23" s="1"/>
  <c r="O10" i="23"/>
  <c r="P10" i="23" s="1"/>
  <c r="L129" i="23"/>
  <c r="M129" i="23" s="1"/>
  <c r="N129" i="23" s="1"/>
  <c r="O129" i="23"/>
  <c r="P129" i="23" s="1"/>
  <c r="S132" i="23"/>
  <c r="T132" i="23" s="1"/>
  <c r="U132" i="23" s="1"/>
  <c r="V132" i="23"/>
  <c r="W132" i="23" s="1"/>
  <c r="L164" i="23"/>
  <c r="M164" i="23" s="1"/>
  <c r="N164" i="23" s="1"/>
  <c r="O164" i="23"/>
  <c r="P164" i="23" s="1"/>
  <c r="L152" i="23"/>
  <c r="M152" i="23" s="1"/>
  <c r="N152" i="23" s="1"/>
  <c r="O152" i="23"/>
  <c r="P152" i="23" s="1"/>
  <c r="S196" i="23"/>
  <c r="T196" i="23" s="1"/>
  <c r="U196" i="23" s="1"/>
  <c r="V196" i="23"/>
  <c r="W196" i="23" s="1"/>
  <c r="S191" i="23"/>
  <c r="T191" i="23" s="1"/>
  <c r="U191" i="23" s="1"/>
  <c r="V191" i="23"/>
  <c r="W191" i="23" s="1"/>
  <c r="L185" i="23"/>
  <c r="M185" i="23" s="1"/>
  <c r="N185" i="23" s="1"/>
  <c r="O185" i="23"/>
  <c r="P185" i="23" s="1"/>
  <c r="L51" i="23"/>
  <c r="M51" i="23" s="1"/>
  <c r="N51" i="23" s="1"/>
  <c r="O51" i="23"/>
  <c r="P51" i="23" s="1"/>
  <c r="L40" i="23"/>
  <c r="M40" i="23" s="1"/>
  <c r="N40" i="23" s="1"/>
  <c r="O40" i="23"/>
  <c r="P40" i="23" s="1"/>
  <c r="L22" i="23"/>
  <c r="M22" i="23" s="1"/>
  <c r="N22" i="23" s="1"/>
  <c r="O22" i="23"/>
  <c r="P22" i="23" s="1"/>
  <c r="L11" i="23"/>
  <c r="M11" i="23" s="1"/>
  <c r="N11" i="23" s="1"/>
  <c r="O11" i="23"/>
  <c r="P11" i="23" s="1"/>
  <c r="S138" i="23"/>
  <c r="T138" i="23" s="1"/>
  <c r="U138" i="23" s="1"/>
  <c r="V138" i="23"/>
  <c r="W138" i="23" s="1"/>
  <c r="L35" i="23"/>
  <c r="M35" i="23" s="1"/>
  <c r="N35" i="23" s="1"/>
  <c r="O35" i="23"/>
  <c r="P35" i="23" s="1"/>
  <c r="L125" i="23"/>
  <c r="M125" i="23" s="1"/>
  <c r="N125" i="23" s="1"/>
  <c r="O125" i="23"/>
  <c r="P125" i="23" s="1"/>
  <c r="S130" i="23"/>
  <c r="T130" i="23" s="1"/>
  <c r="U130" i="23" s="1"/>
  <c r="V130" i="23"/>
  <c r="W130" i="23" s="1"/>
  <c r="L162" i="23"/>
  <c r="M162" i="23" s="1"/>
  <c r="N162" i="23" s="1"/>
  <c r="O162" i="23"/>
  <c r="P162" i="23" s="1"/>
  <c r="L148" i="23"/>
  <c r="M148" i="23" s="1"/>
  <c r="N148" i="23" s="1"/>
  <c r="O148" i="23"/>
  <c r="P148" i="23" s="1"/>
  <c r="S195" i="23"/>
  <c r="T195" i="23" s="1"/>
  <c r="U195" i="23" s="1"/>
  <c r="V195" i="23"/>
  <c r="W195" i="23" s="1"/>
  <c r="S190" i="23"/>
  <c r="T190" i="23" s="1"/>
  <c r="U190" i="23" s="1"/>
  <c r="V190" i="23"/>
  <c r="W190" i="23" s="1"/>
  <c r="L182" i="23"/>
  <c r="M182" i="23" s="1"/>
  <c r="N182" i="23" s="1"/>
  <c r="O182" i="23"/>
  <c r="P182" i="23" s="1"/>
  <c r="L49" i="23"/>
  <c r="M49" i="23" s="1"/>
  <c r="N49" i="23" s="1"/>
  <c r="O49" i="23"/>
  <c r="P49" i="23" s="1"/>
  <c r="L37" i="23"/>
  <c r="M37" i="23" s="1"/>
  <c r="N37" i="23" s="1"/>
  <c r="O37" i="23"/>
  <c r="P37" i="23" s="1"/>
  <c r="L20" i="23"/>
  <c r="M20" i="23" s="1"/>
  <c r="N20" i="23" s="1"/>
  <c r="O20" i="23"/>
  <c r="P20" i="23" s="1"/>
  <c r="L8" i="23"/>
  <c r="M8" i="23" s="1"/>
  <c r="N8" i="23" s="1"/>
  <c r="O8" i="23"/>
  <c r="P8" i="23" s="1"/>
  <c r="S137" i="23"/>
  <c r="T137" i="23" s="1"/>
  <c r="U137" i="23" s="1"/>
  <c r="V137" i="23"/>
  <c r="W137" i="23" s="1"/>
  <c r="L180" i="23"/>
  <c r="M180" i="23" s="1"/>
  <c r="N180" i="23" s="1"/>
  <c r="O180" i="23"/>
  <c r="P180" i="23" s="1"/>
  <c r="L118" i="23"/>
  <c r="M118" i="23" s="1"/>
  <c r="N118" i="23" s="1"/>
  <c r="O118" i="23"/>
  <c r="P118" i="23" s="1"/>
  <c r="L124" i="23"/>
  <c r="M124" i="23" s="1"/>
  <c r="N124" i="23" s="1"/>
  <c r="O124" i="23"/>
  <c r="P124" i="23" s="1"/>
  <c r="S129" i="23"/>
  <c r="T129" i="23" s="1"/>
  <c r="U129" i="23" s="1"/>
  <c r="V129" i="23"/>
  <c r="W129" i="23" s="1"/>
  <c r="L161" i="23"/>
  <c r="M161" i="23" s="1"/>
  <c r="N161" i="23" s="1"/>
  <c r="O161" i="23"/>
  <c r="P161" i="23" s="1"/>
  <c r="L147" i="23"/>
  <c r="M147" i="23" s="1"/>
  <c r="N147" i="23" s="1"/>
  <c r="O147" i="23"/>
  <c r="P147" i="23" s="1"/>
  <c r="L195" i="23"/>
  <c r="M195" i="23" s="1"/>
  <c r="N195" i="23" s="1"/>
  <c r="O195" i="23"/>
  <c r="P195" i="23" s="1"/>
  <c r="L190" i="23"/>
  <c r="M190" i="23" s="1"/>
  <c r="N190" i="23" s="1"/>
  <c r="O190" i="23"/>
  <c r="P190" i="23" s="1"/>
  <c r="L181" i="23"/>
  <c r="M181" i="23" s="1"/>
  <c r="N181" i="23" s="1"/>
  <c r="O181" i="23"/>
  <c r="P181" i="23" s="1"/>
  <c r="L48" i="23"/>
  <c r="M48" i="23" s="1"/>
  <c r="N48" i="23" s="1"/>
  <c r="O48" i="23"/>
  <c r="P48" i="23" s="1"/>
  <c r="L36" i="23"/>
  <c r="M36" i="23" s="1"/>
  <c r="N36" i="23" s="1"/>
  <c r="O36" i="23"/>
  <c r="P36" i="23" s="1"/>
  <c r="L19" i="23"/>
  <c r="M19" i="23" s="1"/>
  <c r="N19" i="23" s="1"/>
  <c r="O19" i="23"/>
  <c r="P19" i="23" s="1"/>
  <c r="L7" i="23"/>
  <c r="M7" i="23" s="1"/>
  <c r="N7" i="23" s="1"/>
  <c r="O7" i="23"/>
  <c r="P7" i="23" s="1"/>
  <c r="L137" i="23"/>
  <c r="M137" i="23" s="1"/>
  <c r="N137" i="23" s="1"/>
  <c r="O137" i="23"/>
  <c r="P137" i="23" s="1"/>
  <c r="L184" i="23"/>
  <c r="M184" i="23" s="1"/>
  <c r="N184" i="23" s="1"/>
  <c r="O184" i="23"/>
  <c r="P184" i="23" s="1"/>
  <c r="L135" i="23"/>
  <c r="M135" i="23" s="1"/>
  <c r="N135" i="23" s="1"/>
  <c r="O135" i="23"/>
  <c r="P135" i="23" s="1"/>
  <c r="L123" i="23"/>
  <c r="M123" i="23" s="1"/>
  <c r="N123" i="23" s="1"/>
  <c r="O123" i="23"/>
  <c r="P123" i="23" s="1"/>
  <c r="S127" i="23"/>
  <c r="T127" i="23" s="1"/>
  <c r="U127" i="23" s="1"/>
  <c r="V127" i="23"/>
  <c r="W127" i="23" s="1"/>
  <c r="L160" i="23"/>
  <c r="M160" i="23" s="1"/>
  <c r="N160" i="23" s="1"/>
  <c r="O160" i="23"/>
  <c r="P160" i="23" s="1"/>
  <c r="S199" i="23"/>
  <c r="T199" i="23" s="1"/>
  <c r="U199" i="23" s="1"/>
  <c r="V199" i="23"/>
  <c r="W199" i="23" s="1"/>
  <c r="S194" i="23"/>
  <c r="T194" i="23" s="1"/>
  <c r="U194" i="23" s="1"/>
  <c r="V194" i="23"/>
  <c r="W194" i="23" s="1"/>
  <c r="S189" i="23"/>
  <c r="T189" i="23" s="1"/>
  <c r="U189" i="23" s="1"/>
  <c r="V189" i="23"/>
  <c r="W189" i="23" s="1"/>
  <c r="L179" i="23"/>
  <c r="M179" i="23" s="1"/>
  <c r="N179" i="23" s="1"/>
  <c r="O179" i="23"/>
  <c r="P179" i="23" s="1"/>
  <c r="L47" i="23"/>
  <c r="M47" i="23" s="1"/>
  <c r="N47" i="23" s="1"/>
  <c r="O47" i="23"/>
  <c r="P47" i="23" s="1"/>
  <c r="L34" i="23"/>
  <c r="M34" i="23" s="1"/>
  <c r="N34" i="23" s="1"/>
  <c r="O34" i="23"/>
  <c r="P34" i="23" s="1"/>
  <c r="L18" i="23"/>
  <c r="M18" i="23" s="1"/>
  <c r="N18" i="23" s="1"/>
  <c r="O18" i="23"/>
  <c r="P18" i="23" s="1"/>
  <c r="L5" i="23"/>
  <c r="M5" i="23" s="1"/>
  <c r="N5" i="23" s="1"/>
  <c r="O5" i="23"/>
  <c r="P5" i="23" s="1"/>
  <c r="S136" i="23"/>
  <c r="T136" i="23" s="1"/>
  <c r="U136" i="23" s="1"/>
  <c r="V136" i="23"/>
  <c r="W136" i="23" s="1"/>
  <c r="L155" i="23"/>
  <c r="M155" i="23" s="1"/>
  <c r="N155" i="23" s="1"/>
  <c r="O155" i="23"/>
  <c r="P155" i="23" s="1"/>
  <c r="L134" i="23"/>
  <c r="M134" i="23" s="1"/>
  <c r="N134" i="23" s="1"/>
  <c r="O134" i="23"/>
  <c r="P134" i="23" s="1"/>
  <c r="L121" i="23"/>
  <c r="M121" i="23" s="1"/>
  <c r="N121" i="23" s="1"/>
  <c r="O121" i="23"/>
  <c r="P121" i="23" s="1"/>
  <c r="S125" i="23"/>
  <c r="T125" i="23" s="1"/>
  <c r="U125" i="23" s="1"/>
  <c r="V125" i="23"/>
  <c r="W125" i="23" s="1"/>
  <c r="L169" i="23"/>
  <c r="M169" i="23" s="1"/>
  <c r="N169" i="23" s="1"/>
  <c r="O169" i="23"/>
  <c r="P169" i="23" s="1"/>
  <c r="L159" i="23"/>
  <c r="M159" i="23" s="1"/>
  <c r="N159" i="23" s="1"/>
  <c r="O159" i="23"/>
  <c r="P159" i="23" s="1"/>
  <c r="L199" i="23"/>
  <c r="M199" i="23" s="1"/>
  <c r="N199" i="23" s="1"/>
  <c r="O199" i="23"/>
  <c r="P199" i="23" s="1"/>
  <c r="L194" i="23"/>
  <c r="M194" i="23" s="1"/>
  <c r="N194" i="23" s="1"/>
  <c r="O194" i="23"/>
  <c r="P194" i="23" s="1"/>
  <c r="L189" i="23"/>
  <c r="M189" i="23" s="1"/>
  <c r="N189" i="23" s="1"/>
  <c r="O189" i="23"/>
  <c r="P189" i="23" s="1"/>
  <c r="L177" i="23"/>
  <c r="M177" i="23" s="1"/>
  <c r="N177" i="23" s="1"/>
  <c r="O177" i="23"/>
  <c r="P177" i="23" s="1"/>
  <c r="L46" i="23"/>
  <c r="M46" i="23" s="1"/>
  <c r="N46" i="23" s="1"/>
  <c r="O46" i="23"/>
  <c r="P46" i="23" s="1"/>
  <c r="L32" i="23"/>
  <c r="M32" i="23" s="1"/>
  <c r="N32" i="23" s="1"/>
  <c r="O32" i="23"/>
  <c r="P32" i="23" s="1"/>
  <c r="L17" i="23"/>
  <c r="M17" i="23" s="1"/>
  <c r="N17" i="23" s="1"/>
  <c r="O17" i="23"/>
  <c r="P17" i="23" s="1"/>
  <c r="L3" i="23"/>
  <c r="M3" i="23" s="1"/>
  <c r="N3" i="23" s="1"/>
  <c r="O3" i="23"/>
  <c r="P3" i="23" s="1"/>
  <c r="L136" i="23"/>
  <c r="M136" i="23" s="1"/>
  <c r="N136" i="23" s="1"/>
  <c r="O136" i="23"/>
  <c r="P136" i="23" s="1"/>
  <c r="L170" i="23"/>
  <c r="M170" i="23" s="1"/>
  <c r="N170" i="23" s="1"/>
  <c r="O170" i="23"/>
  <c r="P170" i="23" s="1"/>
  <c r="S124" i="23"/>
  <c r="T124" i="23" s="1"/>
  <c r="U124" i="23" s="1"/>
  <c r="V124" i="23"/>
  <c r="W124" i="23" s="1"/>
  <c r="L158" i="23"/>
  <c r="M158" i="23" s="1"/>
  <c r="N158" i="23" s="1"/>
  <c r="O158" i="23"/>
  <c r="P158" i="23" s="1"/>
  <c r="S198" i="23"/>
  <c r="T198" i="23" s="1"/>
  <c r="U198" i="23" s="1"/>
  <c r="V198" i="23"/>
  <c r="W198" i="23" s="1"/>
  <c r="S193" i="23"/>
  <c r="T193" i="23" s="1"/>
  <c r="U193" i="23" s="1"/>
  <c r="V193" i="23"/>
  <c r="W193" i="23" s="1"/>
  <c r="S188" i="23"/>
  <c r="T188" i="23" s="1"/>
  <c r="U188" i="23" s="1"/>
  <c r="V188" i="23"/>
  <c r="W188" i="23" s="1"/>
  <c r="L176" i="23"/>
  <c r="M176" i="23" s="1"/>
  <c r="N176" i="23" s="1"/>
  <c r="O176" i="23"/>
  <c r="P176" i="23" s="1"/>
  <c r="L45" i="23"/>
  <c r="M45" i="23" s="1"/>
  <c r="N45" i="23" s="1"/>
  <c r="O45" i="23"/>
  <c r="P45" i="23" s="1"/>
  <c r="L31" i="23"/>
  <c r="M31" i="23" s="1"/>
  <c r="N31" i="23" s="1"/>
  <c r="O31" i="23"/>
  <c r="P31" i="23" s="1"/>
  <c r="L16" i="23"/>
  <c r="M16" i="23" s="1"/>
  <c r="N16" i="23" s="1"/>
  <c r="O16" i="23"/>
  <c r="P16" i="23" s="1"/>
  <c r="L2" i="23"/>
  <c r="M2" i="23" s="1"/>
  <c r="N2" i="23" s="1"/>
  <c r="O2" i="23"/>
  <c r="P2" i="23" s="1"/>
  <c r="S122" i="23"/>
  <c r="T122" i="23" s="1"/>
  <c r="U122" i="23" s="1"/>
  <c r="V122" i="23"/>
  <c r="W122" i="23" s="1"/>
  <c r="S131" i="23"/>
  <c r="T131" i="23" s="1"/>
  <c r="U131" i="23" s="1"/>
  <c r="V131" i="23"/>
  <c r="W131" i="23" s="1"/>
  <c r="L163" i="23"/>
  <c r="M163" i="23" s="1"/>
  <c r="N163" i="23" s="1"/>
  <c r="O163" i="23"/>
  <c r="P163" i="23" s="1"/>
  <c r="L183" i="23"/>
  <c r="M183" i="23" s="1"/>
  <c r="N183" i="23" s="1"/>
  <c r="O183" i="23"/>
  <c r="P183" i="23" s="1"/>
  <c r="L21" i="23"/>
  <c r="M21" i="23" s="1"/>
  <c r="N21" i="23" s="1"/>
  <c r="O21" i="23"/>
  <c r="P21" i="23" s="1"/>
  <c r="L133" i="23"/>
  <c r="M133" i="23" s="1"/>
  <c r="N133" i="23" s="1"/>
  <c r="O133" i="23"/>
  <c r="P133" i="23" s="1"/>
  <c r="L168" i="23"/>
  <c r="M168" i="23" s="1"/>
  <c r="N168" i="23" s="1"/>
  <c r="O168" i="23"/>
  <c r="P168" i="23" s="1"/>
  <c r="L132" i="23"/>
  <c r="M132" i="23" s="1"/>
  <c r="N132" i="23" s="1"/>
  <c r="O132" i="23"/>
  <c r="P132" i="23" s="1"/>
  <c r="S135" i="23"/>
  <c r="T135" i="23" s="1"/>
  <c r="U135" i="23" s="1"/>
  <c r="V135" i="23"/>
  <c r="W135" i="23" s="1"/>
  <c r="S123" i="23"/>
  <c r="T123" i="23" s="1"/>
  <c r="U123" i="23" s="1"/>
  <c r="V123" i="23"/>
  <c r="W123" i="23" s="1"/>
  <c r="L167" i="23"/>
  <c r="M167" i="23" s="1"/>
  <c r="N167" i="23" s="1"/>
  <c r="O167" i="23"/>
  <c r="P167" i="23" s="1"/>
  <c r="L156" i="23"/>
  <c r="M156" i="23" s="1"/>
  <c r="N156" i="23" s="1"/>
  <c r="O156" i="23"/>
  <c r="P156" i="23" s="1"/>
  <c r="L198" i="23"/>
  <c r="M198" i="23" s="1"/>
  <c r="N198" i="23" s="1"/>
  <c r="O198" i="23"/>
  <c r="P198" i="23" s="1"/>
  <c r="L193" i="23"/>
  <c r="M193" i="23" s="1"/>
  <c r="N193" i="23" s="1"/>
  <c r="O193" i="23"/>
  <c r="P193" i="23" s="1"/>
  <c r="L188" i="23"/>
  <c r="M188" i="23" s="1"/>
  <c r="N188" i="23" s="1"/>
  <c r="O188" i="23"/>
  <c r="P188" i="23" s="1"/>
  <c r="L54" i="23"/>
  <c r="M54" i="23" s="1"/>
  <c r="N54" i="23" s="1"/>
  <c r="O54" i="23"/>
  <c r="P54" i="23" s="1"/>
  <c r="L44" i="23"/>
  <c r="M44" i="23" s="1"/>
  <c r="N44" i="23" s="1"/>
  <c r="O44" i="23"/>
  <c r="P44" i="23" s="1"/>
  <c r="L25" i="23"/>
  <c r="M25" i="23" s="1"/>
  <c r="N25" i="23" s="1"/>
  <c r="O25" i="23"/>
  <c r="P25" i="23" s="1"/>
  <c r="L15" i="23"/>
  <c r="M15" i="23" s="1"/>
  <c r="N15" i="23" s="1"/>
  <c r="O15" i="23"/>
  <c r="P15" i="23" s="1"/>
  <c r="L141" i="23"/>
  <c r="M141" i="23" s="1"/>
  <c r="N141" i="23" s="1"/>
  <c r="O141" i="23"/>
  <c r="P141" i="23" s="1"/>
  <c r="L126" i="23"/>
  <c r="M126" i="23" s="1"/>
  <c r="N126" i="23" s="1"/>
  <c r="O126" i="23"/>
  <c r="P126" i="23" s="1"/>
  <c r="L196" i="23"/>
  <c r="M196" i="23" s="1"/>
  <c r="N196" i="23" s="1"/>
  <c r="O196" i="23"/>
  <c r="P196" i="23" s="1"/>
  <c r="L50" i="23"/>
  <c r="M50" i="23" s="1"/>
  <c r="N50" i="23" s="1"/>
  <c r="O50" i="23"/>
  <c r="P50" i="23" s="1"/>
  <c r="L9" i="23"/>
  <c r="M9" i="23" s="1"/>
  <c r="N9" i="23" s="1"/>
  <c r="O9" i="23"/>
  <c r="P9" i="23" s="1"/>
  <c r="L119" i="23"/>
  <c r="M119" i="23" s="1"/>
  <c r="N119" i="23" s="1"/>
  <c r="O119" i="23"/>
  <c r="P119" i="23" s="1"/>
  <c r="L131" i="23"/>
  <c r="M131" i="23" s="1"/>
  <c r="N131" i="23" s="1"/>
  <c r="O131" i="23"/>
  <c r="P131" i="23" s="1"/>
  <c r="S134" i="23"/>
  <c r="T134" i="23" s="1"/>
  <c r="U134" i="23" s="1"/>
  <c r="V134" i="23"/>
  <c r="W134" i="23" s="1"/>
  <c r="S121" i="23"/>
  <c r="T121" i="23" s="1"/>
  <c r="U121" i="23" s="1"/>
  <c r="V121" i="23"/>
  <c r="W121" i="23" s="1"/>
  <c r="L166" i="23"/>
  <c r="M166" i="23" s="1"/>
  <c r="N166" i="23" s="1"/>
  <c r="O166" i="23"/>
  <c r="P166" i="23" s="1"/>
  <c r="L154" i="23"/>
  <c r="M154" i="23" s="1"/>
  <c r="N154" i="23" s="1"/>
  <c r="O154" i="23"/>
  <c r="P154" i="23" s="1"/>
  <c r="S197" i="23"/>
  <c r="T197" i="23" s="1"/>
  <c r="U197" i="23" s="1"/>
  <c r="V197" i="23"/>
  <c r="W197" i="23" s="1"/>
  <c r="S192" i="23"/>
  <c r="T192" i="23" s="1"/>
  <c r="U192" i="23" s="1"/>
  <c r="V192" i="23"/>
  <c r="W192" i="23" s="1"/>
  <c r="S187" i="23"/>
  <c r="T187" i="23" s="1"/>
  <c r="U187" i="23" s="1"/>
  <c r="V187" i="23"/>
  <c r="W187" i="23" s="1"/>
  <c r="L53" i="23"/>
  <c r="M53" i="23" s="1"/>
  <c r="N53" i="23" s="1"/>
  <c r="O53" i="23"/>
  <c r="P53" i="23" s="1"/>
  <c r="L43" i="23"/>
  <c r="M43" i="23" s="1"/>
  <c r="N43" i="23" s="1"/>
  <c r="O43" i="23"/>
  <c r="P43" i="23" s="1"/>
  <c r="L24" i="23"/>
  <c r="M24" i="23" s="1"/>
  <c r="N24" i="23" s="1"/>
  <c r="O24" i="23"/>
  <c r="P24" i="23" s="1"/>
  <c r="L14" i="23"/>
  <c r="M14" i="23" s="1"/>
  <c r="N14" i="23" s="1"/>
  <c r="O14" i="23"/>
  <c r="P14" i="23" s="1"/>
  <c r="L140" i="23"/>
  <c r="M140" i="23" s="1"/>
  <c r="N140" i="23" s="1"/>
  <c r="O140" i="23"/>
  <c r="P140" i="23" s="1"/>
  <c r="L6" i="23"/>
  <c r="M6" i="23" s="1"/>
  <c r="N6" i="23" s="1"/>
  <c r="O6" i="23"/>
  <c r="P6" i="23" s="1"/>
  <c r="AT12" i="20"/>
  <c r="AW12" i="20" s="1"/>
  <c r="AU12" i="20"/>
  <c r="AV12" i="20" s="1"/>
  <c r="AZ11" i="20"/>
  <c r="BC11" i="20" s="1"/>
  <c r="AZ24" i="20"/>
  <c r="BC24" i="20" s="1"/>
  <c r="AZ13" i="20"/>
  <c r="BC13" i="20" s="1"/>
  <c r="AT9" i="20"/>
  <c r="AW9" i="20" s="1"/>
  <c r="AU9" i="20"/>
  <c r="AV9" i="20" s="1"/>
  <c r="AN12" i="20"/>
  <c r="AQ12" i="20" s="1"/>
  <c r="AO12" i="20"/>
  <c r="AP12" i="20" s="1"/>
  <c r="AT11" i="20"/>
  <c r="AW11" i="20" s="1"/>
  <c r="AT24" i="20"/>
  <c r="AW24" i="20" s="1"/>
  <c r="AT13" i="20"/>
  <c r="AW13" i="20" s="1"/>
  <c r="AN9" i="20"/>
  <c r="AQ9" i="20" s="1"/>
  <c r="AO9" i="20"/>
  <c r="AP9" i="20" s="1"/>
  <c r="AN13" i="20"/>
  <c r="AQ13" i="20" s="1"/>
  <c r="AH9" i="20"/>
  <c r="AK9" i="20" s="1"/>
  <c r="AI9" i="20"/>
  <c r="AJ9" i="20" s="1"/>
  <c r="AH12" i="20"/>
  <c r="AK12" i="20" s="1"/>
  <c r="AI12" i="20"/>
  <c r="AJ12" i="20" s="1"/>
  <c r="AN11" i="20"/>
  <c r="AQ11" i="20" s="1"/>
  <c r="AN24" i="20"/>
  <c r="AQ24" i="20" s="1"/>
  <c r="AB9" i="20"/>
  <c r="AE9" i="20" s="1"/>
  <c r="AC9" i="20"/>
  <c r="AB24" i="20"/>
  <c r="AE24" i="20" s="1"/>
  <c r="AC24" i="20"/>
  <c r="AB12" i="20"/>
  <c r="AE12" i="20" s="1"/>
  <c r="AC12" i="20"/>
  <c r="AH13" i="20"/>
  <c r="AK13" i="20" s="1"/>
  <c r="AB13" i="20"/>
  <c r="AE13" i="20" s="1"/>
  <c r="AC13" i="20"/>
  <c r="AH11" i="20"/>
  <c r="AK11" i="20" s="1"/>
  <c r="AH24" i="20"/>
  <c r="AK24" i="20" s="1"/>
  <c r="AB11" i="20"/>
  <c r="AE11" i="20" s="1"/>
  <c r="AC11" i="20"/>
  <c r="L299" i="25"/>
  <c r="M299" i="25" s="1"/>
  <c r="N299" i="25" s="1"/>
  <c r="P299" i="25"/>
  <c r="Q299" i="25" s="1"/>
  <c r="T300" i="25"/>
  <c r="U300" i="25" s="1"/>
  <c r="V300" i="25" s="1"/>
  <c r="W300" i="25"/>
  <c r="X300" i="25" s="1"/>
  <c r="BB6" i="18"/>
  <c r="BE6" i="18" s="1"/>
  <c r="BD6" i="18"/>
  <c r="BB5" i="18"/>
  <c r="BE5" i="18" s="1"/>
  <c r="BD5" i="18"/>
  <c r="BB7" i="18"/>
  <c r="BE7" i="18" s="1"/>
  <c r="BD7" i="18"/>
  <c r="BB9" i="18"/>
  <c r="BE9" i="18" s="1"/>
  <c r="BD9" i="18"/>
  <c r="BB10" i="18"/>
  <c r="BE10" i="18" s="1"/>
  <c r="BD10" i="18"/>
  <c r="BB8" i="18"/>
  <c r="BE8" i="18" s="1"/>
  <c r="BD8" i="18"/>
  <c r="AO9" i="18"/>
  <c r="AS9" i="18"/>
  <c r="AV10" i="18"/>
  <c r="AY10" i="18" s="1"/>
  <c r="AW10" i="18"/>
  <c r="AX10" i="18" s="1"/>
  <c r="AO10" i="18"/>
  <c r="AS10" i="18"/>
  <c r="AV6" i="18"/>
  <c r="AY6" i="18" s="1"/>
  <c r="AW6" i="18"/>
  <c r="AX6" i="18" s="1"/>
  <c r="AV7" i="18"/>
  <c r="AY7" i="18" s="1"/>
  <c r="AW7" i="18"/>
  <c r="AX7" i="18" s="1"/>
  <c r="AV8" i="18"/>
  <c r="AY8" i="18" s="1"/>
  <c r="AW8" i="18"/>
  <c r="AX8" i="18" s="1"/>
  <c r="AV5" i="18"/>
  <c r="AY5" i="18" s="1"/>
  <c r="AW5" i="18"/>
  <c r="AX5" i="18" s="1"/>
  <c r="AO7" i="18"/>
  <c r="AS7" i="18"/>
  <c r="AV9" i="18"/>
  <c r="AY9" i="18" s="1"/>
  <c r="AW9" i="18"/>
  <c r="AX9" i="18" s="1"/>
  <c r="AO8" i="18"/>
  <c r="AQ8" i="18" s="1"/>
  <c r="AR8" i="18" s="1"/>
  <c r="AO6" i="18"/>
  <c r="AQ6" i="18" s="1"/>
  <c r="AR6" i="18" s="1"/>
  <c r="AO5" i="18"/>
  <c r="AQ5" i="18" s="1"/>
  <c r="AR5" i="18" s="1"/>
  <c r="AJ8" i="18"/>
  <c r="AM8" i="18" s="1"/>
  <c r="AK8" i="18"/>
  <c r="AL8" i="18" s="1"/>
  <c r="AJ6" i="18"/>
  <c r="AM6" i="18" s="1"/>
  <c r="AK6" i="18"/>
  <c r="AL6" i="18" s="1"/>
  <c r="AJ7" i="18"/>
  <c r="AM7" i="18" s="1"/>
  <c r="AK7" i="18"/>
  <c r="AL7" i="18" s="1"/>
  <c r="AJ10" i="18"/>
  <c r="AM10" i="18" s="1"/>
  <c r="AK10" i="18"/>
  <c r="AL10" i="18" s="1"/>
  <c r="AJ9" i="18"/>
  <c r="AM9" i="18" s="1"/>
  <c r="AK9" i="18"/>
  <c r="AL9" i="18" s="1"/>
  <c r="AJ5" i="18"/>
  <c r="AM5" i="18" s="1"/>
  <c r="AK5" i="18"/>
  <c r="AL5" i="18" s="1"/>
  <c r="AD7" i="18"/>
  <c r="AG7" i="18" s="1"/>
  <c r="AE7" i="18"/>
  <c r="AF7" i="18" s="1"/>
  <c r="AD10" i="18"/>
  <c r="AG10" i="18" s="1"/>
  <c r="AE10" i="18"/>
  <c r="AF10" i="18" s="1"/>
  <c r="AD9" i="18"/>
  <c r="AG9" i="18" s="1"/>
  <c r="AE9" i="18"/>
  <c r="AF9" i="18" s="1"/>
  <c r="AD6" i="18"/>
  <c r="AG6" i="18" s="1"/>
  <c r="AE6" i="18"/>
  <c r="AF6" i="18" s="1"/>
  <c r="AD5" i="18"/>
  <c r="AG5" i="18" s="1"/>
  <c r="AE5" i="18"/>
  <c r="AF5" i="18" s="1"/>
  <c r="AD8" i="18"/>
  <c r="AG8" i="18" s="1"/>
  <c r="AE8" i="18"/>
  <c r="AF8" i="18" s="1"/>
  <c r="X5" i="18"/>
  <c r="AA5" i="18" s="1"/>
  <c r="Y5" i="18"/>
  <c r="Z5" i="18" s="1"/>
  <c r="X7" i="18"/>
  <c r="AA7" i="18" s="1"/>
  <c r="Y7" i="18"/>
  <c r="Z7" i="18" s="1"/>
  <c r="X9" i="18"/>
  <c r="AA9" i="18" s="1"/>
  <c r="Y9" i="18"/>
  <c r="Z9" i="18" s="1"/>
  <c r="X8" i="18"/>
  <c r="AA8" i="18" s="1"/>
  <c r="Y8" i="18"/>
  <c r="Z8" i="18" s="1"/>
  <c r="X10" i="18"/>
  <c r="AA10" i="18" s="1"/>
  <c r="Y10" i="18"/>
  <c r="Z10" i="18" s="1"/>
  <c r="X6" i="18"/>
  <c r="AA6" i="18" s="1"/>
  <c r="Y6" i="18"/>
  <c r="Z6" i="18" s="1"/>
  <c r="AK19" i="17"/>
  <c r="AL19" i="17" s="1"/>
  <c r="AE19" i="17"/>
  <c r="AF19" i="17" s="1"/>
  <c r="AJ19" i="17"/>
  <c r="AM19" i="17" s="1"/>
  <c r="AD19" i="17"/>
  <c r="AG19" i="17" s="1"/>
  <c r="X19" i="17"/>
  <c r="AA19" i="17" s="1"/>
  <c r="Y19" i="17"/>
  <c r="Z19" i="17" s="1"/>
  <c r="L93" i="24"/>
  <c r="M93" i="24" s="1"/>
  <c r="N93" i="24" s="1"/>
  <c r="O93" i="24"/>
  <c r="P93" i="24" s="1"/>
  <c r="X35" i="11"/>
  <c r="K151" i="23"/>
  <c r="R126" i="23"/>
  <c r="K122" i="23"/>
  <c r="BG18" i="17"/>
  <c r="BH18" i="17" s="1"/>
  <c r="BD18" i="17"/>
  <c r="BE18" i="17" s="1"/>
  <c r="AT18" i="17"/>
  <c r="AH18" i="17"/>
  <c r="AI18" i="17" s="1"/>
  <c r="AB18" i="17"/>
  <c r="AC18" i="17" s="1"/>
  <c r="BA18" i="17"/>
  <c r="BB18" i="17" s="1"/>
  <c r="W18" i="17"/>
  <c r="AT19" i="17"/>
  <c r="BG19" i="17"/>
  <c r="BH19" i="17" s="1"/>
  <c r="BD19" i="17"/>
  <c r="BE19" i="17" s="1"/>
  <c r="BA19" i="17"/>
  <c r="BB19" i="17" s="1"/>
  <c r="AD12" i="20" l="1"/>
  <c r="BT12" i="20"/>
  <c r="AD24" i="20"/>
  <c r="BT24" i="20"/>
  <c r="AD11" i="20"/>
  <c r="BT11" i="20"/>
  <c r="AD9" i="20"/>
  <c r="BT9" i="20"/>
  <c r="AD13" i="20"/>
  <c r="BT13" i="20"/>
  <c r="L122" i="23"/>
  <c r="M122" i="23" s="1"/>
  <c r="N122" i="23" s="1"/>
  <c r="O122" i="23"/>
  <c r="P122" i="23" s="1"/>
  <c r="S126" i="23"/>
  <c r="T126" i="23" s="1"/>
  <c r="U126" i="23" s="1"/>
  <c r="V126" i="23"/>
  <c r="W126" i="23" s="1"/>
  <c r="L151" i="23"/>
  <c r="M151" i="23" s="1"/>
  <c r="N151" i="23" s="1"/>
  <c r="O151" i="23"/>
  <c r="P151" i="23" s="1"/>
  <c r="AP7" i="18"/>
  <c r="AQ7" i="18"/>
  <c r="AR7" i="18" s="1"/>
  <c r="AP10" i="18"/>
  <c r="AQ10" i="18"/>
  <c r="AR10" i="18" s="1"/>
  <c r="AP9" i="18"/>
  <c r="AQ9" i="18"/>
  <c r="AR9" i="18" s="1"/>
  <c r="AP5" i="18"/>
  <c r="AP6" i="18"/>
  <c r="AP8" i="18"/>
  <c r="AK18" i="17"/>
  <c r="AL18" i="17" s="1"/>
  <c r="AE18" i="17"/>
  <c r="AF18" i="17" s="1"/>
  <c r="AU19" i="17"/>
  <c r="AW19" i="17" s="1"/>
  <c r="AU18" i="17"/>
  <c r="AW18" i="17" s="1"/>
  <c r="AJ18" i="17"/>
  <c r="AM18" i="17" s="1"/>
  <c r="AD18" i="17"/>
  <c r="AG18" i="17" s="1"/>
  <c r="X18" i="17"/>
  <c r="AA18" i="17" s="1"/>
  <c r="Y18" i="17"/>
  <c r="Z18" i="17" s="1"/>
  <c r="BU79" i="19"/>
  <c r="BV79" i="19" s="1"/>
  <c r="BN79" i="19"/>
  <c r="BO79" i="19" s="1"/>
  <c r="BQ79" i="19" s="1"/>
  <c r="Y23" i="9"/>
  <c r="Y28" i="9"/>
  <c r="Y39" i="9"/>
  <c r="Y38" i="9"/>
  <c r="Y6" i="9"/>
  <c r="Y5" i="9"/>
  <c r="Y8" i="9"/>
  <c r="Y3" i="9"/>
  <c r="Y11" i="9"/>
  <c r="Y45" i="9"/>
  <c r="Y49" i="9"/>
  <c r="Y47" i="9"/>
  <c r="Y44" i="9"/>
  <c r="Y41" i="9"/>
  <c r="Y48" i="9"/>
  <c r="Y9" i="9"/>
  <c r="O4" i="17"/>
  <c r="P4" i="17"/>
  <c r="R4" i="17"/>
  <c r="W4" i="17"/>
  <c r="AB4" i="17"/>
  <c r="AC4" i="17" s="1"/>
  <c r="AH4" i="17"/>
  <c r="AI4" i="17" s="1"/>
  <c r="BA4" i="17"/>
  <c r="BB4" i="17" s="1"/>
  <c r="BD4" i="17"/>
  <c r="BE4" i="17" s="1"/>
  <c r="BG4" i="17"/>
  <c r="BH4" i="17" s="1"/>
  <c r="O3" i="17"/>
  <c r="P3" i="17"/>
  <c r="Q3" i="17"/>
  <c r="R3" i="17"/>
  <c r="W3" i="17"/>
  <c r="AB3" i="17"/>
  <c r="AC3" i="17" s="1"/>
  <c r="AH3" i="17"/>
  <c r="AI3" i="17" s="1"/>
  <c r="AT3" i="17"/>
  <c r="BA3" i="17"/>
  <c r="BB3" i="17" s="1"/>
  <c r="BD3" i="17"/>
  <c r="BE3" i="17" s="1"/>
  <c r="BG3" i="17"/>
  <c r="BH3" i="17" s="1"/>
  <c r="R36" i="2"/>
  <c r="S36" i="2"/>
  <c r="T36" i="2"/>
  <c r="Q36" i="2"/>
  <c r="Q33" i="2"/>
  <c r="R33" i="2"/>
  <c r="S33" i="2"/>
  <c r="T33" i="2"/>
  <c r="U35" i="2"/>
  <c r="U33" i="2"/>
  <c r="Y33" i="2"/>
  <c r="BP79" i="19" l="1"/>
  <c r="BS79" i="19" s="1"/>
  <c r="BR79" i="19"/>
  <c r="AV18" i="17"/>
  <c r="AY18" i="17" s="1"/>
  <c r="AX18" i="17"/>
  <c r="AV19" i="17"/>
  <c r="AY19" i="17" s="1"/>
  <c r="AX19" i="17"/>
  <c r="AK3" i="17"/>
  <c r="AL3" i="17" s="1"/>
  <c r="AK4" i="17"/>
  <c r="AL4" i="17" s="1"/>
  <c r="AE3" i="17"/>
  <c r="AF3" i="17" s="1"/>
  <c r="AE4" i="17"/>
  <c r="AF4" i="17" s="1"/>
  <c r="AU3" i="17"/>
  <c r="AW3" i="17" s="1"/>
  <c r="AU4" i="17"/>
  <c r="AW4" i="17" s="1"/>
  <c r="AJ3" i="17"/>
  <c r="AM3" i="17" s="1"/>
  <c r="AJ4" i="17"/>
  <c r="AM4" i="17" s="1"/>
  <c r="AD3" i="17"/>
  <c r="AG3" i="17" s="1"/>
  <c r="AD4" i="17"/>
  <c r="AG4" i="17" s="1"/>
  <c r="X4" i="17"/>
  <c r="AA4" i="17" s="1"/>
  <c r="Y4" i="17"/>
  <c r="Z4" i="17" s="1"/>
  <c r="X3" i="17"/>
  <c r="AA3" i="17" s="1"/>
  <c r="Y3" i="17"/>
  <c r="Z3" i="17" s="1"/>
  <c r="AQ79" i="19"/>
  <c r="AN12" i="18"/>
  <c r="AS12" i="18" s="1"/>
  <c r="AN3" i="18"/>
  <c r="AS3" i="18" s="1"/>
  <c r="AN4" i="18"/>
  <c r="AS4" i="18" s="1"/>
  <c r="AN11" i="18"/>
  <c r="AS11" i="18" s="1"/>
  <c r="AN2" i="18"/>
  <c r="AS2" i="18" s="1"/>
  <c r="AR79" i="19" l="1"/>
  <c r="AU79" i="19" s="1"/>
  <c r="AS79" i="19"/>
  <c r="AT79" i="19" s="1"/>
  <c r="AV4" i="17"/>
  <c r="AY4" i="17" s="1"/>
  <c r="AX4" i="17"/>
  <c r="AV3" i="17"/>
  <c r="AY3" i="17" s="1"/>
  <c r="AX3" i="17"/>
  <c r="AA8" i="20"/>
  <c r="AA14" i="20"/>
  <c r="AA5" i="20"/>
  <c r="AA4" i="20"/>
  <c r="AA26" i="20"/>
  <c r="AA20" i="20"/>
  <c r="AA23" i="20"/>
  <c r="AA29" i="20"/>
  <c r="AA19" i="20"/>
  <c r="AA27" i="20"/>
  <c r="AA15" i="20"/>
  <c r="AA17" i="20"/>
  <c r="AC17" i="20" s="1"/>
  <c r="W2" i="18"/>
  <c r="W11" i="18"/>
  <c r="W4" i="18"/>
  <c r="W3" i="18"/>
  <c r="W2" i="17"/>
  <c r="W15" i="17"/>
  <c r="W14" i="17"/>
  <c r="W16" i="17"/>
  <c r="W13" i="17"/>
  <c r="W12" i="17"/>
  <c r="W6" i="17"/>
  <c r="W7" i="17"/>
  <c r="W9" i="17"/>
  <c r="W8" i="17"/>
  <c r="W10" i="17"/>
  <c r="W11" i="17"/>
  <c r="AA32" i="11"/>
  <c r="AA24" i="11"/>
  <c r="AA39" i="11"/>
  <c r="AA34" i="11"/>
  <c r="AA8" i="11"/>
  <c r="AA31" i="11"/>
  <c r="AA15" i="11"/>
  <c r="AA4" i="11"/>
  <c r="AA29" i="11"/>
  <c r="AA13" i="11"/>
  <c r="AA28" i="11"/>
  <c r="AA18" i="11"/>
  <c r="AA23" i="11"/>
  <c r="AA26" i="11"/>
  <c r="AA2" i="11"/>
  <c r="AA27" i="11"/>
  <c r="AA35" i="11"/>
  <c r="AA40" i="11"/>
  <c r="AA37" i="11"/>
  <c r="AA9" i="11"/>
  <c r="AA6" i="11"/>
  <c r="AA33" i="11"/>
  <c r="AA41" i="11"/>
  <c r="AA38" i="11"/>
  <c r="AA36" i="11"/>
  <c r="AA19" i="11"/>
  <c r="AA22" i="11"/>
  <c r="R8" i="20"/>
  <c r="S8" i="20"/>
  <c r="T8" i="20"/>
  <c r="U8" i="20"/>
  <c r="AF8" i="20"/>
  <c r="AG8" i="20" s="1"/>
  <c r="AI8" i="20" s="1"/>
  <c r="AJ8" i="20" s="1"/>
  <c r="AL8" i="20"/>
  <c r="AM8" i="20" s="1"/>
  <c r="AO8" i="20" s="1"/>
  <c r="AP8" i="20" s="1"/>
  <c r="AS8" i="20"/>
  <c r="AU8" i="20" s="1"/>
  <c r="AV8" i="20" s="1"/>
  <c r="AX8" i="20"/>
  <c r="AY8" i="20" s="1"/>
  <c r="BA8" i="20" s="1"/>
  <c r="BB8" i="20" s="1"/>
  <c r="W41" i="11"/>
  <c r="V41" i="11"/>
  <c r="U41" i="11"/>
  <c r="T41" i="11"/>
  <c r="P41" i="11" s="1"/>
  <c r="X41" i="11" s="1"/>
  <c r="P36" i="11"/>
  <c r="X36" i="11" s="1"/>
  <c r="W36" i="11"/>
  <c r="V36" i="11"/>
  <c r="U36" i="11"/>
  <c r="R3" i="20"/>
  <c r="S3" i="20"/>
  <c r="T3" i="20"/>
  <c r="U3" i="20"/>
  <c r="AF3" i="20"/>
  <c r="AL3" i="20"/>
  <c r="AX3" i="20"/>
  <c r="W33" i="11"/>
  <c r="V33" i="11"/>
  <c r="U33" i="11"/>
  <c r="X33" i="11"/>
  <c r="V46" i="7"/>
  <c r="Z46" i="7"/>
  <c r="AA46" i="7"/>
  <c r="R46" i="7"/>
  <c r="U40" i="11"/>
  <c r="V40" i="11"/>
  <c r="W40" i="11"/>
  <c r="U31" i="11"/>
  <c r="V31" i="11"/>
  <c r="W31" i="11"/>
  <c r="X31" i="11"/>
  <c r="R5" i="20"/>
  <c r="S5" i="20"/>
  <c r="T5" i="20"/>
  <c r="U5" i="20"/>
  <c r="AF5" i="20"/>
  <c r="AG5" i="20" s="1"/>
  <c r="AL5" i="20"/>
  <c r="AM5" i="20" s="1"/>
  <c r="AT5" i="20"/>
  <c r="AW5" i="20" s="1"/>
  <c r="AX5" i="20"/>
  <c r="AY5" i="20" s="1"/>
  <c r="P20" i="11"/>
  <c r="X20" i="11" s="1"/>
  <c r="P3" i="11"/>
  <c r="X3" i="11" s="1"/>
  <c r="W3" i="11"/>
  <c r="V28" i="9"/>
  <c r="O15" i="17"/>
  <c r="P15" i="17"/>
  <c r="R15" i="17"/>
  <c r="O14" i="17"/>
  <c r="P14" i="17"/>
  <c r="R14" i="17"/>
  <c r="O16" i="17"/>
  <c r="P16" i="17"/>
  <c r="R16" i="17"/>
  <c r="O13" i="17"/>
  <c r="P13" i="17"/>
  <c r="R13" i="17"/>
  <c r="O12" i="17"/>
  <c r="P12" i="17"/>
  <c r="R12" i="17"/>
  <c r="O5" i="17"/>
  <c r="P5" i="17"/>
  <c r="R5" i="17"/>
  <c r="O6" i="17"/>
  <c r="P6" i="17"/>
  <c r="R6" i="17"/>
  <c r="O7" i="17"/>
  <c r="P7" i="17"/>
  <c r="R7" i="17"/>
  <c r="O9" i="17"/>
  <c r="P9" i="17"/>
  <c r="R9" i="17"/>
  <c r="O8" i="17"/>
  <c r="P8" i="17"/>
  <c r="R8" i="17"/>
  <c r="O10" i="17"/>
  <c r="P10" i="17"/>
  <c r="R10" i="17"/>
  <c r="O11" i="17"/>
  <c r="P11" i="17"/>
  <c r="R11" i="17"/>
  <c r="R2" i="17"/>
  <c r="P2" i="17"/>
  <c r="O2" i="17"/>
  <c r="BG2" i="17"/>
  <c r="BH2" i="17" s="1"/>
  <c r="BG5" i="17"/>
  <c r="BH5" i="17" s="1"/>
  <c r="BG6" i="17"/>
  <c r="BH6" i="17" s="1"/>
  <c r="BG7" i="17"/>
  <c r="BH7" i="17" s="1"/>
  <c r="BG8" i="17"/>
  <c r="BH8" i="17" s="1"/>
  <c r="BG9" i="17"/>
  <c r="BH9" i="17" s="1"/>
  <c r="BG10" i="17"/>
  <c r="BH10" i="17" s="1"/>
  <c r="BG11" i="17"/>
  <c r="BH11" i="17" s="1"/>
  <c r="BG12" i="17"/>
  <c r="BH12" i="17" s="1"/>
  <c r="BG13" i="17"/>
  <c r="BH13" i="17" s="1"/>
  <c r="BG14" i="17"/>
  <c r="BH14" i="17" s="1"/>
  <c r="BG15" i="17"/>
  <c r="BH15" i="17" s="1"/>
  <c r="BG16" i="17"/>
  <c r="BH16" i="17" s="1"/>
  <c r="R14" i="20"/>
  <c r="S14" i="20"/>
  <c r="T14" i="20"/>
  <c r="U14" i="20"/>
  <c r="R4" i="20"/>
  <c r="S4" i="20"/>
  <c r="T4" i="20"/>
  <c r="U4" i="20"/>
  <c r="R29" i="20"/>
  <c r="S29" i="20"/>
  <c r="T29" i="20"/>
  <c r="U29" i="20"/>
  <c r="R18" i="20"/>
  <c r="S18" i="20"/>
  <c r="T18" i="20"/>
  <c r="U18" i="20"/>
  <c r="R15" i="20"/>
  <c r="S15" i="20"/>
  <c r="T15" i="20"/>
  <c r="U15" i="20"/>
  <c r="R19" i="20"/>
  <c r="S19" i="20"/>
  <c r="T19" i="20"/>
  <c r="U19" i="20"/>
  <c r="R26" i="20"/>
  <c r="S26" i="20"/>
  <c r="T26" i="20"/>
  <c r="U26" i="20"/>
  <c r="R27" i="20"/>
  <c r="S27" i="20"/>
  <c r="T27" i="20"/>
  <c r="U27" i="20"/>
  <c r="R20" i="20"/>
  <c r="S20" i="20"/>
  <c r="T20" i="20"/>
  <c r="U20" i="20"/>
  <c r="R23" i="20"/>
  <c r="S23" i="20"/>
  <c r="T23" i="20"/>
  <c r="U23" i="20"/>
  <c r="R21" i="20"/>
  <c r="S21" i="20"/>
  <c r="T21" i="20"/>
  <c r="U21" i="20"/>
  <c r="R17" i="20"/>
  <c r="S17" i="20"/>
  <c r="T17" i="20"/>
  <c r="U17" i="20"/>
  <c r="U7" i="20"/>
  <c r="T7" i="20"/>
  <c r="S7" i="20"/>
  <c r="R7" i="20"/>
  <c r="U25" i="20"/>
  <c r="T25" i="20"/>
  <c r="S25" i="20"/>
  <c r="R25" i="20"/>
  <c r="AO12" i="18"/>
  <c r="AQ12" i="18" s="1"/>
  <c r="AR12" i="18" s="1"/>
  <c r="AO3" i="18"/>
  <c r="AO4" i="18"/>
  <c r="AO11" i="18"/>
  <c r="AQ11" i="18" s="1"/>
  <c r="AR11" i="18" s="1"/>
  <c r="AO2" i="18"/>
  <c r="W12" i="18"/>
  <c r="Q4" i="18"/>
  <c r="R4" i="18"/>
  <c r="S4" i="18"/>
  <c r="O4" i="18"/>
  <c r="P4" i="18"/>
  <c r="Q11" i="18"/>
  <c r="R11" i="18"/>
  <c r="S11" i="18"/>
  <c r="O11" i="18"/>
  <c r="P11" i="18"/>
  <c r="Q2" i="18"/>
  <c r="R2" i="18"/>
  <c r="S2" i="18"/>
  <c r="O2" i="18"/>
  <c r="P2" i="18"/>
  <c r="Q12" i="18"/>
  <c r="R12" i="18"/>
  <c r="S12" i="18"/>
  <c r="O12" i="18"/>
  <c r="P12" i="18"/>
  <c r="P3" i="18"/>
  <c r="O3" i="18"/>
  <c r="S3" i="18"/>
  <c r="R3" i="18"/>
  <c r="Q3" i="18"/>
  <c r="BH79" i="19"/>
  <c r="AV79" i="19"/>
  <c r="BB79" i="19"/>
  <c r="BC79" i="19" s="1"/>
  <c r="BE79" i="19" s="1"/>
  <c r="AD79" i="19"/>
  <c r="AE79" i="19" s="1"/>
  <c r="AJ79" i="19"/>
  <c r="AK79" i="19" s="1"/>
  <c r="Z103" i="10"/>
  <c r="W103" i="10"/>
  <c r="Y103" i="10"/>
  <c r="X103" i="10"/>
  <c r="AA103" i="10"/>
  <c r="X27" i="10"/>
  <c r="AD36" i="10"/>
  <c r="AD2" i="10"/>
  <c r="AD19" i="10"/>
  <c r="AD102" i="10"/>
  <c r="AD55" i="10"/>
  <c r="AD53" i="10"/>
  <c r="AD80" i="10"/>
  <c r="AD49" i="10"/>
  <c r="AD29" i="10"/>
  <c r="L27" i="8"/>
  <c r="L26" i="8"/>
  <c r="L21" i="8"/>
  <c r="X111" i="10"/>
  <c r="Y111" i="10"/>
  <c r="Z111" i="10"/>
  <c r="X36" i="10"/>
  <c r="Y36" i="10"/>
  <c r="Z36" i="10"/>
  <c r="AA36" i="10"/>
  <c r="X2" i="10"/>
  <c r="Y2" i="10"/>
  <c r="Z2" i="10"/>
  <c r="AA2" i="10"/>
  <c r="X19" i="10"/>
  <c r="Y19" i="10"/>
  <c r="Z19" i="10"/>
  <c r="AA19" i="10"/>
  <c r="AA29" i="10"/>
  <c r="AA49" i="10"/>
  <c r="AA80" i="10"/>
  <c r="AA53" i="10"/>
  <c r="AA55" i="10"/>
  <c r="V23" i="9"/>
  <c r="U23" i="9"/>
  <c r="AT12" i="18"/>
  <c r="AZ12" i="18"/>
  <c r="BA12" i="18" s="1"/>
  <c r="BC12" i="18" s="1"/>
  <c r="AB12" i="18"/>
  <c r="AC12" i="18" s="1"/>
  <c r="AH12" i="18"/>
  <c r="AI12" i="18" s="1"/>
  <c r="AT3" i="18"/>
  <c r="AU3" i="18" s="1"/>
  <c r="AZ3" i="18"/>
  <c r="AB3" i="18"/>
  <c r="AC3" i="18" s="1"/>
  <c r="AE3" i="18" s="1"/>
  <c r="AH3" i="18"/>
  <c r="AI3" i="18" s="1"/>
  <c r="AT4" i="18"/>
  <c r="AU4" i="18" s="1"/>
  <c r="AZ4" i="18"/>
  <c r="BA4" i="18" s="1"/>
  <c r="BC4" i="18" s="1"/>
  <c r="AB4" i="18"/>
  <c r="AH4" i="18"/>
  <c r="AT11" i="18"/>
  <c r="AZ11" i="18"/>
  <c r="AB11" i="18"/>
  <c r="AC11" i="18" s="1"/>
  <c r="AH11" i="18"/>
  <c r="AT2" i="18"/>
  <c r="AZ2" i="18"/>
  <c r="AB2" i="18"/>
  <c r="AC2" i="18" s="1"/>
  <c r="AH2" i="18"/>
  <c r="BD21" i="20"/>
  <c r="BE21" i="20" s="1"/>
  <c r="BF21" i="20" s="1"/>
  <c r="BE17" i="20"/>
  <c r="BF17" i="20" s="1"/>
  <c r="H13" i="8"/>
  <c r="F13" i="8"/>
  <c r="X22" i="11"/>
  <c r="U19" i="11"/>
  <c r="V19" i="11"/>
  <c r="W19" i="11"/>
  <c r="X19" i="11"/>
  <c r="W22" i="11"/>
  <c r="T19" i="11"/>
  <c r="R7" i="2"/>
  <c r="Y24" i="2"/>
  <c r="Y26" i="2"/>
  <c r="Y27" i="2"/>
  <c r="Y25" i="2"/>
  <c r="Y23" i="2"/>
  <c r="Y21" i="2"/>
  <c r="Y22" i="2"/>
  <c r="Y7" i="2"/>
  <c r="Y6" i="2"/>
  <c r="R22" i="2"/>
  <c r="S22" i="2"/>
  <c r="Q22" i="2"/>
  <c r="U26" i="2"/>
  <c r="R24" i="2"/>
  <c r="S24" i="2"/>
  <c r="T24" i="2"/>
  <c r="U24" i="2"/>
  <c r="R27" i="2"/>
  <c r="S27" i="2"/>
  <c r="T27" i="2"/>
  <c r="U27" i="2"/>
  <c r="U25" i="2"/>
  <c r="R23" i="2"/>
  <c r="S23" i="2"/>
  <c r="T23" i="2"/>
  <c r="U23" i="2"/>
  <c r="R21" i="2"/>
  <c r="S21" i="2"/>
  <c r="T21" i="2"/>
  <c r="U21" i="2"/>
  <c r="T22" i="2"/>
  <c r="U22" i="2"/>
  <c r="U7" i="2"/>
  <c r="U6" i="2"/>
  <c r="Q27" i="2"/>
  <c r="Q23" i="2"/>
  <c r="Q21" i="2"/>
  <c r="Q24" i="2"/>
  <c r="S38" i="9"/>
  <c r="T38" i="9"/>
  <c r="U38" i="9"/>
  <c r="V38" i="9"/>
  <c r="R38" i="9"/>
  <c r="L20" i="8"/>
  <c r="J20" i="8"/>
  <c r="H20" i="8"/>
  <c r="F20" i="8"/>
  <c r="AL25" i="20"/>
  <c r="AS25" i="20"/>
  <c r="AU25" i="20" s="1"/>
  <c r="AV25" i="20" s="1"/>
  <c r="AX25" i="20"/>
  <c r="AY25" i="20" s="1"/>
  <c r="BA25" i="20" s="1"/>
  <c r="BB25" i="20" s="1"/>
  <c r="AL7" i="20"/>
  <c r="AX7" i="20"/>
  <c r="AY7" i="20" s="1"/>
  <c r="AL14" i="20"/>
  <c r="AM14" i="20" s="1"/>
  <c r="AX14" i="20"/>
  <c r="AL4" i="20"/>
  <c r="AX4" i="20"/>
  <c r="AL29" i="20"/>
  <c r="AX29" i="20"/>
  <c r="AL18" i="20"/>
  <c r="AM18" i="20" s="1"/>
  <c r="AO18" i="20" s="1"/>
  <c r="AP18" i="20" s="1"/>
  <c r="AS18" i="20"/>
  <c r="AU18" i="20" s="1"/>
  <c r="AV18" i="20" s="1"/>
  <c r="AX18" i="20"/>
  <c r="AL15" i="20"/>
  <c r="AM15" i="20" s="1"/>
  <c r="AO15" i="20" s="1"/>
  <c r="AP15" i="20" s="1"/>
  <c r="AX15" i="20"/>
  <c r="AL19" i="20"/>
  <c r="AM19" i="20" s="1"/>
  <c r="AO19" i="20" s="1"/>
  <c r="AP19" i="20" s="1"/>
  <c r="AX19" i="20"/>
  <c r="AL26" i="20"/>
  <c r="AM26" i="20" s="1"/>
  <c r="AO26" i="20" s="1"/>
  <c r="AP26" i="20" s="1"/>
  <c r="AS26" i="20"/>
  <c r="AU26" i="20" s="1"/>
  <c r="AV26" i="20" s="1"/>
  <c r="AX26" i="20"/>
  <c r="AY26" i="20" s="1"/>
  <c r="BA26" i="20" s="1"/>
  <c r="BB26" i="20" s="1"/>
  <c r="AL27" i="20"/>
  <c r="AM27" i="20" s="1"/>
  <c r="AO27" i="20" s="1"/>
  <c r="AP27" i="20" s="1"/>
  <c r="AS27" i="20"/>
  <c r="AU27" i="20" s="1"/>
  <c r="AV27" i="20" s="1"/>
  <c r="AX27" i="20"/>
  <c r="AY27" i="20" s="1"/>
  <c r="BA27" i="20" s="1"/>
  <c r="BB27" i="20" s="1"/>
  <c r="AL20" i="20"/>
  <c r="AM20" i="20" s="1"/>
  <c r="AO20" i="20" s="1"/>
  <c r="AP20" i="20" s="1"/>
  <c r="AS20" i="20"/>
  <c r="AU20" i="20" s="1"/>
  <c r="AV20" i="20" s="1"/>
  <c r="AX20" i="20"/>
  <c r="AY20" i="20" s="1"/>
  <c r="BA20" i="20" s="1"/>
  <c r="BB20" i="20" s="1"/>
  <c r="AL23" i="20"/>
  <c r="AM23" i="20" s="1"/>
  <c r="AO23" i="20" s="1"/>
  <c r="AR23" i="20"/>
  <c r="AS23" i="20" s="1"/>
  <c r="AU23" i="20" s="1"/>
  <c r="AX23" i="20"/>
  <c r="AY23" i="20" s="1"/>
  <c r="BA23" i="20" s="1"/>
  <c r="AL21" i="20"/>
  <c r="AM21" i="20" s="1"/>
  <c r="AS21" i="20"/>
  <c r="AX21" i="20"/>
  <c r="AY21" i="20" s="1"/>
  <c r="AF17" i="20"/>
  <c r="AG17" i="20" s="1"/>
  <c r="AI17" i="20" s="1"/>
  <c r="AJ17" i="20" s="1"/>
  <c r="AL17" i="20"/>
  <c r="AX17" i="20"/>
  <c r="AY17" i="20" s="1"/>
  <c r="BA17" i="20" s="1"/>
  <c r="BB17" i="20" s="1"/>
  <c r="AF25" i="20"/>
  <c r="AF7" i="20"/>
  <c r="AG7" i="20" s="1"/>
  <c r="AF14" i="20"/>
  <c r="AG14" i="20" s="1"/>
  <c r="AF4" i="20"/>
  <c r="AG4" i="20" s="1"/>
  <c r="AI4" i="20" s="1"/>
  <c r="AJ4" i="20" s="1"/>
  <c r="AF29" i="20"/>
  <c r="AG29" i="20" s="1"/>
  <c r="AI29" i="20" s="1"/>
  <c r="AJ29" i="20" s="1"/>
  <c r="AF18" i="20"/>
  <c r="AG18" i="20" s="1"/>
  <c r="AI18" i="20" s="1"/>
  <c r="AJ18" i="20" s="1"/>
  <c r="AF15" i="20"/>
  <c r="AG15" i="20" s="1"/>
  <c r="AI15" i="20" s="1"/>
  <c r="AJ15" i="20" s="1"/>
  <c r="AF19" i="20"/>
  <c r="AG19" i="20" s="1"/>
  <c r="AI19" i="20" s="1"/>
  <c r="AJ19" i="20" s="1"/>
  <c r="AF26" i="20"/>
  <c r="AF27" i="20"/>
  <c r="AF20" i="20"/>
  <c r="AF23" i="20"/>
  <c r="AF21" i="20"/>
  <c r="AG21" i="20" s="1"/>
  <c r="AB2" i="17"/>
  <c r="AC2" i="17" s="1"/>
  <c r="AH2" i="17"/>
  <c r="AI2" i="17" s="1"/>
  <c r="AN2" i="17"/>
  <c r="AT2" i="17"/>
  <c r="BA2" i="17"/>
  <c r="BB2" i="17" s="1"/>
  <c r="BD2" i="17"/>
  <c r="BE2" i="17" s="1"/>
  <c r="AB13" i="17"/>
  <c r="AC13" i="17" s="1"/>
  <c r="AH13" i="17"/>
  <c r="AI13" i="17" s="1"/>
  <c r="AT13" i="17"/>
  <c r="BA13" i="17"/>
  <c r="BB13" i="17" s="1"/>
  <c r="BD13" i="17"/>
  <c r="BE13" i="17" s="1"/>
  <c r="AB15" i="17"/>
  <c r="AC15" i="17" s="1"/>
  <c r="AH15" i="17"/>
  <c r="AI15" i="17" s="1"/>
  <c r="AT15" i="17"/>
  <c r="BA15" i="17"/>
  <c r="BB15" i="17" s="1"/>
  <c r="BD15" i="17"/>
  <c r="BE15" i="17" s="1"/>
  <c r="AB12" i="17"/>
  <c r="AC12" i="17" s="1"/>
  <c r="AH12" i="17"/>
  <c r="AI12" i="17" s="1"/>
  <c r="AT12" i="17"/>
  <c r="BA12" i="17"/>
  <c r="BB12" i="17" s="1"/>
  <c r="BD12" i="17"/>
  <c r="BE12" i="17" s="1"/>
  <c r="AB14" i="17"/>
  <c r="AC14" i="17" s="1"/>
  <c r="AH14" i="17"/>
  <c r="AI14" i="17" s="1"/>
  <c r="AT14" i="17"/>
  <c r="BA14" i="17"/>
  <c r="BB14" i="17" s="1"/>
  <c r="BD14" i="17"/>
  <c r="BE14" i="17" s="1"/>
  <c r="AB16" i="17"/>
  <c r="AC16" i="17" s="1"/>
  <c r="AH16" i="17"/>
  <c r="AT16" i="17"/>
  <c r="BD16" i="17"/>
  <c r="BE16" i="17" s="1"/>
  <c r="AB6" i="17"/>
  <c r="AC6" i="17" s="1"/>
  <c r="AH6" i="17"/>
  <c r="AI6" i="17" s="1"/>
  <c r="AT6" i="17"/>
  <c r="BA6" i="17"/>
  <c r="BB6" i="17" s="1"/>
  <c r="BD6" i="17"/>
  <c r="BE6" i="17" s="1"/>
  <c r="AB7" i="17"/>
  <c r="AC7" i="17" s="1"/>
  <c r="AH7" i="17"/>
  <c r="AI7" i="17" s="1"/>
  <c r="AT7" i="17"/>
  <c r="BA7" i="17"/>
  <c r="BB7" i="17" s="1"/>
  <c r="BD7" i="17"/>
  <c r="BE7" i="17" s="1"/>
  <c r="AB9" i="17"/>
  <c r="AC9" i="17" s="1"/>
  <c r="AH9" i="17"/>
  <c r="AI9" i="17" s="1"/>
  <c r="AT9" i="17"/>
  <c r="BA9" i="17"/>
  <c r="BB9" i="17" s="1"/>
  <c r="BD9" i="17"/>
  <c r="BE9" i="17" s="1"/>
  <c r="AB8" i="17"/>
  <c r="AC8" i="17" s="1"/>
  <c r="AH8" i="17"/>
  <c r="AI8" i="17" s="1"/>
  <c r="AT8" i="17"/>
  <c r="BA8" i="17"/>
  <c r="BB8" i="17" s="1"/>
  <c r="BD8" i="17"/>
  <c r="BE8" i="17" s="1"/>
  <c r="AB10" i="17"/>
  <c r="AC10" i="17" s="1"/>
  <c r="AH10" i="17"/>
  <c r="AI10" i="17" s="1"/>
  <c r="AT10" i="17"/>
  <c r="BA10" i="17"/>
  <c r="BB10" i="17" s="1"/>
  <c r="BD10" i="17"/>
  <c r="BE10" i="17" s="1"/>
  <c r="AB11" i="17"/>
  <c r="AC11" i="17" s="1"/>
  <c r="AH11" i="17"/>
  <c r="AI11" i="17" s="1"/>
  <c r="AT11" i="17"/>
  <c r="BA11" i="17"/>
  <c r="BB11" i="17" s="1"/>
  <c r="BD11" i="17"/>
  <c r="BE11" i="17" s="1"/>
  <c r="W5" i="17"/>
  <c r="AH5" i="17"/>
  <c r="AI5" i="17" s="1"/>
  <c r="AB5" i="17"/>
  <c r="AC5" i="17" s="1"/>
  <c r="F10" i="8"/>
  <c r="X13" i="11"/>
  <c r="X9" i="11"/>
  <c r="X2" i="11"/>
  <c r="X24" i="11"/>
  <c r="X34" i="11"/>
  <c r="X29" i="11"/>
  <c r="X18" i="11"/>
  <c r="X23" i="11"/>
  <c r="X32" i="11"/>
  <c r="X15" i="11"/>
  <c r="X4" i="11"/>
  <c r="L30" i="2"/>
  <c r="U12" i="2"/>
  <c r="U36" i="2"/>
  <c r="L28" i="2"/>
  <c r="Z62" i="10"/>
  <c r="AA67" i="10"/>
  <c r="AA107" i="10"/>
  <c r="AA33" i="10"/>
  <c r="AA41" i="10"/>
  <c r="AA10" i="10"/>
  <c r="AA52" i="10"/>
  <c r="AA56" i="10"/>
  <c r="AA57" i="10"/>
  <c r="AA62" i="10"/>
  <c r="AA50" i="10"/>
  <c r="AA69" i="10"/>
  <c r="AA73" i="10"/>
  <c r="AA85" i="10"/>
  <c r="AA28" i="10"/>
  <c r="AA96" i="10"/>
  <c r="AA91" i="10"/>
  <c r="AA97" i="10"/>
  <c r="AA102" i="10"/>
  <c r="AA5" i="10"/>
  <c r="AA9" i="10"/>
  <c r="AA27" i="10"/>
  <c r="AA6" i="10"/>
  <c r="AA46" i="10"/>
  <c r="AA94" i="10"/>
  <c r="AA3" i="10"/>
  <c r="AA22" i="10"/>
  <c r="Q12" i="2"/>
  <c r="AD28" i="10"/>
  <c r="Z28" i="10"/>
  <c r="J2" i="8"/>
  <c r="V17" i="7"/>
  <c r="W17" i="7"/>
  <c r="X17" i="7"/>
  <c r="Y17" i="7"/>
  <c r="Z17" i="7"/>
  <c r="AA17" i="7"/>
  <c r="X67" i="10"/>
  <c r="Y67" i="10"/>
  <c r="Z67" i="10"/>
  <c r="X73" i="10"/>
  <c r="Y73" i="10"/>
  <c r="Z73" i="10"/>
  <c r="X69" i="10"/>
  <c r="Y69" i="10"/>
  <c r="Z69" i="10"/>
  <c r="Z57" i="10"/>
  <c r="Z97" i="10"/>
  <c r="Y27" i="10"/>
  <c r="Z27" i="10"/>
  <c r="W67" i="10"/>
  <c r="W73" i="10"/>
  <c r="W69" i="10"/>
  <c r="W27" i="10"/>
  <c r="AD27" i="10"/>
  <c r="AD97" i="10"/>
  <c r="AD57" i="10"/>
  <c r="AD69" i="10"/>
  <c r="AD73" i="10"/>
  <c r="AD67" i="10"/>
  <c r="J8" i="8"/>
  <c r="L10" i="8"/>
  <c r="J10" i="8"/>
  <c r="L6" i="8"/>
  <c r="L5" i="8"/>
  <c r="L4" i="8"/>
  <c r="J4" i="8"/>
  <c r="H4" i="8"/>
  <c r="J9" i="8"/>
  <c r="H6" i="8"/>
  <c r="J5" i="8"/>
  <c r="AD85" i="10"/>
  <c r="X85" i="10"/>
  <c r="Y85" i="10"/>
  <c r="Z85" i="10"/>
  <c r="W85" i="10"/>
  <c r="F3" i="8"/>
  <c r="L3" i="8"/>
  <c r="J3" i="8"/>
  <c r="X102" i="10"/>
  <c r="Y102" i="10"/>
  <c r="Z102" i="10"/>
  <c r="W102" i="10"/>
  <c r="L7" i="8"/>
  <c r="J7" i="8"/>
  <c r="AF79" i="19" l="1"/>
  <c r="AI79" i="19" s="1"/>
  <c r="AG79" i="19"/>
  <c r="AH79" i="19" s="1"/>
  <c r="AL79" i="19"/>
  <c r="AO79" i="19" s="1"/>
  <c r="AM79" i="19"/>
  <c r="AN79" i="19" s="1"/>
  <c r="AD17" i="20"/>
  <c r="BT17" i="20"/>
  <c r="AZ21" i="20"/>
  <c r="BC21" i="20" s="1"/>
  <c r="BA21" i="20"/>
  <c r="BB21" i="20" s="1"/>
  <c r="AZ5" i="20"/>
  <c r="BC5" i="20" s="1"/>
  <c r="BA5" i="20"/>
  <c r="BB5" i="20" s="1"/>
  <c r="AZ7" i="20"/>
  <c r="BC7" i="20" s="1"/>
  <c r="BA7" i="20"/>
  <c r="BB7" i="20" s="1"/>
  <c r="AZ23" i="20"/>
  <c r="BC23" i="20" s="1"/>
  <c r="BB23" i="20"/>
  <c r="AZ20" i="20"/>
  <c r="BC20" i="20" s="1"/>
  <c r="AZ17" i="20"/>
  <c r="BC17" i="20" s="1"/>
  <c r="AZ8" i="20"/>
  <c r="BC8" i="20" s="1"/>
  <c r="AZ27" i="20"/>
  <c r="BC27" i="20" s="1"/>
  <c r="AZ25" i="20"/>
  <c r="BC25" i="20" s="1"/>
  <c r="AT21" i="20"/>
  <c r="AW21" i="20" s="1"/>
  <c r="AU21" i="20"/>
  <c r="AV21" i="20" s="1"/>
  <c r="AZ26" i="20"/>
  <c r="BC26" i="20" s="1"/>
  <c r="AT23" i="20"/>
  <c r="AW23" i="20" s="1"/>
  <c r="AV23" i="20"/>
  <c r="AN14" i="20"/>
  <c r="AQ14" i="20" s="1"/>
  <c r="AO14" i="20"/>
  <c r="AP14" i="20" s="1"/>
  <c r="AT26" i="20"/>
  <c r="AW26" i="20" s="1"/>
  <c r="AT8" i="20"/>
  <c r="AW8" i="20" s="1"/>
  <c r="AT27" i="20"/>
  <c r="AW27" i="20" s="1"/>
  <c r="AT18" i="20"/>
  <c r="AW18" i="20" s="1"/>
  <c r="AT25" i="20"/>
  <c r="AW25" i="20" s="1"/>
  <c r="AT20" i="20"/>
  <c r="AW20" i="20" s="1"/>
  <c r="AN21" i="20"/>
  <c r="AQ21" i="20" s="1"/>
  <c r="AO21" i="20"/>
  <c r="AP21" i="20" s="1"/>
  <c r="AN5" i="20"/>
  <c r="AQ5" i="20" s="1"/>
  <c r="AO5" i="20"/>
  <c r="AP5" i="20" s="1"/>
  <c r="AH7" i="20"/>
  <c r="AK7" i="20" s="1"/>
  <c r="AI7" i="20"/>
  <c r="AJ7" i="20" s="1"/>
  <c r="AN23" i="20"/>
  <c r="AQ23" i="20" s="1"/>
  <c r="AP23" i="20"/>
  <c r="AH5" i="20"/>
  <c r="AK5" i="20" s="1"/>
  <c r="AI5" i="20"/>
  <c r="AJ5" i="20" s="1"/>
  <c r="AN26" i="20"/>
  <c r="AQ26" i="20" s="1"/>
  <c r="AN20" i="20"/>
  <c r="AQ20" i="20" s="1"/>
  <c r="AN15" i="20"/>
  <c r="AQ15" i="20" s="1"/>
  <c r="AH21" i="20"/>
  <c r="AK21" i="20" s="1"/>
  <c r="AI21" i="20"/>
  <c r="AJ21" i="20" s="1"/>
  <c r="AN19" i="20"/>
  <c r="AQ19" i="20" s="1"/>
  <c r="AN8" i="20"/>
  <c r="AQ8" i="20" s="1"/>
  <c r="AH14" i="20"/>
  <c r="AK14" i="20" s="1"/>
  <c r="AI14" i="20"/>
  <c r="AJ14" i="20" s="1"/>
  <c r="AN27" i="20"/>
  <c r="AQ27" i="20" s="1"/>
  <c r="AN18" i="20"/>
  <c r="AQ18" i="20" s="1"/>
  <c r="AB23" i="20"/>
  <c r="AE23" i="20" s="1"/>
  <c r="AC23" i="20"/>
  <c r="AH4" i="20"/>
  <c r="AK4" i="20" s="1"/>
  <c r="AB29" i="20"/>
  <c r="AE29" i="20" s="1"/>
  <c r="AC29" i="20"/>
  <c r="AB26" i="20"/>
  <c r="AE26" i="20" s="1"/>
  <c r="AC26" i="20"/>
  <c r="AB4" i="20"/>
  <c r="AE4" i="20" s="1"/>
  <c r="AC4" i="20"/>
  <c r="AB20" i="20"/>
  <c r="AE20" i="20" s="1"/>
  <c r="AC20" i="20"/>
  <c r="AB5" i="20"/>
  <c r="AE5" i="20" s="1"/>
  <c r="AC5" i="20"/>
  <c r="AH19" i="20"/>
  <c r="AK19" i="20" s="1"/>
  <c r="AB14" i="20"/>
  <c r="AE14" i="20" s="1"/>
  <c r="AC14" i="20"/>
  <c r="AB15" i="20"/>
  <c r="AE15" i="20" s="1"/>
  <c r="AC15" i="20"/>
  <c r="AB8" i="20"/>
  <c r="AE8" i="20" s="1"/>
  <c r="AC8" i="20"/>
  <c r="AH18" i="20"/>
  <c r="AK18" i="20" s="1"/>
  <c r="AH8" i="20"/>
  <c r="AK8" i="20" s="1"/>
  <c r="AB27" i="20"/>
  <c r="AE27" i="20" s="1"/>
  <c r="AC27" i="20"/>
  <c r="AH15" i="20"/>
  <c r="AK15" i="20" s="1"/>
  <c r="AH29" i="20"/>
  <c r="AK29" i="20" s="1"/>
  <c r="AB19" i="20"/>
  <c r="AE19" i="20" s="1"/>
  <c r="AC19" i="20"/>
  <c r="BD79" i="19"/>
  <c r="BG79" i="19" s="1"/>
  <c r="BF79" i="19"/>
  <c r="BB12" i="18"/>
  <c r="BE12" i="18" s="1"/>
  <c r="BD12" i="18"/>
  <c r="BB4" i="18"/>
  <c r="BE4" i="18" s="1"/>
  <c r="BD4" i="18"/>
  <c r="AP2" i="18"/>
  <c r="AQ2" i="18"/>
  <c r="AR2" i="18" s="1"/>
  <c r="AV3" i="18"/>
  <c r="AY3" i="18" s="1"/>
  <c r="AW3" i="18"/>
  <c r="AX3" i="18" s="1"/>
  <c r="AP4" i="18"/>
  <c r="AQ4" i="18"/>
  <c r="AR4" i="18" s="1"/>
  <c r="AP3" i="18"/>
  <c r="AQ3" i="18"/>
  <c r="AR3" i="18" s="1"/>
  <c r="AV4" i="18"/>
  <c r="AY4" i="18" s="1"/>
  <c r="AW4" i="18"/>
  <c r="AX4" i="18" s="1"/>
  <c r="AP11" i="18"/>
  <c r="AP12" i="18"/>
  <c r="AJ3" i="18"/>
  <c r="AM3" i="18" s="1"/>
  <c r="AK3" i="18"/>
  <c r="AL3" i="18" s="1"/>
  <c r="AJ12" i="18"/>
  <c r="AM12" i="18" s="1"/>
  <c r="AK12" i="18"/>
  <c r="AL12" i="18" s="1"/>
  <c r="AD2" i="18"/>
  <c r="AG2" i="18" s="1"/>
  <c r="AE2" i="18"/>
  <c r="AF2" i="18" s="1"/>
  <c r="AD3" i="18"/>
  <c r="AG3" i="18" s="1"/>
  <c r="AF3" i="18"/>
  <c r="AD12" i="18"/>
  <c r="AG12" i="18" s="1"/>
  <c r="AE12" i="18"/>
  <c r="AF12" i="18" s="1"/>
  <c r="AD11" i="18"/>
  <c r="AG11" i="18" s="1"/>
  <c r="AE11" i="18"/>
  <c r="AF11" i="18" s="1"/>
  <c r="X11" i="18"/>
  <c r="AA11" i="18" s="1"/>
  <c r="Y11" i="18"/>
  <c r="Z11" i="18" s="1"/>
  <c r="X3" i="18"/>
  <c r="AA3" i="18" s="1"/>
  <c r="Y3" i="18"/>
  <c r="Z3" i="18" s="1"/>
  <c r="X12" i="18"/>
  <c r="AA12" i="18" s="1"/>
  <c r="Y12" i="18"/>
  <c r="Z12" i="18" s="1"/>
  <c r="X4" i="18"/>
  <c r="AA4" i="18" s="1"/>
  <c r="Y4" i="18"/>
  <c r="Z4" i="18" s="1"/>
  <c r="X2" i="18"/>
  <c r="AA2" i="18" s="1"/>
  <c r="Y2" i="18"/>
  <c r="Z2" i="18" s="1"/>
  <c r="AO2" i="17"/>
  <c r="AP2" i="17" s="1"/>
  <c r="AS2" i="17"/>
  <c r="AK9" i="17"/>
  <c r="AL9" i="17" s="1"/>
  <c r="AK5" i="17"/>
  <c r="AL5" i="17" s="1"/>
  <c r="AK6" i="17"/>
  <c r="AL6" i="17" s="1"/>
  <c r="AK13" i="17"/>
  <c r="AL13" i="17" s="1"/>
  <c r="AK8" i="17"/>
  <c r="AL8" i="17" s="1"/>
  <c r="AK14" i="17"/>
  <c r="AL14" i="17" s="1"/>
  <c r="AK12" i="17"/>
  <c r="AL12" i="17" s="1"/>
  <c r="AK7" i="17"/>
  <c r="AL7" i="17" s="1"/>
  <c r="AK15" i="17"/>
  <c r="AL15" i="17" s="1"/>
  <c r="AK10" i="17"/>
  <c r="AL10" i="17" s="1"/>
  <c r="AK11" i="17"/>
  <c r="AL11" i="17" s="1"/>
  <c r="AK2" i="17"/>
  <c r="AL2" i="17" s="1"/>
  <c r="AE9" i="17"/>
  <c r="AF9" i="17" s="1"/>
  <c r="AE13" i="17"/>
  <c r="AF13" i="17" s="1"/>
  <c r="AE10" i="17"/>
  <c r="AF10" i="17" s="1"/>
  <c r="AE14" i="17"/>
  <c r="AF14" i="17" s="1"/>
  <c r="AE6" i="17"/>
  <c r="AF6" i="17" s="1"/>
  <c r="AE16" i="17"/>
  <c r="AF16" i="17" s="1"/>
  <c r="AE11" i="17"/>
  <c r="AF11" i="17" s="1"/>
  <c r="AE2" i="17"/>
  <c r="AF2" i="17" s="1"/>
  <c r="AE12" i="17"/>
  <c r="AF12" i="17" s="1"/>
  <c r="AE8" i="17"/>
  <c r="AF8" i="17" s="1"/>
  <c r="AE7" i="17"/>
  <c r="AF7" i="17" s="1"/>
  <c r="AE15" i="17"/>
  <c r="AF15" i="17" s="1"/>
  <c r="AE5" i="17"/>
  <c r="AF5" i="17" s="1"/>
  <c r="AU15" i="17"/>
  <c r="AW15" i="17" s="1"/>
  <c r="AU11" i="17"/>
  <c r="AW11" i="17" s="1"/>
  <c r="AU2" i="17"/>
  <c r="AW2" i="17" s="1"/>
  <c r="AU16" i="17"/>
  <c r="AW16" i="17" s="1"/>
  <c r="AU7" i="17"/>
  <c r="AW7" i="17" s="1"/>
  <c r="AU8" i="17"/>
  <c r="AW8" i="17" s="1"/>
  <c r="AU14" i="17"/>
  <c r="AW14" i="17" s="1"/>
  <c r="AU10" i="17"/>
  <c r="AW10" i="17" s="1"/>
  <c r="AU9" i="17"/>
  <c r="AW9" i="17" s="1"/>
  <c r="AU6" i="17"/>
  <c r="AW6" i="17" s="1"/>
  <c r="AU12" i="17"/>
  <c r="AW12" i="17" s="1"/>
  <c r="AU13" i="17"/>
  <c r="AW13" i="17" s="1"/>
  <c r="AJ10" i="17"/>
  <c r="AM10" i="17" s="1"/>
  <c r="AJ12" i="17"/>
  <c r="AM12" i="17" s="1"/>
  <c r="AJ13" i="17"/>
  <c r="AM13" i="17" s="1"/>
  <c r="AJ2" i="17"/>
  <c r="AM2" i="17" s="1"/>
  <c r="AJ9" i="17"/>
  <c r="AM9" i="17" s="1"/>
  <c r="AJ8" i="17"/>
  <c r="AM8" i="17" s="1"/>
  <c r="AJ15" i="17"/>
  <c r="AM15" i="17" s="1"/>
  <c r="AJ11" i="17"/>
  <c r="AM11" i="17" s="1"/>
  <c r="AJ14" i="17"/>
  <c r="AM14" i="17" s="1"/>
  <c r="AJ6" i="17"/>
  <c r="AM6" i="17" s="1"/>
  <c r="AJ7" i="17"/>
  <c r="AM7" i="17" s="1"/>
  <c r="AJ5" i="17"/>
  <c r="AM5" i="17" s="1"/>
  <c r="AD10" i="17"/>
  <c r="AG10" i="17" s="1"/>
  <c r="AD9" i="17"/>
  <c r="AG9" i="17" s="1"/>
  <c r="AD6" i="17"/>
  <c r="AG6" i="17" s="1"/>
  <c r="AD12" i="17"/>
  <c r="AG12" i="17" s="1"/>
  <c r="AD13" i="17"/>
  <c r="AG13" i="17" s="1"/>
  <c r="AD16" i="17"/>
  <c r="AG16" i="17" s="1"/>
  <c r="AD15" i="17"/>
  <c r="AG15" i="17" s="1"/>
  <c r="AD8" i="17"/>
  <c r="AG8" i="17" s="1"/>
  <c r="AD2" i="17"/>
  <c r="AG2" i="17" s="1"/>
  <c r="AD5" i="17"/>
  <c r="AG5" i="17" s="1"/>
  <c r="AD11" i="17"/>
  <c r="AG11" i="17" s="1"/>
  <c r="AD7" i="17"/>
  <c r="AG7" i="17" s="1"/>
  <c r="AD14" i="17"/>
  <c r="AG14" i="17" s="1"/>
  <c r="X11" i="17"/>
  <c r="AA11" i="17" s="1"/>
  <c r="Y11" i="17"/>
  <c r="Z11" i="17" s="1"/>
  <c r="X10" i="17"/>
  <c r="AA10" i="17" s="1"/>
  <c r="Y10" i="17"/>
  <c r="Z10" i="17" s="1"/>
  <c r="X8" i="17"/>
  <c r="AA8" i="17" s="1"/>
  <c r="Y8" i="17"/>
  <c r="Z8" i="17" s="1"/>
  <c r="X9" i="17"/>
  <c r="AA9" i="17" s="1"/>
  <c r="Y9" i="17"/>
  <c r="Z9" i="17" s="1"/>
  <c r="X5" i="17"/>
  <c r="AA5" i="17" s="1"/>
  <c r="Y5" i="17"/>
  <c r="Z5" i="17" s="1"/>
  <c r="X7" i="17"/>
  <c r="AA7" i="17" s="1"/>
  <c r="Y7" i="17"/>
  <c r="Z7" i="17" s="1"/>
  <c r="X16" i="17"/>
  <c r="AA16" i="17" s="1"/>
  <c r="Y16" i="17"/>
  <c r="Z16" i="17" s="1"/>
  <c r="X6" i="17"/>
  <c r="AA6" i="17" s="1"/>
  <c r="Y6" i="17"/>
  <c r="Z6" i="17" s="1"/>
  <c r="X14" i="17"/>
  <c r="AA14" i="17" s="1"/>
  <c r="Y14" i="17"/>
  <c r="Z14" i="17" s="1"/>
  <c r="X12" i="17"/>
  <c r="AA12" i="17" s="1"/>
  <c r="Y12" i="17"/>
  <c r="Z12" i="17" s="1"/>
  <c r="X15" i="17"/>
  <c r="AA15" i="17" s="1"/>
  <c r="Y15" i="17"/>
  <c r="Z15" i="17" s="1"/>
  <c r="X13" i="17"/>
  <c r="AA13" i="17" s="1"/>
  <c r="Y13" i="17"/>
  <c r="Z13" i="17" s="1"/>
  <c r="X2" i="17"/>
  <c r="AA2" i="17" s="1"/>
  <c r="Y2" i="17"/>
  <c r="Z2" i="17" s="1"/>
  <c r="AH17" i="20"/>
  <c r="AK17" i="20" s="1"/>
  <c r="AB17" i="20"/>
  <c r="AE17" i="20" s="1"/>
  <c r="AU12" i="18"/>
  <c r="AC4" i="18"/>
  <c r="BA2" i="18"/>
  <c r="BC2" i="18" s="1"/>
  <c r="BA11" i="18"/>
  <c r="BC11" i="18" s="1"/>
  <c r="AI2" i="18"/>
  <c r="AK2" i="18" s="1"/>
  <c r="BA3" i="18"/>
  <c r="BC3" i="18" s="1"/>
  <c r="AI11" i="18"/>
  <c r="AU2" i="18"/>
  <c r="AW2" i="18" s="1"/>
  <c r="AU11" i="18"/>
  <c r="AI4" i="18"/>
  <c r="AM3" i="20"/>
  <c r="BX79" i="19"/>
  <c r="BY79" i="19" s="1"/>
  <c r="AW79" i="19"/>
  <c r="AY79" i="19" s="1"/>
  <c r="BI79" i="19"/>
  <c r="BK79" i="19" s="1"/>
  <c r="AY3" i="20"/>
  <c r="AS3" i="20"/>
  <c r="AG3" i="20"/>
  <c r="AA3" i="20"/>
  <c r="V3" i="11"/>
  <c r="U3" i="11"/>
  <c r="AA7" i="20"/>
  <c r="AS19" i="20"/>
  <c r="AU19" i="20" s="1"/>
  <c r="AV19" i="20" s="1"/>
  <c r="AA21" i="20"/>
  <c r="AA25" i="20"/>
  <c r="AM29" i="20"/>
  <c r="AO29" i="20" s="1"/>
  <c r="AP29" i="20" s="1"/>
  <c r="AS15" i="20"/>
  <c r="AU15" i="20" s="1"/>
  <c r="AV15" i="20" s="1"/>
  <c r="AM4" i="20"/>
  <c r="AO4" i="20" s="1"/>
  <c r="AP4" i="20" s="1"/>
  <c r="AY19" i="20"/>
  <c r="BA19" i="20" s="1"/>
  <c r="BB19" i="20" s="1"/>
  <c r="AG25" i="20"/>
  <c r="AI25" i="20" s="1"/>
  <c r="AJ25" i="20" s="1"/>
  <c r="AS29" i="20"/>
  <c r="AU29" i="20" s="1"/>
  <c r="AV29" i="20" s="1"/>
  <c r="AY15" i="20"/>
  <c r="BA15" i="20" s="1"/>
  <c r="BB15" i="20" s="1"/>
  <c r="AM7" i="20"/>
  <c r="AS4" i="20"/>
  <c r="AU4" i="20" s="1"/>
  <c r="AV4" i="20" s="1"/>
  <c r="AY18" i="20"/>
  <c r="BA18" i="20" s="1"/>
  <c r="BB18" i="20" s="1"/>
  <c r="AG23" i="20"/>
  <c r="AI23" i="20" s="1"/>
  <c r="AM17" i="20"/>
  <c r="AO17" i="20" s="1"/>
  <c r="AP17" i="20" s="1"/>
  <c r="AS14" i="20"/>
  <c r="AG20" i="20"/>
  <c r="AI20" i="20" s="1"/>
  <c r="AJ20" i="20" s="1"/>
  <c r="AM25" i="20"/>
  <c r="AO25" i="20" s="1"/>
  <c r="AP25" i="20" s="1"/>
  <c r="AY29" i="20"/>
  <c r="BA29" i="20" s="1"/>
  <c r="BB29" i="20" s="1"/>
  <c r="AG27" i="20"/>
  <c r="AI27" i="20" s="1"/>
  <c r="AJ27" i="20" s="1"/>
  <c r="AS7" i="20"/>
  <c r="AY4" i="20"/>
  <c r="BA4" i="20" s="1"/>
  <c r="BB4" i="20" s="1"/>
  <c r="AA18" i="20"/>
  <c r="AG26" i="20"/>
  <c r="AI26" i="20" s="1"/>
  <c r="AJ26" i="20" s="1"/>
  <c r="AS17" i="20"/>
  <c r="AU17" i="20" s="1"/>
  <c r="AV17" i="20" s="1"/>
  <c r="AY14" i="20"/>
  <c r="AI16" i="17"/>
  <c r="BA16" i="17"/>
  <c r="BB16" i="17" s="1"/>
  <c r="AT5" i="17"/>
  <c r="BD5" i="17"/>
  <c r="BE5" i="17" s="1"/>
  <c r="V6" i="9"/>
  <c r="V40" i="9"/>
  <c r="V5" i="9"/>
  <c r="AD15" i="20" l="1"/>
  <c r="BT15" i="20"/>
  <c r="AD20" i="20"/>
  <c r="BT20" i="20"/>
  <c r="AD8" i="20"/>
  <c r="BT8" i="20"/>
  <c r="AD26" i="20"/>
  <c r="BT26" i="20"/>
  <c r="AD14" i="20"/>
  <c r="BT14" i="20"/>
  <c r="AD27" i="20"/>
  <c r="BT27" i="20"/>
  <c r="AD29" i="20"/>
  <c r="BT29" i="20"/>
  <c r="AD4" i="20"/>
  <c r="BT4" i="20"/>
  <c r="AD19" i="20"/>
  <c r="BT19" i="20"/>
  <c r="AD5" i="20"/>
  <c r="BT5" i="20"/>
  <c r="AD23" i="20"/>
  <c r="BT23" i="20"/>
  <c r="AZ14" i="20"/>
  <c r="BC14" i="20" s="1"/>
  <c r="BA14" i="20"/>
  <c r="BB14" i="20" s="1"/>
  <c r="AZ3" i="20"/>
  <c r="BC3" i="20" s="1"/>
  <c r="BA3" i="20"/>
  <c r="BB3" i="20" s="1"/>
  <c r="AZ29" i="20"/>
  <c r="BC29" i="20" s="1"/>
  <c r="AT3" i="20"/>
  <c r="AW3" i="20" s="1"/>
  <c r="AU3" i="20"/>
  <c r="AV3" i="20" s="1"/>
  <c r="AT14" i="20"/>
  <c r="AW14" i="20" s="1"/>
  <c r="AU14" i="20"/>
  <c r="AV14" i="20" s="1"/>
  <c r="AZ19" i="20"/>
  <c r="BC19" i="20" s="1"/>
  <c r="AZ18" i="20"/>
  <c r="BC18" i="20" s="1"/>
  <c r="AZ4" i="20"/>
  <c r="BC4" i="20" s="1"/>
  <c r="AT7" i="20"/>
  <c r="AW7" i="20" s="1"/>
  <c r="AU7" i="20"/>
  <c r="AV7" i="20" s="1"/>
  <c r="AZ15" i="20"/>
  <c r="BC15" i="20" s="1"/>
  <c r="AT29" i="20"/>
  <c r="AW29" i="20" s="1"/>
  <c r="AT4" i="20"/>
  <c r="AW4" i="20" s="1"/>
  <c r="AT15" i="20"/>
  <c r="AW15" i="20" s="1"/>
  <c r="AN7" i="20"/>
  <c r="AQ7" i="20" s="1"/>
  <c r="AO7" i="20"/>
  <c r="AP7" i="20" s="1"/>
  <c r="AT19" i="20"/>
  <c r="AW19" i="20" s="1"/>
  <c r="AN3" i="20"/>
  <c r="AQ3" i="20" s="1"/>
  <c r="AO3" i="20"/>
  <c r="AP3" i="20" s="1"/>
  <c r="AN25" i="20"/>
  <c r="AQ25" i="20" s="1"/>
  <c r="AN4" i="20"/>
  <c r="AQ4" i="20" s="1"/>
  <c r="AN29" i="20"/>
  <c r="AQ29" i="20" s="1"/>
  <c r="AH3" i="20"/>
  <c r="AK3" i="20" s="1"/>
  <c r="AI3" i="20"/>
  <c r="AJ3" i="20" s="1"/>
  <c r="AH27" i="20"/>
  <c r="AK27" i="20" s="1"/>
  <c r="AB7" i="20"/>
  <c r="AE7" i="20" s="1"/>
  <c r="AC7" i="20"/>
  <c r="AH25" i="20"/>
  <c r="AK25" i="20" s="1"/>
  <c r="AH20" i="20"/>
  <c r="AK20" i="20" s="1"/>
  <c r="AB3" i="20"/>
  <c r="AE3" i="20" s="1"/>
  <c r="AC3" i="20"/>
  <c r="AH26" i="20"/>
  <c r="AK26" i="20" s="1"/>
  <c r="AH23" i="20"/>
  <c r="AK23" i="20" s="1"/>
  <c r="AJ23" i="20"/>
  <c r="AB18" i="20"/>
  <c r="AE18" i="20" s="1"/>
  <c r="AC18" i="20"/>
  <c r="AB25" i="20"/>
  <c r="AE25" i="20" s="1"/>
  <c r="AC25" i="20"/>
  <c r="AB21" i="20"/>
  <c r="AE21" i="20" s="1"/>
  <c r="AC21" i="20"/>
  <c r="BJ79" i="19"/>
  <c r="BM79" i="19" s="1"/>
  <c r="BL79" i="19"/>
  <c r="AX79" i="19"/>
  <c r="BA79" i="19" s="1"/>
  <c r="AZ79" i="19"/>
  <c r="BB3" i="18"/>
  <c r="BE3" i="18" s="1"/>
  <c r="BD3" i="18"/>
  <c r="BB11" i="18"/>
  <c r="BE11" i="18" s="1"/>
  <c r="BD11" i="18"/>
  <c r="BB2" i="18"/>
  <c r="BE2" i="18" s="1"/>
  <c r="BD2" i="18"/>
  <c r="AV2" i="18"/>
  <c r="AY2" i="18" s="1"/>
  <c r="AX2" i="18"/>
  <c r="AV11" i="18"/>
  <c r="AY11" i="18" s="1"/>
  <c r="AW11" i="18"/>
  <c r="AX11" i="18" s="1"/>
  <c r="AV12" i="18"/>
  <c r="AY12" i="18" s="1"/>
  <c r="AW12" i="18"/>
  <c r="AX12" i="18" s="1"/>
  <c r="AJ4" i="18"/>
  <c r="AM4" i="18" s="1"/>
  <c r="AK4" i="18"/>
  <c r="AL4" i="18" s="1"/>
  <c r="AJ11" i="18"/>
  <c r="AM11" i="18" s="1"/>
  <c r="AK11" i="18"/>
  <c r="AL11" i="18" s="1"/>
  <c r="AJ2" i="18"/>
  <c r="AM2" i="18" s="1"/>
  <c r="AL2" i="18"/>
  <c r="AD4" i="18"/>
  <c r="AG4" i="18" s="1"/>
  <c r="AE4" i="18"/>
  <c r="AF4" i="18" s="1"/>
  <c r="AV15" i="17"/>
  <c r="AY15" i="17" s="1"/>
  <c r="AX15" i="17"/>
  <c r="AV14" i="17"/>
  <c r="AY14" i="17" s="1"/>
  <c r="AX14" i="17"/>
  <c r="AV8" i="17"/>
  <c r="AY8" i="17" s="1"/>
  <c r="AX8" i="17"/>
  <c r="AV13" i="17"/>
  <c r="AY13" i="17" s="1"/>
  <c r="AX13" i="17"/>
  <c r="AV16" i="17"/>
  <c r="AY16" i="17" s="1"/>
  <c r="AX16" i="17"/>
  <c r="AQ2" i="17"/>
  <c r="AR2" i="17" s="1"/>
  <c r="AV7" i="17"/>
  <c r="AY7" i="17" s="1"/>
  <c r="AX7" i="17"/>
  <c r="AV12" i="17"/>
  <c r="AY12" i="17" s="1"/>
  <c r="AX12" i="17"/>
  <c r="AV6" i="17"/>
  <c r="AY6" i="17" s="1"/>
  <c r="AX6" i="17"/>
  <c r="AV11" i="17"/>
  <c r="AY11" i="17" s="1"/>
  <c r="AX11" i="17"/>
  <c r="AV9" i="17"/>
  <c r="AY9" i="17" s="1"/>
  <c r="AX9" i="17"/>
  <c r="AV10" i="17"/>
  <c r="AY10" i="17" s="1"/>
  <c r="AX10" i="17"/>
  <c r="AV2" i="17"/>
  <c r="AY2" i="17" s="1"/>
  <c r="AX2" i="17"/>
  <c r="AK16" i="17"/>
  <c r="AL16" i="17" s="1"/>
  <c r="AJ16" i="17"/>
  <c r="AM16" i="17" s="1"/>
  <c r="AT17" i="20"/>
  <c r="AW17" i="20" s="1"/>
  <c r="AN17" i="20"/>
  <c r="AQ17" i="20" s="1"/>
  <c r="AU5" i="17"/>
  <c r="AW5" i="17" s="1"/>
  <c r="BA5" i="17"/>
  <c r="BB5" i="17" s="1"/>
  <c r="S29" i="2"/>
  <c r="S32" i="2"/>
  <c r="S35" i="2"/>
  <c r="S2" i="2"/>
  <c r="S5" i="2"/>
  <c r="S3" i="2"/>
  <c r="S4" i="2"/>
  <c r="S28" i="2"/>
  <c r="S18" i="2"/>
  <c r="S16" i="2"/>
  <c r="S20" i="2"/>
  <c r="S30" i="2"/>
  <c r="S10" i="2"/>
  <c r="S9" i="2"/>
  <c r="S12" i="2"/>
  <c r="S17" i="2"/>
  <c r="S14" i="2"/>
  <c r="S11" i="2"/>
  <c r="T47" i="9"/>
  <c r="T11" i="9"/>
  <c r="T46" i="9"/>
  <c r="T49" i="9"/>
  <c r="T44" i="9"/>
  <c r="T39" i="9"/>
  <c r="T48" i="9"/>
  <c r="T3" i="9"/>
  <c r="T41" i="9"/>
  <c r="T45" i="9"/>
  <c r="T40" i="9"/>
  <c r="T5" i="9"/>
  <c r="T6" i="9"/>
  <c r="Y109" i="10"/>
  <c r="Y119" i="10"/>
  <c r="Y52" i="10"/>
  <c r="Y10" i="10"/>
  <c r="Y94" i="10"/>
  <c r="Y3" i="10"/>
  <c r="Y116" i="10"/>
  <c r="Y6" i="10"/>
  <c r="Y46" i="10"/>
  <c r="Y41" i="10"/>
  <c r="Y110" i="10"/>
  <c r="Y91" i="10"/>
  <c r="Y22" i="10"/>
  <c r="Y50" i="10"/>
  <c r="Y56" i="10"/>
  <c r="Y117" i="10"/>
  <c r="Y107" i="10"/>
  <c r="Y96" i="10"/>
  <c r="Y33" i="10"/>
  <c r="Y5" i="10"/>
  <c r="Y9" i="10"/>
  <c r="Y62" i="10"/>
  <c r="Y123" i="10"/>
  <c r="Y112" i="10"/>
  <c r="Y115" i="10"/>
  <c r="Y118" i="10"/>
  <c r="Y114" i="10"/>
  <c r="Y122" i="10"/>
  <c r="Y120" i="10"/>
  <c r="Y121" i="10"/>
  <c r="V6" i="11"/>
  <c r="V15" i="11"/>
  <c r="V4" i="11"/>
  <c r="V20" i="11"/>
  <c r="V35" i="11"/>
  <c r="V37" i="11"/>
  <c r="V39" i="11"/>
  <c r="V28" i="11"/>
  <c r="V38" i="11"/>
  <c r="V8" i="11"/>
  <c r="V13" i="11"/>
  <c r="V9" i="11"/>
  <c r="V2" i="11"/>
  <c r="V24" i="11"/>
  <c r="V32" i="11"/>
  <c r="V34" i="11"/>
  <c r="V27" i="11"/>
  <c r="V29" i="11"/>
  <c r="AD21" i="20" l="1"/>
  <c r="BT21" i="20"/>
  <c r="AD25" i="20"/>
  <c r="BT25" i="20"/>
  <c r="AD7" i="20"/>
  <c r="BT7" i="20"/>
  <c r="AD18" i="20"/>
  <c r="BT18" i="20"/>
  <c r="AD3" i="20"/>
  <c r="BT3" i="20"/>
  <c r="AV5" i="17"/>
  <c r="AY5" i="17" s="1"/>
  <c r="AX5" i="17"/>
  <c r="H2" i="8"/>
  <c r="H3" i="8"/>
  <c r="H7" i="8"/>
  <c r="H5" i="8"/>
  <c r="J6" i="8"/>
  <c r="H8" i="8"/>
  <c r="H9" i="8"/>
  <c r="H10" i="8"/>
  <c r="F8" i="8"/>
  <c r="F9" i="8"/>
  <c r="F6" i="8"/>
  <c r="F5" i="8"/>
  <c r="F4" i="8"/>
  <c r="F7" i="8"/>
  <c r="F2" i="8"/>
  <c r="V95" i="7"/>
  <c r="R51" i="7"/>
  <c r="X51" i="7" s="1"/>
  <c r="Z51" i="7"/>
  <c r="AA51" i="7"/>
  <c r="W38" i="11"/>
  <c r="W6" i="11"/>
  <c r="W9" i="11"/>
  <c r="W20" i="11"/>
  <c r="W37" i="11"/>
  <c r="W35" i="11"/>
  <c r="W27" i="11"/>
  <c r="W2" i="11"/>
  <c r="W23" i="11"/>
  <c r="W18" i="11"/>
  <c r="W28" i="11"/>
  <c r="W13" i="11"/>
  <c r="W29" i="11"/>
  <c r="W4" i="11"/>
  <c r="W15" i="11"/>
  <c r="W8" i="11"/>
  <c r="W34" i="11"/>
  <c r="W39" i="11"/>
  <c r="W24" i="11"/>
  <c r="W32" i="11"/>
  <c r="U38" i="11"/>
  <c r="U6" i="11"/>
  <c r="U9" i="11"/>
  <c r="U20" i="11"/>
  <c r="U37" i="11"/>
  <c r="U35" i="11"/>
  <c r="U27" i="11"/>
  <c r="U2" i="11"/>
  <c r="U28" i="11"/>
  <c r="U13" i="11"/>
  <c r="U29" i="11"/>
  <c r="U4" i="11"/>
  <c r="U15" i="11"/>
  <c r="U8" i="11"/>
  <c r="U34" i="11"/>
  <c r="U39" i="11"/>
  <c r="U24" i="11"/>
  <c r="U32" i="11"/>
  <c r="AD119" i="10"/>
  <c r="V18" i="7"/>
  <c r="R18" i="7" s="1"/>
  <c r="AA76" i="7"/>
  <c r="Z76" i="7"/>
  <c r="X109" i="10"/>
  <c r="AD9" i="10"/>
  <c r="AD62" i="10"/>
  <c r="AD33" i="10"/>
  <c r="AD96" i="10"/>
  <c r="AD109" i="10"/>
  <c r="AD121" i="10"/>
  <c r="AD94" i="10"/>
  <c r="AD107" i="10"/>
  <c r="AD120" i="10"/>
  <c r="AD117" i="10"/>
  <c r="AD56" i="10"/>
  <c r="AD50" i="10"/>
  <c r="AD22" i="10"/>
  <c r="AD91" i="10"/>
  <c r="AD110" i="10"/>
  <c r="AD41" i="10"/>
  <c r="AD3" i="10"/>
  <c r="AD122" i="10"/>
  <c r="AD114" i="10"/>
  <c r="AD116" i="10"/>
  <c r="AD118" i="10"/>
  <c r="AD6" i="10"/>
  <c r="AD52" i="10"/>
  <c r="AD46" i="10"/>
  <c r="AD10" i="10"/>
  <c r="AD112" i="10"/>
  <c r="AD115" i="10"/>
  <c r="AD123" i="10"/>
  <c r="AD5" i="10"/>
  <c r="X62" i="10"/>
  <c r="X33" i="10"/>
  <c r="Z33" i="10"/>
  <c r="X96" i="10"/>
  <c r="Z96" i="10"/>
  <c r="Z109" i="10"/>
  <c r="X121" i="10"/>
  <c r="Z121" i="10"/>
  <c r="X94" i="10"/>
  <c r="Z94" i="10"/>
  <c r="X107" i="10"/>
  <c r="Z107" i="10"/>
  <c r="X120" i="10"/>
  <c r="Z120" i="10"/>
  <c r="X117" i="10"/>
  <c r="Z117" i="10"/>
  <c r="X56" i="10"/>
  <c r="Z56" i="10"/>
  <c r="X50" i="10"/>
  <c r="Z50" i="10"/>
  <c r="X22" i="10"/>
  <c r="Z22" i="10"/>
  <c r="X91" i="10"/>
  <c r="Z91" i="10"/>
  <c r="X110" i="10"/>
  <c r="Z110" i="10"/>
  <c r="X41" i="10"/>
  <c r="Z41" i="10"/>
  <c r="X3" i="10"/>
  <c r="Z3" i="10"/>
  <c r="X122" i="10"/>
  <c r="Z122" i="10"/>
  <c r="X114" i="10"/>
  <c r="Z114" i="10"/>
  <c r="X119" i="10"/>
  <c r="Z119" i="10"/>
  <c r="X116" i="10"/>
  <c r="Z116" i="10"/>
  <c r="X118" i="10"/>
  <c r="Z118" i="10"/>
  <c r="X6" i="10"/>
  <c r="Z6" i="10"/>
  <c r="X52" i="10"/>
  <c r="Z52" i="10"/>
  <c r="X46" i="10"/>
  <c r="Z46" i="10"/>
  <c r="X10" i="10"/>
  <c r="Z10" i="10"/>
  <c r="X112" i="10"/>
  <c r="Z112" i="10"/>
  <c r="X115" i="10"/>
  <c r="Z115" i="10"/>
  <c r="X123" i="10"/>
  <c r="Z123" i="10"/>
  <c r="Z9" i="10"/>
  <c r="Z5" i="10"/>
  <c r="Y40" i="9"/>
  <c r="Y46" i="9"/>
  <c r="S48" i="9"/>
  <c r="U48" i="9"/>
  <c r="S39" i="9"/>
  <c r="U39" i="9"/>
  <c r="V39" i="9"/>
  <c r="S44" i="9"/>
  <c r="U44" i="9"/>
  <c r="S49" i="9"/>
  <c r="S46" i="9"/>
  <c r="U46" i="9"/>
  <c r="S11" i="9"/>
  <c r="U11" i="9"/>
  <c r="S47" i="9"/>
  <c r="U47" i="9"/>
  <c r="V3" i="9"/>
  <c r="U3" i="9"/>
  <c r="S3" i="9"/>
  <c r="U41" i="9"/>
  <c r="S41" i="9"/>
  <c r="U45" i="9"/>
  <c r="S45" i="9"/>
  <c r="U40" i="9"/>
  <c r="S40" i="9"/>
  <c r="U5" i="9"/>
  <c r="S5" i="9"/>
  <c r="U6" i="9"/>
  <c r="S6" i="9"/>
  <c r="V11" i="9"/>
  <c r="R39" i="9"/>
  <c r="R3" i="9"/>
  <c r="R40" i="9"/>
  <c r="Y35" i="2"/>
  <c r="Y36" i="2"/>
  <c r="Y14" i="2"/>
  <c r="Y10" i="2"/>
  <c r="Y11" i="2"/>
  <c r="Y8" i="2"/>
  <c r="Y28" i="2"/>
  <c r="Y31" i="2"/>
  <c r="Y29" i="2"/>
  <c r="Y32" i="2"/>
  <c r="Y16" i="2"/>
  <c r="Y12" i="2"/>
  <c r="Y9" i="2"/>
  <c r="Y18" i="2"/>
  <c r="Y3" i="2"/>
  <c r="Y2" i="2"/>
  <c r="Y5" i="2"/>
  <c r="Y4" i="2"/>
  <c r="Y20" i="2"/>
  <c r="Y30" i="2"/>
  <c r="Y17" i="2"/>
  <c r="U4" i="2"/>
  <c r="U5" i="2"/>
  <c r="U2" i="2"/>
  <c r="U18" i="2"/>
  <c r="U3" i="2"/>
  <c r="T17" i="2"/>
  <c r="T4" i="2"/>
  <c r="T5" i="2"/>
  <c r="T12" i="2"/>
  <c r="T30" i="2"/>
  <c r="T9" i="2"/>
  <c r="T2" i="2"/>
  <c r="T29" i="2"/>
  <c r="T18" i="2"/>
  <c r="T16" i="2"/>
  <c r="T28" i="2"/>
  <c r="T35" i="2"/>
  <c r="T32" i="2"/>
  <c r="T11" i="2"/>
  <c r="T10" i="2"/>
  <c r="T8" i="2"/>
  <c r="T20" i="2"/>
  <c r="T3" i="2"/>
  <c r="T14" i="2"/>
  <c r="R9" i="2"/>
  <c r="R8" i="2"/>
  <c r="R17" i="2"/>
  <c r="R30" i="2"/>
  <c r="R10" i="2"/>
  <c r="R11" i="2"/>
  <c r="R18" i="2"/>
  <c r="R16" i="2"/>
  <c r="R29" i="2"/>
  <c r="R32" i="2"/>
  <c r="R14" i="2"/>
  <c r="R28" i="2"/>
  <c r="R12" i="2"/>
  <c r="R20" i="2"/>
  <c r="Q20" i="2"/>
  <c r="M28" i="2"/>
  <c r="Q28" i="2" s="1"/>
  <c r="Q32" i="2"/>
  <c r="U29" i="2"/>
  <c r="Q18" i="2"/>
  <c r="M30" i="2"/>
  <c r="U30" i="2" l="1"/>
  <c r="V30" i="2"/>
  <c r="W51" i="7"/>
  <c r="Y51" i="7"/>
  <c r="U20" i="2"/>
  <c r="W18" i="7"/>
  <c r="X18" i="7"/>
  <c r="Y18" i="7"/>
  <c r="U32" i="2"/>
  <c r="U28" i="2"/>
  <c r="W62" i="10"/>
  <c r="W5" i="10"/>
  <c r="X9" i="10"/>
  <c r="X5" i="10"/>
  <c r="V7" i="7"/>
  <c r="R81" i="7" l="1"/>
  <c r="W81" i="7" s="1"/>
  <c r="AA81" i="7"/>
  <c r="Z81" i="7"/>
  <c r="R78" i="7"/>
  <c r="W78" i="7" s="1"/>
  <c r="AA78" i="7"/>
  <c r="Z78" i="7"/>
  <c r="Z108" i="7"/>
  <c r="AA108" i="7"/>
  <c r="V108" i="7"/>
  <c r="R108" i="7" s="1"/>
  <c r="W108" i="7" s="1"/>
  <c r="W16" i="7"/>
  <c r="X16" i="7"/>
  <c r="Y16" i="7"/>
  <c r="V16" i="7"/>
  <c r="Z16" i="7"/>
  <c r="AA16" i="7"/>
  <c r="V59" i="7"/>
  <c r="Z59" i="7"/>
  <c r="AA59" i="7"/>
  <c r="Z95" i="7"/>
  <c r="AA95" i="7"/>
  <c r="W95" i="7"/>
  <c r="AA101" i="7"/>
  <c r="Z101" i="7"/>
  <c r="V101" i="7"/>
  <c r="R101" i="7" s="1"/>
  <c r="Y101" i="7" s="1"/>
  <c r="Z4" i="7"/>
  <c r="AA4" i="7"/>
  <c r="R62" i="7"/>
  <c r="W62" i="7" s="1"/>
  <c r="Z62" i="7"/>
  <c r="AA62" i="7"/>
  <c r="V57" i="7"/>
  <c r="R57" i="7" s="1"/>
  <c r="Y57" i="7" s="1"/>
  <c r="Z57" i="7"/>
  <c r="AA57" i="7"/>
  <c r="V65" i="7"/>
  <c r="R65" i="7" s="1"/>
  <c r="W65" i="7" s="1"/>
  <c r="Z65" i="7"/>
  <c r="AA65" i="7"/>
  <c r="W42" i="7"/>
  <c r="X42" i="7"/>
  <c r="Y42" i="7"/>
  <c r="V42" i="7"/>
  <c r="Z42" i="7"/>
  <c r="AA42" i="7"/>
  <c r="V38" i="7"/>
  <c r="R38" i="7" s="1"/>
  <c r="W38" i="7" s="1"/>
  <c r="Z38" i="7"/>
  <c r="AA38" i="7"/>
  <c r="Z69" i="7"/>
  <c r="AA69" i="7"/>
  <c r="Z89" i="7"/>
  <c r="AA89" i="7"/>
  <c r="V60" i="7"/>
  <c r="R60" i="7" s="1"/>
  <c r="W60" i="7" s="1"/>
  <c r="Z60" i="7"/>
  <c r="AA60" i="7"/>
  <c r="W102" i="7"/>
  <c r="X102" i="7"/>
  <c r="Y102" i="7"/>
  <c r="V102" i="7"/>
  <c r="Z102" i="7"/>
  <c r="AA102" i="7"/>
  <c r="Z41" i="7"/>
  <c r="AA41" i="7"/>
  <c r="R41" i="7"/>
  <c r="W41" i="7" s="1"/>
  <c r="Y94" i="7"/>
  <c r="X94" i="7"/>
  <c r="W94" i="7"/>
  <c r="V94" i="7"/>
  <c r="Z94" i="7"/>
  <c r="AA94" i="7"/>
  <c r="Z13" i="7"/>
  <c r="AA13" i="7"/>
  <c r="V43" i="7"/>
  <c r="R43" i="7" s="1"/>
  <c r="Y43" i="7" s="1"/>
  <c r="Z43" i="7"/>
  <c r="AA43" i="7"/>
  <c r="R54" i="7"/>
  <c r="V54" i="7" s="1"/>
  <c r="W54" i="7"/>
  <c r="Z54" i="7"/>
  <c r="AA54" i="7"/>
  <c r="Y12" i="7"/>
  <c r="X12" i="7"/>
  <c r="W12" i="7"/>
  <c r="V12" i="7"/>
  <c r="Z12" i="7"/>
  <c r="AA12" i="7"/>
  <c r="Z84" i="7"/>
  <c r="AA84" i="7"/>
  <c r="Y64" i="7"/>
  <c r="X64" i="7"/>
  <c r="W64" i="7"/>
  <c r="V64" i="7"/>
  <c r="Z64" i="7"/>
  <c r="AA64" i="7"/>
  <c r="Z33" i="7"/>
  <c r="AA33" i="7"/>
  <c r="V1" i="7"/>
  <c r="R1" i="7" s="1"/>
  <c r="Y1" i="7" s="1"/>
  <c r="Z1" i="7"/>
  <c r="AA1" i="7"/>
  <c r="Z98" i="7"/>
  <c r="AA98" i="7"/>
  <c r="V55" i="7"/>
  <c r="R55" i="7" s="1"/>
  <c r="Z55" i="7"/>
  <c r="AA55" i="7"/>
  <c r="Y29" i="7"/>
  <c r="X29" i="7"/>
  <c r="W29" i="7"/>
  <c r="V29" i="7"/>
  <c r="Z29" i="7"/>
  <c r="AA29" i="7"/>
  <c r="Z68" i="7"/>
  <c r="AA68" i="7"/>
  <c r="V15" i="7"/>
  <c r="R15" i="7" s="1"/>
  <c r="Y15" i="7" s="1"/>
  <c r="Z15" i="7"/>
  <c r="AA15" i="7"/>
  <c r="AA40" i="7"/>
  <c r="Z40" i="7"/>
  <c r="R40" i="7"/>
  <c r="Y40" i="7" s="1"/>
  <c r="R19" i="7"/>
  <c r="Y19" i="7" s="1"/>
  <c r="V3" i="7"/>
  <c r="R3" i="7" s="1"/>
  <c r="AA3" i="7"/>
  <c r="Z3" i="7"/>
  <c r="Z23" i="7"/>
  <c r="AA23" i="7"/>
  <c r="R10" i="7"/>
  <c r="Y10" i="7" s="1"/>
  <c r="Z10" i="7"/>
  <c r="AA10" i="7"/>
  <c r="Z74" i="7"/>
  <c r="AA74" i="7"/>
  <c r="Z93" i="7"/>
  <c r="AA93" i="7"/>
  <c r="Z44" i="7"/>
  <c r="AA44" i="7"/>
  <c r="Z5" i="7"/>
  <c r="AA5" i="7"/>
  <c r="V70" i="7"/>
  <c r="R70" i="7" s="1"/>
  <c r="Z70" i="7"/>
  <c r="AA70" i="7"/>
  <c r="W26" i="7"/>
  <c r="X26" i="7"/>
  <c r="Y26" i="7"/>
  <c r="V26" i="7"/>
  <c r="Z26" i="7"/>
  <c r="AA26" i="7"/>
  <c r="V48" i="7"/>
  <c r="R48" i="7" s="1"/>
  <c r="Y48" i="7" s="1"/>
  <c r="AA48" i="7"/>
  <c r="Z48" i="7"/>
  <c r="Z85" i="7"/>
  <c r="AA85" i="7"/>
  <c r="Z39" i="7"/>
  <c r="AA39" i="7"/>
  <c r="Z49" i="7"/>
  <c r="AA49" i="7"/>
  <c r="R49" i="7"/>
  <c r="X49" i="7" s="1"/>
  <c r="Y73" i="7"/>
  <c r="X73" i="7"/>
  <c r="W73" i="7"/>
  <c r="V73" i="7"/>
  <c r="Z73" i="7"/>
  <c r="AA73" i="7"/>
  <c r="AA11" i="7"/>
  <c r="Z11" i="7"/>
  <c r="R7" i="7"/>
  <c r="Z7" i="7"/>
  <c r="AA7" i="7"/>
  <c r="Z24" i="7"/>
  <c r="AA24" i="7"/>
  <c r="Y103" i="7"/>
  <c r="Z103" i="7"/>
  <c r="V103" i="7"/>
  <c r="Z53" i="7"/>
  <c r="AA53" i="7"/>
  <c r="Z87" i="7"/>
  <c r="AA87" i="7"/>
  <c r="R87" i="7"/>
  <c r="W87" i="7" s="1"/>
  <c r="Z34" i="7"/>
  <c r="AA34" i="7"/>
  <c r="Z2" i="7"/>
  <c r="AA2" i="7"/>
  <c r="Z77" i="7"/>
  <c r="AA77" i="7"/>
  <c r="R77" i="7"/>
  <c r="Y77" i="7" s="1"/>
  <c r="Z37" i="7"/>
  <c r="AA37" i="7"/>
  <c r="AA96" i="7"/>
  <c r="AA75" i="7"/>
  <c r="AA103" i="7"/>
  <c r="AA50" i="7"/>
  <c r="AA80" i="7"/>
  <c r="AA25" i="7"/>
  <c r="AA63" i="7"/>
  <c r="AA99" i="7"/>
  <c r="AA21" i="7"/>
  <c r="AA56" i="7"/>
  <c r="AA82" i="7"/>
  <c r="AA27" i="7"/>
  <c r="AA47" i="7"/>
  <c r="AA30" i="7"/>
  <c r="AA91" i="7"/>
  <c r="AA90" i="7"/>
  <c r="AA58" i="7"/>
  <c r="AA104" i="7"/>
  <c r="AA66" i="7"/>
  <c r="AA20" i="7"/>
  <c r="AA88" i="7"/>
  <c r="AA86" i="7"/>
  <c r="AA79" i="7"/>
  <c r="AA52" i="7"/>
  <c r="AA92" i="7"/>
  <c r="AA22" i="7"/>
  <c r="AA18" i="7"/>
  <c r="AA35" i="7"/>
  <c r="AA28" i="7"/>
  <c r="AA32" i="7"/>
  <c r="AA72" i="7"/>
  <c r="AA83" i="7"/>
  <c r="AA71" i="7"/>
  <c r="AA8" i="7"/>
  <c r="AA61" i="7"/>
  <c r="AA14" i="7"/>
  <c r="AA36" i="7"/>
  <c r="AA45" i="7"/>
  <c r="AA31" i="7"/>
  <c r="AA97" i="7"/>
  <c r="AA9" i="7"/>
  <c r="AA107" i="7"/>
  <c r="AA6" i="7"/>
  <c r="AA100" i="7"/>
  <c r="AA67" i="7"/>
  <c r="Z100" i="7"/>
  <c r="Z107" i="7"/>
  <c r="R106" i="7"/>
  <c r="W106" i="7" s="1"/>
  <c r="W9" i="7"/>
  <c r="X9" i="7"/>
  <c r="Y9" i="7"/>
  <c r="V9" i="7"/>
  <c r="Z9" i="7"/>
  <c r="R6" i="7"/>
  <c r="Y6" i="7" s="1"/>
  <c r="Z6" i="7"/>
  <c r="R97" i="7"/>
  <c r="X97" i="7" s="1"/>
  <c r="Z97" i="7"/>
  <c r="Z45" i="7"/>
  <c r="Z31" i="7"/>
  <c r="Z36" i="7"/>
  <c r="Z14" i="7"/>
  <c r="R45" i="7"/>
  <c r="Y45" i="7" s="1"/>
  <c r="Z61" i="7"/>
  <c r="R61" i="7"/>
  <c r="X61" i="7" s="1"/>
  <c r="R8" i="7"/>
  <c r="W8" i="7" s="1"/>
  <c r="Z8" i="7"/>
  <c r="W71" i="7"/>
  <c r="X71" i="7"/>
  <c r="Y71" i="7"/>
  <c r="V71" i="7"/>
  <c r="Z71" i="7"/>
  <c r="Z83" i="7"/>
  <c r="R83" i="7"/>
  <c r="X83" i="7" s="1"/>
  <c r="Z72" i="7"/>
  <c r="V72" i="7"/>
  <c r="R72" i="7" s="1"/>
  <c r="Y67" i="7"/>
  <c r="Z67" i="7"/>
  <c r="V67" i="7"/>
  <c r="Y96" i="7"/>
  <c r="Z96" i="7"/>
  <c r="V96" i="7"/>
  <c r="Y32" i="7"/>
  <c r="X32" i="7"/>
  <c r="W32" i="7"/>
  <c r="V32" i="7"/>
  <c r="Z32" i="7"/>
  <c r="Z28" i="7"/>
  <c r="Z35" i="7"/>
  <c r="Z18" i="7"/>
  <c r="Y22" i="7"/>
  <c r="X22" i="7"/>
  <c r="W22" i="7"/>
  <c r="V22" i="7"/>
  <c r="Z22" i="7"/>
  <c r="Z92" i="7"/>
  <c r="Z52" i="7"/>
  <c r="O79" i="7"/>
  <c r="Z79" i="7"/>
  <c r="W86" i="7"/>
  <c r="X86" i="7"/>
  <c r="Y86" i="7"/>
  <c r="V86" i="7"/>
  <c r="Z86" i="7"/>
  <c r="H86" i="7"/>
  <c r="R88" i="7"/>
  <c r="Y88" i="7" s="1"/>
  <c r="Z88" i="7"/>
  <c r="V20" i="7"/>
  <c r="Y20" i="7"/>
  <c r="Z20" i="7"/>
  <c r="X20" i="7"/>
  <c r="W20" i="7"/>
  <c r="Z58" i="7"/>
  <c r="Z66" i="7"/>
  <c r="Y66" i="7"/>
  <c r="X66" i="7"/>
  <c r="W66" i="7"/>
  <c r="Z104" i="7"/>
  <c r="Y104" i="7"/>
  <c r="X104" i="7"/>
  <c r="W104" i="7"/>
  <c r="V104" i="7"/>
  <c r="V66" i="7"/>
  <c r="W91" i="7"/>
  <c r="X91" i="7"/>
  <c r="Y91" i="7"/>
  <c r="Z91" i="7"/>
  <c r="W90" i="7"/>
  <c r="X90" i="7"/>
  <c r="Y90" i="7"/>
  <c r="Z90" i="7"/>
  <c r="V91" i="7"/>
  <c r="V90" i="7"/>
  <c r="R30" i="7"/>
  <c r="W30" i="7" s="1"/>
  <c r="Z30" i="7"/>
  <c r="R47" i="7"/>
  <c r="W47" i="7" s="1"/>
  <c r="Z47" i="7"/>
  <c r="R27" i="7"/>
  <c r="Y27" i="7" s="1"/>
  <c r="Z27" i="7"/>
  <c r="W27" i="7"/>
  <c r="Z82" i="7"/>
  <c r="Y82" i="7"/>
  <c r="X82" i="7"/>
  <c r="W82" i="7"/>
  <c r="V82" i="7"/>
  <c r="Z56" i="7"/>
  <c r="Z75" i="7"/>
  <c r="Z50" i="7"/>
  <c r="Z80" i="7"/>
  <c r="Z25" i="7"/>
  <c r="Z63" i="7"/>
  <c r="Z99" i="7"/>
  <c r="W21" i="7"/>
  <c r="X21" i="7"/>
  <c r="U21" i="7"/>
  <c r="Y21" i="7" s="1"/>
  <c r="Y25" i="7"/>
  <c r="V25" i="7"/>
  <c r="Y99" i="7"/>
  <c r="V99" i="7"/>
  <c r="X96" i="7"/>
  <c r="X75" i="7"/>
  <c r="X103" i="7"/>
  <c r="X50" i="7"/>
  <c r="X25" i="7"/>
  <c r="X99" i="7"/>
  <c r="W96" i="7"/>
  <c r="W75" i="7"/>
  <c r="W103" i="7"/>
  <c r="W50" i="7"/>
  <c r="W25" i="7"/>
  <c r="W99" i="7"/>
  <c r="W67" i="7"/>
  <c r="R63" i="7"/>
  <c r="X63" i="7" s="1"/>
  <c r="R80" i="7"/>
  <c r="Y80" i="7" s="1"/>
  <c r="Y50" i="7"/>
  <c r="V50" i="7"/>
  <c r="Y75" i="7"/>
  <c r="V75" i="7"/>
  <c r="X67" i="7"/>
  <c r="R35" i="2"/>
  <c r="H18" i="1"/>
  <c r="H9" i="1"/>
  <c r="F11" i="1"/>
  <c r="X27" i="7" l="1"/>
  <c r="Y54" i="7"/>
  <c r="X54" i="7"/>
  <c r="X78" i="7"/>
  <c r="X59" i="7"/>
  <c r="W59" i="7"/>
  <c r="Y59" i="7"/>
  <c r="Y41" i="7"/>
  <c r="V41" i="7"/>
  <c r="X41" i="7"/>
  <c r="X38" i="7"/>
  <c r="Y108" i="7"/>
  <c r="X108" i="7"/>
  <c r="Y38" i="7"/>
  <c r="Y65" i="7"/>
  <c r="Y60" i="7"/>
  <c r="X65" i="7"/>
  <c r="X60" i="7"/>
  <c r="W101" i="7"/>
  <c r="Y78" i="7"/>
  <c r="X101" i="7"/>
  <c r="X43" i="7"/>
  <c r="W43" i="7"/>
  <c r="X57" i="7"/>
  <c r="W57" i="7"/>
  <c r="V81" i="7"/>
  <c r="Y95" i="7"/>
  <c r="Y81" i="7"/>
  <c r="X95" i="7"/>
  <c r="X81" i="7"/>
  <c r="X62" i="7"/>
  <c r="Y62" i="7"/>
  <c r="X3" i="7"/>
  <c r="Y3" i="7"/>
  <c r="W3" i="7"/>
  <c r="W55" i="7"/>
  <c r="X55" i="7"/>
  <c r="Y55" i="7"/>
  <c r="V19" i="7"/>
  <c r="W19" i="7"/>
  <c r="X1" i="7"/>
  <c r="W1" i="7"/>
  <c r="X15" i="7"/>
  <c r="W15" i="7"/>
  <c r="V40" i="7"/>
  <c r="W40" i="7"/>
  <c r="X40" i="7"/>
  <c r="X48" i="7"/>
  <c r="X87" i="7"/>
  <c r="Y87" i="7"/>
  <c r="W61" i="7"/>
  <c r="W6" i="7"/>
  <c r="W10" i="7"/>
  <c r="X6" i="7"/>
  <c r="X10" i="7"/>
  <c r="W70" i="7"/>
  <c r="X70" i="7"/>
  <c r="Y70" i="7"/>
  <c r="Y7" i="7"/>
  <c r="X7" i="7"/>
  <c r="W7" i="7"/>
  <c r="W77" i="7"/>
  <c r="V77" i="7"/>
  <c r="X77" i="7"/>
  <c r="W48" i="7"/>
  <c r="Y61" i="7"/>
  <c r="V61" i="7"/>
  <c r="W83" i="7"/>
  <c r="Y97" i="7"/>
  <c r="V49" i="7"/>
  <c r="Y49" i="7"/>
  <c r="V87" i="7"/>
  <c r="W49" i="7"/>
  <c r="X72" i="7"/>
  <c r="Y72" i="7"/>
  <c r="W72" i="7"/>
  <c r="V97" i="7"/>
  <c r="X45" i="7"/>
  <c r="Y106" i="7"/>
  <c r="V8" i="7"/>
  <c r="Y8" i="7"/>
  <c r="W45" i="7"/>
  <c r="X8" i="7"/>
  <c r="V106" i="7"/>
  <c r="Y83" i="7"/>
  <c r="W97" i="7"/>
  <c r="X88" i="7"/>
  <c r="W88" i="7"/>
  <c r="Y30" i="7"/>
  <c r="X30" i="7"/>
  <c r="Y47" i="7"/>
  <c r="X47" i="7"/>
  <c r="Z21" i="7"/>
  <c r="W80" i="7"/>
  <c r="X80" i="7"/>
  <c r="Y63" i="7"/>
  <c r="W63" i="7"/>
  <c r="R3" i="2"/>
  <c r="R2" i="2"/>
  <c r="R5" i="2"/>
  <c r="R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ID#AAAAK_U8fZA
</t>
        </r>
        <r>
          <rPr>
            <sz val="10"/>
            <color rgb="FF000000"/>
            <rFont val="Arial"/>
            <family val="2"/>
          </rPr>
          <t xml:space="preserve">    (2020-12-21 23:38:06)
</t>
        </r>
        <r>
          <rPr>
            <sz val="10"/>
            <color rgb="FF000000"/>
            <rFont val="Arial"/>
            <family val="2"/>
          </rPr>
          <t>Bold = tip missing, calculations of TTRB based on original measure of SRL; SRL + SRLJ = LJTRB + TTRB</t>
        </r>
      </text>
    </comment>
    <comment ref="I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ID#AAAAK_U8fY8
</t>
        </r>
        <r>
          <rPr>
            <sz val="10"/>
            <color rgb="FF000000"/>
            <rFont val="Arial"/>
            <family val="2"/>
          </rPr>
          <t xml:space="preserve">    (2020-12-21 23:38:06)
</t>
        </r>
        <r>
          <rPr>
            <sz val="10"/>
            <color rgb="FF000000"/>
            <rFont val="Arial"/>
            <family val="2"/>
          </rPr>
          <t xml:space="preserve">Bold = verified by NB from original BW measurement
</t>
        </r>
        <r>
          <rPr>
            <sz val="10"/>
            <color rgb="FF000000"/>
            <rFont val="Arial"/>
            <family val="2"/>
          </rPr>
          <t>(number measured by NB if different from BW)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Z30OCf61WWQxiiptnIVyUInQPhQ=="/>
    </ext>
  </extLst>
</comments>
</file>

<file path=xl/sharedStrings.xml><?xml version="1.0" encoding="utf-8"?>
<sst xmlns="http://schemas.openxmlformats.org/spreadsheetml/2006/main" count="31777" uniqueCount="991">
  <si>
    <t>Species</t>
  </si>
  <si>
    <t>Tag</t>
  </si>
  <si>
    <t>Spec ID</t>
  </si>
  <si>
    <t>TL</t>
  </si>
  <si>
    <t>LJTL</t>
  </si>
  <si>
    <t>LJR</t>
  </si>
  <si>
    <t>SRL</t>
  </si>
  <si>
    <t>SRLJ</t>
  </si>
  <si>
    <t>LJTRB</t>
  </si>
  <si>
    <t>646 (+21)</t>
  </si>
  <si>
    <t>missing pieces</t>
  </si>
  <si>
    <t>v</t>
  </si>
  <si>
    <t>u</t>
  </si>
  <si>
    <t>z</t>
  </si>
  <si>
    <t>*Missing pieces, not possible measure LJR</t>
  </si>
  <si>
    <t>w</t>
  </si>
  <si>
    <t>P. clavata</t>
  </si>
  <si>
    <t>/</t>
  </si>
  <si>
    <t>large</t>
  </si>
  <si>
    <t>P. pristis</t>
  </si>
  <si>
    <t>B</t>
  </si>
  <si>
    <t>D</t>
  </si>
  <si>
    <t>C</t>
  </si>
  <si>
    <t>franz</t>
  </si>
  <si>
    <t>embryo</t>
  </si>
  <si>
    <t>spots</t>
  </si>
  <si>
    <t>A</t>
  </si>
  <si>
    <t xml:space="preserve"> </t>
  </si>
  <si>
    <t>TRL</t>
  </si>
  <si>
    <t>Sub</t>
  </si>
  <si>
    <t>Year</t>
  </si>
  <si>
    <t>Photos</t>
  </si>
  <si>
    <t>Videos</t>
  </si>
  <si>
    <t>Lat</t>
  </si>
  <si>
    <t>Long</t>
  </si>
  <si>
    <t>Submitter Size</t>
  </si>
  <si>
    <t>x</t>
  </si>
  <si>
    <t>y</t>
  </si>
  <si>
    <t>Angle</t>
  </si>
  <si>
    <t>Reference</t>
  </si>
  <si>
    <t>Ref Length</t>
  </si>
  <si>
    <t>TRL %</t>
  </si>
  <si>
    <t>SRL %</t>
  </si>
  <si>
    <t>LJR %</t>
  </si>
  <si>
    <t>Notes</t>
  </si>
  <si>
    <t>SUB0098</t>
  </si>
  <si>
    <t>A. cuspidata</t>
  </si>
  <si>
    <t>Saw SRL QDAF005709</t>
  </si>
  <si>
    <t>Saw SRL QDAF005707</t>
  </si>
  <si>
    <t>TRL 709 meas; angle causing inaccuracy</t>
  </si>
  <si>
    <t>SUB0557</t>
  </si>
  <si>
    <t>Location</t>
  </si>
  <si>
    <t>Mission Bay, Cairns</t>
  </si>
  <si>
    <t>Burdekin River, Ayr</t>
  </si>
  <si>
    <t>10 ft.</t>
  </si>
  <si>
    <t>21 1/2 in; 5 ft 9 in.</t>
  </si>
  <si>
    <t>Mult: Saw reported for saw meas, height of man for body</t>
  </si>
  <si>
    <t>Have 2 measurements to confirm. Similar to length reported in paper.</t>
  </si>
  <si>
    <t>SUB0276</t>
  </si>
  <si>
    <t>20 cm</t>
  </si>
  <si>
    <t>ruler</t>
  </si>
  <si>
    <t>290 cm</t>
  </si>
  <si>
    <t>Good one!</t>
  </si>
  <si>
    <t>SUB0525</t>
  </si>
  <si>
    <t>Cleveland Bay, Townsville</t>
  </si>
  <si>
    <t>Satun Province, Thailand</t>
  </si>
  <si>
    <t>633 mm</t>
  </si>
  <si>
    <t>5 cm</t>
  </si>
  <si>
    <t>Very high res, dried specimen</t>
  </si>
  <si>
    <t>SUB0963</t>
  </si>
  <si>
    <t>Burnett River, Bundaberg</t>
  </si>
  <si>
    <t>N/A - Ratio only</t>
  </si>
  <si>
    <t>Palmer River</t>
  </si>
  <si>
    <t>18.1 cm</t>
  </si>
  <si>
    <t>Head diameter</t>
  </si>
  <si>
    <t>SUB0582</t>
  </si>
  <si>
    <t>SUB0834</t>
  </si>
  <si>
    <t>P. zijsron</t>
  </si>
  <si>
    <t>Shoalwater Bay, Yeppoon</t>
  </si>
  <si>
    <t>3+ m</t>
  </si>
  <si>
    <t>Burns Point Ferry</t>
  </si>
  <si>
    <t>State</t>
  </si>
  <si>
    <t>QLD</t>
  </si>
  <si>
    <t>NSW</t>
  </si>
  <si>
    <t>SUB0796</t>
  </si>
  <si>
    <t>15 ft, saw=4'3"</t>
  </si>
  <si>
    <t>TRL from photograph</t>
  </si>
  <si>
    <t>129.5 cm</t>
  </si>
  <si>
    <t>SUB0880</t>
  </si>
  <si>
    <t>Toogum, Hervey Bay</t>
  </si>
  <si>
    <t>SUB0955</t>
  </si>
  <si>
    <t>Pumicestone Passage, Bribie Island</t>
  </si>
  <si>
    <t>16' 8"</t>
  </si>
  <si>
    <t>TRV article</t>
  </si>
  <si>
    <t>TL =  508</t>
  </si>
  <si>
    <t>Elcho Island, Galiwin'ku Beach</t>
  </si>
  <si>
    <t>NT</t>
  </si>
  <si>
    <t>SUB0927</t>
  </si>
  <si>
    <t>LJR/SRL</t>
  </si>
  <si>
    <t>Pallarenda, Townsville</t>
  </si>
  <si>
    <t>SUB0002</t>
  </si>
  <si>
    <t>16.2 cm</t>
  </si>
  <si>
    <t>SUB0822</t>
  </si>
  <si>
    <t>Water Park Ck, Byfield</t>
  </si>
  <si>
    <t>SUB0473</t>
  </si>
  <si>
    <t>Terranora Lakes, Tweed</t>
  </si>
  <si>
    <t>Origin Sub</t>
  </si>
  <si>
    <t>Social/News</t>
  </si>
  <si>
    <t>Historic Society</t>
  </si>
  <si>
    <t>Private</t>
  </si>
  <si>
    <t>Museum</t>
  </si>
  <si>
    <t>Newspaper</t>
  </si>
  <si>
    <t>Aquarium</t>
  </si>
  <si>
    <t>16 ft. / 487 cm</t>
  </si>
  <si>
    <t>Tweed River</t>
  </si>
  <si>
    <t>SUB0878</t>
  </si>
  <si>
    <t>Social/Historic Group</t>
  </si>
  <si>
    <t>Assumed height</t>
  </si>
  <si>
    <t>170 cm</t>
  </si>
  <si>
    <t>Sexually mature male</t>
  </si>
  <si>
    <t>SUB0823</t>
  </si>
  <si>
    <t>SUB0824</t>
  </si>
  <si>
    <t>Baffle Creek</t>
  </si>
  <si>
    <t>SRL, TRL and TL known</t>
  </si>
  <si>
    <t>16'4"</t>
  </si>
  <si>
    <t>14'8"</t>
  </si>
  <si>
    <t>SUB0709</t>
  </si>
  <si>
    <t>SUB0472</t>
  </si>
  <si>
    <t>SUB0471</t>
  </si>
  <si>
    <t>Princess Charlotte Bay, Running Creek</t>
  </si>
  <si>
    <t>Tweed River Region</t>
  </si>
  <si>
    <t>Terranora Inlet</t>
  </si>
  <si>
    <t xml:space="preserve">3m </t>
  </si>
  <si>
    <t>4-5m</t>
  </si>
  <si>
    <t>2.5m</t>
  </si>
  <si>
    <t>0.741, 85.166</t>
  </si>
  <si>
    <t>SUB0221</t>
  </si>
  <si>
    <t>East Alligator River, Cahills Crossing</t>
  </si>
  <si>
    <t>2 m</t>
  </si>
  <si>
    <t>SUB0842</t>
  </si>
  <si>
    <t>Nerang River, Southport</t>
  </si>
  <si>
    <t>SUB0090</t>
  </si>
  <si>
    <t>Richmond River, Ballina</t>
  </si>
  <si>
    <t>19' 9"</t>
  </si>
  <si>
    <t>Reported length</t>
  </si>
  <si>
    <t>601 cm</t>
  </si>
  <si>
    <t>SUB0130</t>
  </si>
  <si>
    <t>Broome</t>
  </si>
  <si>
    <t>WA</t>
  </si>
  <si>
    <t>Tweed River Heads</t>
  </si>
  <si>
    <t>SUB0050</t>
  </si>
  <si>
    <t>Yellow Waters, Kakadu National Park</t>
  </si>
  <si>
    <t>SUB0293</t>
  </si>
  <si>
    <t>Cape Bowling Green, Townsville</t>
  </si>
  <si>
    <t>Private/Newspaper</t>
  </si>
  <si>
    <t>19" 1'</t>
  </si>
  <si>
    <t>Size given</t>
  </si>
  <si>
    <t>SUB0251</t>
  </si>
  <si>
    <t>Mulgrave River mouth</t>
  </si>
  <si>
    <t>Library</t>
  </si>
  <si>
    <t>SUB0764</t>
  </si>
  <si>
    <t>Gascoyne River jetty</t>
  </si>
  <si>
    <t>15'</t>
  </si>
  <si>
    <t>SUB0921</t>
  </si>
  <si>
    <t>SUB0922</t>
  </si>
  <si>
    <t>Broncos Inlet, Karumba</t>
  </si>
  <si>
    <t>70 cm</t>
  </si>
  <si>
    <t>Given Size</t>
  </si>
  <si>
    <t>SUB0578</t>
  </si>
  <si>
    <t>Ross River, Townsville</t>
  </si>
  <si>
    <t>2.5 m</t>
  </si>
  <si>
    <t>1.5 m</t>
  </si>
  <si>
    <t>Saw more accurate than body (into page)</t>
  </si>
  <si>
    <t>Use Ratio</t>
  </si>
  <si>
    <t>Use Body</t>
  </si>
  <si>
    <t>SUB0630</t>
  </si>
  <si>
    <t>Port Hedland</t>
  </si>
  <si>
    <t>?</t>
  </si>
  <si>
    <t>May go inward at head</t>
  </si>
  <si>
    <t>Machans Beach</t>
  </si>
  <si>
    <t>80 cm</t>
  </si>
  <si>
    <t>SUB0664</t>
  </si>
  <si>
    <t>Head coming out of page</t>
  </si>
  <si>
    <t>SUB0688</t>
  </si>
  <si>
    <t>Cattle Creek, Ingham</t>
  </si>
  <si>
    <t>Lure</t>
  </si>
  <si>
    <t>6.5 cm</t>
  </si>
  <si>
    <t>SUB0727</t>
  </si>
  <si>
    <t>Statue Bay, Yeppoon</t>
  </si>
  <si>
    <t>Commercial</t>
  </si>
  <si>
    <t>Fishing Charter</t>
  </si>
  <si>
    <t>1.5m</t>
  </si>
  <si>
    <t>SUB0332</t>
  </si>
  <si>
    <t>Townsville</t>
  </si>
  <si>
    <t>Social</t>
  </si>
  <si>
    <t>SUB0297</t>
  </si>
  <si>
    <t>Karumba</t>
  </si>
  <si>
    <t>saw angled so SRL may be high</t>
  </si>
  <si>
    <t>SUB0787</t>
  </si>
  <si>
    <t>Hitchenbrook Channel, Cardwell</t>
  </si>
  <si>
    <t>Janie Creek</t>
  </si>
  <si>
    <t>SUB0846</t>
  </si>
  <si>
    <t>2.9 m</t>
  </si>
  <si>
    <t>adult</t>
  </si>
  <si>
    <t>SUB0711</t>
  </si>
  <si>
    <t>Boundary Ck, Armstrong Beach</t>
  </si>
  <si>
    <t>1.3m</t>
  </si>
  <si>
    <t>On scale</t>
  </si>
  <si>
    <t>10 cm</t>
  </si>
  <si>
    <t>SUB0905</t>
  </si>
  <si>
    <t>SUB0906</t>
  </si>
  <si>
    <t>SUB0909</t>
  </si>
  <si>
    <t>SUB0266</t>
  </si>
  <si>
    <t>Port Musgrave, Back Beach</t>
  </si>
  <si>
    <t>Indigenous Ranger</t>
  </si>
  <si>
    <t>1m</t>
  </si>
  <si>
    <t>Thumb</t>
  </si>
  <si>
    <t>6cm</t>
  </si>
  <si>
    <t>SUB0939</t>
  </si>
  <si>
    <t>Bynoe Harbour</t>
  </si>
  <si>
    <t>2m</t>
  </si>
  <si>
    <t>TRL/SRL</t>
  </si>
  <si>
    <t>SUB0351</t>
  </si>
  <si>
    <t>Yorkeys Knob</t>
  </si>
  <si>
    <t>SUB0560</t>
  </si>
  <si>
    <t>Pliers</t>
  </si>
  <si>
    <t>255 mm</t>
  </si>
  <si>
    <t>SUB0741</t>
  </si>
  <si>
    <t>Weipa</t>
  </si>
  <si>
    <t>Social/Fishing Charter</t>
  </si>
  <si>
    <t>Great shot!</t>
  </si>
  <si>
    <t>Embley River, Weipa</t>
  </si>
  <si>
    <t>SUB0288</t>
  </si>
  <si>
    <t>SUB0732</t>
  </si>
  <si>
    <t>130 cm</t>
  </si>
  <si>
    <t>Body angled, but rostrum in plane</t>
  </si>
  <si>
    <t>Cuttings River (Yeda Station), Kimberley</t>
  </si>
  <si>
    <t>Murdoch Uni</t>
  </si>
  <si>
    <t>SUB0619</t>
  </si>
  <si>
    <t>Perfect saw pic</t>
  </si>
  <si>
    <t>Mission River, Weipa</t>
  </si>
  <si>
    <t>120 cm</t>
  </si>
  <si>
    <t>Saw in plane, body goes into plane</t>
  </si>
  <si>
    <t>SUB0832</t>
  </si>
  <si>
    <t>SUB0806</t>
  </si>
  <si>
    <t>150 cm</t>
  </si>
  <si>
    <t>Scale mat</t>
  </si>
  <si>
    <t>Used 2 pics to confrim</t>
  </si>
  <si>
    <t>Sunken Barge, Misson River Bridge</t>
  </si>
  <si>
    <t>Body underwater</t>
  </si>
  <si>
    <t>SUB0551</t>
  </si>
  <si>
    <t>Embley, near Evans Landing</t>
  </si>
  <si>
    <t>SUB0661</t>
  </si>
  <si>
    <t>Body not acc. Too many dim.</t>
  </si>
  <si>
    <t>SUB0498</t>
  </si>
  <si>
    <t>SUB0558</t>
  </si>
  <si>
    <t>SUB0496</t>
  </si>
  <si>
    <t>Little Crab Ck, Broome</t>
  </si>
  <si>
    <t>40 cm</t>
  </si>
  <si>
    <t>SUB0668</t>
  </si>
  <si>
    <t>Windjana Gorge</t>
  </si>
  <si>
    <t>Body angled in</t>
  </si>
  <si>
    <t>Social/CSIRO</t>
  </si>
  <si>
    <t>SUB0667</t>
  </si>
  <si>
    <t>Cockatoo Creek, Derby</t>
  </si>
  <si>
    <t>&lt;1m</t>
  </si>
  <si>
    <t>Hand breadth</t>
  </si>
  <si>
    <t>9 cm</t>
  </si>
  <si>
    <t>SUB0809</t>
  </si>
  <si>
    <t>Daly River</t>
  </si>
  <si>
    <t>90 cm</t>
  </si>
  <si>
    <t>Ducie River, Mapoon</t>
  </si>
  <si>
    <t>SUB0733</t>
  </si>
  <si>
    <t>SUB0294</t>
  </si>
  <si>
    <t>Telegraph Pool</t>
  </si>
  <si>
    <t>sub-adult - looks hefty</t>
  </si>
  <si>
    <t>SUB0235</t>
  </si>
  <si>
    <t>Cullen Point, Mapoon</t>
  </si>
  <si>
    <t>Sinker</t>
  </si>
  <si>
    <t>3 cm</t>
  </si>
  <si>
    <t>Gilbert River</t>
  </si>
  <si>
    <t>SUB0820</t>
  </si>
  <si>
    <t>SUB0689</t>
  </si>
  <si>
    <t>McArthur River</t>
  </si>
  <si>
    <t>Ruler</t>
  </si>
  <si>
    <t>SUB0262</t>
  </si>
  <si>
    <t>Langi Crossing, Fitzroy River</t>
  </si>
  <si>
    <t>95 cm</t>
  </si>
  <si>
    <t>Kununurra</t>
  </si>
  <si>
    <t>SUB0812</t>
  </si>
  <si>
    <t>SUB0835</t>
  </si>
  <si>
    <t>Albert River</t>
  </si>
  <si>
    <t>110 cm</t>
  </si>
  <si>
    <t>sub-adult</t>
  </si>
  <si>
    <t>SUB0962</t>
  </si>
  <si>
    <t>Bayalu River/Halls Creek</t>
  </si>
  <si>
    <t>SUB0768</t>
  </si>
  <si>
    <t>6 cm</t>
  </si>
  <si>
    <t>Van Rook Creek, Mitchell River</t>
  </si>
  <si>
    <t>SUB0969</t>
  </si>
  <si>
    <t>Norman River, Karumba</t>
  </si>
  <si>
    <t>SUB0635</t>
  </si>
  <si>
    <t>Six Mile, Normanby</t>
  </si>
  <si>
    <t>1.3 m</t>
  </si>
  <si>
    <t>TRL given</t>
  </si>
  <si>
    <t>30 cm</t>
  </si>
  <si>
    <t>SUB0524</t>
  </si>
  <si>
    <t>Camballin, "The Barrage" Fitzroy River</t>
  </si>
  <si>
    <t>SUB0773</t>
  </si>
  <si>
    <t>12 Mile, Camp 1</t>
  </si>
  <si>
    <t>SUB0817</t>
  </si>
  <si>
    <t>1.2m</t>
  </si>
  <si>
    <t>Height person</t>
  </si>
  <si>
    <t>SUB0326</t>
  </si>
  <si>
    <t>Keep River</t>
  </si>
  <si>
    <t>2m, 65 cm rostrum</t>
  </si>
  <si>
    <t>SUB0316</t>
  </si>
  <si>
    <t>Burketown, Albert River</t>
  </si>
  <si>
    <t>SUB0757</t>
  </si>
  <si>
    <t>Bulla River</t>
  </si>
  <si>
    <t>NRM</t>
  </si>
  <si>
    <t>Council</t>
  </si>
  <si>
    <t>SUB0285</t>
  </si>
  <si>
    <t>Roper River</t>
  </si>
  <si>
    <t>1.8 m</t>
  </si>
  <si>
    <t>Given TL</t>
  </si>
  <si>
    <t>1.8m</t>
  </si>
  <si>
    <t>SUB0010</t>
  </si>
  <si>
    <t>Horsetailer Waterhole, Archer River</t>
  </si>
  <si>
    <t>scale mat</t>
  </si>
  <si>
    <t>0.5 m</t>
  </si>
  <si>
    <t>12 Mile, Normanby</t>
  </si>
  <si>
    <t>SUB0585</t>
  </si>
  <si>
    <t>SUB0763</t>
  </si>
  <si>
    <t>Handline</t>
  </si>
  <si>
    <t>7.5 cm wid</t>
  </si>
  <si>
    <t>SUB0319</t>
  </si>
  <si>
    <t>Lynd River Junction</t>
  </si>
  <si>
    <t>SUB0402</t>
  </si>
  <si>
    <t>Koolatah Crossing, Kowanyama</t>
  </si>
  <si>
    <t>1.8 - 2.2 m</t>
  </si>
  <si>
    <t>Canoe Paddle</t>
  </si>
  <si>
    <t>too angled</t>
  </si>
  <si>
    <t>Btwn Shelfo &amp; Koolatah Crossing, Kowanyama</t>
  </si>
  <si>
    <t>SUB0493</t>
  </si>
  <si>
    <t>SUB0492</t>
  </si>
  <si>
    <t>Measuring tape</t>
  </si>
  <si>
    <t>10 mm</t>
  </si>
  <si>
    <t>Rope</t>
  </si>
  <si>
    <t>8 mm</t>
  </si>
  <si>
    <t>Fitzroy Crossing</t>
  </si>
  <si>
    <t>Norman River Bridge, Croydon Rd.</t>
  </si>
  <si>
    <t>SUB0231</t>
  </si>
  <si>
    <t>SUB0918</t>
  </si>
  <si>
    <t>1.2 - 1.3 m</t>
  </si>
  <si>
    <t>SUB0770</t>
  </si>
  <si>
    <t>Fitzroy River, Looma</t>
  </si>
  <si>
    <t>1.2m, 50 cm rostrum</t>
  </si>
  <si>
    <t>Rep TRL</t>
  </si>
  <si>
    <t>500 mm</t>
  </si>
  <si>
    <t>SUB0137</t>
  </si>
  <si>
    <t>Wenlock River</t>
  </si>
  <si>
    <t>1.1m</t>
  </si>
  <si>
    <t>60 mm</t>
  </si>
  <si>
    <t>Pentacost River</t>
  </si>
  <si>
    <t>SUB0845</t>
  </si>
  <si>
    <t>SUB0936</t>
  </si>
  <si>
    <t>Gascoyne River Mouth</t>
  </si>
  <si>
    <t>SUB0935</t>
  </si>
  <si>
    <t>SUB0702</t>
  </si>
  <si>
    <t>Point Samson</t>
  </si>
  <si>
    <t>17.5 cm</t>
  </si>
  <si>
    <t>SUB0665</t>
  </si>
  <si>
    <t>Learmouth Jetty, Exmouth</t>
  </si>
  <si>
    <t>juvenile</t>
  </si>
  <si>
    <t>SUB0690</t>
  </si>
  <si>
    <t>Pretty pool, Port Hedland</t>
  </si>
  <si>
    <t>1 m</t>
  </si>
  <si>
    <t>Spoil Bank, Port Hedland</t>
  </si>
  <si>
    <t>SUB0874</t>
  </si>
  <si>
    <t>Hearson Cove, Dampier</t>
  </si>
  <si>
    <t>SUB0849</t>
  </si>
  <si>
    <t>SUB0882</t>
  </si>
  <si>
    <t>6 Mile Ck, Prort Hedland</t>
  </si>
  <si>
    <t>SUB0966</t>
  </si>
  <si>
    <t>Pilbara</t>
  </si>
  <si>
    <t>SUB0843</t>
  </si>
  <si>
    <t>Weipa Campground</t>
  </si>
  <si>
    <t>1.2 m</t>
  </si>
  <si>
    <t>SUB0447</t>
  </si>
  <si>
    <t>Pine River mouth</t>
  </si>
  <si>
    <t>85 cm</t>
  </si>
  <si>
    <t>SUB0223</t>
  </si>
  <si>
    <t>3+m</t>
  </si>
  <si>
    <t>Age Class</t>
  </si>
  <si>
    <t>Hard to see TRL with litter but close. (TRL = 760)</t>
  </si>
  <si>
    <t>male</t>
  </si>
  <si>
    <t>two photos, ratios same</t>
  </si>
  <si>
    <t>F, article mentions 'eggs'</t>
  </si>
  <si>
    <t>F, babies are 79 and 88 cm</t>
  </si>
  <si>
    <t>Source</t>
  </si>
  <si>
    <t>BW PhD</t>
  </si>
  <si>
    <t>ID</t>
  </si>
  <si>
    <t>Subs</t>
  </si>
  <si>
    <t>Thailand</t>
  </si>
  <si>
    <t>Lure out of plane, tail too far back; only head reliable</t>
  </si>
  <si>
    <t>Confirmed with second photo, ratio solid</t>
  </si>
  <si>
    <t>Don’t have full length</t>
  </si>
  <si>
    <t>Saw could be underestimated</t>
  </si>
  <si>
    <t>Little girl</t>
  </si>
  <si>
    <t>1.4 m</t>
  </si>
  <si>
    <t>Head into page, not confident TL</t>
  </si>
  <si>
    <t>TL_stats</t>
  </si>
  <si>
    <t>sara#</t>
  </si>
  <si>
    <t>Skardon Beach</t>
  </si>
  <si>
    <t>sara369</t>
  </si>
  <si>
    <t>sara002</t>
  </si>
  <si>
    <t>sara006</t>
  </si>
  <si>
    <t>sara007</t>
  </si>
  <si>
    <t>sara009</t>
  </si>
  <si>
    <t>sara044</t>
  </si>
  <si>
    <t>sara188</t>
  </si>
  <si>
    <t>sara302</t>
  </si>
  <si>
    <t>sara309</t>
  </si>
  <si>
    <t>sara310</t>
  </si>
  <si>
    <t>sara454</t>
  </si>
  <si>
    <t>sara327</t>
  </si>
  <si>
    <t>sara328</t>
  </si>
  <si>
    <t>TL mm</t>
  </si>
  <si>
    <t>Normanton</t>
  </si>
  <si>
    <t>Kowanyama</t>
  </si>
  <si>
    <t>sara462</t>
  </si>
  <si>
    <t>Mapoon</t>
  </si>
  <si>
    <t>sara595</t>
  </si>
  <si>
    <t>sara596</t>
  </si>
  <si>
    <t>sara611</t>
  </si>
  <si>
    <t>Rinyirru</t>
  </si>
  <si>
    <t>TRL mm</t>
  </si>
  <si>
    <t>SRL mm</t>
  </si>
  <si>
    <t>SRL_TL</t>
  </si>
  <si>
    <t>SRL_TRL</t>
  </si>
  <si>
    <t>LJR_SRL</t>
  </si>
  <si>
    <t>Age_Class</t>
  </si>
  <si>
    <t>TL_Real</t>
  </si>
  <si>
    <t>TL_Est</t>
  </si>
  <si>
    <t>TL_Meas</t>
  </si>
  <si>
    <t>Rost_Real</t>
  </si>
  <si>
    <t>Multiple_Planes</t>
  </si>
  <si>
    <t>TL_ImgJ</t>
  </si>
  <si>
    <t>TL_rep</t>
  </si>
  <si>
    <t>AgeC2</t>
  </si>
  <si>
    <t>AgeC3</t>
  </si>
  <si>
    <t>LJR_TRL</t>
  </si>
  <si>
    <t>Age2</t>
  </si>
  <si>
    <t>Under 2m</t>
  </si>
  <si>
    <t>Over 2m</t>
  </si>
  <si>
    <t>Age3</t>
  </si>
  <si>
    <t>Under 1.4m</t>
  </si>
  <si>
    <t>Field</t>
  </si>
  <si>
    <t>sara329</t>
  </si>
  <si>
    <t>SUB0001</t>
  </si>
  <si>
    <t>Scarborough Jetty, Brisbane</t>
  </si>
  <si>
    <t>14' 3"</t>
  </si>
  <si>
    <t>TL given</t>
  </si>
  <si>
    <t>434 cm</t>
  </si>
  <si>
    <t xml:space="preserve">P. pristis </t>
  </si>
  <si>
    <t>sara045</t>
  </si>
  <si>
    <t>sara059</t>
  </si>
  <si>
    <t>sara062</t>
  </si>
  <si>
    <t>TL_curve</t>
  </si>
  <si>
    <t>sara387</t>
  </si>
  <si>
    <t>sara048</t>
  </si>
  <si>
    <t>sara049</t>
  </si>
  <si>
    <t>sara050</t>
  </si>
  <si>
    <t>sara482</t>
  </si>
  <si>
    <t>QBFP004232</t>
  </si>
  <si>
    <t>QBFP004236</t>
  </si>
  <si>
    <t>QBFP004237</t>
  </si>
  <si>
    <t>QBFP004240</t>
  </si>
  <si>
    <t>Taylor Point</t>
  </si>
  <si>
    <t>Bowling Green Bay</t>
  </si>
  <si>
    <t>QBFP004244</t>
  </si>
  <si>
    <t>QBFP004249</t>
  </si>
  <si>
    <t>QBFP004250</t>
  </si>
  <si>
    <t>QBFP004273</t>
  </si>
  <si>
    <t>QBFP004223</t>
  </si>
  <si>
    <t>AMF233</t>
  </si>
  <si>
    <t>Picture</t>
  </si>
  <si>
    <t>n</t>
  </si>
  <si>
    <t>QBFP004239</t>
  </si>
  <si>
    <t>QBFP004238</t>
  </si>
  <si>
    <t>QBFP004247</t>
  </si>
  <si>
    <t>QBFP004231</t>
  </si>
  <si>
    <t>QBFP004234</t>
  </si>
  <si>
    <t>YOY</t>
  </si>
  <si>
    <t>ResidP</t>
  </si>
  <si>
    <t>ResidFL</t>
  </si>
  <si>
    <t>ResidFP</t>
  </si>
  <si>
    <t>ResidFE</t>
  </si>
  <si>
    <t>ResidWL</t>
  </si>
  <si>
    <t>ResidBL</t>
  </si>
  <si>
    <t>ResidBE</t>
  </si>
  <si>
    <t>TLCorr</t>
  </si>
  <si>
    <t>TL_Rep</t>
  </si>
  <si>
    <t>TL_Pev</t>
  </si>
  <si>
    <t>TL_FarL</t>
  </si>
  <si>
    <t>TL_FarE</t>
  </si>
  <si>
    <t>TL_WL</t>
  </si>
  <si>
    <t>TL_BL</t>
  </si>
  <si>
    <t>TL_BE</t>
  </si>
  <si>
    <t>Size_Class</t>
  </si>
  <si>
    <t>Publication</t>
  </si>
  <si>
    <t>Peverell</t>
  </si>
  <si>
    <t>Faria Linear</t>
  </si>
  <si>
    <t>Faria Power</t>
  </si>
  <si>
    <t>Whitty Power</t>
  </si>
  <si>
    <t>Whitty Linear</t>
  </si>
  <si>
    <t>TLTrue</t>
  </si>
  <si>
    <t>Over 3m</t>
  </si>
  <si>
    <t>Ratio</t>
  </si>
  <si>
    <t>QBFP004256</t>
  </si>
  <si>
    <t>QBFP004257</t>
  </si>
  <si>
    <t>Whitty Quad</t>
  </si>
  <si>
    <t>TL_WQ</t>
  </si>
  <si>
    <t>ResidWQ</t>
  </si>
  <si>
    <t>Thorburn</t>
  </si>
  <si>
    <t>QBFP004243</t>
  </si>
  <si>
    <t>QBFP004245</t>
  </si>
  <si>
    <t>QBFP004246</t>
  </si>
  <si>
    <t>Can't use - good example of why</t>
  </si>
  <si>
    <t>ResidM</t>
  </si>
  <si>
    <t>ResidWC</t>
  </si>
  <si>
    <t>ResidThorM</t>
  </si>
  <si>
    <t>ResidThorF</t>
  </si>
  <si>
    <t>SSBL</t>
  </si>
  <si>
    <t>ResidBP</t>
  </si>
  <si>
    <t>SSBP</t>
  </si>
  <si>
    <t>Morgan</t>
  </si>
  <si>
    <t>ResidT</t>
  </si>
  <si>
    <t>TL_BQ</t>
  </si>
  <si>
    <t>ResidBQ</t>
  </si>
  <si>
    <t>TLCalc_SRL</t>
  </si>
  <si>
    <t>Residuals_SRL</t>
  </si>
  <si>
    <t>TLCalc_TRL</t>
  </si>
  <si>
    <t>Residuals_TRL</t>
  </si>
  <si>
    <t>TL_Pev_TRL</t>
  </si>
  <si>
    <t>TL_FarL_TRL</t>
  </si>
  <si>
    <t>TL_FarP_TRL</t>
  </si>
  <si>
    <t>TL _WQ_TRL</t>
  </si>
  <si>
    <t>TL_WL_TRL</t>
  </si>
  <si>
    <t>TL_Blin_TRL</t>
  </si>
  <si>
    <t>TL_Pev_SRL</t>
  </si>
  <si>
    <t>TL_FarL_SRL</t>
  </si>
  <si>
    <t>TL_FarE_SRL</t>
  </si>
  <si>
    <t>TL _WP_TRL</t>
  </si>
  <si>
    <t>TL_WP_SRL</t>
  </si>
  <si>
    <t>ResidWP</t>
  </si>
  <si>
    <t>TL_WL_SRL</t>
  </si>
  <si>
    <t>TL_BL_SRL</t>
  </si>
  <si>
    <t>TL_BP_TRL</t>
  </si>
  <si>
    <t>TL_BQ_TRL</t>
  </si>
  <si>
    <t>TL_BL_TRL</t>
  </si>
  <si>
    <t>TL_Thor_TRL</t>
  </si>
  <si>
    <t>TL_Thor_SRL</t>
  </si>
  <si>
    <t>TL_FL_SRL</t>
  </si>
  <si>
    <t>TL_FP_SRL</t>
  </si>
  <si>
    <t>TL_BP_SRL</t>
  </si>
  <si>
    <t>TL_Morg_TRL</t>
  </si>
  <si>
    <t>TL_ThorM_TRL</t>
  </si>
  <si>
    <t>TL_ThorF_TRL</t>
  </si>
  <si>
    <t>Pev_SRL</t>
  </si>
  <si>
    <t>Morg_SRL</t>
  </si>
  <si>
    <t>WhittyP_SRL</t>
  </si>
  <si>
    <t>ThorM_SRL</t>
  </si>
  <si>
    <t>ThorF_SRL</t>
  </si>
  <si>
    <t>WhittyL_SRL</t>
  </si>
  <si>
    <t>BiskisL_SRL</t>
  </si>
  <si>
    <t>BiskisP_SRL</t>
  </si>
  <si>
    <t>FariaL_SRL</t>
  </si>
  <si>
    <t>FariaE_SRL</t>
  </si>
  <si>
    <t>Immature</t>
  </si>
  <si>
    <t>Mature</t>
  </si>
  <si>
    <t>Under 3m</t>
  </si>
  <si>
    <t>Maturity</t>
  </si>
  <si>
    <t>SUB0163</t>
  </si>
  <si>
    <t>Beagle Bay</t>
  </si>
  <si>
    <t>1.7 m</t>
  </si>
  <si>
    <t>SUB0147</t>
  </si>
  <si>
    <t>SUB0079</t>
  </si>
  <si>
    <t>AgeC1</t>
  </si>
  <si>
    <t>TRL_TL</t>
  </si>
  <si>
    <t>QBFP005709</t>
  </si>
  <si>
    <t>QBFP005707</t>
  </si>
  <si>
    <t>SUB1095</t>
  </si>
  <si>
    <t>SUB1114</t>
  </si>
  <si>
    <t>SUB1018</t>
  </si>
  <si>
    <t>SUB1016</t>
  </si>
  <si>
    <t>SUB0041</t>
  </si>
  <si>
    <t>SUB1064</t>
  </si>
  <si>
    <t>SUB1045</t>
  </si>
  <si>
    <t>SUB0795</t>
  </si>
  <si>
    <t>SUB1053</t>
  </si>
  <si>
    <t>SSq_SRL</t>
  </si>
  <si>
    <t>SSq_TRL</t>
  </si>
  <si>
    <t>SUB0707</t>
  </si>
  <si>
    <t>SUB1124</t>
  </si>
  <si>
    <t>SUB1138</t>
  </si>
  <si>
    <t>SUB1137</t>
  </si>
  <si>
    <t>Over 1.8 m</t>
  </si>
  <si>
    <t>Under 1.8 m</t>
  </si>
  <si>
    <t>Over 2.3 m</t>
  </si>
  <si>
    <t>Thorburn M</t>
  </si>
  <si>
    <t>Thorburn F</t>
  </si>
  <si>
    <t>Over 2.5 m</t>
  </si>
  <si>
    <t>Under 2.5m</t>
  </si>
  <si>
    <t>SUB1136</t>
  </si>
  <si>
    <t>SUB1153</t>
  </si>
  <si>
    <t>SUB1154</t>
  </si>
  <si>
    <t>SUB1155</t>
  </si>
  <si>
    <t>Age4</t>
  </si>
  <si>
    <t>Under 1m</t>
  </si>
  <si>
    <t>Over 1m</t>
  </si>
  <si>
    <t>Under 1.2 m</t>
  </si>
  <si>
    <t>Over 1.2 m</t>
  </si>
  <si>
    <t>Age5</t>
  </si>
  <si>
    <t>Over 1.4m</t>
  </si>
  <si>
    <t>Under 1.5m</t>
  </si>
  <si>
    <t>Over 1.5m</t>
  </si>
  <si>
    <t>Over 1.7m</t>
  </si>
  <si>
    <t>Under 1.7m</t>
  </si>
  <si>
    <t>AgeC4</t>
  </si>
  <si>
    <t>Under 1.8m</t>
  </si>
  <si>
    <t>AgeC5</t>
  </si>
  <si>
    <t>AgeC6</t>
  </si>
  <si>
    <t>Under 1.6m</t>
  </si>
  <si>
    <t>AgeC7</t>
  </si>
  <si>
    <t>AgeC8</t>
  </si>
  <si>
    <t>AgeC9</t>
  </si>
  <si>
    <t>Under 1.2m</t>
  </si>
  <si>
    <t>Over 1.2m</t>
  </si>
  <si>
    <t>Over 1.6m</t>
  </si>
  <si>
    <t>NetRes_S</t>
  </si>
  <si>
    <t>NetRes_T</t>
  </si>
  <si>
    <t>logNetRT</t>
  </si>
  <si>
    <t>logResS</t>
  </si>
  <si>
    <t>logResR</t>
  </si>
  <si>
    <t>logResT</t>
  </si>
  <si>
    <t>PESRL</t>
  </si>
  <si>
    <t>PETRL</t>
  </si>
  <si>
    <t>Model_Type</t>
  </si>
  <si>
    <t>NetP</t>
  </si>
  <si>
    <t>NetFL</t>
  </si>
  <si>
    <t>NetFP</t>
  </si>
  <si>
    <t>NetWQ</t>
  </si>
  <si>
    <t>NetWL</t>
  </si>
  <si>
    <t>NetT</t>
  </si>
  <si>
    <t>NetWC</t>
  </si>
  <si>
    <t>NetM</t>
  </si>
  <si>
    <t>NetTM</t>
  </si>
  <si>
    <t>NetTF</t>
  </si>
  <si>
    <t>ModelT</t>
  </si>
  <si>
    <t>Lin</t>
  </si>
  <si>
    <t>Pow</t>
  </si>
  <si>
    <t>Quad</t>
  </si>
  <si>
    <t>SUB0656</t>
  </si>
  <si>
    <t>SUB0317</t>
  </si>
  <si>
    <t>SUB1146</t>
  </si>
  <si>
    <t>SUB0860</t>
  </si>
  <si>
    <t>SUB0949</t>
  </si>
  <si>
    <t>SUB1196</t>
  </si>
  <si>
    <t>SUB1216</t>
  </si>
  <si>
    <t>NetBL</t>
  </si>
  <si>
    <t>TL_BE_TRL</t>
  </si>
  <si>
    <t>TL_BE_SRL</t>
  </si>
  <si>
    <t>NetBE</t>
  </si>
  <si>
    <t>SRL_Calc</t>
  </si>
  <si>
    <t>TRL_Calc</t>
  </si>
  <si>
    <t>logNetSRL</t>
  </si>
  <si>
    <t>logNetTRL</t>
  </si>
  <si>
    <t>LogP</t>
  </si>
  <si>
    <t>LogFL</t>
  </si>
  <si>
    <t>LogWL</t>
  </si>
  <si>
    <t>StResS</t>
  </si>
  <si>
    <t>StNetResS</t>
  </si>
  <si>
    <t>StResT</t>
  </si>
  <si>
    <t>StNetResT</t>
  </si>
  <si>
    <t>SStP</t>
  </si>
  <si>
    <t>SNStP</t>
  </si>
  <si>
    <t>SStFL</t>
  </si>
  <si>
    <t>SNStFL</t>
  </si>
  <si>
    <t>SStFP</t>
  </si>
  <si>
    <t>SNStFP</t>
  </si>
  <si>
    <t>NetBQ</t>
  </si>
  <si>
    <t>SStWQ</t>
  </si>
  <si>
    <t>SNStWQ</t>
  </si>
  <si>
    <t>LogWQ</t>
  </si>
  <si>
    <t>LogFP</t>
  </si>
  <si>
    <t>SStWL</t>
  </si>
  <si>
    <t>SNStWL</t>
  </si>
  <si>
    <t>SStT</t>
  </si>
  <si>
    <t>SNStT</t>
  </si>
  <si>
    <t>LogT</t>
  </si>
  <si>
    <t>SStWC</t>
  </si>
  <si>
    <t>SNStWC</t>
  </si>
  <si>
    <t>LogWC</t>
  </si>
  <si>
    <t>SStM</t>
  </si>
  <si>
    <t>SNStM</t>
  </si>
  <si>
    <t>LogM</t>
  </si>
  <si>
    <t>SStTM</t>
  </si>
  <si>
    <t>SNStTM</t>
  </si>
  <si>
    <t>LogTM</t>
  </si>
  <si>
    <t>SStTF</t>
  </si>
  <si>
    <t>SNStTF</t>
  </si>
  <si>
    <t>LogTF</t>
  </si>
  <si>
    <t>saraA</t>
  </si>
  <si>
    <t>saraB</t>
  </si>
  <si>
    <t>y = 1.02ln(SRL) + 1.29</t>
  </si>
  <si>
    <t>KLF</t>
  </si>
  <si>
    <t>ResidKF</t>
  </si>
  <si>
    <t>NetKF</t>
  </si>
  <si>
    <t>SNStKF</t>
  </si>
  <si>
    <t>SStKF</t>
  </si>
  <si>
    <t>LogKF</t>
  </si>
  <si>
    <t>ResidKM</t>
  </si>
  <si>
    <t>NetKM</t>
  </si>
  <si>
    <t>SStKM</t>
  </si>
  <si>
    <t>SNStKM</t>
  </si>
  <si>
    <t>LogKM</t>
  </si>
  <si>
    <t>TL_KF_TRL</t>
  </si>
  <si>
    <t>TL_KM_TRL</t>
  </si>
  <si>
    <t>Lear Female</t>
  </si>
  <si>
    <t>Lear Male</t>
  </si>
  <si>
    <t>KLM</t>
  </si>
  <si>
    <t>SUB0495</t>
  </si>
  <si>
    <t>saraCF150921</t>
  </si>
  <si>
    <t>Under 4m</t>
  </si>
  <si>
    <t>Over 4m</t>
  </si>
  <si>
    <t>NPESRL</t>
  </si>
  <si>
    <t>NPETRL</t>
  </si>
  <si>
    <t>J TTC</t>
  </si>
  <si>
    <t>CAQ002</t>
  </si>
  <si>
    <t>WO005</t>
  </si>
  <si>
    <t>WO006</t>
  </si>
  <si>
    <t>WO007</t>
  </si>
  <si>
    <t>AMF223</t>
  </si>
  <si>
    <t>AMF224</t>
  </si>
  <si>
    <t>WO002</t>
  </si>
  <si>
    <t>WO003</t>
  </si>
  <si>
    <t>AMF202</t>
  </si>
  <si>
    <t>AMF203</t>
  </si>
  <si>
    <t>AMF204</t>
  </si>
  <si>
    <t>AMF205</t>
  </si>
  <si>
    <t>AMF206</t>
  </si>
  <si>
    <t>AMF207</t>
  </si>
  <si>
    <t>AMF208</t>
  </si>
  <si>
    <t>AMF209</t>
  </si>
  <si>
    <t>AMF210</t>
  </si>
  <si>
    <t>AMF211</t>
  </si>
  <si>
    <t>AMF212</t>
  </si>
  <si>
    <t>AMF226</t>
  </si>
  <si>
    <t>AMF227</t>
  </si>
  <si>
    <t>AMF235</t>
  </si>
  <si>
    <t>AMF225</t>
  </si>
  <si>
    <t>AMF221</t>
  </si>
  <si>
    <t>AMF222</t>
  </si>
  <si>
    <t>BW001</t>
  </si>
  <si>
    <t>BW002</t>
  </si>
  <si>
    <t>BW004</t>
  </si>
  <si>
    <t>DAI001</t>
  </si>
  <si>
    <t>DAI002</t>
  </si>
  <si>
    <t>DAI003</t>
  </si>
  <si>
    <t>NB002</t>
  </si>
  <si>
    <t>NB006</t>
  </si>
  <si>
    <t>NB009</t>
  </si>
  <si>
    <t>NB010</t>
  </si>
  <si>
    <t>ELR001</t>
  </si>
  <si>
    <t>ELR002</t>
  </si>
  <si>
    <t>QBFP003144</t>
  </si>
  <si>
    <t>QBFP003150</t>
  </si>
  <si>
    <t>QBFP004222</t>
  </si>
  <si>
    <t>QBFP004259</t>
  </si>
  <si>
    <t>QBFP004258</t>
  </si>
  <si>
    <t>QBFP004272</t>
  </si>
  <si>
    <t>QBFP004276</t>
  </si>
  <si>
    <t>Type</t>
  </si>
  <si>
    <t>Rostrum</t>
  </si>
  <si>
    <t>Researcher</t>
  </si>
  <si>
    <t>AMF</t>
  </si>
  <si>
    <t>BW</t>
  </si>
  <si>
    <t>AEH</t>
  </si>
  <si>
    <t>Owner</t>
  </si>
  <si>
    <t>NB</t>
  </si>
  <si>
    <t>BM</t>
  </si>
  <si>
    <t>BW LJR</t>
  </si>
  <si>
    <t>BW SRL</t>
  </si>
  <si>
    <t>NB TTC</t>
  </si>
  <si>
    <t>NB LJTC</t>
  </si>
  <si>
    <t>NB FTC</t>
  </si>
  <si>
    <t>NB LJR</t>
  </si>
  <si>
    <t>NB SRL</t>
  </si>
  <si>
    <t>NB TRL</t>
  </si>
  <si>
    <t>X Col -&gt; Just for clarity</t>
  </si>
  <si>
    <t>BW SRW</t>
  </si>
  <si>
    <t>sp CT</t>
  </si>
  <si>
    <t>sp LE</t>
  </si>
  <si>
    <t>BW STE</t>
  </si>
  <si>
    <t>SPZ1</t>
  </si>
  <si>
    <t>UseCurve</t>
  </si>
  <si>
    <t>MDC01</t>
  </si>
  <si>
    <t>MDC02</t>
  </si>
  <si>
    <t>MDC03</t>
  </si>
  <si>
    <t>MDC04</t>
  </si>
  <si>
    <t>MDC05</t>
  </si>
  <si>
    <t>MDC06</t>
  </si>
  <si>
    <t>MDC08</t>
  </si>
  <si>
    <t>MDC09</t>
  </si>
  <si>
    <t>MDC10</t>
  </si>
  <si>
    <t>MDC11</t>
  </si>
  <si>
    <t>MDC12</t>
  </si>
  <si>
    <t>MDC13</t>
  </si>
  <si>
    <t>MDC14</t>
  </si>
  <si>
    <t>MDC15</t>
  </si>
  <si>
    <t>MDC16</t>
  </si>
  <si>
    <t>MDC17</t>
  </si>
  <si>
    <t>Murdoch</t>
  </si>
  <si>
    <t>SUB1121</t>
  </si>
  <si>
    <t>*Cannot use any aside from green for morpho curves - in Whitty paper</t>
  </si>
  <si>
    <t>Body</t>
  </si>
  <si>
    <t>SUB1273</t>
  </si>
  <si>
    <t>Under 1.25m</t>
  </si>
  <si>
    <t>Under 1.75m</t>
  </si>
  <si>
    <t>Age1</t>
  </si>
  <si>
    <t>Over 1.25m</t>
  </si>
  <si>
    <t>Over 1.75m</t>
  </si>
  <si>
    <t>Under 2.3m</t>
  </si>
  <si>
    <t>Over 1.8m</t>
  </si>
  <si>
    <t>MDC34</t>
  </si>
  <si>
    <t>MDC38</t>
  </si>
  <si>
    <t>MDC40</t>
  </si>
  <si>
    <t>MDC42</t>
  </si>
  <si>
    <t>MDC44</t>
  </si>
  <si>
    <t>MDC46</t>
  </si>
  <si>
    <t>MDC48</t>
  </si>
  <si>
    <t>MDC50</t>
  </si>
  <si>
    <t>MDC52</t>
  </si>
  <si>
    <t>MDC54</t>
  </si>
  <si>
    <t>MDC56</t>
  </si>
  <si>
    <t>MDC58</t>
  </si>
  <si>
    <t>MDC60</t>
  </si>
  <si>
    <t>MDC62</t>
  </si>
  <si>
    <t>MDC64</t>
  </si>
  <si>
    <t>MDC66</t>
  </si>
  <si>
    <t>MDC68</t>
  </si>
  <si>
    <t>MDC70</t>
  </si>
  <si>
    <t>MDC72</t>
  </si>
  <si>
    <t>MDC74</t>
  </si>
  <si>
    <t>MDC76</t>
  </si>
  <si>
    <t>MDC78</t>
  </si>
  <si>
    <t>MDC80</t>
  </si>
  <si>
    <t>MDC82</t>
  </si>
  <si>
    <t>MDC86</t>
  </si>
  <si>
    <t>MDC88</t>
  </si>
  <si>
    <t>MDC90</t>
  </si>
  <si>
    <t>MDC92</t>
  </si>
  <si>
    <t>MDC94</t>
  </si>
  <si>
    <t>MDC96</t>
  </si>
  <si>
    <t>MDC98</t>
  </si>
  <si>
    <t>MDC100</t>
  </si>
  <si>
    <t>MDC102</t>
  </si>
  <si>
    <t>MDC104</t>
  </si>
  <si>
    <t>MDC106</t>
  </si>
  <si>
    <t>MDC108</t>
  </si>
  <si>
    <t>MDC110</t>
  </si>
  <si>
    <t>MDC116</t>
  </si>
  <si>
    <t>MDC118</t>
  </si>
  <si>
    <t>MDC120</t>
  </si>
  <si>
    <t>MDC122</t>
  </si>
  <si>
    <t>MDC124</t>
  </si>
  <si>
    <t>MDC126</t>
  </si>
  <si>
    <t>MDC128</t>
  </si>
  <si>
    <t>MDC130</t>
  </si>
  <si>
    <t>MDC132</t>
  </si>
  <si>
    <t>MDC134</t>
  </si>
  <si>
    <t>MDC136</t>
  </si>
  <si>
    <t>MDC144</t>
  </si>
  <si>
    <t>MDC148</t>
  </si>
  <si>
    <t>MDC152</t>
  </si>
  <si>
    <t>MDC156</t>
  </si>
  <si>
    <t>MDC158</t>
  </si>
  <si>
    <t>MDC160</t>
  </si>
  <si>
    <t>MDC164</t>
  </si>
  <si>
    <t>MDC166</t>
  </si>
  <si>
    <t>MDC168</t>
  </si>
  <si>
    <t>MDC172</t>
  </si>
  <si>
    <t>MDC174</t>
  </si>
  <si>
    <t>MDC176</t>
  </si>
  <si>
    <t>MDC178</t>
  </si>
  <si>
    <t>MDC180</t>
  </si>
  <si>
    <t>MDC182</t>
  </si>
  <si>
    <t>MDC184</t>
  </si>
  <si>
    <t>N Australia</t>
  </si>
  <si>
    <t>UsedCurve</t>
  </si>
  <si>
    <t>spZ</t>
  </si>
  <si>
    <t>Over 1.45m</t>
  </si>
  <si>
    <t>Under 1.45m</t>
  </si>
  <si>
    <t>Column1</t>
  </si>
  <si>
    <t>Column2</t>
  </si>
  <si>
    <t>Submitter</t>
  </si>
  <si>
    <t>SUB1044</t>
  </si>
  <si>
    <t>Head</t>
  </si>
  <si>
    <t>M</t>
  </si>
  <si>
    <t>Scale</t>
  </si>
  <si>
    <t>E</t>
  </si>
  <si>
    <t>SUB1198</t>
  </si>
  <si>
    <t>SUB1208</t>
  </si>
  <si>
    <t>SUB1210</t>
  </si>
  <si>
    <t>SUB0013</t>
  </si>
  <si>
    <t>QBFP004221</t>
  </si>
  <si>
    <t>CNS01002</t>
  </si>
  <si>
    <t>NB022</t>
  </si>
  <si>
    <t>SUB0374</t>
  </si>
  <si>
    <t>QBFP004368</t>
  </si>
  <si>
    <t>ELR</t>
  </si>
  <si>
    <t>QBFP000476</t>
  </si>
  <si>
    <t>QBFP004448</t>
  </si>
  <si>
    <t>QBFP004683</t>
  </si>
  <si>
    <t>QBFP004372</t>
  </si>
  <si>
    <t>QBFP004379</t>
  </si>
  <si>
    <t>Rikki3</t>
  </si>
  <si>
    <t>Rikki4</t>
  </si>
  <si>
    <t>ErrTL</t>
  </si>
  <si>
    <t>ErrTTC</t>
  </si>
  <si>
    <t>ErrTRL</t>
  </si>
  <si>
    <t>ErrSRL</t>
  </si>
  <si>
    <t>ErrSRW</t>
  </si>
  <si>
    <t>ErrTW</t>
  </si>
  <si>
    <t>Meas</t>
  </si>
  <si>
    <t>Error</t>
  </si>
  <si>
    <t>TTC</t>
  </si>
  <si>
    <t>SRW</t>
  </si>
  <si>
    <t>TW</t>
  </si>
  <si>
    <t>NB011</t>
  </si>
  <si>
    <t>SUB1193</t>
  </si>
  <si>
    <t>DM</t>
  </si>
  <si>
    <t>NETTC</t>
  </si>
  <si>
    <t>NETRL</t>
  </si>
  <si>
    <t>NESRL</t>
  </si>
  <si>
    <t>NESRW</t>
  </si>
  <si>
    <t>NETW</t>
  </si>
  <si>
    <t>NETL</t>
  </si>
  <si>
    <t>NE</t>
  </si>
  <si>
    <t>Archive</t>
  </si>
  <si>
    <t>Saw</t>
  </si>
  <si>
    <t>PhD</t>
  </si>
  <si>
    <t>M_TL</t>
  </si>
  <si>
    <t>M_TTC</t>
  </si>
  <si>
    <t>M_TRL</t>
  </si>
  <si>
    <t>M_SRL</t>
  </si>
  <si>
    <t>M_SRW</t>
  </si>
  <si>
    <t>M_TW</t>
  </si>
  <si>
    <t>J_TL</t>
  </si>
  <si>
    <t>J_TRL</t>
  </si>
  <si>
    <t xml:space="preserve"> J_SRL</t>
  </si>
  <si>
    <t>J_SRW</t>
  </si>
  <si>
    <t>J_TW</t>
  </si>
  <si>
    <t>Northern Aus</t>
  </si>
  <si>
    <t>SUB1034</t>
  </si>
  <si>
    <t>Linear</t>
  </si>
  <si>
    <t>Power</t>
  </si>
  <si>
    <t>Quadratic</t>
  </si>
  <si>
    <t>Faria (2007) - Linear</t>
  </si>
  <si>
    <t>Faria (2007) - Power</t>
  </si>
  <si>
    <t>Lear et al. (2023) - Female</t>
  </si>
  <si>
    <t>Lear et al. (2023) - Male</t>
  </si>
  <si>
    <t>Morgan et al. (2011)</t>
  </si>
  <si>
    <t>Peverell (2010)</t>
  </si>
  <si>
    <t>Thorburn et al. (2008)</t>
  </si>
  <si>
    <t>Thorburn et al. (2007) - Female</t>
  </si>
  <si>
    <t>Thorburn et al. (2007) - Male</t>
  </si>
  <si>
    <t>Whitty et al. (2014) - Ratio</t>
  </si>
  <si>
    <t>Whitty et al. (2014)</t>
  </si>
  <si>
    <t>MM</t>
  </si>
  <si>
    <t>slogSRL</t>
  </si>
  <si>
    <t>sinlogS</t>
  </si>
  <si>
    <t>Region</t>
  </si>
  <si>
    <t>Kimberley</t>
  </si>
  <si>
    <t>Darwin</t>
  </si>
  <si>
    <t>GOC</t>
  </si>
  <si>
    <t>NEQ</t>
  </si>
  <si>
    <t>SEQ</t>
  </si>
  <si>
    <t>NNSW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</si>
</sst>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0"/>
    <numFmt numFmtId="166" formatCode="0.000"/>
    <numFmt numFmtId="167" formatCode="0.0000"/>
    <numFmt numFmtId="168" formatCode="yyyy\-mm\-dd;@"/>
    <numFmt numFmtId="169" formatCode="0.00000"/>
  </numFmts>
  <fonts count="49" x14ac:knownFonts="1">
    <font>
      <sz val="10"/>
      <color rgb="FF000000"/>
      <name val="Arial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1"/>
      <color rgb="FF000000"/>
      <name val="Arial"/>
      <family val="2"/>
      <scheme val="minor"/>
    </font>
    <font>
      <i/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 (Body)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 (Body)"/>
    </font>
    <font>
      <sz val="11"/>
      <color rgb="FF000000"/>
      <name val="Calibri"/>
      <family val="2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i/>
      <sz val="10"/>
      <color rgb="FF000000"/>
      <name val="Arial"/>
      <family val="2"/>
    </font>
    <font>
      <sz val="10"/>
      <color theme="1"/>
      <name val="Arial (Body)"/>
    </font>
    <font>
      <sz val="10"/>
      <color rgb="FF9C5700"/>
      <name val="Arial (Body)"/>
    </font>
    <font>
      <sz val="11"/>
      <color rgb="FF00000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.5"/>
      <color rgb="FF000000"/>
      <name val="Arial"/>
      <family val="2"/>
    </font>
    <font>
      <sz val="10.5"/>
      <color theme="1"/>
      <name val="Arial"/>
      <family val="2"/>
    </font>
    <font>
      <sz val="10.5"/>
      <color theme="1"/>
      <name val="Arial"/>
      <family val="2"/>
      <scheme val="minor"/>
    </font>
    <font>
      <sz val="10.5"/>
      <color rgb="FF000000"/>
      <name val="Arial"/>
      <family val="2"/>
      <scheme val="minor"/>
    </font>
    <font>
      <sz val="10.5"/>
      <color rgb="FF000000"/>
      <name val="Calibri"/>
      <family val="2"/>
    </font>
    <font>
      <sz val="10.5"/>
      <color rgb="FF000000"/>
      <name val="Arial (Body)"/>
    </font>
    <font>
      <sz val="10.5"/>
      <color theme="1"/>
      <name val="Arial (Body)"/>
    </font>
    <font>
      <sz val="10.5"/>
      <name val="Arial"/>
      <family val="2"/>
      <scheme val="minor"/>
    </font>
    <font>
      <sz val="8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i/>
      <sz val="10"/>
      <color theme="1"/>
      <name val="Arial"/>
      <family val="2"/>
    </font>
    <font>
      <sz val="10"/>
      <name val="Calibri"/>
      <family val="2"/>
    </font>
    <font>
      <sz val="11"/>
      <name val="Calibri"/>
      <family val="2"/>
    </font>
    <font>
      <sz val="11"/>
      <color rgb="FF9C5700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" fillId="0" borderId="0"/>
  </cellStyleXfs>
  <cellXfs count="27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6" fillId="0" borderId="0" xfId="0" applyFont="1" applyAlignment="1">
      <alignment horizontal="left" wrapText="1"/>
    </xf>
    <xf numFmtId="0" fontId="10" fillId="0" borderId="0" xfId="0" applyFont="1"/>
    <xf numFmtId="0" fontId="10" fillId="0" borderId="0" xfId="0" applyFont="1" applyAlignment="1">
      <alignment horizontal="right"/>
    </xf>
    <xf numFmtId="164" fontId="10" fillId="0" borderId="0" xfId="0" applyNumberFormat="1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5" fillId="0" borderId="0" xfId="0" applyFont="1" applyAlignment="1">
      <alignment horizontal="center"/>
    </xf>
    <xf numFmtId="0" fontId="19" fillId="0" borderId="0" xfId="0" applyFont="1"/>
    <xf numFmtId="0" fontId="7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12" fillId="0" borderId="0" xfId="0" applyNumberFormat="1" applyFont="1"/>
    <xf numFmtId="164" fontId="12" fillId="0" borderId="0" xfId="0" applyNumberFormat="1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165" fontId="6" fillId="0" borderId="0" xfId="0" applyNumberFormat="1" applyFont="1"/>
    <xf numFmtId="0" fontId="13" fillId="0" borderId="0" xfId="0" applyFont="1" applyAlignment="1">
      <alignment horizontal="center"/>
    </xf>
    <xf numFmtId="0" fontId="20" fillId="0" borderId="0" xfId="0" applyFont="1"/>
    <xf numFmtId="166" fontId="20" fillId="0" borderId="0" xfId="0" applyNumberFormat="1" applyFont="1"/>
    <xf numFmtId="166" fontId="14" fillId="0" borderId="0" xfId="0" applyNumberFormat="1" applyFont="1"/>
    <xf numFmtId="164" fontId="14" fillId="0" borderId="0" xfId="0" applyNumberFormat="1" applyFont="1"/>
    <xf numFmtId="0" fontId="20" fillId="0" borderId="0" xfId="0" applyFont="1" applyAlignment="1">
      <alignment horizontal="right"/>
    </xf>
    <xf numFmtId="164" fontId="20" fillId="0" borderId="0" xfId="0" applyNumberFormat="1" applyFont="1"/>
    <xf numFmtId="0" fontId="21" fillId="0" borderId="0" xfId="3" applyFont="1" applyFill="1" applyAlignment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2" fillId="7" borderId="0" xfId="0" applyFont="1" applyFill="1"/>
    <xf numFmtId="0" fontId="0" fillId="7" borderId="0" xfId="0" applyFill="1"/>
    <xf numFmtId="164" fontId="0" fillId="0" borderId="0" xfId="0" applyNumberFormat="1" applyAlignment="1">
      <alignment horizontal="right"/>
    </xf>
    <xf numFmtId="0" fontId="12" fillId="8" borderId="0" xfId="0" applyFont="1" applyFill="1"/>
    <xf numFmtId="0" fontId="0" fillId="6" borderId="0" xfId="0" applyFill="1"/>
    <xf numFmtId="0" fontId="12" fillId="6" borderId="0" xfId="0" applyFont="1" applyFill="1"/>
    <xf numFmtId="164" fontId="6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6" fillId="6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22" fillId="0" borderId="0" xfId="0" applyFont="1"/>
    <xf numFmtId="0" fontId="0" fillId="7" borderId="0" xfId="0" applyFill="1" applyAlignment="1">
      <alignment horizontal="center"/>
    </xf>
    <xf numFmtId="166" fontId="10" fillId="0" borderId="0" xfId="0" applyNumberFormat="1" applyFont="1"/>
    <xf numFmtId="166" fontId="6" fillId="0" borderId="0" xfId="0" applyNumberFormat="1" applyFont="1"/>
    <xf numFmtId="0" fontId="24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0" fontId="24" fillId="0" borderId="0" xfId="0" applyFont="1"/>
    <xf numFmtId="165" fontId="22" fillId="0" borderId="0" xfId="0" applyNumberFormat="1" applyFont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164" fontId="24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8" borderId="0" xfId="0" applyFont="1" applyFill="1" applyAlignment="1">
      <alignment horizontal="right"/>
    </xf>
    <xf numFmtId="0" fontId="24" fillId="5" borderId="0" xfId="0" applyFont="1" applyFill="1" applyAlignment="1">
      <alignment horizontal="right"/>
    </xf>
    <xf numFmtId="0" fontId="24" fillId="6" borderId="0" xfId="0" applyFont="1" applyFill="1" applyAlignment="1">
      <alignment horizontal="right"/>
    </xf>
    <xf numFmtId="0" fontId="22" fillId="6" borderId="0" xfId="0" applyFont="1" applyFill="1" applyAlignment="1">
      <alignment horizontal="right"/>
    </xf>
    <xf numFmtId="164" fontId="24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0" fontId="6" fillId="10" borderId="0" xfId="0" applyFont="1" applyFill="1" applyAlignment="1">
      <alignment horizontal="left"/>
    </xf>
    <xf numFmtId="2" fontId="22" fillId="0" borderId="0" xfId="0" applyNumberFormat="1" applyFont="1"/>
    <xf numFmtId="0" fontId="24" fillId="10" borderId="0" xfId="0" applyFont="1" applyFill="1" applyAlignment="1">
      <alignment horizontal="left"/>
    </xf>
    <xf numFmtId="0" fontId="26" fillId="0" borderId="0" xfId="0" applyFont="1"/>
    <xf numFmtId="0" fontId="13" fillId="0" borderId="0" xfId="0" applyFont="1" applyAlignment="1">
      <alignment horizontal="right"/>
    </xf>
    <xf numFmtId="0" fontId="12" fillId="10" borderId="0" xfId="0" applyFont="1" applyFill="1"/>
    <xf numFmtId="0" fontId="13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64" fontId="27" fillId="0" borderId="0" xfId="0" applyNumberFormat="1" applyFont="1"/>
    <xf numFmtId="0" fontId="13" fillId="10" borderId="0" xfId="0" applyFont="1" applyFill="1" applyAlignment="1">
      <alignment horizontal="left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right"/>
    </xf>
    <xf numFmtId="0" fontId="29" fillId="7" borderId="0" xfId="0" applyFont="1" applyFill="1"/>
    <xf numFmtId="0" fontId="29" fillId="7" borderId="0" xfId="0" applyFont="1" applyFill="1" applyAlignment="1">
      <alignment horizontal="left"/>
    </xf>
    <xf numFmtId="0" fontId="29" fillId="7" borderId="0" xfId="0" applyFont="1" applyFill="1" applyAlignment="1">
      <alignment horizontal="center"/>
    </xf>
    <xf numFmtId="0" fontId="29" fillId="7" borderId="0" xfId="0" applyFont="1" applyFill="1" applyAlignment="1">
      <alignment horizontal="right"/>
    </xf>
    <xf numFmtId="0" fontId="29" fillId="0" borderId="0" xfId="0" applyFont="1"/>
    <xf numFmtId="0" fontId="30" fillId="5" borderId="0" xfId="0" applyFont="1" applyFill="1" applyAlignment="1">
      <alignment horizontal="center"/>
    </xf>
    <xf numFmtId="0" fontId="30" fillId="6" borderId="0" xfId="0" applyFont="1" applyFill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164" fontId="31" fillId="0" borderId="0" xfId="0" applyNumberFormat="1" applyFont="1"/>
    <xf numFmtId="2" fontId="30" fillId="0" borderId="0" xfId="0" applyNumberFormat="1" applyFont="1" applyAlignment="1">
      <alignment horizontal="left"/>
    </xf>
    <xf numFmtId="2" fontId="29" fillId="0" borderId="0" xfId="0" applyNumberFormat="1" applyFont="1"/>
    <xf numFmtId="164" fontId="29" fillId="0" borderId="0" xfId="0" applyNumberFormat="1" applyFont="1"/>
    <xf numFmtId="164" fontId="30" fillId="0" borderId="0" xfId="0" applyNumberFormat="1" applyFon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3" fillId="0" borderId="0" xfId="0" applyFont="1"/>
    <xf numFmtId="0" fontId="29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/>
    <xf numFmtId="0" fontId="34" fillId="0" borderId="0" xfId="0" applyFont="1"/>
    <xf numFmtId="0" fontId="35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36" fillId="0" borderId="0" xfId="0" applyFont="1"/>
    <xf numFmtId="2" fontId="29" fillId="0" borderId="0" xfId="0" applyNumberFormat="1" applyFont="1" applyAlignment="1">
      <alignment horizontal="right"/>
    </xf>
    <xf numFmtId="164" fontId="29" fillId="0" borderId="0" xfId="0" applyNumberFormat="1" applyFont="1" applyAlignment="1">
      <alignment horizontal="right"/>
    </xf>
    <xf numFmtId="2" fontId="32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34" fillId="0" borderId="0" xfId="0" applyNumberFormat="1" applyFont="1" applyAlignment="1">
      <alignment horizontal="right"/>
    </xf>
    <xf numFmtId="2" fontId="33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164" fontId="1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27" fillId="9" borderId="0" xfId="0" applyFont="1" applyFill="1" applyAlignment="1">
      <alignment horizontal="center"/>
    </xf>
    <xf numFmtId="0" fontId="38" fillId="0" borderId="0" xfId="4" applyFont="1"/>
    <xf numFmtId="0" fontId="38" fillId="0" borderId="0" xfId="4" applyFont="1" applyAlignment="1">
      <alignment horizontal="center"/>
    </xf>
    <xf numFmtId="0" fontId="1" fillId="0" borderId="0" xfId="4"/>
    <xf numFmtId="167" fontId="38" fillId="0" borderId="0" xfId="4" applyNumberFormat="1" applyFont="1" applyAlignment="1">
      <alignment horizontal="center"/>
    </xf>
    <xf numFmtId="0" fontId="39" fillId="0" borderId="0" xfId="4" applyFont="1"/>
    <xf numFmtId="0" fontId="40" fillId="0" borderId="0" xfId="4" applyFont="1" applyAlignment="1">
      <alignment horizontal="center"/>
    </xf>
    <xf numFmtId="164" fontId="38" fillId="0" borderId="0" xfId="4" applyNumberFormat="1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4" fillId="0" borderId="0" xfId="0" applyFont="1"/>
    <xf numFmtId="0" fontId="4" fillId="0" borderId="1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1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/>
    <xf numFmtId="0" fontId="2" fillId="0" borderId="3" xfId="0" applyFont="1" applyBorder="1"/>
    <xf numFmtId="0" fontId="2" fillId="11" borderId="0" xfId="0" applyFont="1" applyFill="1"/>
    <xf numFmtId="0" fontId="20" fillId="0" borderId="2" xfId="0" applyFont="1" applyBorder="1"/>
    <xf numFmtId="0" fontId="20" fillId="0" borderId="0" xfId="1" applyFont="1" applyFill="1" applyAlignment="1">
      <alignment horizontal="right"/>
    </xf>
    <xf numFmtId="0" fontId="20" fillId="0" borderId="0" xfId="1" applyFont="1" applyFill="1"/>
    <xf numFmtId="0" fontId="20" fillId="0" borderId="1" xfId="1" applyFont="1" applyFill="1" applyBorder="1"/>
    <xf numFmtId="0" fontId="20" fillId="0" borderId="0" xfId="1" applyFont="1" applyFill="1" applyBorder="1"/>
    <xf numFmtId="0" fontId="12" fillId="0" borderId="1" xfId="0" applyFont="1" applyBorder="1"/>
    <xf numFmtId="0" fontId="12" fillId="0" borderId="2" xfId="0" applyFont="1" applyBorder="1"/>
    <xf numFmtId="0" fontId="12" fillId="11" borderId="0" xfId="0" applyFont="1" applyFill="1"/>
    <xf numFmtId="0" fontId="27" fillId="0" borderId="0" xfId="3" applyFont="1" applyFill="1" applyAlignment="1">
      <alignment horizontal="right"/>
    </xf>
    <xf numFmtId="0" fontId="27" fillId="0" borderId="0" xfId="1" applyFont="1" applyFill="1" applyAlignment="1">
      <alignment horizontal="right"/>
    </xf>
    <xf numFmtId="0" fontId="27" fillId="0" borderId="0" xfId="2" applyFont="1" applyFill="1" applyAlignment="1">
      <alignment horizontal="right"/>
    </xf>
    <xf numFmtId="0" fontId="27" fillId="0" borderId="1" xfId="3" applyFont="1" applyFill="1" applyBorder="1"/>
    <xf numFmtId="0" fontId="27" fillId="0" borderId="1" xfId="1" applyFont="1" applyFill="1" applyBorder="1"/>
    <xf numFmtId="0" fontId="27" fillId="0" borderId="1" xfId="3" applyFont="1" applyFill="1" applyBorder="1" applyAlignment="1"/>
    <xf numFmtId="0" fontId="27" fillId="0" borderId="1" xfId="1" applyFont="1" applyFill="1" applyBorder="1" applyAlignment="1"/>
    <xf numFmtId="0" fontId="27" fillId="0" borderId="1" xfId="2" applyFont="1" applyFill="1" applyBorder="1" applyAlignment="1"/>
    <xf numFmtId="0" fontId="12" fillId="11" borderId="1" xfId="0" applyFont="1" applyFill="1" applyBorder="1"/>
    <xf numFmtId="0" fontId="41" fillId="12" borderId="0" xfId="0" applyFont="1" applyFill="1"/>
    <xf numFmtId="0" fontId="2" fillId="11" borderId="1" xfId="0" applyFont="1" applyFill="1" applyBorder="1"/>
    <xf numFmtId="0" fontId="6" fillId="10" borderId="0" xfId="0" applyFont="1" applyFill="1"/>
    <xf numFmtId="0" fontId="10" fillId="10" borderId="0" xfId="0" applyFont="1" applyFill="1" applyAlignment="1">
      <alignment horizontal="left"/>
    </xf>
    <xf numFmtId="0" fontId="10" fillId="10" borderId="0" xfId="0" applyFont="1" applyFill="1"/>
    <xf numFmtId="0" fontId="22" fillId="10" borderId="0" xfId="0" applyFont="1" applyFill="1"/>
    <xf numFmtId="0" fontId="41" fillId="0" borderId="0" xfId="0" applyFont="1"/>
    <xf numFmtId="0" fontId="0" fillId="0" borderId="0" xfId="0" quotePrefix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4" applyAlignment="1">
      <alignment horizontal="center"/>
    </xf>
    <xf numFmtId="0" fontId="26" fillId="0" borderId="0" xfId="0" applyFont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center"/>
    </xf>
    <xf numFmtId="0" fontId="26" fillId="10" borderId="0" xfId="0" applyFont="1" applyFill="1" applyAlignment="1">
      <alignment horizontal="left"/>
    </xf>
    <xf numFmtId="0" fontId="28" fillId="10" borderId="0" xfId="0" applyFont="1" applyFill="1"/>
    <xf numFmtId="0" fontId="26" fillId="0" borderId="0" xfId="0" applyFont="1" applyAlignment="1">
      <alignment horizontal="center"/>
    </xf>
    <xf numFmtId="164" fontId="28" fillId="0" borderId="0" xfId="0" applyNumberFormat="1" applyFont="1"/>
    <xf numFmtId="164" fontId="26" fillId="0" borderId="0" xfId="0" applyNumberFormat="1" applyFont="1"/>
    <xf numFmtId="1" fontId="26" fillId="0" borderId="0" xfId="0" applyNumberFormat="1" applyFont="1"/>
    <xf numFmtId="1" fontId="26" fillId="0" borderId="0" xfId="0" applyNumberFormat="1" applyFont="1" applyAlignment="1">
      <alignment horizontal="right"/>
    </xf>
    <xf numFmtId="0" fontId="26" fillId="10" borderId="0" xfId="0" applyFont="1" applyFill="1"/>
    <xf numFmtId="0" fontId="15" fillId="10" borderId="0" xfId="0" applyFont="1" applyFill="1"/>
    <xf numFmtId="0" fontId="26" fillId="0" borderId="0" xfId="0" applyFont="1" applyAlignment="1">
      <alignment horizontal="left"/>
    </xf>
    <xf numFmtId="164" fontId="26" fillId="0" borderId="0" xfId="0" applyNumberFormat="1" applyFont="1" applyAlignment="1">
      <alignment horizontal="right"/>
    </xf>
    <xf numFmtId="0" fontId="28" fillId="0" borderId="0" xfId="3" applyFont="1" applyFill="1" applyAlignment="1"/>
    <xf numFmtId="0" fontId="42" fillId="0" borderId="0" xfId="0" applyFont="1"/>
    <xf numFmtId="0" fontId="15" fillId="0" borderId="0" xfId="0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15" fillId="10" borderId="0" xfId="0" applyFont="1" applyFill="1" applyAlignment="1">
      <alignment horizontal="left"/>
    </xf>
    <xf numFmtId="0" fontId="25" fillId="10" borderId="0" xfId="0" applyFont="1" applyFill="1"/>
    <xf numFmtId="164" fontId="25" fillId="0" borderId="0" xfId="0" applyNumberFormat="1" applyFont="1"/>
    <xf numFmtId="164" fontId="15" fillId="0" borderId="0" xfId="0" applyNumberFormat="1" applyFont="1"/>
    <xf numFmtId="166" fontId="25" fillId="0" borderId="0" xfId="0" applyNumberFormat="1" applyFont="1"/>
    <xf numFmtId="166" fontId="15" fillId="0" borderId="0" xfId="0" applyNumberFormat="1" applyFont="1"/>
    <xf numFmtId="1" fontId="15" fillId="0" borderId="0" xfId="0" applyNumberFormat="1" applyFont="1"/>
    <xf numFmtId="1" fontId="15" fillId="0" borderId="0" xfId="0" applyNumberFormat="1" applyFont="1" applyAlignment="1">
      <alignment horizontal="right"/>
    </xf>
    <xf numFmtId="0" fontId="25" fillId="0" borderId="0" xfId="3" applyFont="1" applyFill="1" applyAlignment="1"/>
    <xf numFmtId="0" fontId="43" fillId="0" borderId="0" xfId="0" applyFont="1"/>
    <xf numFmtId="0" fontId="44" fillId="0" borderId="0" xfId="3" applyFont="1" applyFill="1" applyAlignment="1"/>
    <xf numFmtId="166" fontId="15" fillId="0" borderId="0" xfId="0" applyNumberFormat="1" applyFont="1" applyAlignment="1">
      <alignment horizontal="right"/>
    </xf>
    <xf numFmtId="0" fontId="15" fillId="0" borderId="0" xfId="0" quotePrefix="1" applyFont="1" applyAlignment="1">
      <alignment horizontal="center"/>
    </xf>
    <xf numFmtId="0" fontId="25" fillId="0" borderId="0" xfId="4" applyFont="1" applyAlignment="1">
      <alignment horizontal="right"/>
    </xf>
    <xf numFmtId="168" fontId="15" fillId="0" borderId="0" xfId="0" applyNumberFormat="1" applyFont="1" applyAlignment="1">
      <alignment horizontal="center"/>
    </xf>
    <xf numFmtId="0" fontId="12" fillId="0" borderId="0" xfId="0" quotePrefix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8" fontId="1" fillId="0" borderId="0" xfId="4" applyNumberFormat="1" applyAlignment="1">
      <alignment horizontal="center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7" fillId="10" borderId="0" xfId="0" applyFont="1" applyFill="1"/>
    <xf numFmtId="0" fontId="27" fillId="10" borderId="0" xfId="0" applyFont="1" applyFill="1" applyAlignment="1">
      <alignment horizontal="left"/>
    </xf>
    <xf numFmtId="0" fontId="13" fillId="10" borderId="0" xfId="0" applyFont="1" applyFill="1"/>
    <xf numFmtId="167" fontId="27" fillId="0" borderId="0" xfId="0" applyNumberFormat="1" applyFont="1"/>
    <xf numFmtId="167" fontId="13" fillId="0" borderId="0" xfId="0" applyNumberFormat="1" applyFont="1"/>
    <xf numFmtId="167" fontId="12" fillId="0" borderId="0" xfId="0" applyNumberFormat="1" applyFont="1"/>
    <xf numFmtId="0" fontId="2" fillId="10" borderId="0" xfId="0" applyFont="1" applyFill="1" applyAlignment="1">
      <alignment horizontal="left"/>
    </xf>
    <xf numFmtId="167" fontId="28" fillId="0" borderId="0" xfId="0" applyNumberFormat="1" applyFont="1"/>
    <xf numFmtId="167" fontId="26" fillId="0" borderId="0" xfId="0" applyNumberFormat="1" applyFont="1"/>
    <xf numFmtId="0" fontId="27" fillId="0" borderId="0" xfId="4" applyFont="1"/>
    <xf numFmtId="167" fontId="26" fillId="0" borderId="0" xfId="0" applyNumberFormat="1" applyFont="1" applyAlignment="1">
      <alignment horizontal="right"/>
    </xf>
    <xf numFmtId="167" fontId="14" fillId="0" borderId="0" xfId="0" applyNumberFormat="1" applyFont="1"/>
    <xf numFmtId="2" fontId="32" fillId="0" borderId="0" xfId="0" applyNumberFormat="1" applyFont="1" applyAlignment="1">
      <alignment horizontal="center"/>
    </xf>
    <xf numFmtId="2" fontId="32" fillId="0" borderId="0" xfId="0" applyNumberFormat="1" applyFont="1"/>
    <xf numFmtId="0" fontId="40" fillId="0" borderId="0" xfId="0" applyFont="1"/>
    <xf numFmtId="167" fontId="38" fillId="0" borderId="6" xfId="4" applyNumberFormat="1" applyFont="1" applyBorder="1" applyAlignment="1">
      <alignment horizontal="center"/>
    </xf>
    <xf numFmtId="0" fontId="38" fillId="0" borderId="6" xfId="4" applyFont="1" applyBorder="1" applyAlignment="1">
      <alignment horizontal="center"/>
    </xf>
    <xf numFmtId="0" fontId="40" fillId="0" borderId="6" xfId="4" applyFont="1" applyBorder="1" applyAlignment="1">
      <alignment horizontal="center"/>
    </xf>
    <xf numFmtId="0" fontId="38" fillId="0" borderId="6" xfId="4" applyFont="1" applyBorder="1"/>
    <xf numFmtId="0" fontId="38" fillId="10" borderId="0" xfId="4" applyFont="1" applyFill="1" applyAlignment="1">
      <alignment horizontal="center"/>
    </xf>
    <xf numFmtId="169" fontId="38" fillId="0" borderId="0" xfId="4" applyNumberFormat="1" applyFont="1" applyAlignment="1">
      <alignment horizontal="center"/>
    </xf>
    <xf numFmtId="0" fontId="45" fillId="0" borderId="0" xfId="4" applyFont="1"/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5" fillId="0" borderId="0" xfId="0" applyFont="1"/>
    <xf numFmtId="0" fontId="28" fillId="0" borderId="0" xfId="0" applyFont="1" applyAlignment="1">
      <alignment horizontal="left"/>
    </xf>
    <xf numFmtId="0" fontId="28" fillId="0" borderId="0" xfId="1" applyFont="1" applyFill="1" applyAlignment="1">
      <alignment horizontal="left"/>
    </xf>
    <xf numFmtId="0" fontId="28" fillId="0" borderId="0" xfId="3" applyFont="1" applyFill="1" applyAlignment="1">
      <alignment horizontal="left"/>
    </xf>
    <xf numFmtId="167" fontId="0" fillId="0" borderId="0" xfId="0" applyNumberFormat="1"/>
    <xf numFmtId="167" fontId="38" fillId="0" borderId="0" xfId="4" applyNumberFormat="1" applyFont="1"/>
    <xf numFmtId="0" fontId="38" fillId="0" borderId="0" xfId="1" applyFont="1" applyFill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3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47" fillId="0" borderId="0" xfId="4" applyFont="1"/>
    <xf numFmtId="0" fontId="47" fillId="0" borderId="0" xfId="0" applyFont="1"/>
    <xf numFmtId="0" fontId="40" fillId="0" borderId="0" xfId="0" applyFont="1" applyAlignment="1">
      <alignment horizontal="left"/>
    </xf>
    <xf numFmtId="0" fontId="40" fillId="10" borderId="0" xfId="0" applyFont="1" applyFill="1" applyAlignment="1">
      <alignment horizontal="center"/>
    </xf>
    <xf numFmtId="0" fontId="38" fillId="0" borderId="0" xfId="0" applyFont="1"/>
    <xf numFmtId="0" fontId="38" fillId="0" borderId="0" xfId="2" applyFont="1" applyFill="1" applyBorder="1" applyAlignment="1">
      <alignment horizontal="center"/>
    </xf>
    <xf numFmtId="0" fontId="47" fillId="0" borderId="0" xfId="0" applyFont="1" applyAlignment="1">
      <alignment horizontal="left"/>
    </xf>
    <xf numFmtId="0" fontId="38" fillId="0" borderId="0" xfId="3" applyFont="1" applyFill="1" applyAlignment="1">
      <alignment horizontal="left"/>
    </xf>
    <xf numFmtId="165" fontId="48" fillId="0" borderId="0" xfId="0" applyNumberFormat="1" applyFont="1" applyAlignment="1">
      <alignment horizontal="center" vertical="center" wrapText="1"/>
    </xf>
    <xf numFmtId="165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Normal 2" xfId="4" xr:uid="{034C6BFB-399E-F64F-A256-7D304735E8BA}"/>
  </cellStyles>
  <dxfs count="25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numFmt numFmtId="164" formatCode="0.0"/>
    </dxf>
    <dxf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AC!$O$1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300415214203842E-2"/>
                  <c:y val="-0.14563647860304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AC!$O$2:$O$36</c:f>
              <c:numCache>
                <c:formatCode>General</c:formatCode>
                <c:ptCount val="35"/>
                <c:pt idx="0">
                  <c:v>163</c:v>
                </c:pt>
                <c:pt idx="1">
                  <c:v>151</c:v>
                </c:pt>
                <c:pt idx="2">
                  <c:v>165</c:v>
                </c:pt>
                <c:pt idx="3">
                  <c:v>183</c:v>
                </c:pt>
                <c:pt idx="4">
                  <c:v>224</c:v>
                </c:pt>
                <c:pt idx="5">
                  <c:v>269</c:v>
                </c:pt>
                <c:pt idx="6">
                  <c:v>82.78</c:v>
                </c:pt>
                <c:pt idx="7">
                  <c:v>157.01</c:v>
                </c:pt>
                <c:pt idx="8">
                  <c:v>168.1</c:v>
                </c:pt>
                <c:pt idx="9">
                  <c:v>168.76</c:v>
                </c:pt>
                <c:pt idx="10">
                  <c:v>208.4</c:v>
                </c:pt>
                <c:pt idx="11">
                  <c:v>215.51</c:v>
                </c:pt>
                <c:pt idx="12">
                  <c:v>219.11</c:v>
                </c:pt>
                <c:pt idx="13">
                  <c:v>402.85</c:v>
                </c:pt>
                <c:pt idx="14">
                  <c:v>491.4</c:v>
                </c:pt>
                <c:pt idx="15">
                  <c:v>819.2</c:v>
                </c:pt>
                <c:pt idx="16">
                  <c:v>137.79</c:v>
                </c:pt>
                <c:pt idx="17">
                  <c:v>198</c:v>
                </c:pt>
                <c:pt idx="18">
                  <c:v>188</c:v>
                </c:pt>
                <c:pt idx="19">
                  <c:v>193</c:v>
                </c:pt>
                <c:pt idx="20">
                  <c:v>200</c:v>
                </c:pt>
                <c:pt idx="21">
                  <c:v>229</c:v>
                </c:pt>
                <c:pt idx="22">
                  <c:v>217</c:v>
                </c:pt>
                <c:pt idx="23">
                  <c:v>204.39999999999998</c:v>
                </c:pt>
                <c:pt idx="24">
                  <c:v>210.97</c:v>
                </c:pt>
                <c:pt idx="25">
                  <c:v>207</c:v>
                </c:pt>
                <c:pt idx="26">
                  <c:v>233.4</c:v>
                </c:pt>
                <c:pt idx="27">
                  <c:v>235.17</c:v>
                </c:pt>
                <c:pt idx="28">
                  <c:v>256.85000000000002</c:v>
                </c:pt>
                <c:pt idx="29">
                  <c:v>280</c:v>
                </c:pt>
                <c:pt idx="30">
                  <c:v>336</c:v>
                </c:pt>
                <c:pt idx="31">
                  <c:v>575</c:v>
                </c:pt>
                <c:pt idx="32">
                  <c:v>639</c:v>
                </c:pt>
                <c:pt idx="33">
                  <c:v>518</c:v>
                </c:pt>
                <c:pt idx="34">
                  <c:v>677</c:v>
                </c:pt>
              </c:numCache>
            </c:numRef>
          </c:xVal>
          <c:yVal>
            <c:numRef>
              <c:f>AC!$L$2:$L$36</c:f>
              <c:numCache>
                <c:formatCode>General</c:formatCode>
                <c:ptCount val="35"/>
                <c:pt idx="0">
                  <c:v>735</c:v>
                </c:pt>
                <c:pt idx="1">
                  <c:v>776</c:v>
                </c:pt>
                <c:pt idx="2">
                  <c:v>796</c:v>
                </c:pt>
                <c:pt idx="3">
                  <c:v>804</c:v>
                </c:pt>
                <c:pt idx="4">
                  <c:v>1235</c:v>
                </c:pt>
                <c:pt idx="5">
                  <c:v>1312</c:v>
                </c:pt>
                <c:pt idx="16">
                  <c:v>786.09999999999991</c:v>
                </c:pt>
                <c:pt idx="17">
                  <c:v>870</c:v>
                </c:pt>
                <c:pt idx="18">
                  <c:v>908.46</c:v>
                </c:pt>
                <c:pt idx="19">
                  <c:v>960</c:v>
                </c:pt>
                <c:pt idx="20">
                  <c:v>970</c:v>
                </c:pt>
                <c:pt idx="21">
                  <c:v>1000</c:v>
                </c:pt>
                <c:pt idx="22">
                  <c:v>1020</c:v>
                </c:pt>
                <c:pt idx="23">
                  <c:v>1050</c:v>
                </c:pt>
                <c:pt idx="24">
                  <c:v>1065</c:v>
                </c:pt>
                <c:pt idx="25">
                  <c:v>1100</c:v>
                </c:pt>
                <c:pt idx="26">
                  <c:v>1235.4099999999999</c:v>
                </c:pt>
                <c:pt idx="27">
                  <c:v>1287.2</c:v>
                </c:pt>
                <c:pt idx="28">
                  <c:v>1287.4000000000001</c:v>
                </c:pt>
                <c:pt idx="29">
                  <c:v>1430</c:v>
                </c:pt>
                <c:pt idx="30">
                  <c:v>1460.1000000000001</c:v>
                </c:pt>
                <c:pt idx="31">
                  <c:v>2505</c:v>
                </c:pt>
                <c:pt idx="32">
                  <c:v>2556</c:v>
                </c:pt>
                <c:pt idx="33">
                  <c:v>2590</c:v>
                </c:pt>
                <c:pt idx="34">
                  <c:v>2914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B-3145-B0E4-A544ED91E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31936"/>
        <c:axId val="1101609376"/>
      </c:scatterChart>
      <c:valAx>
        <c:axId val="11016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09376"/>
        <c:crosses val="autoZero"/>
        <c:crossBetween val="midCat"/>
      </c:valAx>
      <c:valAx>
        <c:axId val="1101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AC!$O$1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521613057430303E-2"/>
                  <c:y val="-0.15898586396973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AC!$O$2:$O$36</c:f>
              <c:numCache>
                <c:formatCode>General</c:formatCode>
                <c:ptCount val="35"/>
                <c:pt idx="0">
                  <c:v>163</c:v>
                </c:pt>
                <c:pt idx="1">
                  <c:v>151</c:v>
                </c:pt>
                <c:pt idx="2">
                  <c:v>165</c:v>
                </c:pt>
                <c:pt idx="3">
                  <c:v>183</c:v>
                </c:pt>
                <c:pt idx="4">
                  <c:v>224</c:v>
                </c:pt>
                <c:pt idx="5">
                  <c:v>269</c:v>
                </c:pt>
                <c:pt idx="6">
                  <c:v>82.78</c:v>
                </c:pt>
                <c:pt idx="7">
                  <c:v>157.01</c:v>
                </c:pt>
                <c:pt idx="8">
                  <c:v>168.1</c:v>
                </c:pt>
                <c:pt idx="9">
                  <c:v>168.76</c:v>
                </c:pt>
                <c:pt idx="10">
                  <c:v>208.4</c:v>
                </c:pt>
                <c:pt idx="11">
                  <c:v>215.51</c:v>
                </c:pt>
                <c:pt idx="12">
                  <c:v>219.11</c:v>
                </c:pt>
                <c:pt idx="13">
                  <c:v>402.85</c:v>
                </c:pt>
                <c:pt idx="14">
                  <c:v>491.4</c:v>
                </c:pt>
                <c:pt idx="15">
                  <c:v>819.2</c:v>
                </c:pt>
                <c:pt idx="16">
                  <c:v>137.79</c:v>
                </c:pt>
                <c:pt idx="17">
                  <c:v>198</c:v>
                </c:pt>
                <c:pt idx="18">
                  <c:v>188</c:v>
                </c:pt>
                <c:pt idx="19">
                  <c:v>193</c:v>
                </c:pt>
                <c:pt idx="20">
                  <c:v>200</c:v>
                </c:pt>
                <c:pt idx="21">
                  <c:v>229</c:v>
                </c:pt>
                <c:pt idx="22">
                  <c:v>217</c:v>
                </c:pt>
                <c:pt idx="23">
                  <c:v>204.39999999999998</c:v>
                </c:pt>
                <c:pt idx="24">
                  <c:v>210.97</c:v>
                </c:pt>
                <c:pt idx="25">
                  <c:v>207</c:v>
                </c:pt>
                <c:pt idx="26">
                  <c:v>233.4</c:v>
                </c:pt>
                <c:pt idx="27">
                  <c:v>235.17</c:v>
                </c:pt>
                <c:pt idx="28">
                  <c:v>256.85000000000002</c:v>
                </c:pt>
                <c:pt idx="29">
                  <c:v>280</c:v>
                </c:pt>
                <c:pt idx="30">
                  <c:v>336</c:v>
                </c:pt>
                <c:pt idx="31">
                  <c:v>575</c:v>
                </c:pt>
                <c:pt idx="32">
                  <c:v>639</c:v>
                </c:pt>
                <c:pt idx="33">
                  <c:v>518</c:v>
                </c:pt>
                <c:pt idx="34">
                  <c:v>677</c:v>
                </c:pt>
              </c:numCache>
            </c:numRef>
          </c:xVal>
          <c:yVal>
            <c:numRef>
              <c:f>AC!$L$2:$L$36</c:f>
              <c:numCache>
                <c:formatCode>General</c:formatCode>
                <c:ptCount val="35"/>
                <c:pt idx="0">
                  <c:v>735</c:v>
                </c:pt>
                <c:pt idx="1">
                  <c:v>776</c:v>
                </c:pt>
                <c:pt idx="2">
                  <c:v>796</c:v>
                </c:pt>
                <c:pt idx="3">
                  <c:v>804</c:v>
                </c:pt>
                <c:pt idx="4">
                  <c:v>1235</c:v>
                </c:pt>
                <c:pt idx="5">
                  <c:v>1312</c:v>
                </c:pt>
                <c:pt idx="16">
                  <c:v>786.09999999999991</c:v>
                </c:pt>
                <c:pt idx="17">
                  <c:v>870</c:v>
                </c:pt>
                <c:pt idx="18">
                  <c:v>908.46</c:v>
                </c:pt>
                <c:pt idx="19">
                  <c:v>960</c:v>
                </c:pt>
                <c:pt idx="20">
                  <c:v>970</c:v>
                </c:pt>
                <c:pt idx="21">
                  <c:v>1000</c:v>
                </c:pt>
                <c:pt idx="22">
                  <c:v>1020</c:v>
                </c:pt>
                <c:pt idx="23">
                  <c:v>1050</c:v>
                </c:pt>
                <c:pt idx="24">
                  <c:v>1065</c:v>
                </c:pt>
                <c:pt idx="25">
                  <c:v>1100</c:v>
                </c:pt>
                <c:pt idx="26">
                  <c:v>1235.4099999999999</c:v>
                </c:pt>
                <c:pt idx="27">
                  <c:v>1287.2</c:v>
                </c:pt>
                <c:pt idx="28">
                  <c:v>1287.4000000000001</c:v>
                </c:pt>
                <c:pt idx="29">
                  <c:v>1430</c:v>
                </c:pt>
                <c:pt idx="30">
                  <c:v>1460.1000000000001</c:v>
                </c:pt>
                <c:pt idx="31">
                  <c:v>2505</c:v>
                </c:pt>
                <c:pt idx="32">
                  <c:v>2556</c:v>
                </c:pt>
                <c:pt idx="33">
                  <c:v>2590</c:v>
                </c:pt>
                <c:pt idx="34">
                  <c:v>2914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F2-2E48-9903-F95F55C72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31936"/>
        <c:axId val="1101609376"/>
      </c:scatterChart>
      <c:valAx>
        <c:axId val="11016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09376"/>
        <c:crosses val="autoZero"/>
        <c:crossBetween val="midCat"/>
      </c:valAx>
      <c:valAx>
        <c:axId val="1101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AC!$O$1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2588063618964686E-2"/>
                  <c:y val="-0.15017344055329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AC!$N$2:$N$35</c:f>
              <c:numCache>
                <c:formatCode>General</c:formatCode>
                <c:ptCount val="34"/>
                <c:pt idx="0">
                  <c:v>195</c:v>
                </c:pt>
                <c:pt idx="1">
                  <c:v>204</c:v>
                </c:pt>
                <c:pt idx="2">
                  <c:v>197</c:v>
                </c:pt>
                <c:pt idx="3">
                  <c:v>208</c:v>
                </c:pt>
                <c:pt idx="6">
                  <c:v>107.3</c:v>
                </c:pt>
                <c:pt idx="7">
                  <c:v>211.64</c:v>
                </c:pt>
                <c:pt idx="8">
                  <c:v>222.1</c:v>
                </c:pt>
                <c:pt idx="9">
                  <c:v>221.3</c:v>
                </c:pt>
                <c:pt idx="10">
                  <c:v>242.4</c:v>
                </c:pt>
                <c:pt idx="11">
                  <c:v>258.55</c:v>
                </c:pt>
                <c:pt idx="12">
                  <c:v>244.67</c:v>
                </c:pt>
                <c:pt idx="13">
                  <c:v>515.29999999999995</c:v>
                </c:pt>
                <c:pt idx="14">
                  <c:v>609.4</c:v>
                </c:pt>
                <c:pt idx="15">
                  <c:v>905.4</c:v>
                </c:pt>
                <c:pt idx="16">
                  <c:v>187.08</c:v>
                </c:pt>
                <c:pt idx="17">
                  <c:v>244</c:v>
                </c:pt>
                <c:pt idx="18">
                  <c:v>240</c:v>
                </c:pt>
                <c:pt idx="19">
                  <c:v>250</c:v>
                </c:pt>
                <c:pt idx="20">
                  <c:v>267</c:v>
                </c:pt>
                <c:pt idx="21">
                  <c:v>283</c:v>
                </c:pt>
                <c:pt idx="22">
                  <c:v>270</c:v>
                </c:pt>
                <c:pt idx="23">
                  <c:v>280</c:v>
                </c:pt>
                <c:pt idx="24">
                  <c:v>289</c:v>
                </c:pt>
                <c:pt idx="25">
                  <c:v>270</c:v>
                </c:pt>
                <c:pt idx="26">
                  <c:v>294.89999999999998</c:v>
                </c:pt>
                <c:pt idx="27">
                  <c:v>321.26</c:v>
                </c:pt>
                <c:pt idx="28">
                  <c:v>313.3</c:v>
                </c:pt>
                <c:pt idx="29">
                  <c:v>337</c:v>
                </c:pt>
                <c:pt idx="30">
                  <c:v>433.3</c:v>
                </c:pt>
                <c:pt idx="31">
                  <c:v>712.8</c:v>
                </c:pt>
                <c:pt idx="32">
                  <c:v>764</c:v>
                </c:pt>
                <c:pt idx="33">
                  <c:v>601</c:v>
                </c:pt>
              </c:numCache>
            </c:numRef>
          </c:xVal>
          <c:yVal>
            <c:numRef>
              <c:f>AC!$L$2:$L$35</c:f>
              <c:numCache>
                <c:formatCode>General</c:formatCode>
                <c:ptCount val="34"/>
                <c:pt idx="0">
                  <c:v>735</c:v>
                </c:pt>
                <c:pt idx="1">
                  <c:v>776</c:v>
                </c:pt>
                <c:pt idx="2">
                  <c:v>796</c:v>
                </c:pt>
                <c:pt idx="3">
                  <c:v>804</c:v>
                </c:pt>
                <c:pt idx="4">
                  <c:v>1235</c:v>
                </c:pt>
                <c:pt idx="5">
                  <c:v>1312</c:v>
                </c:pt>
                <c:pt idx="16">
                  <c:v>786.09999999999991</c:v>
                </c:pt>
                <c:pt idx="17">
                  <c:v>870</c:v>
                </c:pt>
                <c:pt idx="18">
                  <c:v>908.46</c:v>
                </c:pt>
                <c:pt idx="19">
                  <c:v>960</c:v>
                </c:pt>
                <c:pt idx="20">
                  <c:v>970</c:v>
                </c:pt>
                <c:pt idx="21">
                  <c:v>1000</c:v>
                </c:pt>
                <c:pt idx="22">
                  <c:v>1020</c:v>
                </c:pt>
                <c:pt idx="23">
                  <c:v>1050</c:v>
                </c:pt>
                <c:pt idx="24">
                  <c:v>1065</c:v>
                </c:pt>
                <c:pt idx="25">
                  <c:v>1100</c:v>
                </c:pt>
                <c:pt idx="26">
                  <c:v>1235.4099999999999</c:v>
                </c:pt>
                <c:pt idx="27">
                  <c:v>1287.2</c:v>
                </c:pt>
                <c:pt idx="28">
                  <c:v>1287.4000000000001</c:v>
                </c:pt>
                <c:pt idx="29">
                  <c:v>1430</c:v>
                </c:pt>
                <c:pt idx="30">
                  <c:v>1460.1000000000001</c:v>
                </c:pt>
                <c:pt idx="31">
                  <c:v>2505</c:v>
                </c:pt>
                <c:pt idx="32">
                  <c:v>2556</c:v>
                </c:pt>
                <c:pt idx="33">
                  <c:v>2590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B9-6243-AE41-0EB61806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31936"/>
        <c:axId val="1101609376"/>
      </c:scatterChart>
      <c:valAx>
        <c:axId val="11016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09376"/>
        <c:crosses val="autoZero"/>
        <c:crossBetween val="midCat"/>
      </c:valAx>
      <c:valAx>
        <c:axId val="1101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AC!$O$1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823476695458002E-2"/>
                  <c:y val="-0.15017344055329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AC!$N$2:$N$35</c:f>
              <c:numCache>
                <c:formatCode>General</c:formatCode>
                <c:ptCount val="34"/>
                <c:pt idx="0">
                  <c:v>195</c:v>
                </c:pt>
                <c:pt idx="1">
                  <c:v>204</c:v>
                </c:pt>
                <c:pt idx="2">
                  <c:v>197</c:v>
                </c:pt>
                <c:pt idx="3">
                  <c:v>208</c:v>
                </c:pt>
                <c:pt idx="6">
                  <c:v>107.3</c:v>
                </c:pt>
                <c:pt idx="7">
                  <c:v>211.64</c:v>
                </c:pt>
                <c:pt idx="8">
                  <c:v>222.1</c:v>
                </c:pt>
                <c:pt idx="9">
                  <c:v>221.3</c:v>
                </c:pt>
                <c:pt idx="10">
                  <c:v>242.4</c:v>
                </c:pt>
                <c:pt idx="11">
                  <c:v>258.55</c:v>
                </c:pt>
                <c:pt idx="12">
                  <c:v>244.67</c:v>
                </c:pt>
                <c:pt idx="13">
                  <c:v>515.29999999999995</c:v>
                </c:pt>
                <c:pt idx="14">
                  <c:v>609.4</c:v>
                </c:pt>
                <c:pt idx="15">
                  <c:v>905.4</c:v>
                </c:pt>
                <c:pt idx="16">
                  <c:v>187.08</c:v>
                </c:pt>
                <c:pt idx="17">
                  <c:v>244</c:v>
                </c:pt>
                <c:pt idx="18">
                  <c:v>240</c:v>
                </c:pt>
                <c:pt idx="19">
                  <c:v>250</c:v>
                </c:pt>
                <c:pt idx="20">
                  <c:v>267</c:v>
                </c:pt>
                <c:pt idx="21">
                  <c:v>283</c:v>
                </c:pt>
                <c:pt idx="22">
                  <c:v>270</c:v>
                </c:pt>
                <c:pt idx="23">
                  <c:v>280</c:v>
                </c:pt>
                <c:pt idx="24">
                  <c:v>289</c:v>
                </c:pt>
                <c:pt idx="25">
                  <c:v>270</c:v>
                </c:pt>
                <c:pt idx="26">
                  <c:v>294.89999999999998</c:v>
                </c:pt>
                <c:pt idx="27">
                  <c:v>321.26</c:v>
                </c:pt>
                <c:pt idx="28">
                  <c:v>313.3</c:v>
                </c:pt>
                <c:pt idx="29">
                  <c:v>337</c:v>
                </c:pt>
                <c:pt idx="30">
                  <c:v>433.3</c:v>
                </c:pt>
                <c:pt idx="31">
                  <c:v>712.8</c:v>
                </c:pt>
                <c:pt idx="32">
                  <c:v>764</c:v>
                </c:pt>
                <c:pt idx="33">
                  <c:v>601</c:v>
                </c:pt>
              </c:numCache>
            </c:numRef>
          </c:xVal>
          <c:yVal>
            <c:numRef>
              <c:f>AC!$L$2:$L$35</c:f>
              <c:numCache>
                <c:formatCode>General</c:formatCode>
                <c:ptCount val="34"/>
                <c:pt idx="0">
                  <c:v>735</c:v>
                </c:pt>
                <c:pt idx="1">
                  <c:v>776</c:v>
                </c:pt>
                <c:pt idx="2">
                  <c:v>796</c:v>
                </c:pt>
                <c:pt idx="3">
                  <c:v>804</c:v>
                </c:pt>
                <c:pt idx="4">
                  <c:v>1235</c:v>
                </c:pt>
                <c:pt idx="5">
                  <c:v>1312</c:v>
                </c:pt>
                <c:pt idx="16">
                  <c:v>786.09999999999991</c:v>
                </c:pt>
                <c:pt idx="17">
                  <c:v>870</c:v>
                </c:pt>
                <c:pt idx="18">
                  <c:v>908.46</c:v>
                </c:pt>
                <c:pt idx="19">
                  <c:v>960</c:v>
                </c:pt>
                <c:pt idx="20">
                  <c:v>970</c:v>
                </c:pt>
                <c:pt idx="21">
                  <c:v>1000</c:v>
                </c:pt>
                <c:pt idx="22">
                  <c:v>1020</c:v>
                </c:pt>
                <c:pt idx="23">
                  <c:v>1050</c:v>
                </c:pt>
                <c:pt idx="24">
                  <c:v>1065</c:v>
                </c:pt>
                <c:pt idx="25">
                  <c:v>1100</c:v>
                </c:pt>
                <c:pt idx="26">
                  <c:v>1235.4099999999999</c:v>
                </c:pt>
                <c:pt idx="27">
                  <c:v>1287.2</c:v>
                </c:pt>
                <c:pt idx="28">
                  <c:v>1287.4000000000001</c:v>
                </c:pt>
                <c:pt idx="29">
                  <c:v>1430</c:v>
                </c:pt>
                <c:pt idx="30">
                  <c:v>1460.1000000000001</c:v>
                </c:pt>
                <c:pt idx="31">
                  <c:v>2505</c:v>
                </c:pt>
                <c:pt idx="32">
                  <c:v>2556</c:v>
                </c:pt>
                <c:pt idx="33">
                  <c:v>2590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B-BA45-9625-5D0BADAFE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31936"/>
        <c:axId val="1101609376"/>
      </c:scatterChart>
      <c:valAx>
        <c:axId val="11016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09376"/>
        <c:crosses val="autoZero"/>
        <c:crossBetween val="midCat"/>
      </c:valAx>
      <c:valAx>
        <c:axId val="1101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AC!$O$1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7132644471932063E-2"/>
                  <c:y val="-0.15017344055329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AC!$O$2:$O$36</c:f>
              <c:numCache>
                <c:formatCode>General</c:formatCode>
                <c:ptCount val="35"/>
                <c:pt idx="0">
                  <c:v>163</c:v>
                </c:pt>
                <c:pt idx="1">
                  <c:v>151</c:v>
                </c:pt>
                <c:pt idx="2">
                  <c:v>165</c:v>
                </c:pt>
                <c:pt idx="3">
                  <c:v>183</c:v>
                </c:pt>
                <c:pt idx="4">
                  <c:v>224</c:v>
                </c:pt>
                <c:pt idx="5">
                  <c:v>269</c:v>
                </c:pt>
                <c:pt idx="6">
                  <c:v>82.78</c:v>
                </c:pt>
                <c:pt idx="7">
                  <c:v>157.01</c:v>
                </c:pt>
                <c:pt idx="8">
                  <c:v>168.1</c:v>
                </c:pt>
                <c:pt idx="9">
                  <c:v>168.76</c:v>
                </c:pt>
                <c:pt idx="10">
                  <c:v>208.4</c:v>
                </c:pt>
                <c:pt idx="11">
                  <c:v>215.51</c:v>
                </c:pt>
                <c:pt idx="12">
                  <c:v>219.11</c:v>
                </c:pt>
                <c:pt idx="13">
                  <c:v>402.85</c:v>
                </c:pt>
                <c:pt idx="14">
                  <c:v>491.4</c:v>
                </c:pt>
                <c:pt idx="15">
                  <c:v>819.2</c:v>
                </c:pt>
                <c:pt idx="16">
                  <c:v>137.79</c:v>
                </c:pt>
                <c:pt idx="17">
                  <c:v>198</c:v>
                </c:pt>
                <c:pt idx="18">
                  <c:v>188</c:v>
                </c:pt>
                <c:pt idx="19">
                  <c:v>193</c:v>
                </c:pt>
                <c:pt idx="20">
                  <c:v>200</c:v>
                </c:pt>
                <c:pt idx="21">
                  <c:v>229</c:v>
                </c:pt>
                <c:pt idx="22">
                  <c:v>217</c:v>
                </c:pt>
                <c:pt idx="23">
                  <c:v>204.39999999999998</c:v>
                </c:pt>
                <c:pt idx="24">
                  <c:v>210.97</c:v>
                </c:pt>
                <c:pt idx="25">
                  <c:v>207</c:v>
                </c:pt>
                <c:pt idx="26">
                  <c:v>233.4</c:v>
                </c:pt>
                <c:pt idx="27">
                  <c:v>235.17</c:v>
                </c:pt>
                <c:pt idx="28">
                  <c:v>256.85000000000002</c:v>
                </c:pt>
                <c:pt idx="29">
                  <c:v>280</c:v>
                </c:pt>
                <c:pt idx="30">
                  <c:v>336</c:v>
                </c:pt>
                <c:pt idx="31">
                  <c:v>575</c:v>
                </c:pt>
                <c:pt idx="32">
                  <c:v>639</c:v>
                </c:pt>
                <c:pt idx="33">
                  <c:v>518</c:v>
                </c:pt>
                <c:pt idx="34">
                  <c:v>677</c:v>
                </c:pt>
              </c:numCache>
            </c:numRef>
          </c:xVal>
          <c:yVal>
            <c:numRef>
              <c:f>AC!$L$2:$L$36</c:f>
              <c:numCache>
                <c:formatCode>General</c:formatCode>
                <c:ptCount val="35"/>
                <c:pt idx="0">
                  <c:v>735</c:v>
                </c:pt>
                <c:pt idx="1">
                  <c:v>776</c:v>
                </c:pt>
                <c:pt idx="2">
                  <c:v>796</c:v>
                </c:pt>
                <c:pt idx="3">
                  <c:v>804</c:v>
                </c:pt>
                <c:pt idx="4">
                  <c:v>1235</c:v>
                </c:pt>
                <c:pt idx="5">
                  <c:v>1312</c:v>
                </c:pt>
                <c:pt idx="16">
                  <c:v>786.09999999999991</c:v>
                </c:pt>
                <c:pt idx="17">
                  <c:v>870</c:v>
                </c:pt>
                <c:pt idx="18">
                  <c:v>908.46</c:v>
                </c:pt>
                <c:pt idx="19">
                  <c:v>960</c:v>
                </c:pt>
                <c:pt idx="20">
                  <c:v>970</c:v>
                </c:pt>
                <c:pt idx="21">
                  <c:v>1000</c:v>
                </c:pt>
                <c:pt idx="22">
                  <c:v>1020</c:v>
                </c:pt>
                <c:pt idx="23">
                  <c:v>1050</c:v>
                </c:pt>
                <c:pt idx="24">
                  <c:v>1065</c:v>
                </c:pt>
                <c:pt idx="25">
                  <c:v>1100</c:v>
                </c:pt>
                <c:pt idx="26">
                  <c:v>1235.4099999999999</c:v>
                </c:pt>
                <c:pt idx="27">
                  <c:v>1287.2</c:v>
                </c:pt>
                <c:pt idx="28">
                  <c:v>1287.4000000000001</c:v>
                </c:pt>
                <c:pt idx="29">
                  <c:v>1430</c:v>
                </c:pt>
                <c:pt idx="30">
                  <c:v>1460.1000000000001</c:v>
                </c:pt>
                <c:pt idx="31">
                  <c:v>2505</c:v>
                </c:pt>
                <c:pt idx="32">
                  <c:v>2556</c:v>
                </c:pt>
                <c:pt idx="33">
                  <c:v>2590</c:v>
                </c:pt>
                <c:pt idx="34">
                  <c:v>2914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3-BD40-B882-C7C2E5802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31936"/>
        <c:axId val="1101609376"/>
      </c:scatterChart>
      <c:valAx>
        <c:axId val="11016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09376"/>
        <c:crosses val="autoZero"/>
        <c:crossBetween val="midCat"/>
      </c:valAx>
      <c:valAx>
        <c:axId val="1101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AC!$O$1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1590570292206238E-2"/>
                  <c:y val="-0.159247364453796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AC!$N$2:$N$35</c:f>
              <c:numCache>
                <c:formatCode>General</c:formatCode>
                <c:ptCount val="34"/>
                <c:pt idx="0">
                  <c:v>195</c:v>
                </c:pt>
                <c:pt idx="1">
                  <c:v>204</c:v>
                </c:pt>
                <c:pt idx="2">
                  <c:v>197</c:v>
                </c:pt>
                <c:pt idx="3">
                  <c:v>208</c:v>
                </c:pt>
                <c:pt idx="6">
                  <c:v>107.3</c:v>
                </c:pt>
                <c:pt idx="7">
                  <c:v>211.64</c:v>
                </c:pt>
                <c:pt idx="8">
                  <c:v>222.1</c:v>
                </c:pt>
                <c:pt idx="9">
                  <c:v>221.3</c:v>
                </c:pt>
                <c:pt idx="10">
                  <c:v>242.4</c:v>
                </c:pt>
                <c:pt idx="11">
                  <c:v>258.55</c:v>
                </c:pt>
                <c:pt idx="12">
                  <c:v>244.67</c:v>
                </c:pt>
                <c:pt idx="13">
                  <c:v>515.29999999999995</c:v>
                </c:pt>
                <c:pt idx="14">
                  <c:v>609.4</c:v>
                </c:pt>
                <c:pt idx="15">
                  <c:v>905.4</c:v>
                </c:pt>
                <c:pt idx="16">
                  <c:v>187.08</c:v>
                </c:pt>
                <c:pt idx="17">
                  <c:v>244</c:v>
                </c:pt>
                <c:pt idx="18">
                  <c:v>240</c:v>
                </c:pt>
                <c:pt idx="19">
                  <c:v>250</c:v>
                </c:pt>
                <c:pt idx="20">
                  <c:v>267</c:v>
                </c:pt>
                <c:pt idx="21">
                  <c:v>283</c:v>
                </c:pt>
                <c:pt idx="22">
                  <c:v>270</c:v>
                </c:pt>
                <c:pt idx="23">
                  <c:v>280</c:v>
                </c:pt>
                <c:pt idx="24">
                  <c:v>289</c:v>
                </c:pt>
                <c:pt idx="25">
                  <c:v>270</c:v>
                </c:pt>
                <c:pt idx="26">
                  <c:v>294.89999999999998</c:v>
                </c:pt>
                <c:pt idx="27">
                  <c:v>321.26</c:v>
                </c:pt>
                <c:pt idx="28">
                  <c:v>313.3</c:v>
                </c:pt>
                <c:pt idx="29">
                  <c:v>337</c:v>
                </c:pt>
                <c:pt idx="30">
                  <c:v>433.3</c:v>
                </c:pt>
                <c:pt idx="31">
                  <c:v>712.8</c:v>
                </c:pt>
                <c:pt idx="32">
                  <c:v>764</c:v>
                </c:pt>
                <c:pt idx="33">
                  <c:v>601</c:v>
                </c:pt>
              </c:numCache>
            </c:numRef>
          </c:xVal>
          <c:yVal>
            <c:numRef>
              <c:f>AC!$L$2:$L$35</c:f>
              <c:numCache>
                <c:formatCode>General</c:formatCode>
                <c:ptCount val="34"/>
                <c:pt idx="0">
                  <c:v>735</c:v>
                </c:pt>
                <c:pt idx="1">
                  <c:v>776</c:v>
                </c:pt>
                <c:pt idx="2">
                  <c:v>796</c:v>
                </c:pt>
                <c:pt idx="3">
                  <c:v>804</c:v>
                </c:pt>
                <c:pt idx="4">
                  <c:v>1235</c:v>
                </c:pt>
                <c:pt idx="5">
                  <c:v>1312</c:v>
                </c:pt>
                <c:pt idx="16">
                  <c:v>786.09999999999991</c:v>
                </c:pt>
                <c:pt idx="17">
                  <c:v>870</c:v>
                </c:pt>
                <c:pt idx="18">
                  <c:v>908.46</c:v>
                </c:pt>
                <c:pt idx="19">
                  <c:v>960</c:v>
                </c:pt>
                <c:pt idx="20">
                  <c:v>970</c:v>
                </c:pt>
                <c:pt idx="21">
                  <c:v>1000</c:v>
                </c:pt>
                <c:pt idx="22">
                  <c:v>1020</c:v>
                </c:pt>
                <c:pt idx="23">
                  <c:v>1050</c:v>
                </c:pt>
                <c:pt idx="24">
                  <c:v>1065</c:v>
                </c:pt>
                <c:pt idx="25">
                  <c:v>1100</c:v>
                </c:pt>
                <c:pt idx="26">
                  <c:v>1235.4099999999999</c:v>
                </c:pt>
                <c:pt idx="27">
                  <c:v>1287.2</c:v>
                </c:pt>
                <c:pt idx="28">
                  <c:v>1287.4000000000001</c:v>
                </c:pt>
                <c:pt idx="29">
                  <c:v>1430</c:v>
                </c:pt>
                <c:pt idx="30">
                  <c:v>1460.1000000000001</c:v>
                </c:pt>
                <c:pt idx="31">
                  <c:v>2505</c:v>
                </c:pt>
                <c:pt idx="32">
                  <c:v>2556</c:v>
                </c:pt>
                <c:pt idx="33">
                  <c:v>2590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17-BF4A-B2D1-CBFBAC84D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31936"/>
        <c:axId val="1101609376"/>
      </c:scatterChart>
      <c:valAx>
        <c:axId val="11016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09376"/>
        <c:crosses val="autoZero"/>
        <c:crossBetween val="midCat"/>
      </c:valAx>
      <c:valAx>
        <c:axId val="1101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PC!$O$1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56522029765888"/>
                  <c:y val="0.266336769163969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PC!$O$2:$O$49</c:f>
              <c:numCache>
                <c:formatCode>General</c:formatCode>
                <c:ptCount val="48"/>
                <c:pt idx="0">
                  <c:v>156</c:v>
                </c:pt>
                <c:pt idx="1">
                  <c:v>138.19999999999999</c:v>
                </c:pt>
                <c:pt idx="2">
                  <c:v>149.1</c:v>
                </c:pt>
                <c:pt idx="3">
                  <c:v>156</c:v>
                </c:pt>
                <c:pt idx="4">
                  <c:v>153</c:v>
                </c:pt>
                <c:pt idx="5">
                  <c:v>246.77</c:v>
                </c:pt>
                <c:pt idx="6" formatCode="0.00">
                  <c:v>268.64</c:v>
                </c:pt>
                <c:pt idx="7" formatCode="0.00">
                  <c:v>200.03200000000001</c:v>
                </c:pt>
                <c:pt idx="8">
                  <c:v>257.60000000000002</c:v>
                </c:pt>
                <c:pt idx="9">
                  <c:v>228.3</c:v>
                </c:pt>
                <c:pt idx="10">
                  <c:v>229.34</c:v>
                </c:pt>
                <c:pt idx="11">
                  <c:v>277</c:v>
                </c:pt>
                <c:pt idx="12">
                  <c:v>293.10000000000002</c:v>
                </c:pt>
                <c:pt idx="13">
                  <c:v>277</c:v>
                </c:pt>
                <c:pt idx="14">
                  <c:v>285</c:v>
                </c:pt>
                <c:pt idx="15">
                  <c:v>296</c:v>
                </c:pt>
                <c:pt idx="16">
                  <c:v>288</c:v>
                </c:pt>
                <c:pt idx="17">
                  <c:v>281.7</c:v>
                </c:pt>
                <c:pt idx="18">
                  <c:v>294</c:v>
                </c:pt>
                <c:pt idx="19">
                  <c:v>310</c:v>
                </c:pt>
                <c:pt idx="20">
                  <c:v>296</c:v>
                </c:pt>
                <c:pt idx="21">
                  <c:v>265</c:v>
                </c:pt>
                <c:pt idx="22">
                  <c:v>320</c:v>
                </c:pt>
                <c:pt idx="23">
                  <c:v>316</c:v>
                </c:pt>
                <c:pt idx="24">
                  <c:v>335</c:v>
                </c:pt>
                <c:pt idx="25">
                  <c:v>340</c:v>
                </c:pt>
                <c:pt idx="27">
                  <c:v>341</c:v>
                </c:pt>
                <c:pt idx="28">
                  <c:v>367</c:v>
                </c:pt>
                <c:pt idx="29">
                  <c:v>351</c:v>
                </c:pt>
                <c:pt idx="30">
                  <c:v>385</c:v>
                </c:pt>
                <c:pt idx="31" formatCode="0.00">
                  <c:v>349</c:v>
                </c:pt>
                <c:pt idx="32">
                  <c:v>378</c:v>
                </c:pt>
                <c:pt idx="33">
                  <c:v>357.36</c:v>
                </c:pt>
                <c:pt idx="34">
                  <c:v>364</c:v>
                </c:pt>
                <c:pt idx="35">
                  <c:v>369.7</c:v>
                </c:pt>
                <c:pt idx="36">
                  <c:v>480</c:v>
                </c:pt>
                <c:pt idx="37">
                  <c:v>546</c:v>
                </c:pt>
                <c:pt idx="38">
                  <c:v>508.6</c:v>
                </c:pt>
                <c:pt idx="39">
                  <c:v>125.6</c:v>
                </c:pt>
                <c:pt idx="40">
                  <c:v>158.9</c:v>
                </c:pt>
                <c:pt idx="41">
                  <c:v>189.6</c:v>
                </c:pt>
                <c:pt idx="42">
                  <c:v>244.3</c:v>
                </c:pt>
                <c:pt idx="43">
                  <c:v>435.23</c:v>
                </c:pt>
                <c:pt idx="44">
                  <c:v>808.1</c:v>
                </c:pt>
                <c:pt idx="45">
                  <c:v>831.7</c:v>
                </c:pt>
                <c:pt idx="46">
                  <c:v>1056.5999999999999</c:v>
                </c:pt>
                <c:pt idx="47">
                  <c:v>3404.8</c:v>
                </c:pt>
              </c:numCache>
            </c:numRef>
          </c:xVal>
          <c:yVal>
            <c:numRef>
              <c:f>PC!$L$2:$L$49</c:f>
              <c:numCache>
                <c:formatCode>General</c:formatCode>
                <c:ptCount val="48"/>
                <c:pt idx="0">
                  <c:v>593</c:v>
                </c:pt>
                <c:pt idx="1">
                  <c:v>633</c:v>
                </c:pt>
                <c:pt idx="2">
                  <c:v>660.93000000000006</c:v>
                </c:pt>
                <c:pt idx="3">
                  <c:v>716</c:v>
                </c:pt>
                <c:pt idx="4">
                  <c:v>770</c:v>
                </c:pt>
                <c:pt idx="5">
                  <c:v>1168</c:v>
                </c:pt>
                <c:pt idx="6" formatCode="0.00">
                  <c:v>1176.5999999999999</c:v>
                </c:pt>
                <c:pt idx="7" formatCode="0.00">
                  <c:v>1193.83</c:v>
                </c:pt>
                <c:pt idx="8">
                  <c:v>1196.7</c:v>
                </c:pt>
                <c:pt idx="9">
                  <c:v>1199.5</c:v>
                </c:pt>
                <c:pt idx="10">
                  <c:v>1207.3</c:v>
                </c:pt>
                <c:pt idx="11">
                  <c:v>1333</c:v>
                </c:pt>
                <c:pt idx="12">
                  <c:v>1348</c:v>
                </c:pt>
                <c:pt idx="13">
                  <c:v>1360</c:v>
                </c:pt>
                <c:pt idx="14">
                  <c:v>1408</c:v>
                </c:pt>
                <c:pt idx="15">
                  <c:v>1416</c:v>
                </c:pt>
                <c:pt idx="16">
                  <c:v>1427</c:v>
                </c:pt>
                <c:pt idx="17">
                  <c:v>1439.3</c:v>
                </c:pt>
                <c:pt idx="18">
                  <c:v>1450</c:v>
                </c:pt>
                <c:pt idx="19">
                  <c:v>1476</c:v>
                </c:pt>
                <c:pt idx="20">
                  <c:v>1495</c:v>
                </c:pt>
                <c:pt idx="21">
                  <c:v>1500</c:v>
                </c:pt>
                <c:pt idx="22">
                  <c:v>1622</c:v>
                </c:pt>
                <c:pt idx="23">
                  <c:v>1651</c:v>
                </c:pt>
                <c:pt idx="24">
                  <c:v>1744</c:v>
                </c:pt>
                <c:pt idx="25">
                  <c:v>1774</c:v>
                </c:pt>
                <c:pt idx="26">
                  <c:v>1780</c:v>
                </c:pt>
                <c:pt idx="27">
                  <c:v>1780</c:v>
                </c:pt>
                <c:pt idx="28">
                  <c:v>1830</c:v>
                </c:pt>
                <c:pt idx="29">
                  <c:v>1890</c:v>
                </c:pt>
                <c:pt idx="30">
                  <c:v>1911</c:v>
                </c:pt>
                <c:pt idx="31" formatCode="0.00">
                  <c:v>1940</c:v>
                </c:pt>
                <c:pt idx="32">
                  <c:v>1980</c:v>
                </c:pt>
                <c:pt idx="33">
                  <c:v>1985.9</c:v>
                </c:pt>
                <c:pt idx="34">
                  <c:v>2030</c:v>
                </c:pt>
                <c:pt idx="35">
                  <c:v>2298</c:v>
                </c:pt>
                <c:pt idx="36">
                  <c:v>2790</c:v>
                </c:pt>
                <c:pt idx="37">
                  <c:v>2873</c:v>
                </c:pt>
                <c:pt idx="38">
                  <c:v>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B441-9B82-3B136CCCA8CB}"/>
            </c:ext>
          </c:extLst>
        </c:ser>
        <c:ser>
          <c:idx val="1"/>
          <c:order val="1"/>
          <c:tx>
            <c:strRef>
              <c:f>PC!$P$1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421450930964633"/>
                  <c:y val="3.751222100900982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PC!$P$2:$P$49</c:f>
              <c:numCache>
                <c:formatCode>General</c:formatCode>
                <c:ptCount val="48"/>
                <c:pt idx="0">
                  <c:v>148</c:v>
                </c:pt>
                <c:pt idx="1">
                  <c:v>132.80000000000001</c:v>
                </c:pt>
                <c:pt idx="2">
                  <c:v>144</c:v>
                </c:pt>
                <c:pt idx="3">
                  <c:v>150</c:v>
                </c:pt>
                <c:pt idx="4">
                  <c:v>148</c:v>
                </c:pt>
                <c:pt idx="5">
                  <c:v>237.59</c:v>
                </c:pt>
                <c:pt idx="6" formatCode="0.00">
                  <c:v>258.58999999999997</c:v>
                </c:pt>
                <c:pt idx="7" formatCode="0.00">
                  <c:v>191.74</c:v>
                </c:pt>
                <c:pt idx="8">
                  <c:v>241.12</c:v>
                </c:pt>
                <c:pt idx="9">
                  <c:v>216.7</c:v>
                </c:pt>
                <c:pt idx="10">
                  <c:v>223.06</c:v>
                </c:pt>
                <c:pt idx="11">
                  <c:v>261</c:v>
                </c:pt>
                <c:pt idx="12">
                  <c:v>281.10000000000002</c:v>
                </c:pt>
                <c:pt idx="13">
                  <c:v>264</c:v>
                </c:pt>
                <c:pt idx="14">
                  <c:v>273</c:v>
                </c:pt>
                <c:pt idx="15">
                  <c:v>285</c:v>
                </c:pt>
                <c:pt idx="16">
                  <c:v>272</c:v>
                </c:pt>
                <c:pt idx="17">
                  <c:v>270</c:v>
                </c:pt>
                <c:pt idx="18">
                  <c:v>273</c:v>
                </c:pt>
                <c:pt idx="19">
                  <c:v>288</c:v>
                </c:pt>
                <c:pt idx="20">
                  <c:v>289</c:v>
                </c:pt>
                <c:pt idx="21">
                  <c:v>259</c:v>
                </c:pt>
                <c:pt idx="22">
                  <c:v>306</c:v>
                </c:pt>
                <c:pt idx="23">
                  <c:v>305</c:v>
                </c:pt>
                <c:pt idx="24">
                  <c:v>313</c:v>
                </c:pt>
                <c:pt idx="25">
                  <c:v>333</c:v>
                </c:pt>
                <c:pt idx="26">
                  <c:v>290</c:v>
                </c:pt>
                <c:pt idx="27">
                  <c:v>330</c:v>
                </c:pt>
                <c:pt idx="28">
                  <c:v>347</c:v>
                </c:pt>
                <c:pt idx="29">
                  <c:v>325</c:v>
                </c:pt>
                <c:pt idx="30">
                  <c:v>362</c:v>
                </c:pt>
                <c:pt idx="31" formatCode="0.00">
                  <c:v>333</c:v>
                </c:pt>
                <c:pt idx="32">
                  <c:v>361</c:v>
                </c:pt>
                <c:pt idx="33">
                  <c:v>342.19</c:v>
                </c:pt>
                <c:pt idx="34">
                  <c:v>349.6</c:v>
                </c:pt>
                <c:pt idx="35">
                  <c:v>357</c:v>
                </c:pt>
                <c:pt idx="36">
                  <c:v>456</c:v>
                </c:pt>
                <c:pt idx="37">
                  <c:v>528</c:v>
                </c:pt>
                <c:pt idx="38">
                  <c:v>487.4</c:v>
                </c:pt>
                <c:pt idx="39">
                  <c:v>119.3</c:v>
                </c:pt>
                <c:pt idx="40">
                  <c:v>153.19999999999999</c:v>
                </c:pt>
                <c:pt idx="41">
                  <c:v>179.5</c:v>
                </c:pt>
                <c:pt idx="42">
                  <c:v>234.4</c:v>
                </c:pt>
                <c:pt idx="43">
                  <c:v>415.43</c:v>
                </c:pt>
                <c:pt idx="44">
                  <c:v>776.1</c:v>
                </c:pt>
                <c:pt idx="45">
                  <c:v>804.6</c:v>
                </c:pt>
                <c:pt idx="46">
                  <c:v>1003.5</c:v>
                </c:pt>
                <c:pt idx="47">
                  <c:v>3288.2</c:v>
                </c:pt>
              </c:numCache>
            </c:numRef>
          </c:xVal>
          <c:yVal>
            <c:numRef>
              <c:f>PC!$L$2:$L$49</c:f>
              <c:numCache>
                <c:formatCode>General</c:formatCode>
                <c:ptCount val="48"/>
                <c:pt idx="0">
                  <c:v>593</c:v>
                </c:pt>
                <c:pt idx="1">
                  <c:v>633</c:v>
                </c:pt>
                <c:pt idx="2">
                  <c:v>660.93000000000006</c:v>
                </c:pt>
                <c:pt idx="3">
                  <c:v>716</c:v>
                </c:pt>
                <c:pt idx="4">
                  <c:v>770</c:v>
                </c:pt>
                <c:pt idx="5">
                  <c:v>1168</c:v>
                </c:pt>
                <c:pt idx="6" formatCode="0.00">
                  <c:v>1176.5999999999999</c:v>
                </c:pt>
                <c:pt idx="7" formatCode="0.00">
                  <c:v>1193.83</c:v>
                </c:pt>
                <c:pt idx="8">
                  <c:v>1196.7</c:v>
                </c:pt>
                <c:pt idx="9">
                  <c:v>1199.5</c:v>
                </c:pt>
                <c:pt idx="10">
                  <c:v>1207.3</c:v>
                </c:pt>
                <c:pt idx="11">
                  <c:v>1333</c:v>
                </c:pt>
                <c:pt idx="12">
                  <c:v>1348</c:v>
                </c:pt>
                <c:pt idx="13">
                  <c:v>1360</c:v>
                </c:pt>
                <c:pt idx="14">
                  <c:v>1408</c:v>
                </c:pt>
                <c:pt idx="15">
                  <c:v>1416</c:v>
                </c:pt>
                <c:pt idx="16">
                  <c:v>1427</c:v>
                </c:pt>
                <c:pt idx="17">
                  <c:v>1439.3</c:v>
                </c:pt>
                <c:pt idx="18">
                  <c:v>1450</c:v>
                </c:pt>
                <c:pt idx="19">
                  <c:v>1476</c:v>
                </c:pt>
                <c:pt idx="20">
                  <c:v>1495</c:v>
                </c:pt>
                <c:pt idx="21">
                  <c:v>1500</c:v>
                </c:pt>
                <c:pt idx="22">
                  <c:v>1622</c:v>
                </c:pt>
                <c:pt idx="23">
                  <c:v>1651</c:v>
                </c:pt>
                <c:pt idx="24">
                  <c:v>1744</c:v>
                </c:pt>
                <c:pt idx="25">
                  <c:v>1774</c:v>
                </c:pt>
                <c:pt idx="26">
                  <c:v>1780</c:v>
                </c:pt>
                <c:pt idx="27">
                  <c:v>1780</c:v>
                </c:pt>
                <c:pt idx="28">
                  <c:v>1830</c:v>
                </c:pt>
                <c:pt idx="29">
                  <c:v>1890</c:v>
                </c:pt>
                <c:pt idx="30">
                  <c:v>1911</c:v>
                </c:pt>
                <c:pt idx="31" formatCode="0.00">
                  <c:v>1940</c:v>
                </c:pt>
                <c:pt idx="32">
                  <c:v>1980</c:v>
                </c:pt>
                <c:pt idx="33">
                  <c:v>1985.9</c:v>
                </c:pt>
                <c:pt idx="34">
                  <c:v>2030</c:v>
                </c:pt>
                <c:pt idx="35">
                  <c:v>2298</c:v>
                </c:pt>
                <c:pt idx="36">
                  <c:v>2790</c:v>
                </c:pt>
                <c:pt idx="37">
                  <c:v>2873</c:v>
                </c:pt>
                <c:pt idx="38">
                  <c:v>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5-B441-9B82-3B136CCCA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559456"/>
        <c:axId val="1177810944"/>
      </c:scatterChart>
      <c:valAx>
        <c:axId val="1178559456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10944"/>
        <c:crosses val="autoZero"/>
        <c:crossBetween val="midCat"/>
      </c:valAx>
      <c:valAx>
        <c:axId val="1177810944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5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PC!$O$1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9.4179630552326116E-2"/>
                  <c:y val="0.21849572508363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PC!$O$2:$O$49</c:f>
              <c:numCache>
                <c:formatCode>General</c:formatCode>
                <c:ptCount val="48"/>
                <c:pt idx="0">
                  <c:v>156</c:v>
                </c:pt>
                <c:pt idx="1">
                  <c:v>138.19999999999999</c:v>
                </c:pt>
                <c:pt idx="2">
                  <c:v>149.1</c:v>
                </c:pt>
                <c:pt idx="3">
                  <c:v>156</c:v>
                </c:pt>
                <c:pt idx="4">
                  <c:v>153</c:v>
                </c:pt>
                <c:pt idx="5">
                  <c:v>246.77</c:v>
                </c:pt>
                <c:pt idx="6" formatCode="0.00">
                  <c:v>268.64</c:v>
                </c:pt>
                <c:pt idx="7" formatCode="0.00">
                  <c:v>200.03200000000001</c:v>
                </c:pt>
                <c:pt idx="8">
                  <c:v>257.60000000000002</c:v>
                </c:pt>
                <c:pt idx="9">
                  <c:v>228.3</c:v>
                </c:pt>
                <c:pt idx="10">
                  <c:v>229.34</c:v>
                </c:pt>
                <c:pt idx="11">
                  <c:v>277</c:v>
                </c:pt>
                <c:pt idx="12">
                  <c:v>293.10000000000002</c:v>
                </c:pt>
                <c:pt idx="13">
                  <c:v>277</c:v>
                </c:pt>
                <c:pt idx="14">
                  <c:v>285</c:v>
                </c:pt>
                <c:pt idx="15">
                  <c:v>296</c:v>
                </c:pt>
                <c:pt idx="16">
                  <c:v>288</c:v>
                </c:pt>
                <c:pt idx="17">
                  <c:v>281.7</c:v>
                </c:pt>
                <c:pt idx="18">
                  <c:v>294</c:v>
                </c:pt>
                <c:pt idx="19">
                  <c:v>310</c:v>
                </c:pt>
                <c:pt idx="20">
                  <c:v>296</c:v>
                </c:pt>
                <c:pt idx="21">
                  <c:v>265</c:v>
                </c:pt>
                <c:pt idx="22">
                  <c:v>320</c:v>
                </c:pt>
                <c:pt idx="23">
                  <c:v>316</c:v>
                </c:pt>
                <c:pt idx="24">
                  <c:v>335</c:v>
                </c:pt>
                <c:pt idx="25">
                  <c:v>340</c:v>
                </c:pt>
                <c:pt idx="27">
                  <c:v>341</c:v>
                </c:pt>
                <c:pt idx="28">
                  <c:v>367</c:v>
                </c:pt>
                <c:pt idx="29">
                  <c:v>351</c:v>
                </c:pt>
                <c:pt idx="30">
                  <c:v>385</c:v>
                </c:pt>
                <c:pt idx="31" formatCode="0.00">
                  <c:v>349</c:v>
                </c:pt>
                <c:pt idx="32">
                  <c:v>378</c:v>
                </c:pt>
                <c:pt idx="33">
                  <c:v>357.36</c:v>
                </c:pt>
                <c:pt idx="34">
                  <c:v>364</c:v>
                </c:pt>
                <c:pt idx="35">
                  <c:v>369.7</c:v>
                </c:pt>
                <c:pt idx="36">
                  <c:v>480</c:v>
                </c:pt>
                <c:pt idx="37">
                  <c:v>546</c:v>
                </c:pt>
                <c:pt idx="38">
                  <c:v>508.6</c:v>
                </c:pt>
                <c:pt idx="39">
                  <c:v>125.6</c:v>
                </c:pt>
                <c:pt idx="40">
                  <c:v>158.9</c:v>
                </c:pt>
                <c:pt idx="41">
                  <c:v>189.6</c:v>
                </c:pt>
                <c:pt idx="42">
                  <c:v>244.3</c:v>
                </c:pt>
                <c:pt idx="43">
                  <c:v>435.23</c:v>
                </c:pt>
                <c:pt idx="44">
                  <c:v>808.1</c:v>
                </c:pt>
                <c:pt idx="45">
                  <c:v>831.7</c:v>
                </c:pt>
                <c:pt idx="46">
                  <c:v>1056.5999999999999</c:v>
                </c:pt>
                <c:pt idx="47">
                  <c:v>3404.8</c:v>
                </c:pt>
              </c:numCache>
            </c:numRef>
          </c:xVal>
          <c:yVal>
            <c:numRef>
              <c:f>PC!$L$2:$L$49</c:f>
              <c:numCache>
                <c:formatCode>General</c:formatCode>
                <c:ptCount val="48"/>
                <c:pt idx="0">
                  <c:v>593</c:v>
                </c:pt>
                <c:pt idx="1">
                  <c:v>633</c:v>
                </c:pt>
                <c:pt idx="2">
                  <c:v>660.93000000000006</c:v>
                </c:pt>
                <c:pt idx="3">
                  <c:v>716</c:v>
                </c:pt>
                <c:pt idx="4">
                  <c:v>770</c:v>
                </c:pt>
                <c:pt idx="5">
                  <c:v>1168</c:v>
                </c:pt>
                <c:pt idx="6" formatCode="0.00">
                  <c:v>1176.5999999999999</c:v>
                </c:pt>
                <c:pt idx="7" formatCode="0.00">
                  <c:v>1193.83</c:v>
                </c:pt>
                <c:pt idx="8">
                  <c:v>1196.7</c:v>
                </c:pt>
                <c:pt idx="9">
                  <c:v>1199.5</c:v>
                </c:pt>
                <c:pt idx="10">
                  <c:v>1207.3</c:v>
                </c:pt>
                <c:pt idx="11">
                  <c:v>1333</c:v>
                </c:pt>
                <c:pt idx="12">
                  <c:v>1348</c:v>
                </c:pt>
                <c:pt idx="13">
                  <c:v>1360</c:v>
                </c:pt>
                <c:pt idx="14">
                  <c:v>1408</c:v>
                </c:pt>
                <c:pt idx="15">
                  <c:v>1416</c:v>
                </c:pt>
                <c:pt idx="16">
                  <c:v>1427</c:v>
                </c:pt>
                <c:pt idx="17">
                  <c:v>1439.3</c:v>
                </c:pt>
                <c:pt idx="18">
                  <c:v>1450</c:v>
                </c:pt>
                <c:pt idx="19">
                  <c:v>1476</c:v>
                </c:pt>
                <c:pt idx="20">
                  <c:v>1495</c:v>
                </c:pt>
                <c:pt idx="21">
                  <c:v>1500</c:v>
                </c:pt>
                <c:pt idx="22">
                  <c:v>1622</c:v>
                </c:pt>
                <c:pt idx="23">
                  <c:v>1651</c:v>
                </c:pt>
                <c:pt idx="24">
                  <c:v>1744</c:v>
                </c:pt>
                <c:pt idx="25">
                  <c:v>1774</c:v>
                </c:pt>
                <c:pt idx="26">
                  <c:v>1780</c:v>
                </c:pt>
                <c:pt idx="27">
                  <c:v>1780</c:v>
                </c:pt>
                <c:pt idx="28">
                  <c:v>1830</c:v>
                </c:pt>
                <c:pt idx="29">
                  <c:v>1890</c:v>
                </c:pt>
                <c:pt idx="30">
                  <c:v>1911</c:v>
                </c:pt>
                <c:pt idx="31" formatCode="0.00">
                  <c:v>1940</c:v>
                </c:pt>
                <c:pt idx="32">
                  <c:v>1980</c:v>
                </c:pt>
                <c:pt idx="33">
                  <c:v>1985.9</c:v>
                </c:pt>
                <c:pt idx="34">
                  <c:v>2030</c:v>
                </c:pt>
                <c:pt idx="35">
                  <c:v>2298</c:v>
                </c:pt>
                <c:pt idx="36">
                  <c:v>2790</c:v>
                </c:pt>
                <c:pt idx="37">
                  <c:v>2873</c:v>
                </c:pt>
                <c:pt idx="38">
                  <c:v>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02-434E-A40B-233A3F747C43}"/>
            </c:ext>
          </c:extLst>
        </c:ser>
        <c:ser>
          <c:idx val="1"/>
          <c:order val="1"/>
          <c:tx>
            <c:strRef>
              <c:f>PC!$P$1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93003611937344"/>
                  <c:y val="-8.673743339804220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PC!$P$2:$P$49</c:f>
              <c:numCache>
                <c:formatCode>General</c:formatCode>
                <c:ptCount val="48"/>
                <c:pt idx="0">
                  <c:v>148</c:v>
                </c:pt>
                <c:pt idx="1">
                  <c:v>132.80000000000001</c:v>
                </c:pt>
                <c:pt idx="2">
                  <c:v>144</c:v>
                </c:pt>
                <c:pt idx="3">
                  <c:v>150</c:v>
                </c:pt>
                <c:pt idx="4">
                  <c:v>148</c:v>
                </c:pt>
                <c:pt idx="5">
                  <c:v>237.59</c:v>
                </c:pt>
                <c:pt idx="6" formatCode="0.00">
                  <c:v>258.58999999999997</c:v>
                </c:pt>
                <c:pt idx="7" formatCode="0.00">
                  <c:v>191.74</c:v>
                </c:pt>
                <c:pt idx="8">
                  <c:v>241.12</c:v>
                </c:pt>
                <c:pt idx="9">
                  <c:v>216.7</c:v>
                </c:pt>
                <c:pt idx="10">
                  <c:v>223.06</c:v>
                </c:pt>
                <c:pt idx="11">
                  <c:v>261</c:v>
                </c:pt>
                <c:pt idx="12">
                  <c:v>281.10000000000002</c:v>
                </c:pt>
                <c:pt idx="13">
                  <c:v>264</c:v>
                </c:pt>
                <c:pt idx="14">
                  <c:v>273</c:v>
                </c:pt>
                <c:pt idx="15">
                  <c:v>285</c:v>
                </c:pt>
                <c:pt idx="16">
                  <c:v>272</c:v>
                </c:pt>
                <c:pt idx="17">
                  <c:v>270</c:v>
                </c:pt>
                <c:pt idx="18">
                  <c:v>273</c:v>
                </c:pt>
                <c:pt idx="19">
                  <c:v>288</c:v>
                </c:pt>
                <c:pt idx="20">
                  <c:v>289</c:v>
                </c:pt>
                <c:pt idx="21">
                  <c:v>259</c:v>
                </c:pt>
                <c:pt idx="22">
                  <c:v>306</c:v>
                </c:pt>
                <c:pt idx="23">
                  <c:v>305</c:v>
                </c:pt>
                <c:pt idx="24">
                  <c:v>313</c:v>
                </c:pt>
                <c:pt idx="25">
                  <c:v>333</c:v>
                </c:pt>
                <c:pt idx="26">
                  <c:v>290</c:v>
                </c:pt>
                <c:pt idx="27">
                  <c:v>330</c:v>
                </c:pt>
                <c:pt idx="28">
                  <c:v>347</c:v>
                </c:pt>
                <c:pt idx="29">
                  <c:v>325</c:v>
                </c:pt>
                <c:pt idx="30">
                  <c:v>362</c:v>
                </c:pt>
                <c:pt idx="31" formatCode="0.00">
                  <c:v>333</c:v>
                </c:pt>
                <c:pt idx="32">
                  <c:v>361</c:v>
                </c:pt>
                <c:pt idx="33">
                  <c:v>342.19</c:v>
                </c:pt>
                <c:pt idx="34">
                  <c:v>349.6</c:v>
                </c:pt>
                <c:pt idx="35">
                  <c:v>357</c:v>
                </c:pt>
                <c:pt idx="36">
                  <c:v>456</c:v>
                </c:pt>
                <c:pt idx="37">
                  <c:v>528</c:v>
                </c:pt>
                <c:pt idx="38">
                  <c:v>487.4</c:v>
                </c:pt>
                <c:pt idx="39">
                  <c:v>119.3</c:v>
                </c:pt>
                <c:pt idx="40">
                  <c:v>153.19999999999999</c:v>
                </c:pt>
                <c:pt idx="41">
                  <c:v>179.5</c:v>
                </c:pt>
                <c:pt idx="42">
                  <c:v>234.4</c:v>
                </c:pt>
                <c:pt idx="43">
                  <c:v>415.43</c:v>
                </c:pt>
                <c:pt idx="44">
                  <c:v>776.1</c:v>
                </c:pt>
                <c:pt idx="45">
                  <c:v>804.6</c:v>
                </c:pt>
                <c:pt idx="46">
                  <c:v>1003.5</c:v>
                </c:pt>
                <c:pt idx="47">
                  <c:v>3288.2</c:v>
                </c:pt>
              </c:numCache>
            </c:numRef>
          </c:xVal>
          <c:yVal>
            <c:numRef>
              <c:f>PC!$L$2:$L$49</c:f>
              <c:numCache>
                <c:formatCode>General</c:formatCode>
                <c:ptCount val="48"/>
                <c:pt idx="0">
                  <c:v>593</c:v>
                </c:pt>
                <c:pt idx="1">
                  <c:v>633</c:v>
                </c:pt>
                <c:pt idx="2">
                  <c:v>660.93000000000006</c:v>
                </c:pt>
                <c:pt idx="3">
                  <c:v>716</c:v>
                </c:pt>
                <c:pt idx="4">
                  <c:v>770</c:v>
                </c:pt>
                <c:pt idx="5">
                  <c:v>1168</c:v>
                </c:pt>
                <c:pt idx="6" formatCode="0.00">
                  <c:v>1176.5999999999999</c:v>
                </c:pt>
                <c:pt idx="7" formatCode="0.00">
                  <c:v>1193.83</c:v>
                </c:pt>
                <c:pt idx="8">
                  <c:v>1196.7</c:v>
                </c:pt>
                <c:pt idx="9">
                  <c:v>1199.5</c:v>
                </c:pt>
                <c:pt idx="10">
                  <c:v>1207.3</c:v>
                </c:pt>
                <c:pt idx="11">
                  <c:v>1333</c:v>
                </c:pt>
                <c:pt idx="12">
                  <c:v>1348</c:v>
                </c:pt>
                <c:pt idx="13">
                  <c:v>1360</c:v>
                </c:pt>
                <c:pt idx="14">
                  <c:v>1408</c:v>
                </c:pt>
                <c:pt idx="15">
                  <c:v>1416</c:v>
                </c:pt>
                <c:pt idx="16">
                  <c:v>1427</c:v>
                </c:pt>
                <c:pt idx="17">
                  <c:v>1439.3</c:v>
                </c:pt>
                <c:pt idx="18">
                  <c:v>1450</c:v>
                </c:pt>
                <c:pt idx="19">
                  <c:v>1476</c:v>
                </c:pt>
                <c:pt idx="20">
                  <c:v>1495</c:v>
                </c:pt>
                <c:pt idx="21">
                  <c:v>1500</c:v>
                </c:pt>
                <c:pt idx="22">
                  <c:v>1622</c:v>
                </c:pt>
                <c:pt idx="23">
                  <c:v>1651</c:v>
                </c:pt>
                <c:pt idx="24">
                  <c:v>1744</c:v>
                </c:pt>
                <c:pt idx="25">
                  <c:v>1774</c:v>
                </c:pt>
                <c:pt idx="26">
                  <c:v>1780</c:v>
                </c:pt>
                <c:pt idx="27">
                  <c:v>1780</c:v>
                </c:pt>
                <c:pt idx="28">
                  <c:v>1830</c:v>
                </c:pt>
                <c:pt idx="29">
                  <c:v>1890</c:v>
                </c:pt>
                <c:pt idx="30">
                  <c:v>1911</c:v>
                </c:pt>
                <c:pt idx="31" formatCode="0.00">
                  <c:v>1940</c:v>
                </c:pt>
                <c:pt idx="32">
                  <c:v>1980</c:v>
                </c:pt>
                <c:pt idx="33">
                  <c:v>1985.9</c:v>
                </c:pt>
                <c:pt idx="34">
                  <c:v>2030</c:v>
                </c:pt>
                <c:pt idx="35">
                  <c:v>2298</c:v>
                </c:pt>
                <c:pt idx="36">
                  <c:v>2790</c:v>
                </c:pt>
                <c:pt idx="37">
                  <c:v>2873</c:v>
                </c:pt>
                <c:pt idx="38">
                  <c:v>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02-434E-A40B-233A3F74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559456"/>
        <c:axId val="1177810944"/>
      </c:scatterChart>
      <c:valAx>
        <c:axId val="1178559456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10944"/>
        <c:crosses val="autoZero"/>
        <c:crossBetween val="midCat"/>
      </c:valAx>
      <c:valAx>
        <c:axId val="1177810944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5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TL Linear</a:t>
            </a:r>
          </a:p>
        </c:rich>
      </c:tx>
      <c:layout>
        <c:manualLayout>
          <c:xMode val="edge"/>
          <c:yMode val="edge"/>
          <c:x val="0.4002915573053368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PP!$T$1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369860017497809E-2"/>
                  <c:y val="0.18472222222222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PP!$T$2:$T$284</c:f>
              <c:numCache>
                <c:formatCode>General</c:formatCode>
                <c:ptCount val="283"/>
                <c:pt idx="0">
                  <c:v>205</c:v>
                </c:pt>
                <c:pt idx="1">
                  <c:v>213.9</c:v>
                </c:pt>
                <c:pt idx="2">
                  <c:v>228</c:v>
                </c:pt>
                <c:pt idx="3">
                  <c:v>228</c:v>
                </c:pt>
                <c:pt idx="4">
                  <c:v>228.37</c:v>
                </c:pt>
                <c:pt idx="5">
                  <c:v>260.02999999999997</c:v>
                </c:pt>
                <c:pt idx="6">
                  <c:v>243</c:v>
                </c:pt>
                <c:pt idx="7">
                  <c:v>238</c:v>
                </c:pt>
                <c:pt idx="8">
                  <c:v>241.81</c:v>
                </c:pt>
                <c:pt idx="9">
                  <c:v>247</c:v>
                </c:pt>
                <c:pt idx="10">
                  <c:v>248</c:v>
                </c:pt>
                <c:pt idx="11">
                  <c:v>250</c:v>
                </c:pt>
                <c:pt idx="12">
                  <c:v>244</c:v>
                </c:pt>
                <c:pt idx="13">
                  <c:v>265</c:v>
                </c:pt>
                <c:pt idx="14">
                  <c:v>257</c:v>
                </c:pt>
                <c:pt idx="15">
                  <c:v>255</c:v>
                </c:pt>
                <c:pt idx="16">
                  <c:v>275</c:v>
                </c:pt>
                <c:pt idx="17">
                  <c:v>265</c:v>
                </c:pt>
                <c:pt idx="18">
                  <c:v>257</c:v>
                </c:pt>
                <c:pt idx="19">
                  <c:v>273</c:v>
                </c:pt>
                <c:pt idx="20">
                  <c:v>312.52</c:v>
                </c:pt>
                <c:pt idx="21">
                  <c:v>265</c:v>
                </c:pt>
                <c:pt idx="22">
                  <c:v>264</c:v>
                </c:pt>
                <c:pt idx="23">
                  <c:v>272</c:v>
                </c:pt>
                <c:pt idx="24">
                  <c:v>275</c:v>
                </c:pt>
                <c:pt idx="25">
                  <c:v>270</c:v>
                </c:pt>
                <c:pt idx="26">
                  <c:v>275</c:v>
                </c:pt>
                <c:pt idx="28">
                  <c:v>288</c:v>
                </c:pt>
                <c:pt idx="29">
                  <c:v>285</c:v>
                </c:pt>
                <c:pt idx="30">
                  <c:v>275</c:v>
                </c:pt>
                <c:pt idx="31">
                  <c:v>293.7</c:v>
                </c:pt>
                <c:pt idx="32">
                  <c:v>285</c:v>
                </c:pt>
                <c:pt idx="33">
                  <c:v>302</c:v>
                </c:pt>
                <c:pt idx="34">
                  <c:v>305</c:v>
                </c:pt>
                <c:pt idx="35">
                  <c:v>287</c:v>
                </c:pt>
                <c:pt idx="36">
                  <c:v>296</c:v>
                </c:pt>
                <c:pt idx="37">
                  <c:v>290</c:v>
                </c:pt>
                <c:pt idx="38">
                  <c:v>305.86</c:v>
                </c:pt>
                <c:pt idx="39">
                  <c:v>300</c:v>
                </c:pt>
                <c:pt idx="40">
                  <c:v>307</c:v>
                </c:pt>
                <c:pt idx="41">
                  <c:v>306</c:v>
                </c:pt>
                <c:pt idx="42">
                  <c:v>310</c:v>
                </c:pt>
                <c:pt idx="43">
                  <c:v>304</c:v>
                </c:pt>
                <c:pt idx="44">
                  <c:v>330.03</c:v>
                </c:pt>
                <c:pt idx="45">
                  <c:v>317</c:v>
                </c:pt>
                <c:pt idx="46">
                  <c:v>327</c:v>
                </c:pt>
                <c:pt idx="48">
                  <c:v>336.5</c:v>
                </c:pt>
                <c:pt idx="49">
                  <c:v>331</c:v>
                </c:pt>
                <c:pt idx="50">
                  <c:v>413</c:v>
                </c:pt>
                <c:pt idx="52">
                  <c:v>358</c:v>
                </c:pt>
                <c:pt idx="54">
                  <c:v>382</c:v>
                </c:pt>
                <c:pt idx="55">
                  <c:v>335</c:v>
                </c:pt>
                <c:pt idx="56">
                  <c:v>356</c:v>
                </c:pt>
                <c:pt idx="57">
                  <c:v>375</c:v>
                </c:pt>
                <c:pt idx="58">
                  <c:v>368</c:v>
                </c:pt>
                <c:pt idx="59">
                  <c:v>370</c:v>
                </c:pt>
                <c:pt idx="60">
                  <c:v>362</c:v>
                </c:pt>
                <c:pt idx="61">
                  <c:v>357</c:v>
                </c:pt>
                <c:pt idx="62">
                  <c:v>365</c:v>
                </c:pt>
                <c:pt idx="63">
                  <c:v>374</c:v>
                </c:pt>
                <c:pt idx="64">
                  <c:v>375</c:v>
                </c:pt>
                <c:pt idx="65">
                  <c:v>390</c:v>
                </c:pt>
                <c:pt idx="66">
                  <c:v>362</c:v>
                </c:pt>
                <c:pt idx="67">
                  <c:v>375</c:v>
                </c:pt>
                <c:pt idx="68">
                  <c:v>392</c:v>
                </c:pt>
                <c:pt idx="69">
                  <c:v>390</c:v>
                </c:pt>
                <c:pt idx="70">
                  <c:v>370</c:v>
                </c:pt>
                <c:pt idx="71">
                  <c:v>395</c:v>
                </c:pt>
                <c:pt idx="72">
                  <c:v>408</c:v>
                </c:pt>
                <c:pt idx="73">
                  <c:v>405</c:v>
                </c:pt>
                <c:pt idx="74">
                  <c:v>384</c:v>
                </c:pt>
                <c:pt idx="75">
                  <c:v>390</c:v>
                </c:pt>
                <c:pt idx="76">
                  <c:v>385</c:v>
                </c:pt>
                <c:pt idx="77">
                  <c:v>389</c:v>
                </c:pt>
                <c:pt idx="79">
                  <c:v>385</c:v>
                </c:pt>
                <c:pt idx="80">
                  <c:v>398.22</c:v>
                </c:pt>
                <c:pt idx="81">
                  <c:v>430</c:v>
                </c:pt>
                <c:pt idx="82">
                  <c:v>387</c:v>
                </c:pt>
                <c:pt idx="83">
                  <c:v>425</c:v>
                </c:pt>
                <c:pt idx="84">
                  <c:v>400</c:v>
                </c:pt>
                <c:pt idx="85">
                  <c:v>405</c:v>
                </c:pt>
                <c:pt idx="86">
                  <c:v>443</c:v>
                </c:pt>
                <c:pt idx="87">
                  <c:v>456</c:v>
                </c:pt>
                <c:pt idx="88">
                  <c:v>483</c:v>
                </c:pt>
                <c:pt idx="89">
                  <c:v>428.11</c:v>
                </c:pt>
                <c:pt idx="90">
                  <c:v>456</c:v>
                </c:pt>
                <c:pt idx="91">
                  <c:v>520</c:v>
                </c:pt>
                <c:pt idx="92">
                  <c:v>598.69000000000005</c:v>
                </c:pt>
                <c:pt idx="93">
                  <c:v>550</c:v>
                </c:pt>
                <c:pt idx="94">
                  <c:v>525.20000000000005</c:v>
                </c:pt>
                <c:pt idx="95">
                  <c:v>550</c:v>
                </c:pt>
                <c:pt idx="96">
                  <c:v>550</c:v>
                </c:pt>
                <c:pt idx="97">
                  <c:v>679.35</c:v>
                </c:pt>
                <c:pt idx="98">
                  <c:v>610</c:v>
                </c:pt>
                <c:pt idx="99">
                  <c:v>590</c:v>
                </c:pt>
                <c:pt idx="100">
                  <c:v>620</c:v>
                </c:pt>
                <c:pt idx="101">
                  <c:v>913</c:v>
                </c:pt>
                <c:pt idx="102">
                  <c:v>1066</c:v>
                </c:pt>
                <c:pt idx="103">
                  <c:v>1196</c:v>
                </c:pt>
                <c:pt idx="104">
                  <c:v>1245.4000000000001</c:v>
                </c:pt>
                <c:pt idx="105">
                  <c:v>1518.6</c:v>
                </c:pt>
                <c:pt idx="106">
                  <c:v>1408.5</c:v>
                </c:pt>
                <c:pt idx="107">
                  <c:v>250.49</c:v>
                </c:pt>
                <c:pt idx="108">
                  <c:v>254.7</c:v>
                </c:pt>
                <c:pt idx="109">
                  <c:v>265.39999999999998</c:v>
                </c:pt>
                <c:pt idx="110">
                  <c:v>376.5</c:v>
                </c:pt>
                <c:pt idx="111">
                  <c:v>388.7</c:v>
                </c:pt>
                <c:pt idx="112">
                  <c:v>447</c:v>
                </c:pt>
                <c:pt idx="113">
                  <c:v>450.6</c:v>
                </c:pt>
                <c:pt idx="114">
                  <c:v>500</c:v>
                </c:pt>
                <c:pt idx="115">
                  <c:v>650</c:v>
                </c:pt>
                <c:pt idx="116">
                  <c:v>642.5</c:v>
                </c:pt>
                <c:pt idx="117">
                  <c:v>813.9</c:v>
                </c:pt>
                <c:pt idx="118">
                  <c:v>855.2</c:v>
                </c:pt>
                <c:pt idx="119">
                  <c:v>977.2</c:v>
                </c:pt>
                <c:pt idx="120">
                  <c:v>1233.9000000000001</c:v>
                </c:pt>
                <c:pt idx="121">
                  <c:v>1309.3</c:v>
                </c:pt>
              </c:numCache>
            </c:numRef>
          </c:xVal>
          <c:yVal>
            <c:numRef>
              <c:f>PP!$R$2:$R$284</c:f>
              <c:numCache>
                <c:formatCode>General</c:formatCode>
                <c:ptCount val="283"/>
                <c:pt idx="0">
                  <c:v>825</c:v>
                </c:pt>
                <c:pt idx="1">
                  <c:v>872.2</c:v>
                </c:pt>
                <c:pt idx="2">
                  <c:v>874</c:v>
                </c:pt>
                <c:pt idx="3">
                  <c:v>899</c:v>
                </c:pt>
                <c:pt idx="4">
                  <c:v>899.05</c:v>
                </c:pt>
                <c:pt idx="5">
                  <c:v>906.8</c:v>
                </c:pt>
                <c:pt idx="6">
                  <c:v>980</c:v>
                </c:pt>
                <c:pt idx="7">
                  <c:v>990</c:v>
                </c:pt>
                <c:pt idx="8">
                  <c:v>992.24</c:v>
                </c:pt>
                <c:pt idx="9">
                  <c:v>1022</c:v>
                </c:pt>
                <c:pt idx="10">
                  <c:v>1028</c:v>
                </c:pt>
                <c:pt idx="11">
                  <c:v>1029</c:v>
                </c:pt>
                <c:pt idx="12">
                  <c:v>1031</c:v>
                </c:pt>
                <c:pt idx="13">
                  <c:v>1055</c:v>
                </c:pt>
                <c:pt idx="14">
                  <c:v>1056</c:v>
                </c:pt>
                <c:pt idx="15">
                  <c:v>1059</c:v>
                </c:pt>
                <c:pt idx="16">
                  <c:v>1062</c:v>
                </c:pt>
                <c:pt idx="17">
                  <c:v>1070</c:v>
                </c:pt>
                <c:pt idx="18">
                  <c:v>1090</c:v>
                </c:pt>
                <c:pt idx="19">
                  <c:v>1098</c:v>
                </c:pt>
                <c:pt idx="20">
                  <c:v>1098.0999999999999</c:v>
                </c:pt>
                <c:pt idx="21">
                  <c:v>1110</c:v>
                </c:pt>
                <c:pt idx="22">
                  <c:v>1111</c:v>
                </c:pt>
                <c:pt idx="23">
                  <c:v>1126</c:v>
                </c:pt>
                <c:pt idx="24">
                  <c:v>1135</c:v>
                </c:pt>
                <c:pt idx="25">
                  <c:v>1150</c:v>
                </c:pt>
                <c:pt idx="26">
                  <c:v>1150</c:v>
                </c:pt>
                <c:pt idx="27">
                  <c:v>1160</c:v>
                </c:pt>
                <c:pt idx="28">
                  <c:v>1170</c:v>
                </c:pt>
                <c:pt idx="29">
                  <c:v>1185</c:v>
                </c:pt>
                <c:pt idx="30">
                  <c:v>1210</c:v>
                </c:pt>
                <c:pt idx="31">
                  <c:v>1217.5999999999999</c:v>
                </c:pt>
                <c:pt idx="32">
                  <c:v>1240</c:v>
                </c:pt>
                <c:pt idx="33">
                  <c:v>1244</c:v>
                </c:pt>
                <c:pt idx="34">
                  <c:v>1250</c:v>
                </c:pt>
                <c:pt idx="35">
                  <c:v>1274</c:v>
                </c:pt>
                <c:pt idx="36">
                  <c:v>1274</c:v>
                </c:pt>
                <c:pt idx="37">
                  <c:v>1280</c:v>
                </c:pt>
                <c:pt idx="38">
                  <c:v>1284.8</c:v>
                </c:pt>
                <c:pt idx="39">
                  <c:v>1300</c:v>
                </c:pt>
                <c:pt idx="40">
                  <c:v>1312</c:v>
                </c:pt>
                <c:pt idx="41">
                  <c:v>1316</c:v>
                </c:pt>
                <c:pt idx="42">
                  <c:v>1325</c:v>
                </c:pt>
                <c:pt idx="43">
                  <c:v>1340</c:v>
                </c:pt>
                <c:pt idx="44">
                  <c:v>1369.3</c:v>
                </c:pt>
                <c:pt idx="45">
                  <c:v>1380</c:v>
                </c:pt>
                <c:pt idx="46">
                  <c:v>1413</c:v>
                </c:pt>
                <c:pt idx="47">
                  <c:v>1420</c:v>
                </c:pt>
                <c:pt idx="48">
                  <c:v>1427.7</c:v>
                </c:pt>
                <c:pt idx="49">
                  <c:v>1460</c:v>
                </c:pt>
                <c:pt idx="50" formatCode="0.0">
                  <c:v>1464.23</c:v>
                </c:pt>
                <c:pt idx="51">
                  <c:v>1465</c:v>
                </c:pt>
                <c:pt idx="52">
                  <c:v>1490</c:v>
                </c:pt>
                <c:pt idx="53">
                  <c:v>1495</c:v>
                </c:pt>
                <c:pt idx="54">
                  <c:v>1499</c:v>
                </c:pt>
                <c:pt idx="55">
                  <c:v>1520</c:v>
                </c:pt>
                <c:pt idx="56">
                  <c:v>1520</c:v>
                </c:pt>
                <c:pt idx="57">
                  <c:v>1530</c:v>
                </c:pt>
                <c:pt idx="58">
                  <c:v>1540</c:v>
                </c:pt>
                <c:pt idx="59">
                  <c:v>1550</c:v>
                </c:pt>
                <c:pt idx="60">
                  <c:v>1553</c:v>
                </c:pt>
                <c:pt idx="61">
                  <c:v>1565</c:v>
                </c:pt>
                <c:pt idx="62">
                  <c:v>1575</c:v>
                </c:pt>
                <c:pt idx="63">
                  <c:v>1582</c:v>
                </c:pt>
                <c:pt idx="64">
                  <c:v>1598</c:v>
                </c:pt>
                <c:pt idx="65">
                  <c:v>1620</c:v>
                </c:pt>
                <c:pt idx="66">
                  <c:v>1622</c:v>
                </c:pt>
                <c:pt idx="67">
                  <c:v>1640</c:v>
                </c:pt>
                <c:pt idx="68">
                  <c:v>1643</c:v>
                </c:pt>
                <c:pt idx="69">
                  <c:v>1646</c:v>
                </c:pt>
                <c:pt idx="70">
                  <c:v>1647</c:v>
                </c:pt>
                <c:pt idx="71">
                  <c:v>1650</c:v>
                </c:pt>
                <c:pt idx="72">
                  <c:v>1668</c:v>
                </c:pt>
                <c:pt idx="73">
                  <c:v>1670</c:v>
                </c:pt>
                <c:pt idx="74">
                  <c:v>1684</c:v>
                </c:pt>
                <c:pt idx="75">
                  <c:v>1686</c:v>
                </c:pt>
                <c:pt idx="76">
                  <c:v>1695</c:v>
                </c:pt>
                <c:pt idx="77">
                  <c:v>1704</c:v>
                </c:pt>
                <c:pt idx="78">
                  <c:v>1708</c:v>
                </c:pt>
                <c:pt idx="79">
                  <c:v>1714</c:v>
                </c:pt>
                <c:pt idx="80">
                  <c:v>1730.8</c:v>
                </c:pt>
                <c:pt idx="81">
                  <c:v>1733</c:v>
                </c:pt>
                <c:pt idx="82">
                  <c:v>1750</c:v>
                </c:pt>
                <c:pt idx="83">
                  <c:v>1800</c:v>
                </c:pt>
                <c:pt idx="84">
                  <c:v>1835</c:v>
                </c:pt>
                <c:pt idx="85">
                  <c:v>1842</c:v>
                </c:pt>
                <c:pt idx="86">
                  <c:v>1895</c:v>
                </c:pt>
                <c:pt idx="87">
                  <c:v>2060</c:v>
                </c:pt>
                <c:pt idx="88">
                  <c:v>2100</c:v>
                </c:pt>
                <c:pt idx="89">
                  <c:v>2106.6</c:v>
                </c:pt>
                <c:pt idx="90">
                  <c:v>2150</c:v>
                </c:pt>
                <c:pt idx="91">
                  <c:v>2190</c:v>
                </c:pt>
                <c:pt idx="92">
                  <c:v>2211.66</c:v>
                </c:pt>
                <c:pt idx="93">
                  <c:v>2285</c:v>
                </c:pt>
                <c:pt idx="94">
                  <c:v>2365.6</c:v>
                </c:pt>
                <c:pt idx="95">
                  <c:v>2370</c:v>
                </c:pt>
                <c:pt idx="96">
                  <c:v>2435</c:v>
                </c:pt>
                <c:pt idx="97">
                  <c:v>2516.1099999999997</c:v>
                </c:pt>
                <c:pt idx="98">
                  <c:v>2570</c:v>
                </c:pt>
                <c:pt idx="99">
                  <c:v>2645</c:v>
                </c:pt>
                <c:pt idx="100">
                  <c:v>2690</c:v>
                </c:pt>
                <c:pt idx="101">
                  <c:v>4340</c:v>
                </c:pt>
                <c:pt idx="102">
                  <c:v>5182</c:v>
                </c:pt>
                <c:pt idx="103">
                  <c:v>5241.7</c:v>
                </c:pt>
                <c:pt idx="104">
                  <c:v>5600</c:v>
                </c:pt>
                <c:pt idx="105">
                  <c:v>5810</c:v>
                </c:pt>
                <c:pt idx="106">
                  <c:v>6408.96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A-A247-A887-ADBAAB2E7A11}"/>
            </c:ext>
          </c:extLst>
        </c:ser>
        <c:ser>
          <c:idx val="1"/>
          <c:order val="1"/>
          <c:tx>
            <c:strRef>
              <c:f>PP!$U$1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85516013814932"/>
                  <c:y val="-0.10915622291112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PP!$U$2:$U$284</c:f>
              <c:numCache>
                <c:formatCode>General</c:formatCode>
                <c:ptCount val="283"/>
                <c:pt idx="0">
                  <c:v>193</c:v>
                </c:pt>
                <c:pt idx="1">
                  <c:v>205</c:v>
                </c:pt>
                <c:pt idx="2">
                  <c:v>217</c:v>
                </c:pt>
                <c:pt idx="3">
                  <c:v>219</c:v>
                </c:pt>
                <c:pt idx="4">
                  <c:v>219.7</c:v>
                </c:pt>
                <c:pt idx="5">
                  <c:v>252</c:v>
                </c:pt>
                <c:pt idx="6">
                  <c:v>232</c:v>
                </c:pt>
                <c:pt idx="7">
                  <c:v>229</c:v>
                </c:pt>
                <c:pt idx="8">
                  <c:v>225.16</c:v>
                </c:pt>
                <c:pt idx="9">
                  <c:v>237</c:v>
                </c:pt>
                <c:pt idx="10">
                  <c:v>237</c:v>
                </c:pt>
                <c:pt idx="11">
                  <c:v>241</c:v>
                </c:pt>
                <c:pt idx="12">
                  <c:v>234</c:v>
                </c:pt>
                <c:pt idx="13">
                  <c:v>252</c:v>
                </c:pt>
                <c:pt idx="14">
                  <c:v>244</c:v>
                </c:pt>
                <c:pt idx="15">
                  <c:v>247</c:v>
                </c:pt>
                <c:pt idx="16">
                  <c:v>266</c:v>
                </c:pt>
                <c:pt idx="17">
                  <c:v>257</c:v>
                </c:pt>
                <c:pt idx="18">
                  <c:v>248</c:v>
                </c:pt>
                <c:pt idx="19">
                  <c:v>259</c:v>
                </c:pt>
                <c:pt idx="20">
                  <c:v>299.73</c:v>
                </c:pt>
                <c:pt idx="21">
                  <c:v>255</c:v>
                </c:pt>
                <c:pt idx="22">
                  <c:v>254</c:v>
                </c:pt>
                <c:pt idx="23">
                  <c:v>257</c:v>
                </c:pt>
                <c:pt idx="24">
                  <c:v>255</c:v>
                </c:pt>
                <c:pt idx="25">
                  <c:v>258</c:v>
                </c:pt>
                <c:pt idx="26">
                  <c:v>268</c:v>
                </c:pt>
                <c:pt idx="27">
                  <c:v>275</c:v>
                </c:pt>
                <c:pt idx="28">
                  <c:v>276</c:v>
                </c:pt>
                <c:pt idx="29">
                  <c:v>273</c:v>
                </c:pt>
                <c:pt idx="30">
                  <c:v>262</c:v>
                </c:pt>
                <c:pt idx="31">
                  <c:v>278.2</c:v>
                </c:pt>
                <c:pt idx="32">
                  <c:v>274</c:v>
                </c:pt>
                <c:pt idx="33">
                  <c:v>290</c:v>
                </c:pt>
                <c:pt idx="34">
                  <c:v>297</c:v>
                </c:pt>
                <c:pt idx="35">
                  <c:v>277</c:v>
                </c:pt>
                <c:pt idx="36">
                  <c:v>284</c:v>
                </c:pt>
                <c:pt idx="37">
                  <c:v>285</c:v>
                </c:pt>
                <c:pt idx="38">
                  <c:v>292.95999999999998</c:v>
                </c:pt>
                <c:pt idx="39">
                  <c:v>285</c:v>
                </c:pt>
                <c:pt idx="40">
                  <c:v>294</c:v>
                </c:pt>
                <c:pt idx="41">
                  <c:v>292</c:v>
                </c:pt>
                <c:pt idx="42">
                  <c:v>295</c:v>
                </c:pt>
                <c:pt idx="43">
                  <c:v>296</c:v>
                </c:pt>
                <c:pt idx="44">
                  <c:v>319.3</c:v>
                </c:pt>
                <c:pt idx="45">
                  <c:v>300</c:v>
                </c:pt>
                <c:pt idx="46">
                  <c:v>311</c:v>
                </c:pt>
                <c:pt idx="47">
                  <c:v>313</c:v>
                </c:pt>
                <c:pt idx="48">
                  <c:v>320.86</c:v>
                </c:pt>
                <c:pt idx="49">
                  <c:v>316</c:v>
                </c:pt>
                <c:pt idx="50">
                  <c:v>392.4</c:v>
                </c:pt>
                <c:pt idx="51">
                  <c:v>338</c:v>
                </c:pt>
                <c:pt idx="52">
                  <c:v>348</c:v>
                </c:pt>
                <c:pt idx="53">
                  <c:v>323</c:v>
                </c:pt>
                <c:pt idx="54">
                  <c:v>364</c:v>
                </c:pt>
                <c:pt idx="55">
                  <c:v>323</c:v>
                </c:pt>
                <c:pt idx="56">
                  <c:v>339</c:v>
                </c:pt>
                <c:pt idx="57">
                  <c:v>352</c:v>
                </c:pt>
                <c:pt idx="58">
                  <c:v>350</c:v>
                </c:pt>
                <c:pt idx="59">
                  <c:v>355</c:v>
                </c:pt>
                <c:pt idx="60">
                  <c:v>349</c:v>
                </c:pt>
                <c:pt idx="61">
                  <c:v>344</c:v>
                </c:pt>
                <c:pt idx="62">
                  <c:v>346</c:v>
                </c:pt>
                <c:pt idx="63">
                  <c:v>356</c:v>
                </c:pt>
                <c:pt idx="64">
                  <c:v>359</c:v>
                </c:pt>
                <c:pt idx="65">
                  <c:v>375</c:v>
                </c:pt>
                <c:pt idx="66">
                  <c:v>345</c:v>
                </c:pt>
                <c:pt idx="67">
                  <c:v>358</c:v>
                </c:pt>
                <c:pt idx="68">
                  <c:v>376</c:v>
                </c:pt>
                <c:pt idx="69">
                  <c:v>370</c:v>
                </c:pt>
                <c:pt idx="70">
                  <c:v>353</c:v>
                </c:pt>
                <c:pt idx="71">
                  <c:v>375</c:v>
                </c:pt>
                <c:pt idx="72">
                  <c:v>392</c:v>
                </c:pt>
                <c:pt idx="73">
                  <c:v>391</c:v>
                </c:pt>
                <c:pt idx="74">
                  <c:v>375</c:v>
                </c:pt>
                <c:pt idx="75">
                  <c:v>371</c:v>
                </c:pt>
                <c:pt idx="76">
                  <c:v>375</c:v>
                </c:pt>
                <c:pt idx="77">
                  <c:v>372</c:v>
                </c:pt>
                <c:pt idx="78">
                  <c:v>367</c:v>
                </c:pt>
                <c:pt idx="79">
                  <c:v>369</c:v>
                </c:pt>
                <c:pt idx="80">
                  <c:v>367.94</c:v>
                </c:pt>
                <c:pt idx="81">
                  <c:v>410</c:v>
                </c:pt>
                <c:pt idx="82">
                  <c:v>371</c:v>
                </c:pt>
                <c:pt idx="83">
                  <c:v>398</c:v>
                </c:pt>
                <c:pt idx="84">
                  <c:v>385</c:v>
                </c:pt>
                <c:pt idx="85">
                  <c:v>384</c:v>
                </c:pt>
                <c:pt idx="86">
                  <c:v>430</c:v>
                </c:pt>
                <c:pt idx="87">
                  <c:v>441</c:v>
                </c:pt>
                <c:pt idx="88">
                  <c:v>463</c:v>
                </c:pt>
                <c:pt idx="89">
                  <c:v>413.78</c:v>
                </c:pt>
                <c:pt idx="90">
                  <c:v>442</c:v>
                </c:pt>
                <c:pt idx="91">
                  <c:v>490</c:v>
                </c:pt>
                <c:pt idx="92">
                  <c:v>570.5</c:v>
                </c:pt>
                <c:pt idx="93">
                  <c:v>520</c:v>
                </c:pt>
                <c:pt idx="94">
                  <c:v>492.84</c:v>
                </c:pt>
                <c:pt idx="95">
                  <c:v>525</c:v>
                </c:pt>
                <c:pt idx="96">
                  <c:v>530</c:v>
                </c:pt>
                <c:pt idx="97">
                  <c:v>655.37</c:v>
                </c:pt>
                <c:pt idx="98">
                  <c:v>575</c:v>
                </c:pt>
                <c:pt idx="99">
                  <c:v>560</c:v>
                </c:pt>
                <c:pt idx="100">
                  <c:v>603</c:v>
                </c:pt>
                <c:pt idx="101">
                  <c:v>879</c:v>
                </c:pt>
                <c:pt idx="102">
                  <c:v>1015</c:v>
                </c:pt>
                <c:pt idx="103">
                  <c:v>1136</c:v>
                </c:pt>
                <c:pt idx="104">
                  <c:v>1189.5999999999999</c:v>
                </c:pt>
                <c:pt idx="105">
                  <c:v>1421.1</c:v>
                </c:pt>
                <c:pt idx="106">
                  <c:v>1366.3</c:v>
                </c:pt>
                <c:pt idx="107">
                  <c:v>239.7</c:v>
                </c:pt>
                <c:pt idx="108">
                  <c:v>244.8</c:v>
                </c:pt>
                <c:pt idx="109">
                  <c:v>256.2</c:v>
                </c:pt>
                <c:pt idx="110">
                  <c:v>365.1</c:v>
                </c:pt>
                <c:pt idx="111">
                  <c:v>374.42</c:v>
                </c:pt>
                <c:pt idx="112">
                  <c:v>427.8</c:v>
                </c:pt>
                <c:pt idx="113">
                  <c:v>434.5</c:v>
                </c:pt>
                <c:pt idx="114">
                  <c:v>478.7</c:v>
                </c:pt>
                <c:pt idx="115">
                  <c:v>619.79999999999995</c:v>
                </c:pt>
                <c:pt idx="116">
                  <c:v>619.79999999999995</c:v>
                </c:pt>
                <c:pt idx="117">
                  <c:v>777.4</c:v>
                </c:pt>
                <c:pt idx="118">
                  <c:v>825.1</c:v>
                </c:pt>
                <c:pt idx="119">
                  <c:v>936.9</c:v>
                </c:pt>
                <c:pt idx="120">
                  <c:v>1173.4000000000001</c:v>
                </c:pt>
                <c:pt idx="121">
                  <c:v>1238.3</c:v>
                </c:pt>
              </c:numCache>
            </c:numRef>
          </c:xVal>
          <c:yVal>
            <c:numRef>
              <c:f>PP!$R$2:$R$284</c:f>
              <c:numCache>
                <c:formatCode>General</c:formatCode>
                <c:ptCount val="283"/>
                <c:pt idx="0">
                  <c:v>825</c:v>
                </c:pt>
                <c:pt idx="1">
                  <c:v>872.2</c:v>
                </c:pt>
                <c:pt idx="2">
                  <c:v>874</c:v>
                </c:pt>
                <c:pt idx="3">
                  <c:v>899</c:v>
                </c:pt>
                <c:pt idx="4">
                  <c:v>899.05</c:v>
                </c:pt>
                <c:pt idx="5">
                  <c:v>906.8</c:v>
                </c:pt>
                <c:pt idx="6">
                  <c:v>980</c:v>
                </c:pt>
                <c:pt idx="7">
                  <c:v>990</c:v>
                </c:pt>
                <c:pt idx="8">
                  <c:v>992.24</c:v>
                </c:pt>
                <c:pt idx="9">
                  <c:v>1022</c:v>
                </c:pt>
                <c:pt idx="10">
                  <c:v>1028</c:v>
                </c:pt>
                <c:pt idx="11">
                  <c:v>1029</c:v>
                </c:pt>
                <c:pt idx="12">
                  <c:v>1031</c:v>
                </c:pt>
                <c:pt idx="13">
                  <c:v>1055</c:v>
                </c:pt>
                <c:pt idx="14">
                  <c:v>1056</c:v>
                </c:pt>
                <c:pt idx="15">
                  <c:v>1059</c:v>
                </c:pt>
                <c:pt idx="16">
                  <c:v>1062</c:v>
                </c:pt>
                <c:pt idx="17">
                  <c:v>1070</c:v>
                </c:pt>
                <c:pt idx="18">
                  <c:v>1090</c:v>
                </c:pt>
                <c:pt idx="19">
                  <c:v>1098</c:v>
                </c:pt>
                <c:pt idx="20">
                  <c:v>1098.0999999999999</c:v>
                </c:pt>
                <c:pt idx="21">
                  <c:v>1110</c:v>
                </c:pt>
                <c:pt idx="22">
                  <c:v>1111</c:v>
                </c:pt>
                <c:pt idx="23">
                  <c:v>1126</c:v>
                </c:pt>
                <c:pt idx="24">
                  <c:v>1135</c:v>
                </c:pt>
                <c:pt idx="25">
                  <c:v>1150</c:v>
                </c:pt>
                <c:pt idx="26">
                  <c:v>1150</c:v>
                </c:pt>
                <c:pt idx="27">
                  <c:v>1160</c:v>
                </c:pt>
                <c:pt idx="28">
                  <c:v>1170</c:v>
                </c:pt>
                <c:pt idx="29">
                  <c:v>1185</c:v>
                </c:pt>
                <c:pt idx="30">
                  <c:v>1210</c:v>
                </c:pt>
                <c:pt idx="31">
                  <c:v>1217.5999999999999</c:v>
                </c:pt>
                <c:pt idx="32">
                  <c:v>1240</c:v>
                </c:pt>
                <c:pt idx="33">
                  <c:v>1244</c:v>
                </c:pt>
                <c:pt idx="34">
                  <c:v>1250</c:v>
                </c:pt>
                <c:pt idx="35">
                  <c:v>1274</c:v>
                </c:pt>
                <c:pt idx="36">
                  <c:v>1274</c:v>
                </c:pt>
                <c:pt idx="37">
                  <c:v>1280</c:v>
                </c:pt>
                <c:pt idx="38">
                  <c:v>1284.8</c:v>
                </c:pt>
                <c:pt idx="39">
                  <c:v>1300</c:v>
                </c:pt>
                <c:pt idx="40">
                  <c:v>1312</c:v>
                </c:pt>
                <c:pt idx="41">
                  <c:v>1316</c:v>
                </c:pt>
                <c:pt idx="42">
                  <c:v>1325</c:v>
                </c:pt>
                <c:pt idx="43">
                  <c:v>1340</c:v>
                </c:pt>
                <c:pt idx="44">
                  <c:v>1369.3</c:v>
                </c:pt>
                <c:pt idx="45">
                  <c:v>1380</c:v>
                </c:pt>
                <c:pt idx="46">
                  <c:v>1413</c:v>
                </c:pt>
                <c:pt idx="47">
                  <c:v>1420</c:v>
                </c:pt>
                <c:pt idx="48">
                  <c:v>1427.7</c:v>
                </c:pt>
                <c:pt idx="49">
                  <c:v>1460</c:v>
                </c:pt>
                <c:pt idx="50" formatCode="0.0">
                  <c:v>1464.23</c:v>
                </c:pt>
                <c:pt idx="51">
                  <c:v>1465</c:v>
                </c:pt>
                <c:pt idx="52">
                  <c:v>1490</c:v>
                </c:pt>
                <c:pt idx="53">
                  <c:v>1495</c:v>
                </c:pt>
                <c:pt idx="54">
                  <c:v>1499</c:v>
                </c:pt>
                <c:pt idx="55">
                  <c:v>1520</c:v>
                </c:pt>
                <c:pt idx="56">
                  <c:v>1520</c:v>
                </c:pt>
                <c:pt idx="57">
                  <c:v>1530</c:v>
                </c:pt>
                <c:pt idx="58">
                  <c:v>1540</c:v>
                </c:pt>
                <c:pt idx="59">
                  <c:v>1550</c:v>
                </c:pt>
                <c:pt idx="60">
                  <c:v>1553</c:v>
                </c:pt>
                <c:pt idx="61">
                  <c:v>1565</c:v>
                </c:pt>
                <c:pt idx="62">
                  <c:v>1575</c:v>
                </c:pt>
                <c:pt idx="63">
                  <c:v>1582</c:v>
                </c:pt>
                <c:pt idx="64">
                  <c:v>1598</c:v>
                </c:pt>
                <c:pt idx="65">
                  <c:v>1620</c:v>
                </c:pt>
                <c:pt idx="66">
                  <c:v>1622</c:v>
                </c:pt>
                <c:pt idx="67">
                  <c:v>1640</c:v>
                </c:pt>
                <c:pt idx="68">
                  <c:v>1643</c:v>
                </c:pt>
                <c:pt idx="69">
                  <c:v>1646</c:v>
                </c:pt>
                <c:pt idx="70">
                  <c:v>1647</c:v>
                </c:pt>
                <c:pt idx="71">
                  <c:v>1650</c:v>
                </c:pt>
                <c:pt idx="72">
                  <c:v>1668</c:v>
                </c:pt>
                <c:pt idx="73">
                  <c:v>1670</c:v>
                </c:pt>
                <c:pt idx="74">
                  <c:v>1684</c:v>
                </c:pt>
                <c:pt idx="75">
                  <c:v>1686</c:v>
                </c:pt>
                <c:pt idx="76">
                  <c:v>1695</c:v>
                </c:pt>
                <c:pt idx="77">
                  <c:v>1704</c:v>
                </c:pt>
                <c:pt idx="78">
                  <c:v>1708</c:v>
                </c:pt>
                <c:pt idx="79">
                  <c:v>1714</c:v>
                </c:pt>
                <c:pt idx="80">
                  <c:v>1730.8</c:v>
                </c:pt>
                <c:pt idx="81">
                  <c:v>1733</c:v>
                </c:pt>
                <c:pt idx="82">
                  <c:v>1750</c:v>
                </c:pt>
                <c:pt idx="83">
                  <c:v>1800</c:v>
                </c:pt>
                <c:pt idx="84">
                  <c:v>1835</c:v>
                </c:pt>
                <c:pt idx="85">
                  <c:v>1842</c:v>
                </c:pt>
                <c:pt idx="86">
                  <c:v>1895</c:v>
                </c:pt>
                <c:pt idx="87">
                  <c:v>2060</c:v>
                </c:pt>
                <c:pt idx="88">
                  <c:v>2100</c:v>
                </c:pt>
                <c:pt idx="89">
                  <c:v>2106.6</c:v>
                </c:pt>
                <c:pt idx="90">
                  <c:v>2150</c:v>
                </c:pt>
                <c:pt idx="91">
                  <c:v>2190</c:v>
                </c:pt>
                <c:pt idx="92">
                  <c:v>2211.66</c:v>
                </c:pt>
                <c:pt idx="93">
                  <c:v>2285</c:v>
                </c:pt>
                <c:pt idx="94">
                  <c:v>2365.6</c:v>
                </c:pt>
                <c:pt idx="95">
                  <c:v>2370</c:v>
                </c:pt>
                <c:pt idx="96">
                  <c:v>2435</c:v>
                </c:pt>
                <c:pt idx="97">
                  <c:v>2516.1099999999997</c:v>
                </c:pt>
                <c:pt idx="98">
                  <c:v>2570</c:v>
                </c:pt>
                <c:pt idx="99">
                  <c:v>2645</c:v>
                </c:pt>
                <c:pt idx="100">
                  <c:v>2690</c:v>
                </c:pt>
                <c:pt idx="101">
                  <c:v>4340</c:v>
                </c:pt>
                <c:pt idx="102">
                  <c:v>5182</c:v>
                </c:pt>
                <c:pt idx="103">
                  <c:v>5241.7</c:v>
                </c:pt>
                <c:pt idx="104">
                  <c:v>5600</c:v>
                </c:pt>
                <c:pt idx="105">
                  <c:v>5810</c:v>
                </c:pt>
                <c:pt idx="106">
                  <c:v>6408.96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A-A247-A887-ADBAAB2E7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713808"/>
        <c:axId val="1342301952"/>
      </c:scatterChart>
      <c:valAx>
        <c:axId val="134271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01952"/>
        <c:crosses val="autoZero"/>
        <c:crossBetween val="midCat"/>
      </c:valAx>
      <c:valAx>
        <c:axId val="13423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713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TL Exp</a:t>
            </a:r>
          </a:p>
        </c:rich>
      </c:tx>
      <c:layout>
        <c:manualLayout>
          <c:xMode val="edge"/>
          <c:yMode val="edge"/>
          <c:x val="0.4002915573053368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PP!$T$1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0263217097862768E-2"/>
                  <c:y val="0.16965098634294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PP!$T$2:$T$284</c:f>
              <c:numCache>
                <c:formatCode>General</c:formatCode>
                <c:ptCount val="283"/>
                <c:pt idx="0">
                  <c:v>205</c:v>
                </c:pt>
                <c:pt idx="1">
                  <c:v>213.9</c:v>
                </c:pt>
                <c:pt idx="2">
                  <c:v>228</c:v>
                </c:pt>
                <c:pt idx="3">
                  <c:v>228</c:v>
                </c:pt>
                <c:pt idx="4">
                  <c:v>228.37</c:v>
                </c:pt>
                <c:pt idx="5">
                  <c:v>260.02999999999997</c:v>
                </c:pt>
                <c:pt idx="6">
                  <c:v>243</c:v>
                </c:pt>
                <c:pt idx="7">
                  <c:v>238</c:v>
                </c:pt>
                <c:pt idx="8">
                  <c:v>241.81</c:v>
                </c:pt>
                <c:pt idx="9">
                  <c:v>247</c:v>
                </c:pt>
                <c:pt idx="10">
                  <c:v>248</c:v>
                </c:pt>
                <c:pt idx="11">
                  <c:v>250</c:v>
                </c:pt>
                <c:pt idx="12">
                  <c:v>244</c:v>
                </c:pt>
                <c:pt idx="13">
                  <c:v>265</c:v>
                </c:pt>
                <c:pt idx="14">
                  <c:v>257</c:v>
                </c:pt>
                <c:pt idx="15">
                  <c:v>255</c:v>
                </c:pt>
                <c:pt idx="16">
                  <c:v>275</c:v>
                </c:pt>
                <c:pt idx="17">
                  <c:v>265</c:v>
                </c:pt>
                <c:pt idx="18">
                  <c:v>257</c:v>
                </c:pt>
                <c:pt idx="19">
                  <c:v>273</c:v>
                </c:pt>
                <c:pt idx="20">
                  <c:v>312.52</c:v>
                </c:pt>
                <c:pt idx="21">
                  <c:v>265</c:v>
                </c:pt>
                <c:pt idx="22">
                  <c:v>264</c:v>
                </c:pt>
                <c:pt idx="23">
                  <c:v>272</c:v>
                </c:pt>
                <c:pt idx="24">
                  <c:v>275</c:v>
                </c:pt>
                <c:pt idx="25">
                  <c:v>270</c:v>
                </c:pt>
                <c:pt idx="26">
                  <c:v>275</c:v>
                </c:pt>
                <c:pt idx="28">
                  <c:v>288</c:v>
                </c:pt>
                <c:pt idx="29">
                  <c:v>285</c:v>
                </c:pt>
                <c:pt idx="30">
                  <c:v>275</c:v>
                </c:pt>
                <c:pt idx="31">
                  <c:v>293.7</c:v>
                </c:pt>
                <c:pt idx="32">
                  <c:v>285</c:v>
                </c:pt>
                <c:pt idx="33">
                  <c:v>302</c:v>
                </c:pt>
                <c:pt idx="34">
                  <c:v>305</c:v>
                </c:pt>
                <c:pt idx="35">
                  <c:v>287</c:v>
                </c:pt>
                <c:pt idx="36">
                  <c:v>296</c:v>
                </c:pt>
                <c:pt idx="37">
                  <c:v>290</c:v>
                </c:pt>
                <c:pt idx="38">
                  <c:v>305.86</c:v>
                </c:pt>
                <c:pt idx="39">
                  <c:v>300</c:v>
                </c:pt>
                <c:pt idx="40">
                  <c:v>307</c:v>
                </c:pt>
                <c:pt idx="41">
                  <c:v>306</c:v>
                </c:pt>
                <c:pt idx="42">
                  <c:v>310</c:v>
                </c:pt>
                <c:pt idx="43">
                  <c:v>304</c:v>
                </c:pt>
                <c:pt idx="44">
                  <c:v>330.03</c:v>
                </c:pt>
                <c:pt idx="45">
                  <c:v>317</c:v>
                </c:pt>
                <c:pt idx="46">
                  <c:v>327</c:v>
                </c:pt>
                <c:pt idx="48">
                  <c:v>336.5</c:v>
                </c:pt>
                <c:pt idx="49">
                  <c:v>331</c:v>
                </c:pt>
                <c:pt idx="50">
                  <c:v>413</c:v>
                </c:pt>
                <c:pt idx="52">
                  <c:v>358</c:v>
                </c:pt>
                <c:pt idx="54">
                  <c:v>382</c:v>
                </c:pt>
                <c:pt idx="55">
                  <c:v>335</c:v>
                </c:pt>
                <c:pt idx="56">
                  <c:v>356</c:v>
                </c:pt>
                <c:pt idx="57">
                  <c:v>375</c:v>
                </c:pt>
                <c:pt idx="58">
                  <c:v>368</c:v>
                </c:pt>
                <c:pt idx="59">
                  <c:v>370</c:v>
                </c:pt>
                <c:pt idx="60">
                  <c:v>362</c:v>
                </c:pt>
                <c:pt idx="61">
                  <c:v>357</c:v>
                </c:pt>
                <c:pt idx="62">
                  <c:v>365</c:v>
                </c:pt>
                <c:pt idx="63">
                  <c:v>374</c:v>
                </c:pt>
                <c:pt idx="64">
                  <c:v>375</c:v>
                </c:pt>
                <c:pt idx="65">
                  <c:v>390</c:v>
                </c:pt>
                <c:pt idx="66">
                  <c:v>362</c:v>
                </c:pt>
                <c:pt idx="67">
                  <c:v>375</c:v>
                </c:pt>
                <c:pt idx="68">
                  <c:v>392</c:v>
                </c:pt>
                <c:pt idx="69">
                  <c:v>390</c:v>
                </c:pt>
                <c:pt idx="70">
                  <c:v>370</c:v>
                </c:pt>
                <c:pt idx="71">
                  <c:v>395</c:v>
                </c:pt>
                <c:pt idx="72">
                  <c:v>408</c:v>
                </c:pt>
                <c:pt idx="73">
                  <c:v>405</c:v>
                </c:pt>
                <c:pt idx="74">
                  <c:v>384</c:v>
                </c:pt>
                <c:pt idx="75">
                  <c:v>390</c:v>
                </c:pt>
                <c:pt idx="76">
                  <c:v>385</c:v>
                </c:pt>
                <c:pt idx="77">
                  <c:v>389</c:v>
                </c:pt>
                <c:pt idx="79">
                  <c:v>385</c:v>
                </c:pt>
                <c:pt idx="80">
                  <c:v>398.22</c:v>
                </c:pt>
                <c:pt idx="81">
                  <c:v>430</c:v>
                </c:pt>
                <c:pt idx="82">
                  <c:v>387</c:v>
                </c:pt>
                <c:pt idx="83">
                  <c:v>425</c:v>
                </c:pt>
                <c:pt idx="84">
                  <c:v>400</c:v>
                </c:pt>
                <c:pt idx="85">
                  <c:v>405</c:v>
                </c:pt>
                <c:pt idx="86">
                  <c:v>443</c:v>
                </c:pt>
                <c:pt idx="87">
                  <c:v>456</c:v>
                </c:pt>
                <c:pt idx="88">
                  <c:v>483</c:v>
                </c:pt>
                <c:pt idx="89">
                  <c:v>428.11</c:v>
                </c:pt>
                <c:pt idx="90">
                  <c:v>456</c:v>
                </c:pt>
                <c:pt idx="91">
                  <c:v>520</c:v>
                </c:pt>
                <c:pt idx="92">
                  <c:v>598.69000000000005</c:v>
                </c:pt>
                <c:pt idx="93">
                  <c:v>550</c:v>
                </c:pt>
                <c:pt idx="94">
                  <c:v>525.20000000000005</c:v>
                </c:pt>
                <c:pt idx="95">
                  <c:v>550</c:v>
                </c:pt>
                <c:pt idx="96">
                  <c:v>550</c:v>
                </c:pt>
                <c:pt idx="97">
                  <c:v>679.35</c:v>
                </c:pt>
                <c:pt idx="98">
                  <c:v>610</c:v>
                </c:pt>
                <c:pt idx="99">
                  <c:v>590</c:v>
                </c:pt>
                <c:pt idx="100">
                  <c:v>620</c:v>
                </c:pt>
                <c:pt idx="101">
                  <c:v>913</c:v>
                </c:pt>
                <c:pt idx="102">
                  <c:v>1066</c:v>
                </c:pt>
                <c:pt idx="103">
                  <c:v>1196</c:v>
                </c:pt>
                <c:pt idx="104">
                  <c:v>1245.4000000000001</c:v>
                </c:pt>
                <c:pt idx="105">
                  <c:v>1518.6</c:v>
                </c:pt>
                <c:pt idx="106">
                  <c:v>1408.5</c:v>
                </c:pt>
                <c:pt idx="107">
                  <c:v>250.49</c:v>
                </c:pt>
                <c:pt idx="108">
                  <c:v>254.7</c:v>
                </c:pt>
                <c:pt idx="109">
                  <c:v>265.39999999999998</c:v>
                </c:pt>
                <c:pt idx="110">
                  <c:v>376.5</c:v>
                </c:pt>
                <c:pt idx="111">
                  <c:v>388.7</c:v>
                </c:pt>
                <c:pt idx="112">
                  <c:v>447</c:v>
                </c:pt>
                <c:pt idx="113">
                  <c:v>450.6</c:v>
                </c:pt>
                <c:pt idx="114">
                  <c:v>500</c:v>
                </c:pt>
                <c:pt idx="115">
                  <c:v>650</c:v>
                </c:pt>
                <c:pt idx="116">
                  <c:v>642.5</c:v>
                </c:pt>
                <c:pt idx="117">
                  <c:v>813.9</c:v>
                </c:pt>
                <c:pt idx="118">
                  <c:v>855.2</c:v>
                </c:pt>
                <c:pt idx="119">
                  <c:v>977.2</c:v>
                </c:pt>
                <c:pt idx="120">
                  <c:v>1233.9000000000001</c:v>
                </c:pt>
                <c:pt idx="121">
                  <c:v>1309.3</c:v>
                </c:pt>
              </c:numCache>
            </c:numRef>
          </c:xVal>
          <c:yVal>
            <c:numRef>
              <c:f>PP!$R$2:$R$284</c:f>
              <c:numCache>
                <c:formatCode>General</c:formatCode>
                <c:ptCount val="283"/>
                <c:pt idx="0">
                  <c:v>825</c:v>
                </c:pt>
                <c:pt idx="1">
                  <c:v>872.2</c:v>
                </c:pt>
                <c:pt idx="2">
                  <c:v>874</c:v>
                </c:pt>
                <c:pt idx="3">
                  <c:v>899</c:v>
                </c:pt>
                <c:pt idx="4">
                  <c:v>899.05</c:v>
                </c:pt>
                <c:pt idx="5">
                  <c:v>906.8</c:v>
                </c:pt>
                <c:pt idx="6">
                  <c:v>980</c:v>
                </c:pt>
                <c:pt idx="7">
                  <c:v>990</c:v>
                </c:pt>
                <c:pt idx="8">
                  <c:v>992.24</c:v>
                </c:pt>
                <c:pt idx="9">
                  <c:v>1022</c:v>
                </c:pt>
                <c:pt idx="10">
                  <c:v>1028</c:v>
                </c:pt>
                <c:pt idx="11">
                  <c:v>1029</c:v>
                </c:pt>
                <c:pt idx="12">
                  <c:v>1031</c:v>
                </c:pt>
                <c:pt idx="13">
                  <c:v>1055</c:v>
                </c:pt>
                <c:pt idx="14">
                  <c:v>1056</c:v>
                </c:pt>
                <c:pt idx="15">
                  <c:v>1059</c:v>
                </c:pt>
                <c:pt idx="16">
                  <c:v>1062</c:v>
                </c:pt>
                <c:pt idx="17">
                  <c:v>1070</c:v>
                </c:pt>
                <c:pt idx="18">
                  <c:v>1090</c:v>
                </c:pt>
                <c:pt idx="19">
                  <c:v>1098</c:v>
                </c:pt>
                <c:pt idx="20">
                  <c:v>1098.0999999999999</c:v>
                </c:pt>
                <c:pt idx="21">
                  <c:v>1110</c:v>
                </c:pt>
                <c:pt idx="22">
                  <c:v>1111</c:v>
                </c:pt>
                <c:pt idx="23">
                  <c:v>1126</c:v>
                </c:pt>
                <c:pt idx="24">
                  <c:v>1135</c:v>
                </c:pt>
                <c:pt idx="25">
                  <c:v>1150</c:v>
                </c:pt>
                <c:pt idx="26">
                  <c:v>1150</c:v>
                </c:pt>
                <c:pt idx="27">
                  <c:v>1160</c:v>
                </c:pt>
                <c:pt idx="28">
                  <c:v>1170</c:v>
                </c:pt>
                <c:pt idx="29">
                  <c:v>1185</c:v>
                </c:pt>
                <c:pt idx="30">
                  <c:v>1210</c:v>
                </c:pt>
                <c:pt idx="31">
                  <c:v>1217.5999999999999</c:v>
                </c:pt>
                <c:pt idx="32">
                  <c:v>1240</c:v>
                </c:pt>
                <c:pt idx="33">
                  <c:v>1244</c:v>
                </c:pt>
                <c:pt idx="34">
                  <c:v>1250</c:v>
                </c:pt>
                <c:pt idx="35">
                  <c:v>1274</c:v>
                </c:pt>
                <c:pt idx="36">
                  <c:v>1274</c:v>
                </c:pt>
                <c:pt idx="37">
                  <c:v>1280</c:v>
                </c:pt>
                <c:pt idx="38">
                  <c:v>1284.8</c:v>
                </c:pt>
                <c:pt idx="39">
                  <c:v>1300</c:v>
                </c:pt>
                <c:pt idx="40">
                  <c:v>1312</c:v>
                </c:pt>
                <c:pt idx="41">
                  <c:v>1316</c:v>
                </c:pt>
                <c:pt idx="42">
                  <c:v>1325</c:v>
                </c:pt>
                <c:pt idx="43">
                  <c:v>1340</c:v>
                </c:pt>
                <c:pt idx="44">
                  <c:v>1369.3</c:v>
                </c:pt>
                <c:pt idx="45">
                  <c:v>1380</c:v>
                </c:pt>
                <c:pt idx="46">
                  <c:v>1413</c:v>
                </c:pt>
                <c:pt idx="47">
                  <c:v>1420</c:v>
                </c:pt>
                <c:pt idx="48">
                  <c:v>1427.7</c:v>
                </c:pt>
                <c:pt idx="49">
                  <c:v>1460</c:v>
                </c:pt>
                <c:pt idx="50" formatCode="0.0">
                  <c:v>1464.23</c:v>
                </c:pt>
                <c:pt idx="51">
                  <c:v>1465</c:v>
                </c:pt>
                <c:pt idx="52">
                  <c:v>1490</c:v>
                </c:pt>
                <c:pt idx="53">
                  <c:v>1495</c:v>
                </c:pt>
                <c:pt idx="54">
                  <c:v>1499</c:v>
                </c:pt>
                <c:pt idx="55">
                  <c:v>1520</c:v>
                </c:pt>
                <c:pt idx="56">
                  <c:v>1520</c:v>
                </c:pt>
                <c:pt idx="57">
                  <c:v>1530</c:v>
                </c:pt>
                <c:pt idx="58">
                  <c:v>1540</c:v>
                </c:pt>
                <c:pt idx="59">
                  <c:v>1550</c:v>
                </c:pt>
                <c:pt idx="60">
                  <c:v>1553</c:v>
                </c:pt>
                <c:pt idx="61">
                  <c:v>1565</c:v>
                </c:pt>
                <c:pt idx="62">
                  <c:v>1575</c:v>
                </c:pt>
                <c:pt idx="63">
                  <c:v>1582</c:v>
                </c:pt>
                <c:pt idx="64">
                  <c:v>1598</c:v>
                </c:pt>
                <c:pt idx="65">
                  <c:v>1620</c:v>
                </c:pt>
                <c:pt idx="66">
                  <c:v>1622</c:v>
                </c:pt>
                <c:pt idx="67">
                  <c:v>1640</c:v>
                </c:pt>
                <c:pt idx="68">
                  <c:v>1643</c:v>
                </c:pt>
                <c:pt idx="69">
                  <c:v>1646</c:v>
                </c:pt>
                <c:pt idx="70">
                  <c:v>1647</c:v>
                </c:pt>
                <c:pt idx="71">
                  <c:v>1650</c:v>
                </c:pt>
                <c:pt idx="72">
                  <c:v>1668</c:v>
                </c:pt>
                <c:pt idx="73">
                  <c:v>1670</c:v>
                </c:pt>
                <c:pt idx="74">
                  <c:v>1684</c:v>
                </c:pt>
                <c:pt idx="75">
                  <c:v>1686</c:v>
                </c:pt>
                <c:pt idx="76">
                  <c:v>1695</c:v>
                </c:pt>
                <c:pt idx="77">
                  <c:v>1704</c:v>
                </c:pt>
                <c:pt idx="78">
                  <c:v>1708</c:v>
                </c:pt>
                <c:pt idx="79">
                  <c:v>1714</c:v>
                </c:pt>
                <c:pt idx="80">
                  <c:v>1730.8</c:v>
                </c:pt>
                <c:pt idx="81">
                  <c:v>1733</c:v>
                </c:pt>
                <c:pt idx="82">
                  <c:v>1750</c:v>
                </c:pt>
                <c:pt idx="83">
                  <c:v>1800</c:v>
                </c:pt>
                <c:pt idx="84">
                  <c:v>1835</c:v>
                </c:pt>
                <c:pt idx="85">
                  <c:v>1842</c:v>
                </c:pt>
                <c:pt idx="86">
                  <c:v>1895</c:v>
                </c:pt>
                <c:pt idx="87">
                  <c:v>2060</c:v>
                </c:pt>
                <c:pt idx="88">
                  <c:v>2100</c:v>
                </c:pt>
                <c:pt idx="89">
                  <c:v>2106.6</c:v>
                </c:pt>
                <c:pt idx="90">
                  <c:v>2150</c:v>
                </c:pt>
                <c:pt idx="91">
                  <c:v>2190</c:v>
                </c:pt>
                <c:pt idx="92">
                  <c:v>2211.66</c:v>
                </c:pt>
                <c:pt idx="93">
                  <c:v>2285</c:v>
                </c:pt>
                <c:pt idx="94">
                  <c:v>2365.6</c:v>
                </c:pt>
                <c:pt idx="95">
                  <c:v>2370</c:v>
                </c:pt>
                <c:pt idx="96">
                  <c:v>2435</c:v>
                </c:pt>
                <c:pt idx="97">
                  <c:v>2516.1099999999997</c:v>
                </c:pt>
                <c:pt idx="98">
                  <c:v>2570</c:v>
                </c:pt>
                <c:pt idx="99">
                  <c:v>2645</c:v>
                </c:pt>
                <c:pt idx="100">
                  <c:v>2690</c:v>
                </c:pt>
                <c:pt idx="101">
                  <c:v>4340</c:v>
                </c:pt>
                <c:pt idx="102">
                  <c:v>5182</c:v>
                </c:pt>
                <c:pt idx="103">
                  <c:v>5241.7</c:v>
                </c:pt>
                <c:pt idx="104">
                  <c:v>5600</c:v>
                </c:pt>
                <c:pt idx="105">
                  <c:v>5810</c:v>
                </c:pt>
                <c:pt idx="106">
                  <c:v>6408.96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7D-3E40-8AF2-FFC540DF9127}"/>
            </c:ext>
          </c:extLst>
        </c:ser>
        <c:ser>
          <c:idx val="1"/>
          <c:order val="1"/>
          <c:tx>
            <c:strRef>
              <c:f>PP!$U$1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2.2537392503356436E-2"/>
                  <c:y val="-3.06525037936267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PP!$U$2:$U$284</c:f>
              <c:numCache>
                <c:formatCode>General</c:formatCode>
                <c:ptCount val="283"/>
                <c:pt idx="0">
                  <c:v>193</c:v>
                </c:pt>
                <c:pt idx="1">
                  <c:v>205</c:v>
                </c:pt>
                <c:pt idx="2">
                  <c:v>217</c:v>
                </c:pt>
                <c:pt idx="3">
                  <c:v>219</c:v>
                </c:pt>
                <c:pt idx="4">
                  <c:v>219.7</c:v>
                </c:pt>
                <c:pt idx="5">
                  <c:v>252</c:v>
                </c:pt>
                <c:pt idx="6">
                  <c:v>232</c:v>
                </c:pt>
                <c:pt idx="7">
                  <c:v>229</c:v>
                </c:pt>
                <c:pt idx="8">
                  <c:v>225.16</c:v>
                </c:pt>
                <c:pt idx="9">
                  <c:v>237</c:v>
                </c:pt>
                <c:pt idx="10">
                  <c:v>237</c:v>
                </c:pt>
                <c:pt idx="11">
                  <c:v>241</c:v>
                </c:pt>
                <c:pt idx="12">
                  <c:v>234</c:v>
                </c:pt>
                <c:pt idx="13">
                  <c:v>252</c:v>
                </c:pt>
                <c:pt idx="14">
                  <c:v>244</c:v>
                </c:pt>
                <c:pt idx="15">
                  <c:v>247</c:v>
                </c:pt>
                <c:pt idx="16">
                  <c:v>266</c:v>
                </c:pt>
                <c:pt idx="17">
                  <c:v>257</c:v>
                </c:pt>
                <c:pt idx="18">
                  <c:v>248</c:v>
                </c:pt>
                <c:pt idx="19">
                  <c:v>259</c:v>
                </c:pt>
                <c:pt idx="20">
                  <c:v>299.73</c:v>
                </c:pt>
                <c:pt idx="21">
                  <c:v>255</c:v>
                </c:pt>
                <c:pt idx="22">
                  <c:v>254</c:v>
                </c:pt>
                <c:pt idx="23">
                  <c:v>257</c:v>
                </c:pt>
                <c:pt idx="24">
                  <c:v>255</c:v>
                </c:pt>
                <c:pt idx="25">
                  <c:v>258</c:v>
                </c:pt>
                <c:pt idx="26">
                  <c:v>268</c:v>
                </c:pt>
                <c:pt idx="27">
                  <c:v>275</c:v>
                </c:pt>
                <c:pt idx="28">
                  <c:v>276</c:v>
                </c:pt>
                <c:pt idx="29">
                  <c:v>273</c:v>
                </c:pt>
                <c:pt idx="30">
                  <c:v>262</c:v>
                </c:pt>
                <c:pt idx="31">
                  <c:v>278.2</c:v>
                </c:pt>
                <c:pt idx="32">
                  <c:v>274</c:v>
                </c:pt>
                <c:pt idx="33">
                  <c:v>290</c:v>
                </c:pt>
                <c:pt idx="34">
                  <c:v>297</c:v>
                </c:pt>
                <c:pt idx="35">
                  <c:v>277</c:v>
                </c:pt>
                <c:pt idx="36">
                  <c:v>284</c:v>
                </c:pt>
                <c:pt idx="37">
                  <c:v>285</c:v>
                </c:pt>
                <c:pt idx="38">
                  <c:v>292.95999999999998</c:v>
                </c:pt>
                <c:pt idx="39">
                  <c:v>285</c:v>
                </c:pt>
                <c:pt idx="40">
                  <c:v>294</c:v>
                </c:pt>
                <c:pt idx="41">
                  <c:v>292</c:v>
                </c:pt>
                <c:pt idx="42">
                  <c:v>295</c:v>
                </c:pt>
                <c:pt idx="43">
                  <c:v>296</c:v>
                </c:pt>
                <c:pt idx="44">
                  <c:v>319.3</c:v>
                </c:pt>
                <c:pt idx="45">
                  <c:v>300</c:v>
                </c:pt>
                <c:pt idx="46">
                  <c:v>311</c:v>
                </c:pt>
                <c:pt idx="47">
                  <c:v>313</c:v>
                </c:pt>
                <c:pt idx="48">
                  <c:v>320.86</c:v>
                </c:pt>
                <c:pt idx="49">
                  <c:v>316</c:v>
                </c:pt>
                <c:pt idx="50">
                  <c:v>392.4</c:v>
                </c:pt>
                <c:pt idx="51">
                  <c:v>338</c:v>
                </c:pt>
                <c:pt idx="52">
                  <c:v>348</c:v>
                </c:pt>
                <c:pt idx="53">
                  <c:v>323</c:v>
                </c:pt>
                <c:pt idx="54">
                  <c:v>364</c:v>
                </c:pt>
                <c:pt idx="55">
                  <c:v>323</c:v>
                </c:pt>
                <c:pt idx="56">
                  <c:v>339</c:v>
                </c:pt>
                <c:pt idx="57">
                  <c:v>352</c:v>
                </c:pt>
                <c:pt idx="58">
                  <c:v>350</c:v>
                </c:pt>
                <c:pt idx="59">
                  <c:v>355</c:v>
                </c:pt>
                <c:pt idx="60">
                  <c:v>349</c:v>
                </c:pt>
                <c:pt idx="61">
                  <c:v>344</c:v>
                </c:pt>
                <c:pt idx="62">
                  <c:v>346</c:v>
                </c:pt>
                <c:pt idx="63">
                  <c:v>356</c:v>
                </c:pt>
                <c:pt idx="64">
                  <c:v>359</c:v>
                </c:pt>
                <c:pt idx="65">
                  <c:v>375</c:v>
                </c:pt>
                <c:pt idx="66">
                  <c:v>345</c:v>
                </c:pt>
                <c:pt idx="67">
                  <c:v>358</c:v>
                </c:pt>
                <c:pt idx="68">
                  <c:v>376</c:v>
                </c:pt>
                <c:pt idx="69">
                  <c:v>370</c:v>
                </c:pt>
                <c:pt idx="70">
                  <c:v>353</c:v>
                </c:pt>
                <c:pt idx="71">
                  <c:v>375</c:v>
                </c:pt>
                <c:pt idx="72">
                  <c:v>392</c:v>
                </c:pt>
                <c:pt idx="73">
                  <c:v>391</c:v>
                </c:pt>
                <c:pt idx="74">
                  <c:v>375</c:v>
                </c:pt>
                <c:pt idx="75">
                  <c:v>371</c:v>
                </c:pt>
                <c:pt idx="76">
                  <c:v>375</c:v>
                </c:pt>
                <c:pt idx="77">
                  <c:v>372</c:v>
                </c:pt>
                <c:pt idx="78">
                  <c:v>367</c:v>
                </c:pt>
                <c:pt idx="79">
                  <c:v>369</c:v>
                </c:pt>
                <c:pt idx="80">
                  <c:v>367.94</c:v>
                </c:pt>
                <c:pt idx="81">
                  <c:v>410</c:v>
                </c:pt>
                <c:pt idx="82">
                  <c:v>371</c:v>
                </c:pt>
                <c:pt idx="83">
                  <c:v>398</c:v>
                </c:pt>
                <c:pt idx="84">
                  <c:v>385</c:v>
                </c:pt>
                <c:pt idx="85">
                  <c:v>384</c:v>
                </c:pt>
                <c:pt idx="86">
                  <c:v>430</c:v>
                </c:pt>
                <c:pt idx="87">
                  <c:v>441</c:v>
                </c:pt>
                <c:pt idx="88">
                  <c:v>463</c:v>
                </c:pt>
                <c:pt idx="89">
                  <c:v>413.78</c:v>
                </c:pt>
                <c:pt idx="90">
                  <c:v>442</c:v>
                </c:pt>
                <c:pt idx="91">
                  <c:v>490</c:v>
                </c:pt>
                <c:pt idx="92">
                  <c:v>570.5</c:v>
                </c:pt>
                <c:pt idx="93">
                  <c:v>520</c:v>
                </c:pt>
                <c:pt idx="94">
                  <c:v>492.84</c:v>
                </c:pt>
                <c:pt idx="95">
                  <c:v>525</c:v>
                </c:pt>
                <c:pt idx="96">
                  <c:v>530</c:v>
                </c:pt>
                <c:pt idx="97">
                  <c:v>655.37</c:v>
                </c:pt>
                <c:pt idx="98">
                  <c:v>575</c:v>
                </c:pt>
                <c:pt idx="99">
                  <c:v>560</c:v>
                </c:pt>
                <c:pt idx="100">
                  <c:v>603</c:v>
                </c:pt>
                <c:pt idx="101">
                  <c:v>879</c:v>
                </c:pt>
                <c:pt idx="102">
                  <c:v>1015</c:v>
                </c:pt>
                <c:pt idx="103">
                  <c:v>1136</c:v>
                </c:pt>
                <c:pt idx="104">
                  <c:v>1189.5999999999999</c:v>
                </c:pt>
                <c:pt idx="105">
                  <c:v>1421.1</c:v>
                </c:pt>
                <c:pt idx="106">
                  <c:v>1366.3</c:v>
                </c:pt>
                <c:pt idx="107">
                  <c:v>239.7</c:v>
                </c:pt>
                <c:pt idx="108">
                  <c:v>244.8</c:v>
                </c:pt>
                <c:pt idx="109">
                  <c:v>256.2</c:v>
                </c:pt>
                <c:pt idx="110">
                  <c:v>365.1</c:v>
                </c:pt>
                <c:pt idx="111">
                  <c:v>374.42</c:v>
                </c:pt>
                <c:pt idx="112">
                  <c:v>427.8</c:v>
                </c:pt>
                <c:pt idx="113">
                  <c:v>434.5</c:v>
                </c:pt>
                <c:pt idx="114">
                  <c:v>478.7</c:v>
                </c:pt>
                <c:pt idx="115">
                  <c:v>619.79999999999995</c:v>
                </c:pt>
                <c:pt idx="116">
                  <c:v>619.79999999999995</c:v>
                </c:pt>
                <c:pt idx="117">
                  <c:v>777.4</c:v>
                </c:pt>
                <c:pt idx="118">
                  <c:v>825.1</c:v>
                </c:pt>
                <c:pt idx="119">
                  <c:v>936.9</c:v>
                </c:pt>
                <c:pt idx="120">
                  <c:v>1173.4000000000001</c:v>
                </c:pt>
                <c:pt idx="121">
                  <c:v>1238.3</c:v>
                </c:pt>
              </c:numCache>
            </c:numRef>
          </c:xVal>
          <c:yVal>
            <c:numRef>
              <c:f>PP!$R$2:$R$284</c:f>
              <c:numCache>
                <c:formatCode>General</c:formatCode>
                <c:ptCount val="283"/>
                <c:pt idx="0">
                  <c:v>825</c:v>
                </c:pt>
                <c:pt idx="1">
                  <c:v>872.2</c:v>
                </c:pt>
                <c:pt idx="2">
                  <c:v>874</c:v>
                </c:pt>
                <c:pt idx="3">
                  <c:v>899</c:v>
                </c:pt>
                <c:pt idx="4">
                  <c:v>899.05</c:v>
                </c:pt>
                <c:pt idx="5">
                  <c:v>906.8</c:v>
                </c:pt>
                <c:pt idx="6">
                  <c:v>980</c:v>
                </c:pt>
                <c:pt idx="7">
                  <c:v>990</c:v>
                </c:pt>
                <c:pt idx="8">
                  <c:v>992.24</c:v>
                </c:pt>
                <c:pt idx="9">
                  <c:v>1022</c:v>
                </c:pt>
                <c:pt idx="10">
                  <c:v>1028</c:v>
                </c:pt>
                <c:pt idx="11">
                  <c:v>1029</c:v>
                </c:pt>
                <c:pt idx="12">
                  <c:v>1031</c:v>
                </c:pt>
                <c:pt idx="13">
                  <c:v>1055</c:v>
                </c:pt>
                <c:pt idx="14">
                  <c:v>1056</c:v>
                </c:pt>
                <c:pt idx="15">
                  <c:v>1059</c:v>
                </c:pt>
                <c:pt idx="16">
                  <c:v>1062</c:v>
                </c:pt>
                <c:pt idx="17">
                  <c:v>1070</c:v>
                </c:pt>
                <c:pt idx="18">
                  <c:v>1090</c:v>
                </c:pt>
                <c:pt idx="19">
                  <c:v>1098</c:v>
                </c:pt>
                <c:pt idx="20">
                  <c:v>1098.0999999999999</c:v>
                </c:pt>
                <c:pt idx="21">
                  <c:v>1110</c:v>
                </c:pt>
                <c:pt idx="22">
                  <c:v>1111</c:v>
                </c:pt>
                <c:pt idx="23">
                  <c:v>1126</c:v>
                </c:pt>
                <c:pt idx="24">
                  <c:v>1135</c:v>
                </c:pt>
                <c:pt idx="25">
                  <c:v>1150</c:v>
                </c:pt>
                <c:pt idx="26">
                  <c:v>1150</c:v>
                </c:pt>
                <c:pt idx="27">
                  <c:v>1160</c:v>
                </c:pt>
                <c:pt idx="28">
                  <c:v>1170</c:v>
                </c:pt>
                <c:pt idx="29">
                  <c:v>1185</c:v>
                </c:pt>
                <c:pt idx="30">
                  <c:v>1210</c:v>
                </c:pt>
                <c:pt idx="31">
                  <c:v>1217.5999999999999</c:v>
                </c:pt>
                <c:pt idx="32">
                  <c:v>1240</c:v>
                </c:pt>
                <c:pt idx="33">
                  <c:v>1244</c:v>
                </c:pt>
                <c:pt idx="34">
                  <c:v>1250</c:v>
                </c:pt>
                <c:pt idx="35">
                  <c:v>1274</c:v>
                </c:pt>
                <c:pt idx="36">
                  <c:v>1274</c:v>
                </c:pt>
                <c:pt idx="37">
                  <c:v>1280</c:v>
                </c:pt>
                <c:pt idx="38">
                  <c:v>1284.8</c:v>
                </c:pt>
                <c:pt idx="39">
                  <c:v>1300</c:v>
                </c:pt>
                <c:pt idx="40">
                  <c:v>1312</c:v>
                </c:pt>
                <c:pt idx="41">
                  <c:v>1316</c:v>
                </c:pt>
                <c:pt idx="42">
                  <c:v>1325</c:v>
                </c:pt>
                <c:pt idx="43">
                  <c:v>1340</c:v>
                </c:pt>
                <c:pt idx="44">
                  <c:v>1369.3</c:v>
                </c:pt>
                <c:pt idx="45">
                  <c:v>1380</c:v>
                </c:pt>
                <c:pt idx="46">
                  <c:v>1413</c:v>
                </c:pt>
                <c:pt idx="47">
                  <c:v>1420</c:v>
                </c:pt>
                <c:pt idx="48">
                  <c:v>1427.7</c:v>
                </c:pt>
                <c:pt idx="49">
                  <c:v>1460</c:v>
                </c:pt>
                <c:pt idx="50" formatCode="0.0">
                  <c:v>1464.23</c:v>
                </c:pt>
                <c:pt idx="51">
                  <c:v>1465</c:v>
                </c:pt>
                <c:pt idx="52">
                  <c:v>1490</c:v>
                </c:pt>
                <c:pt idx="53">
                  <c:v>1495</c:v>
                </c:pt>
                <c:pt idx="54">
                  <c:v>1499</c:v>
                </c:pt>
                <c:pt idx="55">
                  <c:v>1520</c:v>
                </c:pt>
                <c:pt idx="56">
                  <c:v>1520</c:v>
                </c:pt>
                <c:pt idx="57">
                  <c:v>1530</c:v>
                </c:pt>
                <c:pt idx="58">
                  <c:v>1540</c:v>
                </c:pt>
                <c:pt idx="59">
                  <c:v>1550</c:v>
                </c:pt>
                <c:pt idx="60">
                  <c:v>1553</c:v>
                </c:pt>
                <c:pt idx="61">
                  <c:v>1565</c:v>
                </c:pt>
                <c:pt idx="62">
                  <c:v>1575</c:v>
                </c:pt>
                <c:pt idx="63">
                  <c:v>1582</c:v>
                </c:pt>
                <c:pt idx="64">
                  <c:v>1598</c:v>
                </c:pt>
                <c:pt idx="65">
                  <c:v>1620</c:v>
                </c:pt>
                <c:pt idx="66">
                  <c:v>1622</c:v>
                </c:pt>
                <c:pt idx="67">
                  <c:v>1640</c:v>
                </c:pt>
                <c:pt idx="68">
                  <c:v>1643</c:v>
                </c:pt>
                <c:pt idx="69">
                  <c:v>1646</c:v>
                </c:pt>
                <c:pt idx="70">
                  <c:v>1647</c:v>
                </c:pt>
                <c:pt idx="71">
                  <c:v>1650</c:v>
                </c:pt>
                <c:pt idx="72">
                  <c:v>1668</c:v>
                </c:pt>
                <c:pt idx="73">
                  <c:v>1670</c:v>
                </c:pt>
                <c:pt idx="74">
                  <c:v>1684</c:v>
                </c:pt>
                <c:pt idx="75">
                  <c:v>1686</c:v>
                </c:pt>
                <c:pt idx="76">
                  <c:v>1695</c:v>
                </c:pt>
                <c:pt idx="77">
                  <c:v>1704</c:v>
                </c:pt>
                <c:pt idx="78">
                  <c:v>1708</c:v>
                </c:pt>
                <c:pt idx="79">
                  <c:v>1714</c:v>
                </c:pt>
                <c:pt idx="80">
                  <c:v>1730.8</c:v>
                </c:pt>
                <c:pt idx="81">
                  <c:v>1733</c:v>
                </c:pt>
                <c:pt idx="82">
                  <c:v>1750</c:v>
                </c:pt>
                <c:pt idx="83">
                  <c:v>1800</c:v>
                </c:pt>
                <c:pt idx="84">
                  <c:v>1835</c:v>
                </c:pt>
                <c:pt idx="85">
                  <c:v>1842</c:v>
                </c:pt>
                <c:pt idx="86">
                  <c:v>1895</c:v>
                </c:pt>
                <c:pt idx="87">
                  <c:v>2060</c:v>
                </c:pt>
                <c:pt idx="88">
                  <c:v>2100</c:v>
                </c:pt>
                <c:pt idx="89">
                  <c:v>2106.6</c:v>
                </c:pt>
                <c:pt idx="90">
                  <c:v>2150</c:v>
                </c:pt>
                <c:pt idx="91">
                  <c:v>2190</c:v>
                </c:pt>
                <c:pt idx="92">
                  <c:v>2211.66</c:v>
                </c:pt>
                <c:pt idx="93">
                  <c:v>2285</c:v>
                </c:pt>
                <c:pt idx="94">
                  <c:v>2365.6</c:v>
                </c:pt>
                <c:pt idx="95">
                  <c:v>2370</c:v>
                </c:pt>
                <c:pt idx="96">
                  <c:v>2435</c:v>
                </c:pt>
                <c:pt idx="97">
                  <c:v>2516.1099999999997</c:v>
                </c:pt>
                <c:pt idx="98">
                  <c:v>2570</c:v>
                </c:pt>
                <c:pt idx="99">
                  <c:v>2645</c:v>
                </c:pt>
                <c:pt idx="100">
                  <c:v>2690</c:v>
                </c:pt>
                <c:pt idx="101">
                  <c:v>4340</c:v>
                </c:pt>
                <c:pt idx="102">
                  <c:v>5182</c:v>
                </c:pt>
                <c:pt idx="103">
                  <c:v>5241.7</c:v>
                </c:pt>
                <c:pt idx="104">
                  <c:v>5600</c:v>
                </c:pt>
                <c:pt idx="105">
                  <c:v>5810</c:v>
                </c:pt>
                <c:pt idx="106">
                  <c:v>6408.96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D-3E40-8AF2-FFC540DF9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713808"/>
        <c:axId val="1342301952"/>
      </c:scatterChart>
      <c:valAx>
        <c:axId val="134271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01952"/>
        <c:crosses val="autoZero"/>
        <c:crossBetween val="midCat"/>
      </c:valAx>
      <c:valAx>
        <c:axId val="13423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713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Zijsron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PZ!$Q$1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08770778652669"/>
                  <c:y val="0.254166666666666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PZ!$Q$2:$Q$42</c:f>
              <c:numCache>
                <c:formatCode>General</c:formatCode>
                <c:ptCount val="41"/>
                <c:pt idx="0">
                  <c:v>1295</c:v>
                </c:pt>
                <c:pt idx="1">
                  <c:v>1184.8</c:v>
                </c:pt>
                <c:pt idx="2">
                  <c:v>1301.8</c:v>
                </c:pt>
                <c:pt idx="3">
                  <c:v>1600.17</c:v>
                </c:pt>
                <c:pt idx="4">
                  <c:v>471</c:v>
                </c:pt>
                <c:pt idx="5">
                  <c:v>451.5</c:v>
                </c:pt>
                <c:pt idx="6">
                  <c:v>1280.7</c:v>
                </c:pt>
                <c:pt idx="7">
                  <c:v>294.22000000000003</c:v>
                </c:pt>
                <c:pt idx="8">
                  <c:v>323</c:v>
                </c:pt>
                <c:pt idx="9">
                  <c:v>303.32</c:v>
                </c:pt>
                <c:pt idx="10">
                  <c:v>354.79</c:v>
                </c:pt>
                <c:pt idx="11">
                  <c:v>395.5</c:v>
                </c:pt>
                <c:pt idx="12">
                  <c:v>731</c:v>
                </c:pt>
                <c:pt idx="13">
                  <c:v>838.11</c:v>
                </c:pt>
                <c:pt idx="14">
                  <c:v>1016</c:v>
                </c:pt>
                <c:pt idx="15">
                  <c:v>1083.1500000000001</c:v>
                </c:pt>
                <c:pt idx="16">
                  <c:v>1096</c:v>
                </c:pt>
                <c:pt idx="17">
                  <c:v>1420</c:v>
                </c:pt>
                <c:pt idx="18">
                  <c:v>1330.47</c:v>
                </c:pt>
                <c:pt idx="19">
                  <c:v>1243.5999999999999</c:v>
                </c:pt>
                <c:pt idx="20">
                  <c:v>1276</c:v>
                </c:pt>
                <c:pt idx="21">
                  <c:v>1315</c:v>
                </c:pt>
                <c:pt idx="22">
                  <c:v>1379.78</c:v>
                </c:pt>
                <c:pt idx="23">
                  <c:v>1551.3</c:v>
                </c:pt>
                <c:pt idx="24">
                  <c:v>645.5</c:v>
                </c:pt>
                <c:pt idx="25">
                  <c:v>755.6</c:v>
                </c:pt>
                <c:pt idx="26">
                  <c:v>1233</c:v>
                </c:pt>
                <c:pt idx="27">
                  <c:v>199.02</c:v>
                </c:pt>
                <c:pt idx="28">
                  <c:v>236</c:v>
                </c:pt>
                <c:pt idx="29">
                  <c:v>305.83</c:v>
                </c:pt>
                <c:pt idx="30">
                  <c:v>408.8</c:v>
                </c:pt>
                <c:pt idx="31">
                  <c:v>453.15</c:v>
                </c:pt>
                <c:pt idx="32">
                  <c:v>545.29999999999995</c:v>
                </c:pt>
                <c:pt idx="33">
                  <c:v>663.72</c:v>
                </c:pt>
                <c:pt idx="34">
                  <c:v>787.88</c:v>
                </c:pt>
                <c:pt idx="35">
                  <c:v>336.4</c:v>
                </c:pt>
                <c:pt idx="36">
                  <c:v>844.85699999999997</c:v>
                </c:pt>
                <c:pt idx="37">
                  <c:v>391.7</c:v>
                </c:pt>
                <c:pt idx="38">
                  <c:v>539.9</c:v>
                </c:pt>
                <c:pt idx="39">
                  <c:v>579.29999999999995</c:v>
                </c:pt>
              </c:numCache>
            </c:numRef>
          </c:xVal>
          <c:yVal>
            <c:numRef>
              <c:f>PZ!$O$2:$O$42</c:f>
              <c:numCache>
                <c:formatCode>General</c:formatCode>
                <c:ptCount val="41"/>
                <c:pt idx="0">
                  <c:v>4674</c:v>
                </c:pt>
                <c:pt idx="1">
                  <c:v>4769.5</c:v>
                </c:pt>
                <c:pt idx="2">
                  <c:v>4938.3100000000004</c:v>
                </c:pt>
                <c:pt idx="3">
                  <c:v>5205.8999999999996</c:v>
                </c:pt>
                <c:pt idx="5">
                  <c:v>1814.51</c:v>
                </c:pt>
                <c:pt idx="7">
                  <c:v>1095.26</c:v>
                </c:pt>
                <c:pt idx="8">
                  <c:v>1217</c:v>
                </c:pt>
                <c:pt idx="9">
                  <c:v>1299.96</c:v>
                </c:pt>
                <c:pt idx="10">
                  <c:v>1342.6</c:v>
                </c:pt>
                <c:pt idx="11">
                  <c:v>1538.3</c:v>
                </c:pt>
                <c:pt idx="12">
                  <c:v>2870</c:v>
                </c:pt>
                <c:pt idx="13">
                  <c:v>3045.75</c:v>
                </c:pt>
                <c:pt idx="14">
                  <c:v>3740</c:v>
                </c:pt>
                <c:pt idx="15">
                  <c:v>3932.1499999999996</c:v>
                </c:pt>
                <c:pt idx="16">
                  <c:v>4470</c:v>
                </c:pt>
                <c:pt idx="17">
                  <c:v>4710</c:v>
                </c:pt>
                <c:pt idx="18">
                  <c:v>4745.58</c:v>
                </c:pt>
                <c:pt idx="19">
                  <c:v>4870</c:v>
                </c:pt>
                <c:pt idx="20">
                  <c:v>4927</c:v>
                </c:pt>
                <c:pt idx="21">
                  <c:v>4978</c:v>
                </c:pt>
                <c:pt idx="22">
                  <c:v>5080</c:v>
                </c:pt>
                <c:pt idx="23">
                  <c:v>5410</c:v>
                </c:pt>
                <c:pt idx="27">
                  <c:v>786.1</c:v>
                </c:pt>
                <c:pt idx="28">
                  <c:v>875</c:v>
                </c:pt>
                <c:pt idx="29">
                  <c:v>965.43</c:v>
                </c:pt>
                <c:pt idx="30">
                  <c:v>1545.5</c:v>
                </c:pt>
                <c:pt idx="31">
                  <c:v>1687.51</c:v>
                </c:pt>
                <c:pt idx="32">
                  <c:v>1933.19</c:v>
                </c:pt>
                <c:pt idx="33">
                  <c:v>2524.9700000000003</c:v>
                </c:pt>
                <c:pt idx="34">
                  <c:v>2740.86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90-AB4C-8C9D-FD9F314BC35C}"/>
            </c:ext>
          </c:extLst>
        </c:ser>
        <c:ser>
          <c:idx val="1"/>
          <c:order val="1"/>
          <c:tx>
            <c:strRef>
              <c:f>PZ!$R$1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66907261592302"/>
                  <c:y val="-0.16250000000000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PZ!$R$2:$R$42</c:f>
              <c:numCache>
                <c:formatCode>General</c:formatCode>
                <c:ptCount val="41"/>
                <c:pt idx="0">
                  <c:v>1224.2</c:v>
                </c:pt>
                <c:pt idx="1">
                  <c:v>1123</c:v>
                </c:pt>
                <c:pt idx="2">
                  <c:v>1200.2</c:v>
                </c:pt>
                <c:pt idx="3">
                  <c:v>1433.5</c:v>
                </c:pt>
                <c:pt idx="4">
                  <c:v>428.1</c:v>
                </c:pt>
                <c:pt idx="5">
                  <c:v>434.4</c:v>
                </c:pt>
                <c:pt idx="6">
                  <c:v>1200.9000000000001</c:v>
                </c:pt>
                <c:pt idx="7">
                  <c:v>275.68</c:v>
                </c:pt>
                <c:pt idx="8">
                  <c:v>295</c:v>
                </c:pt>
                <c:pt idx="9">
                  <c:v>291.94</c:v>
                </c:pt>
                <c:pt idx="10">
                  <c:v>322.77</c:v>
                </c:pt>
                <c:pt idx="11">
                  <c:v>372.7</c:v>
                </c:pt>
                <c:pt idx="12">
                  <c:v>671</c:v>
                </c:pt>
                <c:pt idx="13">
                  <c:v>786.67</c:v>
                </c:pt>
                <c:pt idx="14">
                  <c:v>907</c:v>
                </c:pt>
                <c:pt idx="15">
                  <c:v>1035.9000000000001</c:v>
                </c:pt>
                <c:pt idx="16">
                  <c:v>1036</c:v>
                </c:pt>
                <c:pt idx="17">
                  <c:v>1341</c:v>
                </c:pt>
                <c:pt idx="18">
                  <c:v>1229.3699999999999</c:v>
                </c:pt>
                <c:pt idx="19">
                  <c:v>1122.4000000000001</c:v>
                </c:pt>
                <c:pt idx="20">
                  <c:v>1180</c:v>
                </c:pt>
                <c:pt idx="21">
                  <c:v>1250</c:v>
                </c:pt>
                <c:pt idx="22">
                  <c:v>1275.5</c:v>
                </c:pt>
                <c:pt idx="23">
                  <c:v>1448.5</c:v>
                </c:pt>
                <c:pt idx="24">
                  <c:v>600.1</c:v>
                </c:pt>
                <c:pt idx="25">
                  <c:v>721.4</c:v>
                </c:pt>
                <c:pt idx="26">
                  <c:v>1155</c:v>
                </c:pt>
                <c:pt idx="27">
                  <c:v>192.7</c:v>
                </c:pt>
                <c:pt idx="28">
                  <c:v>214</c:v>
                </c:pt>
                <c:pt idx="29">
                  <c:v>282.45999999999998</c:v>
                </c:pt>
                <c:pt idx="30">
                  <c:v>389</c:v>
                </c:pt>
                <c:pt idx="31">
                  <c:v>422.55</c:v>
                </c:pt>
                <c:pt idx="32">
                  <c:v>517.5</c:v>
                </c:pt>
                <c:pt idx="33">
                  <c:v>609.66</c:v>
                </c:pt>
                <c:pt idx="34">
                  <c:v>728.36</c:v>
                </c:pt>
                <c:pt idx="35">
                  <c:v>318.39999999999998</c:v>
                </c:pt>
                <c:pt idx="36">
                  <c:v>791.63</c:v>
                </c:pt>
                <c:pt idx="37">
                  <c:v>366.2</c:v>
                </c:pt>
                <c:pt idx="38">
                  <c:v>515.9</c:v>
                </c:pt>
                <c:pt idx="39">
                  <c:v>535</c:v>
                </c:pt>
              </c:numCache>
            </c:numRef>
          </c:xVal>
          <c:yVal>
            <c:numRef>
              <c:f>PZ!$O$2:$O$42</c:f>
              <c:numCache>
                <c:formatCode>General</c:formatCode>
                <c:ptCount val="41"/>
                <c:pt idx="0">
                  <c:v>4674</c:v>
                </c:pt>
                <c:pt idx="1">
                  <c:v>4769.5</c:v>
                </c:pt>
                <c:pt idx="2">
                  <c:v>4938.3100000000004</c:v>
                </c:pt>
                <c:pt idx="3">
                  <c:v>5205.8999999999996</c:v>
                </c:pt>
                <c:pt idx="5">
                  <c:v>1814.51</c:v>
                </c:pt>
                <c:pt idx="7">
                  <c:v>1095.26</c:v>
                </c:pt>
                <c:pt idx="8">
                  <c:v>1217</c:v>
                </c:pt>
                <c:pt idx="9">
                  <c:v>1299.96</c:v>
                </c:pt>
                <c:pt idx="10">
                  <c:v>1342.6</c:v>
                </c:pt>
                <c:pt idx="11">
                  <c:v>1538.3</c:v>
                </c:pt>
                <c:pt idx="12">
                  <c:v>2870</c:v>
                </c:pt>
                <c:pt idx="13">
                  <c:v>3045.75</c:v>
                </c:pt>
                <c:pt idx="14">
                  <c:v>3740</c:v>
                </c:pt>
                <c:pt idx="15">
                  <c:v>3932.1499999999996</c:v>
                </c:pt>
                <c:pt idx="16">
                  <c:v>4470</c:v>
                </c:pt>
                <c:pt idx="17">
                  <c:v>4710</c:v>
                </c:pt>
                <c:pt idx="18">
                  <c:v>4745.58</c:v>
                </c:pt>
                <c:pt idx="19">
                  <c:v>4870</c:v>
                </c:pt>
                <c:pt idx="20">
                  <c:v>4927</c:v>
                </c:pt>
                <c:pt idx="21">
                  <c:v>4978</c:v>
                </c:pt>
                <c:pt idx="22">
                  <c:v>5080</c:v>
                </c:pt>
                <c:pt idx="23">
                  <c:v>5410</c:v>
                </c:pt>
                <c:pt idx="27">
                  <c:v>786.1</c:v>
                </c:pt>
                <c:pt idx="28">
                  <c:v>875</c:v>
                </c:pt>
                <c:pt idx="29">
                  <c:v>965.43</c:v>
                </c:pt>
                <c:pt idx="30">
                  <c:v>1545.5</c:v>
                </c:pt>
                <c:pt idx="31">
                  <c:v>1687.51</c:v>
                </c:pt>
                <c:pt idx="32">
                  <c:v>1933.19</c:v>
                </c:pt>
                <c:pt idx="33">
                  <c:v>2524.9700000000003</c:v>
                </c:pt>
                <c:pt idx="34">
                  <c:v>2740.86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90-AB4C-8C9D-FD9F314BC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481264"/>
        <c:axId val="1441219408"/>
      </c:scatterChart>
      <c:valAx>
        <c:axId val="13984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19408"/>
        <c:crosses val="autoZero"/>
        <c:crossBetween val="midCat"/>
      </c:valAx>
      <c:valAx>
        <c:axId val="14412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48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Zijsron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PZ!$Q$1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2586548556430446"/>
                  <c:y val="0.168844415281423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PZ!$Q$2:$Q$42</c:f>
              <c:numCache>
                <c:formatCode>General</c:formatCode>
                <c:ptCount val="41"/>
                <c:pt idx="0">
                  <c:v>1295</c:v>
                </c:pt>
                <c:pt idx="1">
                  <c:v>1184.8</c:v>
                </c:pt>
                <c:pt idx="2">
                  <c:v>1301.8</c:v>
                </c:pt>
                <c:pt idx="3">
                  <c:v>1600.17</c:v>
                </c:pt>
                <c:pt idx="4">
                  <c:v>471</c:v>
                </c:pt>
                <c:pt idx="5">
                  <c:v>451.5</c:v>
                </c:pt>
                <c:pt idx="6">
                  <c:v>1280.7</c:v>
                </c:pt>
                <c:pt idx="7">
                  <c:v>294.22000000000003</c:v>
                </c:pt>
                <c:pt idx="8">
                  <c:v>323</c:v>
                </c:pt>
                <c:pt idx="9">
                  <c:v>303.32</c:v>
                </c:pt>
                <c:pt idx="10">
                  <c:v>354.79</c:v>
                </c:pt>
                <c:pt idx="11">
                  <c:v>395.5</c:v>
                </c:pt>
                <c:pt idx="12">
                  <c:v>731</c:v>
                </c:pt>
                <c:pt idx="13">
                  <c:v>838.11</c:v>
                </c:pt>
                <c:pt idx="14">
                  <c:v>1016</c:v>
                </c:pt>
                <c:pt idx="15">
                  <c:v>1083.1500000000001</c:v>
                </c:pt>
                <c:pt idx="16">
                  <c:v>1096</c:v>
                </c:pt>
                <c:pt idx="17">
                  <c:v>1420</c:v>
                </c:pt>
                <c:pt idx="18">
                  <c:v>1330.47</c:v>
                </c:pt>
                <c:pt idx="19">
                  <c:v>1243.5999999999999</c:v>
                </c:pt>
                <c:pt idx="20">
                  <c:v>1276</c:v>
                </c:pt>
                <c:pt idx="21">
                  <c:v>1315</c:v>
                </c:pt>
                <c:pt idx="22">
                  <c:v>1379.78</c:v>
                </c:pt>
                <c:pt idx="23">
                  <c:v>1551.3</c:v>
                </c:pt>
                <c:pt idx="24">
                  <c:v>645.5</c:v>
                </c:pt>
                <c:pt idx="25">
                  <c:v>755.6</c:v>
                </c:pt>
                <c:pt idx="26">
                  <c:v>1233</c:v>
                </c:pt>
                <c:pt idx="27">
                  <c:v>199.02</c:v>
                </c:pt>
                <c:pt idx="28">
                  <c:v>236</c:v>
                </c:pt>
                <c:pt idx="29">
                  <c:v>305.83</c:v>
                </c:pt>
                <c:pt idx="30">
                  <c:v>408.8</c:v>
                </c:pt>
                <c:pt idx="31">
                  <c:v>453.15</c:v>
                </c:pt>
                <c:pt idx="32">
                  <c:v>545.29999999999995</c:v>
                </c:pt>
                <c:pt idx="33">
                  <c:v>663.72</c:v>
                </c:pt>
                <c:pt idx="34">
                  <c:v>787.88</c:v>
                </c:pt>
                <c:pt idx="35">
                  <c:v>336.4</c:v>
                </c:pt>
                <c:pt idx="36">
                  <c:v>844.85699999999997</c:v>
                </c:pt>
                <c:pt idx="37">
                  <c:v>391.7</c:v>
                </c:pt>
                <c:pt idx="38">
                  <c:v>539.9</c:v>
                </c:pt>
                <c:pt idx="39">
                  <c:v>579.29999999999995</c:v>
                </c:pt>
              </c:numCache>
            </c:numRef>
          </c:xVal>
          <c:yVal>
            <c:numRef>
              <c:f>PZ!$O$2:$O$42</c:f>
              <c:numCache>
                <c:formatCode>General</c:formatCode>
                <c:ptCount val="41"/>
                <c:pt idx="0">
                  <c:v>4674</c:v>
                </c:pt>
                <c:pt idx="1">
                  <c:v>4769.5</c:v>
                </c:pt>
                <c:pt idx="2">
                  <c:v>4938.3100000000004</c:v>
                </c:pt>
                <c:pt idx="3">
                  <c:v>5205.8999999999996</c:v>
                </c:pt>
                <c:pt idx="5">
                  <c:v>1814.51</c:v>
                </c:pt>
                <c:pt idx="7">
                  <c:v>1095.26</c:v>
                </c:pt>
                <c:pt idx="8">
                  <c:v>1217</c:v>
                </c:pt>
                <c:pt idx="9">
                  <c:v>1299.96</c:v>
                </c:pt>
                <c:pt idx="10">
                  <c:v>1342.6</c:v>
                </c:pt>
                <c:pt idx="11">
                  <c:v>1538.3</c:v>
                </c:pt>
                <c:pt idx="12">
                  <c:v>2870</c:v>
                </c:pt>
                <c:pt idx="13">
                  <c:v>3045.75</c:v>
                </c:pt>
                <c:pt idx="14">
                  <c:v>3740</c:v>
                </c:pt>
                <c:pt idx="15">
                  <c:v>3932.1499999999996</c:v>
                </c:pt>
                <c:pt idx="16">
                  <c:v>4470</c:v>
                </c:pt>
                <c:pt idx="17">
                  <c:v>4710</c:v>
                </c:pt>
                <c:pt idx="18">
                  <c:v>4745.58</c:v>
                </c:pt>
                <c:pt idx="19">
                  <c:v>4870</c:v>
                </c:pt>
                <c:pt idx="20">
                  <c:v>4927</c:v>
                </c:pt>
                <c:pt idx="21">
                  <c:v>4978</c:v>
                </c:pt>
                <c:pt idx="22">
                  <c:v>5080</c:v>
                </c:pt>
                <c:pt idx="23">
                  <c:v>5410</c:v>
                </c:pt>
                <c:pt idx="27">
                  <c:v>786.1</c:v>
                </c:pt>
                <c:pt idx="28">
                  <c:v>875</c:v>
                </c:pt>
                <c:pt idx="29">
                  <c:v>965.43</c:v>
                </c:pt>
                <c:pt idx="30">
                  <c:v>1545.5</c:v>
                </c:pt>
                <c:pt idx="31">
                  <c:v>1687.51</c:v>
                </c:pt>
                <c:pt idx="32">
                  <c:v>1933.19</c:v>
                </c:pt>
                <c:pt idx="33">
                  <c:v>2524.9700000000003</c:v>
                </c:pt>
                <c:pt idx="34">
                  <c:v>2740.86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F-D74E-9381-33CB8DE2890B}"/>
            </c:ext>
          </c:extLst>
        </c:ser>
        <c:ser>
          <c:idx val="1"/>
          <c:order val="1"/>
          <c:tx>
            <c:strRef>
              <c:f>PZ!$R$1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8470611427818345"/>
                  <c:y val="1.20671662479299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PZ!$R$2:$R$42</c:f>
              <c:numCache>
                <c:formatCode>General</c:formatCode>
                <c:ptCount val="41"/>
                <c:pt idx="0">
                  <c:v>1224.2</c:v>
                </c:pt>
                <c:pt idx="1">
                  <c:v>1123</c:v>
                </c:pt>
                <c:pt idx="2">
                  <c:v>1200.2</c:v>
                </c:pt>
                <c:pt idx="3">
                  <c:v>1433.5</c:v>
                </c:pt>
                <c:pt idx="4">
                  <c:v>428.1</c:v>
                </c:pt>
                <c:pt idx="5">
                  <c:v>434.4</c:v>
                </c:pt>
                <c:pt idx="6">
                  <c:v>1200.9000000000001</c:v>
                </c:pt>
                <c:pt idx="7">
                  <c:v>275.68</c:v>
                </c:pt>
                <c:pt idx="8">
                  <c:v>295</c:v>
                </c:pt>
                <c:pt idx="9">
                  <c:v>291.94</c:v>
                </c:pt>
                <c:pt idx="10">
                  <c:v>322.77</c:v>
                </c:pt>
                <c:pt idx="11">
                  <c:v>372.7</c:v>
                </c:pt>
                <c:pt idx="12">
                  <c:v>671</c:v>
                </c:pt>
                <c:pt idx="13">
                  <c:v>786.67</c:v>
                </c:pt>
                <c:pt idx="14">
                  <c:v>907</c:v>
                </c:pt>
                <c:pt idx="15">
                  <c:v>1035.9000000000001</c:v>
                </c:pt>
                <c:pt idx="16">
                  <c:v>1036</c:v>
                </c:pt>
                <c:pt idx="17">
                  <c:v>1341</c:v>
                </c:pt>
                <c:pt idx="18">
                  <c:v>1229.3699999999999</c:v>
                </c:pt>
                <c:pt idx="19">
                  <c:v>1122.4000000000001</c:v>
                </c:pt>
                <c:pt idx="20">
                  <c:v>1180</c:v>
                </c:pt>
                <c:pt idx="21">
                  <c:v>1250</c:v>
                </c:pt>
                <c:pt idx="22">
                  <c:v>1275.5</c:v>
                </c:pt>
                <c:pt idx="23">
                  <c:v>1448.5</c:v>
                </c:pt>
                <c:pt idx="24">
                  <c:v>600.1</c:v>
                </c:pt>
                <c:pt idx="25">
                  <c:v>721.4</c:v>
                </c:pt>
                <c:pt idx="26">
                  <c:v>1155</c:v>
                </c:pt>
                <c:pt idx="27">
                  <c:v>192.7</c:v>
                </c:pt>
                <c:pt idx="28">
                  <c:v>214</c:v>
                </c:pt>
                <c:pt idx="29">
                  <c:v>282.45999999999998</c:v>
                </c:pt>
                <c:pt idx="30">
                  <c:v>389</c:v>
                </c:pt>
                <c:pt idx="31">
                  <c:v>422.55</c:v>
                </c:pt>
                <c:pt idx="32">
                  <c:v>517.5</c:v>
                </c:pt>
                <c:pt idx="33">
                  <c:v>609.66</c:v>
                </c:pt>
                <c:pt idx="34">
                  <c:v>728.36</c:v>
                </c:pt>
                <c:pt idx="35">
                  <c:v>318.39999999999998</c:v>
                </c:pt>
                <c:pt idx="36">
                  <c:v>791.63</c:v>
                </c:pt>
                <c:pt idx="37">
                  <c:v>366.2</c:v>
                </c:pt>
                <c:pt idx="38">
                  <c:v>515.9</c:v>
                </c:pt>
                <c:pt idx="39">
                  <c:v>535</c:v>
                </c:pt>
              </c:numCache>
            </c:numRef>
          </c:xVal>
          <c:yVal>
            <c:numRef>
              <c:f>PZ!$O$2:$O$42</c:f>
              <c:numCache>
                <c:formatCode>General</c:formatCode>
                <c:ptCount val="41"/>
                <c:pt idx="0">
                  <c:v>4674</c:v>
                </c:pt>
                <c:pt idx="1">
                  <c:v>4769.5</c:v>
                </c:pt>
                <c:pt idx="2">
                  <c:v>4938.3100000000004</c:v>
                </c:pt>
                <c:pt idx="3">
                  <c:v>5205.8999999999996</c:v>
                </c:pt>
                <c:pt idx="5">
                  <c:v>1814.51</c:v>
                </c:pt>
                <c:pt idx="7">
                  <c:v>1095.26</c:v>
                </c:pt>
                <c:pt idx="8">
                  <c:v>1217</c:v>
                </c:pt>
                <c:pt idx="9">
                  <c:v>1299.96</c:v>
                </c:pt>
                <c:pt idx="10">
                  <c:v>1342.6</c:v>
                </c:pt>
                <c:pt idx="11">
                  <c:v>1538.3</c:v>
                </c:pt>
                <c:pt idx="12">
                  <c:v>2870</c:v>
                </c:pt>
                <c:pt idx="13">
                  <c:v>3045.75</c:v>
                </c:pt>
                <c:pt idx="14">
                  <c:v>3740</c:v>
                </c:pt>
                <c:pt idx="15">
                  <c:v>3932.1499999999996</c:v>
                </c:pt>
                <c:pt idx="16">
                  <c:v>4470</c:v>
                </c:pt>
                <c:pt idx="17">
                  <c:v>4710</c:v>
                </c:pt>
                <c:pt idx="18">
                  <c:v>4745.58</c:v>
                </c:pt>
                <c:pt idx="19">
                  <c:v>4870</c:v>
                </c:pt>
                <c:pt idx="20">
                  <c:v>4927</c:v>
                </c:pt>
                <c:pt idx="21">
                  <c:v>4978</c:v>
                </c:pt>
                <c:pt idx="22">
                  <c:v>5080</c:v>
                </c:pt>
                <c:pt idx="23">
                  <c:v>5410</c:v>
                </c:pt>
                <c:pt idx="27">
                  <c:v>786.1</c:v>
                </c:pt>
                <c:pt idx="28">
                  <c:v>875</c:v>
                </c:pt>
                <c:pt idx="29">
                  <c:v>965.43</c:v>
                </c:pt>
                <c:pt idx="30">
                  <c:v>1545.5</c:v>
                </c:pt>
                <c:pt idx="31">
                  <c:v>1687.51</c:v>
                </c:pt>
                <c:pt idx="32">
                  <c:v>1933.19</c:v>
                </c:pt>
                <c:pt idx="33">
                  <c:v>2524.9700000000003</c:v>
                </c:pt>
                <c:pt idx="34">
                  <c:v>2740.86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2F-D74E-9381-33CB8DE2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481264"/>
        <c:axId val="1441219408"/>
      </c:scatterChart>
      <c:valAx>
        <c:axId val="13984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19408"/>
        <c:crosses val="autoZero"/>
        <c:crossBetween val="midCat"/>
      </c:valAx>
      <c:valAx>
        <c:axId val="14412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48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Zijsron Exp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PZ!$Q$1</c:f>
              <c:strCache>
                <c:ptCount val="1"/>
                <c:pt idx="0">
                  <c:v>TRL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4718503937007876E-2"/>
                  <c:y val="0.26342592592592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PZ!$Q$2:$Q$42</c:f>
              <c:numCache>
                <c:formatCode>General</c:formatCode>
                <c:ptCount val="41"/>
                <c:pt idx="0">
                  <c:v>1295</c:v>
                </c:pt>
                <c:pt idx="1">
                  <c:v>1184.8</c:v>
                </c:pt>
                <c:pt idx="2">
                  <c:v>1301.8</c:v>
                </c:pt>
                <c:pt idx="3">
                  <c:v>1600.17</c:v>
                </c:pt>
                <c:pt idx="4">
                  <c:v>471</c:v>
                </c:pt>
                <c:pt idx="5">
                  <c:v>451.5</c:v>
                </c:pt>
                <c:pt idx="6">
                  <c:v>1280.7</c:v>
                </c:pt>
                <c:pt idx="7">
                  <c:v>294.22000000000003</c:v>
                </c:pt>
                <c:pt idx="8">
                  <c:v>323</c:v>
                </c:pt>
                <c:pt idx="9">
                  <c:v>303.32</c:v>
                </c:pt>
                <c:pt idx="10">
                  <c:v>354.79</c:v>
                </c:pt>
                <c:pt idx="11">
                  <c:v>395.5</c:v>
                </c:pt>
                <c:pt idx="12">
                  <c:v>731</c:v>
                </c:pt>
                <c:pt idx="13">
                  <c:v>838.11</c:v>
                </c:pt>
                <c:pt idx="14">
                  <c:v>1016</c:v>
                </c:pt>
                <c:pt idx="15">
                  <c:v>1083.1500000000001</c:v>
                </c:pt>
                <c:pt idx="16">
                  <c:v>1096</c:v>
                </c:pt>
                <c:pt idx="17">
                  <c:v>1420</c:v>
                </c:pt>
                <c:pt idx="18">
                  <c:v>1330.47</c:v>
                </c:pt>
                <c:pt idx="19">
                  <c:v>1243.5999999999999</c:v>
                </c:pt>
                <c:pt idx="20">
                  <c:v>1276</c:v>
                </c:pt>
                <c:pt idx="21">
                  <c:v>1315</c:v>
                </c:pt>
                <c:pt idx="22">
                  <c:v>1379.78</c:v>
                </c:pt>
                <c:pt idx="23">
                  <c:v>1551.3</c:v>
                </c:pt>
                <c:pt idx="24">
                  <c:v>645.5</c:v>
                </c:pt>
                <c:pt idx="25">
                  <c:v>755.6</c:v>
                </c:pt>
                <c:pt idx="26">
                  <c:v>1233</c:v>
                </c:pt>
                <c:pt idx="27">
                  <c:v>199.02</c:v>
                </c:pt>
                <c:pt idx="28">
                  <c:v>236</c:v>
                </c:pt>
                <c:pt idx="29">
                  <c:v>305.83</c:v>
                </c:pt>
                <c:pt idx="30">
                  <c:v>408.8</c:v>
                </c:pt>
                <c:pt idx="31">
                  <c:v>453.15</c:v>
                </c:pt>
                <c:pt idx="32">
                  <c:v>545.29999999999995</c:v>
                </c:pt>
                <c:pt idx="33">
                  <c:v>663.72</c:v>
                </c:pt>
                <c:pt idx="34">
                  <c:v>787.88</c:v>
                </c:pt>
                <c:pt idx="35">
                  <c:v>336.4</c:v>
                </c:pt>
                <c:pt idx="36">
                  <c:v>844.85699999999997</c:v>
                </c:pt>
                <c:pt idx="37">
                  <c:v>391.7</c:v>
                </c:pt>
                <c:pt idx="38">
                  <c:v>539.9</c:v>
                </c:pt>
                <c:pt idx="39">
                  <c:v>579.29999999999995</c:v>
                </c:pt>
              </c:numCache>
            </c:numRef>
          </c:xVal>
          <c:yVal>
            <c:numRef>
              <c:f>PZ!$O$2:$O$42</c:f>
              <c:numCache>
                <c:formatCode>General</c:formatCode>
                <c:ptCount val="41"/>
                <c:pt idx="0">
                  <c:v>4674</c:v>
                </c:pt>
                <c:pt idx="1">
                  <c:v>4769.5</c:v>
                </c:pt>
                <c:pt idx="2">
                  <c:v>4938.3100000000004</c:v>
                </c:pt>
                <c:pt idx="3">
                  <c:v>5205.8999999999996</c:v>
                </c:pt>
                <c:pt idx="5">
                  <c:v>1814.51</c:v>
                </c:pt>
                <c:pt idx="7">
                  <c:v>1095.26</c:v>
                </c:pt>
                <c:pt idx="8">
                  <c:v>1217</c:v>
                </c:pt>
                <c:pt idx="9">
                  <c:v>1299.96</c:v>
                </c:pt>
                <c:pt idx="10">
                  <c:v>1342.6</c:v>
                </c:pt>
                <c:pt idx="11">
                  <c:v>1538.3</c:v>
                </c:pt>
                <c:pt idx="12">
                  <c:v>2870</c:v>
                </c:pt>
                <c:pt idx="13">
                  <c:v>3045.75</c:v>
                </c:pt>
                <c:pt idx="14">
                  <c:v>3740</c:v>
                </c:pt>
                <c:pt idx="15">
                  <c:v>3932.1499999999996</c:v>
                </c:pt>
                <c:pt idx="16">
                  <c:v>4470</c:v>
                </c:pt>
                <c:pt idx="17">
                  <c:v>4710</c:v>
                </c:pt>
                <c:pt idx="18">
                  <c:v>4745.58</c:v>
                </c:pt>
                <c:pt idx="19">
                  <c:v>4870</c:v>
                </c:pt>
                <c:pt idx="20">
                  <c:v>4927</c:v>
                </c:pt>
                <c:pt idx="21">
                  <c:v>4978</c:v>
                </c:pt>
                <c:pt idx="22">
                  <c:v>5080</c:v>
                </c:pt>
                <c:pt idx="23">
                  <c:v>5410</c:v>
                </c:pt>
                <c:pt idx="27">
                  <c:v>786.1</c:v>
                </c:pt>
                <c:pt idx="28">
                  <c:v>875</c:v>
                </c:pt>
                <c:pt idx="29">
                  <c:v>965.43</c:v>
                </c:pt>
                <c:pt idx="30">
                  <c:v>1545.5</c:v>
                </c:pt>
                <c:pt idx="31">
                  <c:v>1687.51</c:v>
                </c:pt>
                <c:pt idx="32">
                  <c:v>1933.19</c:v>
                </c:pt>
                <c:pt idx="33">
                  <c:v>2524.9700000000003</c:v>
                </c:pt>
                <c:pt idx="34">
                  <c:v>2740.86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E-914C-A41F-10A122DC7277}"/>
            </c:ext>
          </c:extLst>
        </c:ser>
        <c:ser>
          <c:idx val="1"/>
          <c:order val="1"/>
          <c:tx>
            <c:strRef>
              <c:f>PZ!$R$1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6618766404199474E-2"/>
                  <c:y val="-0.16250000000000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PZ!$R$2:$R$42</c:f>
              <c:numCache>
                <c:formatCode>General</c:formatCode>
                <c:ptCount val="41"/>
                <c:pt idx="0">
                  <c:v>1224.2</c:v>
                </c:pt>
                <c:pt idx="1">
                  <c:v>1123</c:v>
                </c:pt>
                <c:pt idx="2">
                  <c:v>1200.2</c:v>
                </c:pt>
                <c:pt idx="3">
                  <c:v>1433.5</c:v>
                </c:pt>
                <c:pt idx="4">
                  <c:v>428.1</c:v>
                </c:pt>
                <c:pt idx="5">
                  <c:v>434.4</c:v>
                </c:pt>
                <c:pt idx="6">
                  <c:v>1200.9000000000001</c:v>
                </c:pt>
                <c:pt idx="7">
                  <c:v>275.68</c:v>
                </c:pt>
                <c:pt idx="8">
                  <c:v>295</c:v>
                </c:pt>
                <c:pt idx="9">
                  <c:v>291.94</c:v>
                </c:pt>
                <c:pt idx="10">
                  <c:v>322.77</c:v>
                </c:pt>
                <c:pt idx="11">
                  <c:v>372.7</c:v>
                </c:pt>
                <c:pt idx="12">
                  <c:v>671</c:v>
                </c:pt>
                <c:pt idx="13">
                  <c:v>786.67</c:v>
                </c:pt>
                <c:pt idx="14">
                  <c:v>907</c:v>
                </c:pt>
                <c:pt idx="15">
                  <c:v>1035.9000000000001</c:v>
                </c:pt>
                <c:pt idx="16">
                  <c:v>1036</c:v>
                </c:pt>
                <c:pt idx="17">
                  <c:v>1341</c:v>
                </c:pt>
                <c:pt idx="18">
                  <c:v>1229.3699999999999</c:v>
                </c:pt>
                <c:pt idx="19">
                  <c:v>1122.4000000000001</c:v>
                </c:pt>
                <c:pt idx="20">
                  <c:v>1180</c:v>
                </c:pt>
                <c:pt idx="21">
                  <c:v>1250</c:v>
                </c:pt>
                <c:pt idx="22">
                  <c:v>1275.5</c:v>
                </c:pt>
                <c:pt idx="23">
                  <c:v>1448.5</c:v>
                </c:pt>
                <c:pt idx="24">
                  <c:v>600.1</c:v>
                </c:pt>
                <c:pt idx="25">
                  <c:v>721.4</c:v>
                </c:pt>
                <c:pt idx="26">
                  <c:v>1155</c:v>
                </c:pt>
                <c:pt idx="27">
                  <c:v>192.7</c:v>
                </c:pt>
                <c:pt idx="28">
                  <c:v>214</c:v>
                </c:pt>
                <c:pt idx="29">
                  <c:v>282.45999999999998</c:v>
                </c:pt>
                <c:pt idx="30">
                  <c:v>389</c:v>
                </c:pt>
                <c:pt idx="31">
                  <c:v>422.55</c:v>
                </c:pt>
                <c:pt idx="32">
                  <c:v>517.5</c:v>
                </c:pt>
                <c:pt idx="33">
                  <c:v>609.66</c:v>
                </c:pt>
                <c:pt idx="34">
                  <c:v>728.36</c:v>
                </c:pt>
                <c:pt idx="35">
                  <c:v>318.39999999999998</c:v>
                </c:pt>
                <c:pt idx="36">
                  <c:v>791.63</c:v>
                </c:pt>
                <c:pt idx="37">
                  <c:v>366.2</c:v>
                </c:pt>
                <c:pt idx="38">
                  <c:v>515.9</c:v>
                </c:pt>
                <c:pt idx="39">
                  <c:v>535</c:v>
                </c:pt>
              </c:numCache>
            </c:numRef>
          </c:xVal>
          <c:yVal>
            <c:numRef>
              <c:f>PZ!$O$2:$O$42</c:f>
              <c:numCache>
                <c:formatCode>General</c:formatCode>
                <c:ptCount val="41"/>
                <c:pt idx="0">
                  <c:v>4674</c:v>
                </c:pt>
                <c:pt idx="1">
                  <c:v>4769.5</c:v>
                </c:pt>
                <c:pt idx="2">
                  <c:v>4938.3100000000004</c:v>
                </c:pt>
                <c:pt idx="3">
                  <c:v>5205.8999999999996</c:v>
                </c:pt>
                <c:pt idx="5">
                  <c:v>1814.51</c:v>
                </c:pt>
                <c:pt idx="7">
                  <c:v>1095.26</c:v>
                </c:pt>
                <c:pt idx="8">
                  <c:v>1217</c:v>
                </c:pt>
                <c:pt idx="9">
                  <c:v>1299.96</c:v>
                </c:pt>
                <c:pt idx="10">
                  <c:v>1342.6</c:v>
                </c:pt>
                <c:pt idx="11">
                  <c:v>1538.3</c:v>
                </c:pt>
                <c:pt idx="12">
                  <c:v>2870</c:v>
                </c:pt>
                <c:pt idx="13">
                  <c:v>3045.75</c:v>
                </c:pt>
                <c:pt idx="14">
                  <c:v>3740</c:v>
                </c:pt>
                <c:pt idx="15">
                  <c:v>3932.1499999999996</c:v>
                </c:pt>
                <c:pt idx="16">
                  <c:v>4470</c:v>
                </c:pt>
                <c:pt idx="17">
                  <c:v>4710</c:v>
                </c:pt>
                <c:pt idx="18">
                  <c:v>4745.58</c:v>
                </c:pt>
                <c:pt idx="19">
                  <c:v>4870</c:v>
                </c:pt>
                <c:pt idx="20">
                  <c:v>4927</c:v>
                </c:pt>
                <c:pt idx="21">
                  <c:v>4978</c:v>
                </c:pt>
                <c:pt idx="22">
                  <c:v>5080</c:v>
                </c:pt>
                <c:pt idx="23">
                  <c:v>5410</c:v>
                </c:pt>
                <c:pt idx="27">
                  <c:v>786.1</c:v>
                </c:pt>
                <c:pt idx="28">
                  <c:v>875</c:v>
                </c:pt>
                <c:pt idx="29">
                  <c:v>965.43</c:v>
                </c:pt>
                <c:pt idx="30">
                  <c:v>1545.5</c:v>
                </c:pt>
                <c:pt idx="31">
                  <c:v>1687.51</c:v>
                </c:pt>
                <c:pt idx="32">
                  <c:v>1933.19</c:v>
                </c:pt>
                <c:pt idx="33">
                  <c:v>2524.9700000000003</c:v>
                </c:pt>
                <c:pt idx="34">
                  <c:v>2740.86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0E-914C-A41F-10A122DC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481264"/>
        <c:axId val="1441219408"/>
      </c:scatterChart>
      <c:valAx>
        <c:axId val="13984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19408"/>
        <c:crosses val="autoZero"/>
        <c:crossBetween val="midCat"/>
      </c:valAx>
      <c:valAx>
        <c:axId val="14412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48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'ZijsronTest - ALL'!$N$1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423578302712158"/>
                  <c:y val="3.75054680664916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'ZijsronTest - ALL'!$N$2:$N$47</c:f>
              <c:numCache>
                <c:formatCode>General</c:formatCode>
                <c:ptCount val="46"/>
                <c:pt idx="0">
                  <c:v>1433.5</c:v>
                </c:pt>
                <c:pt idx="1">
                  <c:v>1224.2</c:v>
                </c:pt>
                <c:pt idx="2">
                  <c:v>1123</c:v>
                </c:pt>
                <c:pt idx="3">
                  <c:v>1200.2</c:v>
                </c:pt>
                <c:pt idx="4">
                  <c:v>434.4</c:v>
                </c:pt>
                <c:pt idx="5">
                  <c:v>1229.3699999999999</c:v>
                </c:pt>
                <c:pt idx="6">
                  <c:v>1122.4000000000001</c:v>
                </c:pt>
                <c:pt idx="7">
                  <c:v>1275.5</c:v>
                </c:pt>
                <c:pt idx="8">
                  <c:v>295</c:v>
                </c:pt>
                <c:pt idx="9">
                  <c:v>786.67</c:v>
                </c:pt>
                <c:pt idx="10">
                  <c:v>1448.5</c:v>
                </c:pt>
                <c:pt idx="11">
                  <c:v>1036</c:v>
                </c:pt>
                <c:pt idx="12">
                  <c:v>1250</c:v>
                </c:pt>
                <c:pt idx="13">
                  <c:v>291.94</c:v>
                </c:pt>
                <c:pt idx="14">
                  <c:v>671</c:v>
                </c:pt>
                <c:pt idx="15">
                  <c:v>1180</c:v>
                </c:pt>
                <c:pt idx="16">
                  <c:v>322.77</c:v>
                </c:pt>
                <c:pt idx="17">
                  <c:v>372.7</c:v>
                </c:pt>
                <c:pt idx="18">
                  <c:v>275.68</c:v>
                </c:pt>
                <c:pt idx="19">
                  <c:v>1341</c:v>
                </c:pt>
                <c:pt idx="20">
                  <c:v>907</c:v>
                </c:pt>
                <c:pt idx="21">
                  <c:v>192.7</c:v>
                </c:pt>
                <c:pt idx="22">
                  <c:v>609.66</c:v>
                </c:pt>
                <c:pt idx="23">
                  <c:v>282.45999999999998</c:v>
                </c:pt>
                <c:pt idx="24">
                  <c:v>517.5</c:v>
                </c:pt>
                <c:pt idx="25">
                  <c:v>728.36</c:v>
                </c:pt>
                <c:pt idx="26">
                  <c:v>214</c:v>
                </c:pt>
                <c:pt idx="27">
                  <c:v>422.55</c:v>
                </c:pt>
                <c:pt idx="28">
                  <c:v>389</c:v>
                </c:pt>
              </c:numCache>
            </c:numRef>
          </c:xVal>
          <c:yVal>
            <c:numRef>
              <c:f>'ZijsronTest - ALL'!$J$2:$J$47</c:f>
              <c:numCache>
                <c:formatCode>General</c:formatCode>
                <c:ptCount val="46"/>
                <c:pt idx="0">
                  <c:v>5205.8999999999996</c:v>
                </c:pt>
                <c:pt idx="1">
                  <c:v>4572</c:v>
                </c:pt>
                <c:pt idx="2">
                  <c:v>4769.5</c:v>
                </c:pt>
                <c:pt idx="3">
                  <c:v>4938.3100000000004</c:v>
                </c:pt>
                <c:pt idx="4">
                  <c:v>1814.51</c:v>
                </c:pt>
                <c:pt idx="5">
                  <c:v>4745.58</c:v>
                </c:pt>
                <c:pt idx="6">
                  <c:v>4870</c:v>
                </c:pt>
                <c:pt idx="7">
                  <c:v>5080</c:v>
                </c:pt>
                <c:pt idx="8">
                  <c:v>1217</c:v>
                </c:pt>
                <c:pt idx="9">
                  <c:v>3045.75</c:v>
                </c:pt>
                <c:pt idx="10">
                  <c:v>5410</c:v>
                </c:pt>
                <c:pt idx="11">
                  <c:v>4470</c:v>
                </c:pt>
                <c:pt idx="12">
                  <c:v>4978</c:v>
                </c:pt>
                <c:pt idx="13">
                  <c:v>1299.96</c:v>
                </c:pt>
                <c:pt idx="14">
                  <c:v>2870</c:v>
                </c:pt>
                <c:pt idx="15">
                  <c:v>4927.5</c:v>
                </c:pt>
                <c:pt idx="16">
                  <c:v>1342.6</c:v>
                </c:pt>
                <c:pt idx="17">
                  <c:v>1538.3</c:v>
                </c:pt>
                <c:pt idx="18">
                  <c:v>1095.26</c:v>
                </c:pt>
                <c:pt idx="19">
                  <c:v>4710</c:v>
                </c:pt>
                <c:pt idx="20">
                  <c:v>3740</c:v>
                </c:pt>
                <c:pt idx="21">
                  <c:v>786.1</c:v>
                </c:pt>
                <c:pt idx="22">
                  <c:v>2524.9700000000003</c:v>
                </c:pt>
                <c:pt idx="23">
                  <c:v>965.43</c:v>
                </c:pt>
                <c:pt idx="24">
                  <c:v>1933.19</c:v>
                </c:pt>
                <c:pt idx="25">
                  <c:v>2740.86</c:v>
                </c:pt>
                <c:pt idx="26">
                  <c:v>875</c:v>
                </c:pt>
                <c:pt idx="27">
                  <c:v>1687.51</c:v>
                </c:pt>
                <c:pt idx="28">
                  <c:v>1545.5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1C-D447-8C51-2D8981590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2399"/>
        <c:axId val="15581599"/>
      </c:scatterChart>
      <c:valAx>
        <c:axId val="1560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599"/>
        <c:crosses val="autoZero"/>
        <c:crossBetween val="midCat"/>
      </c:valAx>
      <c:valAx>
        <c:axId val="155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'ZijsronTest - ALL'!$N$1</c:f>
              <c:strCache>
                <c:ptCount val="1"/>
                <c:pt idx="0">
                  <c:v>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2423578302712158"/>
                  <c:y val="3.75054680664916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'ZijsronTest - ALL'!$N$2:$N$47</c:f>
              <c:numCache>
                <c:formatCode>General</c:formatCode>
                <c:ptCount val="46"/>
                <c:pt idx="0">
                  <c:v>1433.5</c:v>
                </c:pt>
                <c:pt idx="1">
                  <c:v>1224.2</c:v>
                </c:pt>
                <c:pt idx="2">
                  <c:v>1123</c:v>
                </c:pt>
                <c:pt idx="3">
                  <c:v>1200.2</c:v>
                </c:pt>
                <c:pt idx="4">
                  <c:v>434.4</c:v>
                </c:pt>
                <c:pt idx="5">
                  <c:v>1229.3699999999999</c:v>
                </c:pt>
                <c:pt idx="6">
                  <c:v>1122.4000000000001</c:v>
                </c:pt>
                <c:pt idx="7">
                  <c:v>1275.5</c:v>
                </c:pt>
                <c:pt idx="8">
                  <c:v>295</c:v>
                </c:pt>
                <c:pt idx="9">
                  <c:v>786.67</c:v>
                </c:pt>
                <c:pt idx="10">
                  <c:v>1448.5</c:v>
                </c:pt>
                <c:pt idx="11">
                  <c:v>1036</c:v>
                </c:pt>
                <c:pt idx="12">
                  <c:v>1250</c:v>
                </c:pt>
                <c:pt idx="13">
                  <c:v>291.94</c:v>
                </c:pt>
                <c:pt idx="14">
                  <c:v>671</c:v>
                </c:pt>
                <c:pt idx="15">
                  <c:v>1180</c:v>
                </c:pt>
                <c:pt idx="16">
                  <c:v>322.77</c:v>
                </c:pt>
                <c:pt idx="17">
                  <c:v>372.7</c:v>
                </c:pt>
                <c:pt idx="18">
                  <c:v>275.68</c:v>
                </c:pt>
                <c:pt idx="19">
                  <c:v>1341</c:v>
                </c:pt>
                <c:pt idx="20">
                  <c:v>907</c:v>
                </c:pt>
                <c:pt idx="21">
                  <c:v>192.7</c:v>
                </c:pt>
                <c:pt idx="22">
                  <c:v>609.66</c:v>
                </c:pt>
                <c:pt idx="23">
                  <c:v>282.45999999999998</c:v>
                </c:pt>
                <c:pt idx="24">
                  <c:v>517.5</c:v>
                </c:pt>
                <c:pt idx="25">
                  <c:v>728.36</c:v>
                </c:pt>
                <c:pt idx="26">
                  <c:v>214</c:v>
                </c:pt>
                <c:pt idx="27">
                  <c:v>422.55</c:v>
                </c:pt>
                <c:pt idx="28">
                  <c:v>389</c:v>
                </c:pt>
              </c:numCache>
            </c:numRef>
          </c:xVal>
          <c:yVal>
            <c:numRef>
              <c:f>'ZijsronTest - ALL'!$J$2:$J$47</c:f>
              <c:numCache>
                <c:formatCode>General</c:formatCode>
                <c:ptCount val="46"/>
                <c:pt idx="0">
                  <c:v>5205.8999999999996</c:v>
                </c:pt>
                <c:pt idx="1">
                  <c:v>4572</c:v>
                </c:pt>
                <c:pt idx="2">
                  <c:v>4769.5</c:v>
                </c:pt>
                <c:pt idx="3">
                  <c:v>4938.3100000000004</c:v>
                </c:pt>
                <c:pt idx="4">
                  <c:v>1814.51</c:v>
                </c:pt>
                <c:pt idx="5">
                  <c:v>4745.58</c:v>
                </c:pt>
                <c:pt idx="6">
                  <c:v>4870</c:v>
                </c:pt>
                <c:pt idx="7">
                  <c:v>5080</c:v>
                </c:pt>
                <c:pt idx="8">
                  <c:v>1217</c:v>
                </c:pt>
                <c:pt idx="9">
                  <c:v>3045.75</c:v>
                </c:pt>
                <c:pt idx="10">
                  <c:v>5410</c:v>
                </c:pt>
                <c:pt idx="11">
                  <c:v>4470</c:v>
                </c:pt>
                <c:pt idx="12">
                  <c:v>4978</c:v>
                </c:pt>
                <c:pt idx="13">
                  <c:v>1299.96</c:v>
                </c:pt>
                <c:pt idx="14">
                  <c:v>2870</c:v>
                </c:pt>
                <c:pt idx="15">
                  <c:v>4927.5</c:v>
                </c:pt>
                <c:pt idx="16">
                  <c:v>1342.6</c:v>
                </c:pt>
                <c:pt idx="17">
                  <c:v>1538.3</c:v>
                </c:pt>
                <c:pt idx="18">
                  <c:v>1095.26</c:v>
                </c:pt>
                <c:pt idx="19">
                  <c:v>4710</c:v>
                </c:pt>
                <c:pt idx="20">
                  <c:v>3740</c:v>
                </c:pt>
                <c:pt idx="21">
                  <c:v>786.1</c:v>
                </c:pt>
                <c:pt idx="22">
                  <c:v>2524.9700000000003</c:v>
                </c:pt>
                <c:pt idx="23">
                  <c:v>965.43</c:v>
                </c:pt>
                <c:pt idx="24">
                  <c:v>1933.19</c:v>
                </c:pt>
                <c:pt idx="25">
                  <c:v>2740.86</c:v>
                </c:pt>
                <c:pt idx="26">
                  <c:v>875</c:v>
                </c:pt>
                <c:pt idx="27">
                  <c:v>1687.51</c:v>
                </c:pt>
                <c:pt idx="28">
                  <c:v>1545.5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BB-8E4D-985E-7BE99A44B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2399"/>
        <c:axId val="15581599"/>
      </c:scatterChart>
      <c:valAx>
        <c:axId val="1560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599"/>
        <c:crosses val="autoZero"/>
        <c:crossBetween val="midCat"/>
      </c:valAx>
      <c:valAx>
        <c:axId val="155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'SF Heads'!$I$1</c:f>
              <c:strCache>
                <c:ptCount val="1"/>
                <c:pt idx="0">
                  <c:v>BW SRL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'SF Heads'!$F$2:$F$111</c:f>
              <c:numCache>
                <c:formatCode>General</c:formatCode>
                <c:ptCount val="110"/>
                <c:pt idx="0">
                  <c:v>670</c:v>
                </c:pt>
                <c:pt idx="1">
                  <c:v>735</c:v>
                </c:pt>
                <c:pt idx="2">
                  <c:v>746</c:v>
                </c:pt>
                <c:pt idx="3">
                  <c:v>776</c:v>
                </c:pt>
                <c:pt idx="4">
                  <c:v>796</c:v>
                </c:pt>
                <c:pt idx="5">
                  <c:v>804</c:v>
                </c:pt>
                <c:pt idx="6">
                  <c:v>1270</c:v>
                </c:pt>
                <c:pt idx="7">
                  <c:v>1312</c:v>
                </c:pt>
                <c:pt idx="8">
                  <c:v>1430</c:v>
                </c:pt>
                <c:pt idx="9">
                  <c:v>2590</c:v>
                </c:pt>
                <c:pt idx="10">
                  <c:v>716</c:v>
                </c:pt>
                <c:pt idx="11">
                  <c:v>770</c:v>
                </c:pt>
                <c:pt idx="12">
                  <c:v>1500</c:v>
                </c:pt>
                <c:pt idx="13">
                  <c:v>1780</c:v>
                </c:pt>
                <c:pt idx="14">
                  <c:v>2120</c:v>
                </c:pt>
                <c:pt idx="15">
                  <c:v>899</c:v>
                </c:pt>
                <c:pt idx="16">
                  <c:v>990</c:v>
                </c:pt>
                <c:pt idx="17">
                  <c:v>1160</c:v>
                </c:pt>
                <c:pt idx="18">
                  <c:v>1420</c:v>
                </c:pt>
                <c:pt idx="19">
                  <c:v>1465</c:v>
                </c:pt>
                <c:pt idx="20">
                  <c:v>1495</c:v>
                </c:pt>
                <c:pt idx="21">
                  <c:v>1553</c:v>
                </c:pt>
                <c:pt idx="22">
                  <c:v>1708</c:v>
                </c:pt>
                <c:pt idx="23">
                  <c:v>2000</c:v>
                </c:pt>
                <c:pt idx="24">
                  <c:v>2870</c:v>
                </c:pt>
              </c:numCache>
            </c:numRef>
          </c:xVal>
          <c:yVal>
            <c:numRef>
              <c:f>'SF Heads'!$I$2:$I$11</c:f>
              <c:numCache>
                <c:formatCode>General</c:formatCode>
                <c:ptCount val="10"/>
                <c:pt idx="0">
                  <c:v>156</c:v>
                </c:pt>
                <c:pt idx="1">
                  <c:v>163</c:v>
                </c:pt>
                <c:pt idx="2">
                  <c:v>162</c:v>
                </c:pt>
                <c:pt idx="3">
                  <c:v>152</c:v>
                </c:pt>
                <c:pt idx="4">
                  <c:v>165</c:v>
                </c:pt>
                <c:pt idx="5">
                  <c:v>184</c:v>
                </c:pt>
                <c:pt idx="6">
                  <c:v>224</c:v>
                </c:pt>
                <c:pt idx="7">
                  <c:v>269</c:v>
                </c:pt>
                <c:pt idx="8">
                  <c:v>282</c:v>
                </c:pt>
                <c:pt idx="9">
                  <c:v>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B-5F4E-A1CF-988B9803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77839"/>
        <c:axId val="720079567"/>
      </c:scatterChart>
      <c:valAx>
        <c:axId val="7200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79567"/>
        <c:crosses val="autoZero"/>
        <c:crossBetween val="midCat"/>
      </c:valAx>
      <c:valAx>
        <c:axId val="7200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7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833011</xdr:colOff>
      <xdr:row>52</xdr:row>
      <xdr:rowOff>99482</xdr:rowOff>
    </xdr:from>
    <xdr:to>
      <xdr:col>9</xdr:col>
      <xdr:colOff>276395</xdr:colOff>
      <xdr:row>70</xdr:row>
      <xdr:rowOff>38235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5FD99-6538-9F98-F81E-CBDD5B2CE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174796</xdr:colOff>
      <xdr:row>52</xdr:row>
      <xdr:rowOff>119626</xdr:rowOff>
    </xdr:from>
    <xdr:to>
      <xdr:col>15</xdr:col>
      <xdr:colOff>624894</xdr:colOff>
      <xdr:row>70</xdr:row>
      <xdr:rowOff>10378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2A1299-E61B-C74D-8F26-FA2872CC8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772378</xdr:colOff>
      <xdr:row>36</xdr:row>
      <xdr:rowOff>169204</xdr:rowOff>
    </xdr:from>
    <xdr:to>
      <xdr:col>9</xdr:col>
      <xdr:colOff>142896</xdr:colOff>
      <xdr:row>51</xdr:row>
      <xdr:rowOff>62873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28D3C8-66AD-2842-8E50-B1EE1C9D5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245487</xdr:colOff>
      <xdr:row>36</xdr:row>
      <xdr:rowOff>88908</xdr:rowOff>
    </xdr:from>
    <xdr:to>
      <xdr:col>16</xdr:col>
      <xdr:colOff>13656</xdr:colOff>
      <xdr:row>50</xdr:row>
      <xdr:rowOff>163928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879B4D-F29F-6545-905E-B4C8430CC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145980</xdr:colOff>
      <xdr:row>52</xdr:row>
      <xdr:rowOff>117168</xdr:rowOff>
    </xdr:from>
    <xdr:to>
      <xdr:col>25</xdr:col>
      <xdr:colOff>51345</xdr:colOff>
      <xdr:row>69</xdr:row>
      <xdr:rowOff>109248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C26DB1-1138-5F4C-915D-4BA526A87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138970</xdr:colOff>
      <xdr:row>36</xdr:row>
      <xdr:rowOff>118863</xdr:rowOff>
    </xdr:from>
    <xdr:to>
      <xdr:col>25</xdr:col>
      <xdr:colOff>48070</xdr:colOff>
      <xdr:row>51</xdr:row>
      <xdr:rowOff>9480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BCEECE-514E-8643-BA29-745E42D3C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365046</xdr:colOff>
      <xdr:row>49</xdr:row>
      <xdr:rowOff>127933</xdr:rowOff>
    </xdr:from>
    <xdr:to>
      <xdr:col>15</xdr:col>
      <xdr:colOff>907135</xdr:colOff>
      <xdr:row>66</xdr:row>
      <xdr:rowOff>134095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3C3572-C619-EEE2-3B75-922D38871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149422</xdr:colOff>
      <xdr:row>49</xdr:row>
      <xdr:rowOff>136445</xdr:rowOff>
    </xdr:from>
    <xdr:to>
      <xdr:col>21</xdr:col>
      <xdr:colOff>333354</xdr:colOff>
      <xdr:row>67</xdr:row>
      <xdr:rowOff>10842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5FB0AC-F4A6-8145-ACC0-11EF28F91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559683</xdr:colOff>
      <xdr:row>125</xdr:row>
      <xdr:rowOff>176695</xdr:rowOff>
    </xdr:from>
    <xdr:to>
      <xdr:col>26</xdr:col>
      <xdr:colOff>186983</xdr:colOff>
      <xdr:row>149</xdr:row>
      <xdr:rowOff>8526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0700F-F756-B095-FD98-8BA5F616A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625039</xdr:colOff>
      <xdr:row>148</xdr:row>
      <xdr:rowOff>110518</xdr:rowOff>
    </xdr:from>
    <xdr:to>
      <xdr:col>26</xdr:col>
      <xdr:colOff>226818</xdr:colOff>
      <xdr:row>171</xdr:row>
      <xdr:rowOff>90696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84348C-6E14-BD4D-A70C-A9ABD1DD5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631842</xdr:colOff>
      <xdr:row>41</xdr:row>
      <xdr:rowOff>124775</xdr:rowOff>
    </xdr:from>
    <xdr:to>
      <xdr:col>14</xdr:col>
      <xdr:colOff>207709</xdr:colOff>
      <xdr:row>58</xdr:row>
      <xdr:rowOff>92117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8555-5A26-6EA5-8B01-2EAA5E7E3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398800</xdr:colOff>
      <xdr:row>41</xdr:row>
      <xdr:rowOff>133395</xdr:rowOff>
    </xdr:from>
    <xdr:to>
      <xdr:col>26</xdr:col>
      <xdr:colOff>716300</xdr:colOff>
      <xdr:row>58</xdr:row>
      <xdr:rowOff>115169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51C7F-9A8D-BB42-82D0-79B8711FA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524493</xdr:colOff>
      <xdr:row>41</xdr:row>
      <xdr:rowOff>138796</xdr:rowOff>
    </xdr:from>
    <xdr:to>
      <xdr:col>21</xdr:col>
      <xdr:colOff>16493</xdr:colOff>
      <xdr:row>58</xdr:row>
      <xdr:rowOff>106138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4CE8BD-5A11-1E4B-B34E-37EF281FA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299764</xdr:colOff>
      <xdr:row>32</xdr:row>
      <xdr:rowOff>110067</xdr:rowOff>
    </xdr:from>
    <xdr:to>
      <xdr:col>18</xdr:col>
      <xdr:colOff>901584</xdr:colOff>
      <xdr:row>47</xdr:row>
      <xdr:rowOff>107321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DBAE8-9962-A096-1BD4-90C6F0DF8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137296</xdr:colOff>
      <xdr:row>32</xdr:row>
      <xdr:rowOff>114413</xdr:rowOff>
    </xdr:from>
    <xdr:to>
      <xdr:col>12</xdr:col>
      <xdr:colOff>533170</xdr:colOff>
      <xdr:row>47</xdr:row>
      <xdr:rowOff>111667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726529-15EE-FE4C-A447-685BE023D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30</xdr:row>
      <xdr:rowOff>88900</xdr:rowOff>
    </xdr:from>
    <xdr:to>
      <xdr:col>11</xdr:col>
      <xdr:colOff>952500</xdr:colOff>
      <xdr:row>55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781E1-36D8-CB9B-4BA1-E796D22F1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5901A-B453-A04F-A3E6-63D0030800C6}" name="Table1" displayName="Table1" ref="A1:W204" totalsRowShown="0" headerRowDxfId="24" dataDxfId="23">
  <autoFilter ref="A1:W204" xr:uid="{EAE5901A-B453-A04F-A3E6-63D0030800C6}"/>
  <sortState xmlns:xlrd2="http://schemas.microsoft.com/office/spreadsheetml/2017/richdata2" ref="A2:W204">
    <sortCondition ref="B1:B204"/>
  </sortState>
  <tableColumns count="23">
    <tableColumn id="1" xr3:uid="{E6EBFF1B-B2D1-414C-8855-499751FE09E0}" name="ID" dataDxfId="22"/>
    <tableColumn id="2" xr3:uid="{D78FF4D9-8D69-6045-B6BF-4CB3A8166936}" name="Publication" dataDxfId="21"/>
    <tableColumn id="3" xr3:uid="{33BA6F8C-3ADB-4143-B7F5-6D56DC225B8D}" name="Column1" dataDxfId="20"/>
    <tableColumn id="4" xr3:uid="{15287D47-3B83-A54D-BD05-B797280C5A20}" name="Column2" dataDxfId="19"/>
    <tableColumn id="5" xr3:uid="{4C442B37-FCE6-C444-B3EA-D60110BB4EDE}" name="ModelT" dataDxfId="18"/>
    <tableColumn id="6" xr3:uid="{9BC96CEC-16C9-7140-8AF4-C542A7B53F33}" name="Age_Class" dataDxfId="17"/>
    <tableColumn id="7" xr3:uid="{273AB0BB-8FD2-9F45-9F0A-3A1B24BC347A}" name="Maturity" dataDxfId="16"/>
    <tableColumn id="8" xr3:uid="{DFB7A8F1-5B46-4B47-BF11-F211EE95D1E4}" name="Size_Class" dataDxfId="15"/>
    <tableColumn id="9" xr3:uid="{77CA2377-D935-4F43-AED5-E0EE2947BF21}" name="TLTrue" dataDxfId="14"/>
    <tableColumn id="10" xr3:uid="{AC8D7F96-C1F2-0F46-B9C0-0920E06A959F}" name="TLCalc_SRL" dataDxfId="13"/>
    <tableColumn id="11" xr3:uid="{6088A000-3FA4-864F-BB7F-D9DD9848F43D}" name="Residuals_SRL" dataDxfId="12">
      <calculatedColumnFormula>J2-I2</calculatedColumnFormula>
    </tableColumn>
    <tableColumn id="12" xr3:uid="{82733977-C1F5-7748-8317-45A99CD78D47}" name="SSq_SRL" dataDxfId="11">
      <calculatedColumnFormula>K2^2</calculatedColumnFormula>
    </tableColumn>
    <tableColumn id="13" xr3:uid="{755795EA-0250-F048-A855-FB518DE4A182}" name="NetRes_S" dataDxfId="10">
      <calculatedColumnFormula>SQRT(L2)</calculatedColumnFormula>
    </tableColumn>
    <tableColumn id="14" xr3:uid="{4E774B57-9239-6141-9E43-6BEE99CFEA16}" name="logResS" dataDxfId="9">
      <calculatedColumnFormula>LOG10(M2+1)</calculatedColumnFormula>
    </tableColumn>
    <tableColumn id="15" xr3:uid="{EE1949EF-B475-0C49-BEB3-CF46A75C4EA3}" name="StResS" dataDxfId="8">
      <calculatedColumnFormula>100*K2/I2</calculatedColumnFormula>
    </tableColumn>
    <tableColumn id="16" xr3:uid="{10EF4BCF-E70B-5C42-9E36-9C6106BF7310}" name="StNetResS" dataDxfId="7">
      <calculatedColumnFormula>ABS(O2)</calculatedColumnFormula>
    </tableColumn>
    <tableColumn id="17" xr3:uid="{FC70190E-A2F6-2846-A145-31CFAF580A70}" name="TLCalc_TRL" dataDxfId="6"/>
    <tableColumn id="18" xr3:uid="{C053253E-4666-3848-8275-765874365F72}" name="Residuals_TRL" dataDxfId="5">
      <calculatedColumnFormula>Q2-I2</calculatedColumnFormula>
    </tableColumn>
    <tableColumn id="19" xr3:uid="{537A2460-41F5-334A-8E8D-26DA7CD7D590}" name="SSq_TRL" dataDxfId="4">
      <calculatedColumnFormula>R2^2</calculatedColumnFormula>
    </tableColumn>
    <tableColumn id="20" xr3:uid="{B9BDF853-145D-6A45-971D-28100D6A2D6E}" name="NetRes_T" dataDxfId="3">
      <calculatedColumnFormula>SQRT(S2)</calculatedColumnFormula>
    </tableColumn>
    <tableColumn id="21" xr3:uid="{238E5852-DD89-BA40-A00C-957A51442E80}" name="logNetRT" dataDxfId="2">
      <calculatedColumnFormula>LOG10(T2+1)</calculatedColumnFormula>
    </tableColumn>
    <tableColumn id="22" xr3:uid="{B1836EA6-91AC-AC4F-9B06-86ADFA4E0521}" name="StResT" dataDxfId="1">
      <calculatedColumnFormula>100*R2/I2</calculatedColumnFormula>
    </tableColumn>
    <tableColumn id="23" xr3:uid="{1C39B517-7EB1-5D47-9C8A-FD6766F77666}" name="StNetResT" dataDxfId="0">
      <calculatedColumnFormula>ABS(V2)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5E1A-FEC8-5B4A-842A-1E23969EDFD6}">
  <dimension ref="A1:AE244"/>
  <sheetViews>
    <sheetView zoomScale="125" workbookViewId="0">
      <selection activeCell="Q62" sqref="Q62"/>
    </sheetView>
  </sheetViews>
  <sheetFormatPr baseColWidth="10" defaultRowHeight="13" x14ac:dyDescent="0.15"/>
  <cols>
    <col min="1" max="1" width="12.1640625" style="24" bestFit="1" customWidth="1"/>
    <col min="2" max="2" width="13.33203125" style="24" bestFit="1" customWidth="1"/>
    <col min="3" max="3" width="10.83203125" style="24"/>
    <col min="4" max="4" width="10.83203125" style="29"/>
    <col min="5" max="5" width="10.83203125" style="24"/>
    <col min="6" max="6" width="12" style="29" bestFit="1" customWidth="1"/>
    <col min="7" max="7" width="10.83203125" style="24" customWidth="1"/>
    <col min="8" max="11" width="10.83203125" style="24"/>
    <col min="12" max="12" width="12.5" style="24" bestFit="1" customWidth="1"/>
    <col min="13" max="13" width="12.5" style="24" customWidth="1"/>
    <col min="14" max="14" width="10.83203125" style="24"/>
    <col min="15" max="19" width="10.83203125" style="234"/>
    <col min="20" max="23" width="0" style="24" hidden="1" customWidth="1"/>
    <col min="24" max="16384" width="10.83203125" style="24"/>
  </cols>
  <sheetData>
    <row r="1" spans="1:25" ht="15.75" customHeight="1" x14ac:dyDescent="0.15">
      <c r="A1" s="91" t="s">
        <v>0</v>
      </c>
      <c r="B1" s="91" t="s">
        <v>402</v>
      </c>
      <c r="C1" s="91" t="s">
        <v>400</v>
      </c>
      <c r="D1" s="93" t="s">
        <v>81</v>
      </c>
      <c r="E1" s="91" t="s">
        <v>442</v>
      </c>
      <c r="F1" s="93" t="s">
        <v>583</v>
      </c>
      <c r="G1" s="93" t="s">
        <v>412</v>
      </c>
      <c r="H1" s="93" t="s">
        <v>449</v>
      </c>
      <c r="I1" s="91" t="s">
        <v>469</v>
      </c>
      <c r="J1" s="91" t="s">
        <v>448</v>
      </c>
      <c r="K1" s="91" t="s">
        <v>28</v>
      </c>
      <c r="L1" s="91" t="s">
        <v>6</v>
      </c>
      <c r="M1" s="91" t="s">
        <v>5</v>
      </c>
      <c r="N1" s="91" t="s">
        <v>4</v>
      </c>
      <c r="O1" s="232" t="s">
        <v>441</v>
      </c>
      <c r="P1" s="232" t="s">
        <v>452</v>
      </c>
      <c r="Q1" s="232" t="s">
        <v>440</v>
      </c>
      <c r="R1" s="232" t="s">
        <v>439</v>
      </c>
      <c r="S1" s="232" t="s">
        <v>590</v>
      </c>
      <c r="T1" s="91" t="s">
        <v>445</v>
      </c>
      <c r="U1" s="91" t="s">
        <v>444</v>
      </c>
      <c r="V1" s="91" t="s">
        <v>443</v>
      </c>
      <c r="W1" s="24" t="s">
        <v>446</v>
      </c>
      <c r="X1" s="91" t="s">
        <v>447</v>
      </c>
      <c r="Y1" s="91" t="s">
        <v>901</v>
      </c>
    </row>
    <row r="2" spans="1:25" x14ac:dyDescent="0.15">
      <c r="A2" s="229" t="s">
        <v>46</v>
      </c>
      <c r="B2" s="230" t="s">
        <v>489</v>
      </c>
      <c r="C2" s="91" t="s">
        <v>401</v>
      </c>
      <c r="D2" s="91" t="s">
        <v>82</v>
      </c>
      <c r="E2" s="93" t="s">
        <v>494</v>
      </c>
      <c r="F2" s="44" t="s">
        <v>580</v>
      </c>
      <c r="G2" s="92">
        <v>776</v>
      </c>
      <c r="H2" s="91">
        <v>776</v>
      </c>
      <c r="I2" s="91">
        <v>776</v>
      </c>
      <c r="J2" s="91">
        <v>776</v>
      </c>
      <c r="K2" s="91">
        <v>204</v>
      </c>
      <c r="L2" s="91">
        <v>151</v>
      </c>
      <c r="M2" s="95">
        <v>257.66666666666669</v>
      </c>
      <c r="N2" s="26">
        <v>518</v>
      </c>
      <c r="O2" s="232">
        <f>M2/L2</f>
        <v>1.7064017660044151</v>
      </c>
      <c r="P2" s="233">
        <f>M2/K2</f>
        <v>1.2630718954248368</v>
      </c>
      <c r="Q2" s="233">
        <f>L2/K2</f>
        <v>0.74019607843137258</v>
      </c>
      <c r="R2" s="233">
        <f>L2/J2</f>
        <v>0.19458762886597938</v>
      </c>
      <c r="S2" s="234">
        <f>K2/J2</f>
        <v>0.26288659793814434</v>
      </c>
      <c r="T2" s="26">
        <v>1</v>
      </c>
      <c r="U2" s="26">
        <v>0</v>
      </c>
      <c r="V2" s="26">
        <f>SUM(T2,U2)</f>
        <v>1</v>
      </c>
      <c r="W2" s="26">
        <v>1</v>
      </c>
      <c r="X2" s="26">
        <v>0</v>
      </c>
      <c r="Y2" s="26">
        <v>0</v>
      </c>
    </row>
    <row r="3" spans="1:25" x14ac:dyDescent="0.15">
      <c r="A3" s="90" t="s">
        <v>46</v>
      </c>
      <c r="B3" s="90" t="s">
        <v>164</v>
      </c>
      <c r="C3" s="91" t="s">
        <v>403</v>
      </c>
      <c r="D3" s="90" t="s">
        <v>82</v>
      </c>
      <c r="E3" s="93" t="s">
        <v>494</v>
      </c>
      <c r="F3" s="44" t="s">
        <v>580</v>
      </c>
      <c r="G3" s="26">
        <v>700</v>
      </c>
      <c r="H3" s="26">
        <v>700</v>
      </c>
      <c r="I3" s="26"/>
      <c r="J3" s="26"/>
      <c r="K3" s="26">
        <v>211.64</v>
      </c>
      <c r="L3" s="26">
        <v>157.01</v>
      </c>
      <c r="M3" s="26">
        <v>262.17</v>
      </c>
      <c r="N3" s="26"/>
      <c r="O3" s="232">
        <f>M3/L3</f>
        <v>1.6697662569263105</v>
      </c>
      <c r="P3" s="233">
        <f>M3/K3</f>
        <v>1.238754488754489</v>
      </c>
      <c r="Q3" s="233">
        <f>L3/K3</f>
        <v>0.74187299187299183</v>
      </c>
      <c r="R3" s="233"/>
      <c r="T3" s="26">
        <v>0</v>
      </c>
      <c r="U3" s="26">
        <v>0</v>
      </c>
      <c r="V3" s="26">
        <f>SUM(T3,U3)</f>
        <v>0</v>
      </c>
      <c r="W3" s="26">
        <v>1</v>
      </c>
      <c r="X3" s="26">
        <v>0</v>
      </c>
      <c r="Y3" s="26">
        <v>0</v>
      </c>
    </row>
    <row r="4" spans="1:25" x14ac:dyDescent="0.15">
      <c r="A4" s="90" t="s">
        <v>46</v>
      </c>
      <c r="B4" s="90" t="s">
        <v>218</v>
      </c>
      <c r="C4" s="91" t="s">
        <v>403</v>
      </c>
      <c r="D4" s="90" t="s">
        <v>96</v>
      </c>
      <c r="E4" s="44" t="s">
        <v>374</v>
      </c>
      <c r="F4" s="44" t="s">
        <v>580</v>
      </c>
      <c r="G4" s="26">
        <v>1500</v>
      </c>
      <c r="H4" s="26">
        <v>2000</v>
      </c>
      <c r="I4" s="26"/>
      <c r="J4" s="26"/>
      <c r="K4" s="26">
        <v>222.1</v>
      </c>
      <c r="L4" s="26">
        <v>168.1</v>
      </c>
      <c r="M4" s="26">
        <v>268.89999999999998</v>
      </c>
      <c r="N4" s="26"/>
      <c r="O4" s="232">
        <f>M4/L4</f>
        <v>1.5996430696014277</v>
      </c>
      <c r="P4" s="233">
        <f>M4/K4</f>
        <v>1.2107158937415579</v>
      </c>
      <c r="Q4" s="233">
        <f>L4/K4</f>
        <v>0.75686627645204863</v>
      </c>
      <c r="R4" s="233"/>
      <c r="T4" s="26">
        <v>0</v>
      </c>
      <c r="U4" s="26">
        <v>0</v>
      </c>
      <c r="V4" s="26">
        <f>SUM(T4,U4)</f>
        <v>0</v>
      </c>
      <c r="W4" s="26">
        <v>0</v>
      </c>
      <c r="X4" s="26">
        <v>0</v>
      </c>
      <c r="Y4" s="26">
        <v>0</v>
      </c>
    </row>
    <row r="5" spans="1:25" x14ac:dyDescent="0.15">
      <c r="A5" s="90" t="s">
        <v>46</v>
      </c>
      <c r="B5" s="90" t="s">
        <v>222</v>
      </c>
      <c r="C5" s="91" t="s">
        <v>403</v>
      </c>
      <c r="D5" s="90" t="s">
        <v>82</v>
      </c>
      <c r="E5" s="93" t="s">
        <v>494</v>
      </c>
      <c r="F5" s="44" t="s">
        <v>580</v>
      </c>
      <c r="G5" s="88">
        <v>1200</v>
      </c>
      <c r="H5" s="26">
        <v>1500</v>
      </c>
      <c r="I5" s="26"/>
      <c r="J5" s="26"/>
      <c r="K5" s="26">
        <v>221.3</v>
      </c>
      <c r="L5" s="26">
        <v>168.76</v>
      </c>
      <c r="M5" s="26">
        <v>269.89999999999998</v>
      </c>
      <c r="N5" s="26"/>
      <c r="O5" s="232">
        <f>M5/L5</f>
        <v>1.5993126333254326</v>
      </c>
      <c r="P5" s="233">
        <f>M5/K5</f>
        <v>1.2196113872571168</v>
      </c>
      <c r="Q5" s="233">
        <f>L5/K5</f>
        <v>0.76258472661545407</v>
      </c>
      <c r="R5" s="233"/>
      <c r="T5" s="26">
        <v>0</v>
      </c>
      <c r="U5" s="26">
        <v>0</v>
      </c>
      <c r="V5" s="26">
        <f>SUM(T5,U5)</f>
        <v>0</v>
      </c>
      <c r="W5" s="26">
        <v>0</v>
      </c>
      <c r="X5" s="26">
        <v>1</v>
      </c>
      <c r="Y5" s="26">
        <v>0</v>
      </c>
    </row>
    <row r="6" spans="1:25" x14ac:dyDescent="0.15">
      <c r="A6" s="90" t="s">
        <v>46</v>
      </c>
      <c r="B6" s="90" t="s">
        <v>192</v>
      </c>
      <c r="C6" s="91" t="s">
        <v>403</v>
      </c>
      <c r="D6" s="90" t="s">
        <v>82</v>
      </c>
      <c r="E6" s="93" t="s">
        <v>494</v>
      </c>
      <c r="F6" s="44" t="s">
        <v>580</v>
      </c>
      <c r="G6" s="88">
        <v>1200</v>
      </c>
      <c r="H6" s="26">
        <v>1500</v>
      </c>
      <c r="I6" s="26"/>
      <c r="J6" s="26"/>
      <c r="K6" s="26">
        <v>107.3</v>
      </c>
      <c r="L6" s="26">
        <v>82.78</v>
      </c>
      <c r="M6" s="26">
        <v>133.58699999999999</v>
      </c>
      <c r="N6" s="26"/>
      <c r="O6" s="232">
        <f>M6/L6</f>
        <v>1.6137593621647739</v>
      </c>
      <c r="P6" s="233">
        <f>M6/K6</f>
        <v>1.2449860205032619</v>
      </c>
      <c r="Q6" s="233">
        <f>L6/K6</f>
        <v>0.77148182665424048</v>
      </c>
      <c r="R6" s="233"/>
      <c r="T6" s="26">
        <v>0</v>
      </c>
      <c r="U6" s="26">
        <v>0</v>
      </c>
      <c r="V6" s="26">
        <f>SUM(T6,U6)</f>
        <v>0</v>
      </c>
      <c r="W6" s="26">
        <v>0</v>
      </c>
      <c r="X6" s="26">
        <v>1</v>
      </c>
      <c r="Y6" s="26">
        <v>0</v>
      </c>
    </row>
    <row r="7" spans="1:25" x14ac:dyDescent="0.15">
      <c r="A7" s="90" t="s">
        <v>46</v>
      </c>
      <c r="B7" s="90" t="s">
        <v>168</v>
      </c>
      <c r="C7" s="91" t="s">
        <v>403</v>
      </c>
      <c r="D7" s="90" t="s">
        <v>82</v>
      </c>
      <c r="E7" s="93" t="s">
        <v>374</v>
      </c>
      <c r="F7" s="44" t="s">
        <v>580</v>
      </c>
      <c r="G7" s="26">
        <v>1500</v>
      </c>
      <c r="H7" s="26">
        <v>1500</v>
      </c>
      <c r="I7" s="26"/>
      <c r="J7" s="26"/>
      <c r="K7" s="26">
        <v>609.4</v>
      </c>
      <c r="L7" s="26">
        <v>491.4</v>
      </c>
      <c r="M7" s="26">
        <v>767.5</v>
      </c>
      <c r="N7" s="26"/>
      <c r="O7" s="232">
        <f>M7/L7</f>
        <v>1.561864061864062</v>
      </c>
      <c r="P7" s="233">
        <f>M7/K7</f>
        <v>1.2594355103380375</v>
      </c>
      <c r="Q7" s="233">
        <f>L7/K7</f>
        <v>0.80636691828027562</v>
      </c>
      <c r="R7" s="233"/>
      <c r="T7" s="26">
        <v>0</v>
      </c>
      <c r="U7" s="26">
        <v>0</v>
      </c>
      <c r="V7" s="26">
        <f>SUM(T7,U7)</f>
        <v>0</v>
      </c>
      <c r="W7" s="26">
        <v>1</v>
      </c>
      <c r="X7" s="26">
        <v>1</v>
      </c>
      <c r="Y7" s="26">
        <v>0</v>
      </c>
    </row>
    <row r="8" spans="1:25" x14ac:dyDescent="0.15">
      <c r="A8" s="229" t="s">
        <v>46</v>
      </c>
      <c r="B8" s="230" t="s">
        <v>492</v>
      </c>
      <c r="C8" s="91" t="s">
        <v>401</v>
      </c>
      <c r="D8" s="91" t="s">
        <v>82</v>
      </c>
      <c r="E8" s="44" t="s">
        <v>374</v>
      </c>
      <c r="F8" s="44" t="s">
        <v>580</v>
      </c>
      <c r="G8" s="88">
        <v>1430</v>
      </c>
      <c r="H8" s="88">
        <v>1430</v>
      </c>
      <c r="I8" s="88">
        <v>1430</v>
      </c>
      <c r="J8" s="88">
        <v>1430</v>
      </c>
      <c r="K8" s="91">
        <v>337</v>
      </c>
      <c r="L8" s="91">
        <v>280</v>
      </c>
      <c r="M8" s="95">
        <v>439.33333333333331</v>
      </c>
      <c r="N8" s="26">
        <v>991</v>
      </c>
      <c r="O8" s="232">
        <f>M8/L8</f>
        <v>1.569047619047619</v>
      </c>
      <c r="P8" s="233">
        <f>M8/K8</f>
        <v>1.3036597428288823</v>
      </c>
      <c r="Q8" s="233">
        <f>L8/K8</f>
        <v>0.83086053412462912</v>
      </c>
      <c r="R8" s="233">
        <f>L8/J8</f>
        <v>0.19580419580419581</v>
      </c>
      <c r="T8" s="26">
        <v>1</v>
      </c>
      <c r="U8" s="26">
        <v>0</v>
      </c>
      <c r="V8" s="26">
        <f>SUM(T8,U8)</f>
        <v>1</v>
      </c>
      <c r="W8" s="26">
        <v>1</v>
      </c>
      <c r="X8" s="26">
        <v>0</v>
      </c>
      <c r="Y8" s="26">
        <v>0</v>
      </c>
    </row>
    <row r="9" spans="1:25" x14ac:dyDescent="0.15">
      <c r="A9" s="90" t="s">
        <v>46</v>
      </c>
      <c r="B9" s="90" t="s">
        <v>181</v>
      </c>
      <c r="C9" s="91" t="s">
        <v>403</v>
      </c>
      <c r="D9" s="90" t="s">
        <v>82</v>
      </c>
      <c r="E9" s="93" t="s">
        <v>494</v>
      </c>
      <c r="F9" s="44" t="s">
        <v>580</v>
      </c>
      <c r="G9" s="26">
        <v>801.6</v>
      </c>
      <c r="H9" s="26">
        <v>800</v>
      </c>
      <c r="I9" s="26"/>
      <c r="J9" s="26">
        <v>801.6</v>
      </c>
      <c r="K9" s="26">
        <v>258.55</v>
      </c>
      <c r="L9" s="26">
        <v>215.51</v>
      </c>
      <c r="M9" s="26">
        <v>309.3</v>
      </c>
      <c r="N9" s="26">
        <f>J9-M9</f>
        <v>492.3</v>
      </c>
      <c r="O9" s="232">
        <f>M9/L9</f>
        <v>1.4352002227274838</v>
      </c>
      <c r="P9" s="233">
        <f>M9/K9</f>
        <v>1.1962869851092632</v>
      </c>
      <c r="Q9" s="233">
        <f>L9/K9</f>
        <v>0.83353316573196667</v>
      </c>
      <c r="R9" s="233"/>
      <c r="S9" s="234">
        <f>K9/J9</f>
        <v>0.3225424151696607</v>
      </c>
      <c r="T9" s="26">
        <v>0</v>
      </c>
      <c r="U9" s="26">
        <v>1</v>
      </c>
      <c r="V9" s="26">
        <f>SUM(T9,U9)</f>
        <v>1</v>
      </c>
      <c r="W9" s="26">
        <v>1</v>
      </c>
      <c r="X9" s="26">
        <v>1</v>
      </c>
      <c r="Y9" s="26">
        <v>0</v>
      </c>
    </row>
    <row r="10" spans="1:25" x14ac:dyDescent="0.15">
      <c r="A10" s="229" t="s">
        <v>46</v>
      </c>
      <c r="B10" s="230" t="s">
        <v>477</v>
      </c>
      <c r="C10" s="91" t="s">
        <v>401</v>
      </c>
      <c r="D10" s="91" t="s">
        <v>82</v>
      </c>
      <c r="E10" s="93" t="s">
        <v>494</v>
      </c>
      <c r="F10" s="44" t="s">
        <v>580</v>
      </c>
      <c r="G10" s="92">
        <v>735</v>
      </c>
      <c r="H10" s="91">
        <v>735</v>
      </c>
      <c r="I10" s="91">
        <v>735</v>
      </c>
      <c r="J10" s="91">
        <v>735</v>
      </c>
      <c r="K10" s="91">
        <v>195</v>
      </c>
      <c r="L10" s="91">
        <v>163</v>
      </c>
      <c r="M10" s="95">
        <v>250.66666666666666</v>
      </c>
      <c r="N10" s="26">
        <v>484</v>
      </c>
      <c r="O10" s="232">
        <f>M10/L10</f>
        <v>1.5378323108384457</v>
      </c>
      <c r="P10" s="233">
        <f>M10/K10</f>
        <v>1.2854700854700853</v>
      </c>
      <c r="Q10" s="233">
        <f>L10/K10</f>
        <v>0.83589743589743593</v>
      </c>
      <c r="R10" s="233">
        <f>L10/J10</f>
        <v>0.22176870748299321</v>
      </c>
      <c r="S10" s="234">
        <f>K10/J10</f>
        <v>0.26530612244897961</v>
      </c>
      <c r="T10" s="26">
        <v>1</v>
      </c>
      <c r="U10" s="26">
        <v>0</v>
      </c>
      <c r="V10" s="26">
        <f>SUM(T10,U10)</f>
        <v>1</v>
      </c>
      <c r="W10" s="26">
        <v>1</v>
      </c>
      <c r="X10" s="26">
        <v>0</v>
      </c>
      <c r="Y10" s="26">
        <v>0</v>
      </c>
    </row>
    <row r="11" spans="1:25" x14ac:dyDescent="0.15">
      <c r="A11" s="229" t="s">
        <v>46</v>
      </c>
      <c r="B11" s="230" t="s">
        <v>491</v>
      </c>
      <c r="C11" s="91" t="s">
        <v>401</v>
      </c>
      <c r="D11" s="91" t="s">
        <v>82</v>
      </c>
      <c r="E11" s="93" t="s">
        <v>494</v>
      </c>
      <c r="F11" s="44" t="s">
        <v>580</v>
      </c>
      <c r="G11" s="92">
        <v>796</v>
      </c>
      <c r="H11" s="91">
        <v>796</v>
      </c>
      <c r="I11" s="91">
        <v>796</v>
      </c>
      <c r="J11" s="91">
        <v>796</v>
      </c>
      <c r="K11" s="91">
        <v>197</v>
      </c>
      <c r="L11" s="91">
        <v>165</v>
      </c>
      <c r="M11" s="95">
        <v>256</v>
      </c>
      <c r="N11" s="26">
        <v>491</v>
      </c>
      <c r="O11" s="232">
        <f>M11/L11</f>
        <v>1.5515151515151515</v>
      </c>
      <c r="P11" s="233">
        <f>M11/K11</f>
        <v>1.2994923857868019</v>
      </c>
      <c r="Q11" s="233">
        <f>L11/K11</f>
        <v>0.8375634517766497</v>
      </c>
      <c r="R11" s="233">
        <f>L11/J11</f>
        <v>0.20728643216080403</v>
      </c>
      <c r="S11" s="234">
        <f>K11/J11</f>
        <v>0.24748743718592964</v>
      </c>
      <c r="T11" s="26">
        <v>1</v>
      </c>
      <c r="U11" s="26">
        <v>0</v>
      </c>
      <c r="V11" s="26">
        <f>SUM(T11,U11)</f>
        <v>1</v>
      </c>
      <c r="W11" s="26">
        <v>1</v>
      </c>
      <c r="X11" s="26">
        <v>0</v>
      </c>
      <c r="Y11" s="26">
        <v>0</v>
      </c>
    </row>
    <row r="12" spans="1:25" x14ac:dyDescent="0.15">
      <c r="A12" s="90" t="s">
        <v>46</v>
      </c>
      <c r="B12" s="90" t="s">
        <v>209</v>
      </c>
      <c r="C12" s="91" t="s">
        <v>403</v>
      </c>
      <c r="D12" s="90" t="s">
        <v>82</v>
      </c>
      <c r="E12" s="93" t="s">
        <v>494</v>
      </c>
      <c r="F12" s="44" t="s">
        <v>580</v>
      </c>
      <c r="G12" s="26">
        <v>1060</v>
      </c>
      <c r="H12" s="26">
        <v>1000</v>
      </c>
      <c r="I12" s="26"/>
      <c r="J12" s="26">
        <v>1000</v>
      </c>
      <c r="K12" s="26">
        <v>242.4</v>
      </c>
      <c r="L12" s="26">
        <v>208.4</v>
      </c>
      <c r="M12" s="26">
        <v>303.39999999999998</v>
      </c>
      <c r="N12" s="26">
        <f>G12-M12</f>
        <v>756.6</v>
      </c>
      <c r="O12" s="232">
        <f>M12/L12</f>
        <v>1.4558541266794625</v>
      </c>
      <c r="P12" s="233">
        <f>M12/K12</f>
        <v>1.2516501650165015</v>
      </c>
      <c r="Q12" s="233">
        <f>L12/K12</f>
        <v>0.85973597359735976</v>
      </c>
      <c r="R12" s="233">
        <f>L12/J12</f>
        <v>0.2084</v>
      </c>
      <c r="S12" s="234">
        <f>K12/J12</f>
        <v>0.2424</v>
      </c>
      <c r="T12" s="26">
        <v>0</v>
      </c>
      <c r="U12" s="26">
        <v>0</v>
      </c>
      <c r="V12" s="26">
        <f>SUM(T12,U12)</f>
        <v>0</v>
      </c>
      <c r="W12" s="26">
        <v>0</v>
      </c>
      <c r="X12" s="26">
        <v>0</v>
      </c>
      <c r="Y12" s="26">
        <v>0</v>
      </c>
    </row>
    <row r="13" spans="1:25" x14ac:dyDescent="0.15">
      <c r="A13" s="229" t="s">
        <v>46</v>
      </c>
      <c r="B13" s="230" t="s">
        <v>490</v>
      </c>
      <c r="C13" s="91" t="s">
        <v>401</v>
      </c>
      <c r="D13" s="91" t="s">
        <v>82</v>
      </c>
      <c r="E13" s="93" t="s">
        <v>494</v>
      </c>
      <c r="F13" s="44" t="s">
        <v>580</v>
      </c>
      <c r="G13" s="92">
        <v>804</v>
      </c>
      <c r="H13" s="91">
        <v>804</v>
      </c>
      <c r="I13" s="91">
        <v>804</v>
      </c>
      <c r="J13" s="91">
        <v>804</v>
      </c>
      <c r="K13" s="91">
        <v>208</v>
      </c>
      <c r="L13" s="91">
        <v>183</v>
      </c>
      <c r="M13" s="95">
        <v>266</v>
      </c>
      <c r="N13" s="26">
        <v>538</v>
      </c>
      <c r="O13" s="232">
        <f>M13/L13</f>
        <v>1.4535519125683061</v>
      </c>
      <c r="P13" s="233">
        <f>M13/K13</f>
        <v>1.2788461538461537</v>
      </c>
      <c r="Q13" s="233">
        <f>L13/K13</f>
        <v>0.87980769230769229</v>
      </c>
      <c r="R13" s="233">
        <f>L13/J13</f>
        <v>0.22761194029850745</v>
      </c>
      <c r="S13" s="234">
        <f>K13/J13</f>
        <v>0.25870646766169153</v>
      </c>
      <c r="T13" s="26">
        <v>1</v>
      </c>
      <c r="U13" s="26">
        <v>0</v>
      </c>
      <c r="V13" s="26">
        <f>SUM(T13,U13)</f>
        <v>1</v>
      </c>
      <c r="W13" s="26">
        <v>1</v>
      </c>
      <c r="X13" s="26">
        <v>0</v>
      </c>
      <c r="Y13" s="26">
        <v>0</v>
      </c>
    </row>
    <row r="14" spans="1:25" x14ac:dyDescent="0.15">
      <c r="A14" s="90" t="s">
        <v>46</v>
      </c>
      <c r="B14" s="90" t="s">
        <v>198</v>
      </c>
      <c r="C14" s="91" t="s">
        <v>403</v>
      </c>
      <c r="D14" s="90" t="s">
        <v>82</v>
      </c>
      <c r="E14" s="44" t="s">
        <v>374</v>
      </c>
      <c r="F14" s="44" t="s">
        <v>580</v>
      </c>
      <c r="G14" s="26">
        <v>1500</v>
      </c>
      <c r="H14" s="26">
        <v>1500</v>
      </c>
      <c r="I14" s="26"/>
      <c r="J14" s="26"/>
      <c r="K14" s="26">
        <v>244.67</v>
      </c>
      <c r="L14" s="26">
        <v>219.11</v>
      </c>
      <c r="M14" s="26">
        <v>269.51</v>
      </c>
      <c r="N14" s="26"/>
      <c r="O14" s="232">
        <f>M14/L14</f>
        <v>1.2300214504130345</v>
      </c>
      <c r="P14" s="233">
        <f>M14/K14</f>
        <v>1.1015245023909757</v>
      </c>
      <c r="Q14" s="233">
        <f>L14/K14</f>
        <v>0.89553275840928603</v>
      </c>
      <c r="R14" s="233"/>
      <c r="T14" s="26">
        <v>0</v>
      </c>
      <c r="U14" s="26">
        <v>0</v>
      </c>
      <c r="V14" s="26">
        <f>SUM(T14,U14)</f>
        <v>0</v>
      </c>
      <c r="W14" s="26">
        <v>0</v>
      </c>
      <c r="X14" s="26">
        <v>1</v>
      </c>
      <c r="Y14" s="26">
        <v>0</v>
      </c>
    </row>
    <row r="15" spans="1:25" x14ac:dyDescent="0.15">
      <c r="A15" s="90" t="s">
        <v>46</v>
      </c>
      <c r="B15" s="90" t="s">
        <v>201</v>
      </c>
      <c r="C15" s="91" t="s">
        <v>403</v>
      </c>
      <c r="D15" s="90" t="s">
        <v>82</v>
      </c>
      <c r="E15" s="44" t="s">
        <v>203</v>
      </c>
      <c r="F15" s="44" t="s">
        <v>581</v>
      </c>
      <c r="G15" s="26">
        <v>2900</v>
      </c>
      <c r="H15" s="26">
        <v>2900</v>
      </c>
      <c r="I15" s="26"/>
      <c r="J15" s="26"/>
      <c r="K15" s="26">
        <v>905.4</v>
      </c>
      <c r="L15" s="26">
        <v>819.2</v>
      </c>
      <c r="M15" s="26">
        <v>1103.99</v>
      </c>
      <c r="N15" s="26"/>
      <c r="O15" s="232">
        <f>M15/L15</f>
        <v>1.34764404296875</v>
      </c>
      <c r="P15" s="233">
        <f>M15/K15</f>
        <v>1.2193395184448863</v>
      </c>
      <c r="Q15" s="233">
        <f>L15/K15</f>
        <v>0.90479346145350126</v>
      </c>
      <c r="R15" s="233"/>
      <c r="T15" s="26">
        <v>0</v>
      </c>
      <c r="U15" s="26">
        <v>0</v>
      </c>
      <c r="V15" s="26">
        <f>SUM(T15,U15)</f>
        <v>0</v>
      </c>
      <c r="W15" s="26">
        <v>0</v>
      </c>
      <c r="X15" s="26">
        <v>0</v>
      </c>
      <c r="Y15" s="26">
        <v>0</v>
      </c>
    </row>
    <row r="16" spans="1:25" s="26" customFormat="1" ht="15" customHeight="1" x14ac:dyDescent="0.15">
      <c r="A16" s="24" t="s">
        <v>77</v>
      </c>
      <c r="B16" s="90" t="s">
        <v>392</v>
      </c>
      <c r="C16" s="24" t="s">
        <v>403</v>
      </c>
      <c r="D16" s="44" t="s">
        <v>83</v>
      </c>
      <c r="E16" s="44" t="s">
        <v>203</v>
      </c>
      <c r="F16" s="44" t="s">
        <v>581</v>
      </c>
      <c r="G16" s="26">
        <v>4000</v>
      </c>
      <c r="H16" s="26">
        <v>4000</v>
      </c>
      <c r="I16" s="27"/>
      <c r="J16" s="27"/>
      <c r="K16" s="27">
        <v>471</v>
      </c>
      <c r="L16" s="27">
        <v>428.1</v>
      </c>
      <c r="M16" s="27">
        <v>558.03</v>
      </c>
      <c r="N16" s="27"/>
      <c r="O16" s="234">
        <f>M16/L16</f>
        <v>1.3035038542396635</v>
      </c>
      <c r="P16" s="234">
        <f>M16/K16</f>
        <v>1.1847770700636941</v>
      </c>
      <c r="Q16" s="234">
        <f>L16/K16</f>
        <v>0.90891719745222932</v>
      </c>
      <c r="R16" s="234"/>
      <c r="S16" s="234"/>
      <c r="T16" s="26">
        <v>0</v>
      </c>
      <c r="U16" s="24">
        <v>0</v>
      </c>
      <c r="V16" s="24">
        <f>SUM(T16:U16)</f>
        <v>0</v>
      </c>
      <c r="W16" s="26">
        <v>1</v>
      </c>
      <c r="X16" s="26">
        <v>0</v>
      </c>
      <c r="Y16" s="26">
        <v>0</v>
      </c>
    </row>
    <row r="17" spans="1:25" x14ac:dyDescent="0.15">
      <c r="A17" s="24" t="s">
        <v>77</v>
      </c>
      <c r="B17" s="90" t="s">
        <v>587</v>
      </c>
      <c r="C17" s="24" t="s">
        <v>403</v>
      </c>
      <c r="D17" s="44" t="s">
        <v>148</v>
      </c>
      <c r="E17" s="44" t="s">
        <v>494</v>
      </c>
      <c r="F17" s="30" t="s">
        <v>580</v>
      </c>
      <c r="G17" s="88">
        <v>1200</v>
      </c>
      <c r="H17" s="26">
        <v>1200</v>
      </c>
      <c r="I17" s="27"/>
      <c r="J17" s="27">
        <f>M17+N17</f>
        <v>2051.8000000000002</v>
      </c>
      <c r="K17" s="27">
        <v>579.29999999999995</v>
      </c>
      <c r="L17" s="27">
        <v>535</v>
      </c>
      <c r="M17" s="27">
        <v>719.8</v>
      </c>
      <c r="N17" s="27">
        <f>735+597</f>
        <v>1332</v>
      </c>
      <c r="O17" s="234">
        <f>M17/L17</f>
        <v>1.3454205607476635</v>
      </c>
      <c r="P17" s="234">
        <f>M17/K17</f>
        <v>1.242534092870706</v>
      </c>
      <c r="Q17" s="234">
        <f>L17/K17</f>
        <v>0.92352839634041095</v>
      </c>
      <c r="R17" s="234">
        <f>L17/J17</f>
        <v>0.26074666146797931</v>
      </c>
      <c r="S17" s="234">
        <f>K17/J17</f>
        <v>0.28233745979140262</v>
      </c>
      <c r="T17" s="26">
        <v>0</v>
      </c>
      <c r="U17" s="24">
        <v>0</v>
      </c>
      <c r="V17" s="24">
        <f>SUM(T17:U17)</f>
        <v>0</v>
      </c>
      <c r="W17" s="26">
        <v>0</v>
      </c>
      <c r="X17" s="26">
        <v>0</v>
      </c>
      <c r="Y17" s="26">
        <v>0</v>
      </c>
    </row>
    <row r="18" spans="1:25" x14ac:dyDescent="0.15">
      <c r="A18" s="24" t="s">
        <v>77</v>
      </c>
      <c r="B18" s="90" t="s">
        <v>102</v>
      </c>
      <c r="C18" s="24" t="s">
        <v>403</v>
      </c>
      <c r="D18" s="44" t="s">
        <v>82</v>
      </c>
      <c r="E18" s="44" t="s">
        <v>293</v>
      </c>
      <c r="F18" s="44" t="s">
        <v>580</v>
      </c>
      <c r="G18" s="27">
        <v>3336.75</v>
      </c>
      <c r="H18" s="26">
        <v>3500</v>
      </c>
      <c r="K18" s="27">
        <v>645.5</v>
      </c>
      <c r="L18" s="27">
        <v>600.1</v>
      </c>
      <c r="M18" s="27">
        <v>813.75</v>
      </c>
      <c r="N18" s="27">
        <v>2232.9</v>
      </c>
      <c r="O18" s="234">
        <f>M18/L18</f>
        <v>1.3560239960006666</v>
      </c>
      <c r="P18" s="234">
        <f>M18/K18</f>
        <v>1.2606506584043378</v>
      </c>
      <c r="Q18" s="234">
        <f>L18/K18</f>
        <v>0.92966692486444624</v>
      </c>
      <c r="T18" s="26">
        <v>0</v>
      </c>
      <c r="U18" s="24">
        <v>1</v>
      </c>
      <c r="V18" s="24">
        <f>SUM(T18:U18)</f>
        <v>1</v>
      </c>
      <c r="W18" s="26">
        <v>0</v>
      </c>
      <c r="X18" s="26">
        <v>1</v>
      </c>
      <c r="Y18" s="26">
        <v>0</v>
      </c>
    </row>
    <row r="19" spans="1:25" s="27" customFormat="1" x14ac:dyDescent="0.15">
      <c r="A19" s="24" t="s">
        <v>77</v>
      </c>
      <c r="B19" s="90" t="s">
        <v>366</v>
      </c>
      <c r="C19" s="24" t="s">
        <v>403</v>
      </c>
      <c r="D19" s="44" t="s">
        <v>148</v>
      </c>
      <c r="E19" s="44" t="s">
        <v>293</v>
      </c>
      <c r="F19" s="44" t="s">
        <v>580</v>
      </c>
      <c r="G19" s="26">
        <v>3000</v>
      </c>
      <c r="H19" s="26">
        <v>3000</v>
      </c>
      <c r="K19" s="27">
        <v>391.7</v>
      </c>
      <c r="L19" s="27">
        <v>366.2</v>
      </c>
      <c r="M19" s="27">
        <v>482.4</v>
      </c>
      <c r="O19" s="234">
        <f>M19/L19</f>
        <v>1.3173129437465865</v>
      </c>
      <c r="P19" s="234">
        <f>M19/K19</f>
        <v>1.2315547612969109</v>
      </c>
      <c r="Q19" s="234">
        <f>L19/K19</f>
        <v>0.93489915751850905</v>
      </c>
      <c r="R19" s="234"/>
      <c r="S19" s="234"/>
      <c r="T19" s="26">
        <v>0</v>
      </c>
      <c r="U19" s="24">
        <v>0</v>
      </c>
      <c r="V19" s="24">
        <f>SUM(T19:U19)</f>
        <v>0</v>
      </c>
      <c r="W19" s="26">
        <v>0</v>
      </c>
      <c r="X19" s="26">
        <v>1</v>
      </c>
      <c r="Y19" s="26">
        <v>0</v>
      </c>
    </row>
    <row r="20" spans="1:25" x14ac:dyDescent="0.15">
      <c r="A20" s="24" t="s">
        <v>77</v>
      </c>
      <c r="B20" s="90" t="s">
        <v>76</v>
      </c>
      <c r="C20" s="24" t="s">
        <v>403</v>
      </c>
      <c r="D20" s="44" t="s">
        <v>82</v>
      </c>
      <c r="E20" s="44" t="s">
        <v>293</v>
      </c>
      <c r="F20" s="44" t="s">
        <v>580</v>
      </c>
      <c r="G20" s="27">
        <v>3520</v>
      </c>
      <c r="H20" s="26">
        <v>3500</v>
      </c>
      <c r="I20" s="27"/>
      <c r="J20" s="27"/>
      <c r="K20" s="27">
        <v>1233</v>
      </c>
      <c r="L20" s="27">
        <v>1155</v>
      </c>
      <c r="M20" s="27">
        <v>1503</v>
      </c>
      <c r="N20" s="27"/>
      <c r="O20" s="234">
        <f>M20/L20</f>
        <v>1.3012987012987014</v>
      </c>
      <c r="P20" s="234">
        <f>M20/K20</f>
        <v>1.218978102189781</v>
      </c>
      <c r="Q20" s="234">
        <f>L20/K20</f>
        <v>0.93673965936739656</v>
      </c>
      <c r="T20" s="26">
        <v>0</v>
      </c>
      <c r="U20" s="24">
        <v>0</v>
      </c>
      <c r="V20" s="24">
        <f>SUM(T20:U20)</f>
        <v>0</v>
      </c>
      <c r="W20" s="26">
        <v>1</v>
      </c>
      <c r="X20" s="26">
        <v>1</v>
      </c>
      <c r="Y20" s="26">
        <v>0</v>
      </c>
    </row>
    <row r="21" spans="1:25" x14ac:dyDescent="0.15">
      <c r="A21" s="24" t="s">
        <v>77</v>
      </c>
      <c r="B21" s="90" t="s">
        <v>146</v>
      </c>
      <c r="C21" s="24" t="s">
        <v>403</v>
      </c>
      <c r="D21" s="44" t="s">
        <v>148</v>
      </c>
      <c r="E21" s="44" t="s">
        <v>374</v>
      </c>
      <c r="F21" s="44" t="s">
        <v>580</v>
      </c>
      <c r="G21" s="26">
        <v>2500</v>
      </c>
      <c r="H21" s="26">
        <v>2500</v>
      </c>
      <c r="I21" s="27"/>
      <c r="J21" s="27"/>
      <c r="K21" s="27">
        <v>844.85699999999997</v>
      </c>
      <c r="L21" s="27">
        <v>791.63</v>
      </c>
      <c r="M21" s="27">
        <v>1040.0550000000001</v>
      </c>
      <c r="N21" s="27"/>
      <c r="O21" s="234">
        <f>M21/L21</f>
        <v>1.3138145345679169</v>
      </c>
      <c r="P21" s="234">
        <f>M21/K21</f>
        <v>1.2310426498212124</v>
      </c>
      <c r="Q21" s="234">
        <f>L21/K21</f>
        <v>0.93699880571505001</v>
      </c>
      <c r="T21" s="26">
        <v>0</v>
      </c>
      <c r="U21" s="24">
        <v>0</v>
      </c>
      <c r="V21" s="24">
        <f>SUM(T21:U21)</f>
        <v>0</v>
      </c>
      <c r="W21" s="26">
        <v>1</v>
      </c>
      <c r="X21" s="26">
        <v>0</v>
      </c>
      <c r="Y21" s="26">
        <v>0</v>
      </c>
    </row>
    <row r="22" spans="1:25" x14ac:dyDescent="0.15">
      <c r="A22" s="24" t="s">
        <v>77</v>
      </c>
      <c r="B22" s="90" t="s">
        <v>97</v>
      </c>
      <c r="C22" s="24" t="s">
        <v>403</v>
      </c>
      <c r="D22" s="44" t="s">
        <v>96</v>
      </c>
      <c r="E22" s="44" t="s">
        <v>293</v>
      </c>
      <c r="F22" s="44" t="s">
        <v>580</v>
      </c>
      <c r="G22" s="26">
        <v>3500</v>
      </c>
      <c r="H22" s="26">
        <v>3500</v>
      </c>
      <c r="I22" s="27"/>
      <c r="J22" s="27"/>
      <c r="K22" s="27">
        <v>1280.7</v>
      </c>
      <c r="L22" s="27">
        <v>1200.9000000000001</v>
      </c>
      <c r="M22" s="27">
        <v>1511.8</v>
      </c>
      <c r="N22" s="27"/>
      <c r="O22" s="234">
        <f>M22/L22</f>
        <v>1.2588891664584894</v>
      </c>
      <c r="P22" s="234">
        <f>M22/K22</f>
        <v>1.180448192394784</v>
      </c>
      <c r="Q22" s="234">
        <f>L22/K22</f>
        <v>0.93769032560318577</v>
      </c>
      <c r="T22" s="26">
        <v>0</v>
      </c>
      <c r="U22" s="24">
        <v>0</v>
      </c>
      <c r="V22" s="24">
        <f>SUM(T22:U22)</f>
        <v>0</v>
      </c>
      <c r="W22" s="26">
        <v>0</v>
      </c>
      <c r="X22" s="26">
        <v>0</v>
      </c>
      <c r="Y22" s="26">
        <v>0</v>
      </c>
    </row>
    <row r="23" spans="1:25" ht="14" x14ac:dyDescent="0.2">
      <c r="A23" s="191" t="s">
        <v>19</v>
      </c>
      <c r="B23" s="87" t="s">
        <v>299</v>
      </c>
      <c r="C23" s="191" t="s">
        <v>403</v>
      </c>
      <c r="D23" s="195" t="s">
        <v>82</v>
      </c>
      <c r="E23" s="195" t="s">
        <v>374</v>
      </c>
      <c r="F23" s="195" t="s">
        <v>580</v>
      </c>
      <c r="G23" s="190">
        <v>1300</v>
      </c>
      <c r="H23" s="190">
        <v>1300</v>
      </c>
      <c r="I23" s="190"/>
      <c r="J23" s="190"/>
      <c r="K23" s="190">
        <v>1309.3</v>
      </c>
      <c r="L23" s="190">
        <v>1238.3</v>
      </c>
      <c r="M23" s="87">
        <v>1623.4</v>
      </c>
      <c r="N23" s="197"/>
      <c r="O23" s="236">
        <f>M23/L23</f>
        <v>1.3109908745861263</v>
      </c>
      <c r="P23" s="237">
        <f>M23/K23</f>
        <v>1.2398991827694188</v>
      </c>
      <c r="Q23" s="237">
        <f>L23/K23</f>
        <v>0.94577255021767359</v>
      </c>
      <c r="R23" s="237"/>
      <c r="T23" s="198">
        <v>0</v>
      </c>
      <c r="U23" s="198">
        <v>0</v>
      </c>
      <c r="V23" s="198">
        <f>SUM(T23:U23)</f>
        <v>0</v>
      </c>
      <c r="W23" s="198">
        <v>0</v>
      </c>
      <c r="X23" s="198">
        <v>1</v>
      </c>
      <c r="Y23" s="198">
        <v>0</v>
      </c>
    </row>
    <row r="24" spans="1:25" x14ac:dyDescent="0.15">
      <c r="A24" s="24" t="s">
        <v>77</v>
      </c>
      <c r="B24" s="24" t="s">
        <v>372</v>
      </c>
      <c r="C24" s="24" t="s">
        <v>403</v>
      </c>
      <c r="D24" s="44" t="s">
        <v>148</v>
      </c>
      <c r="E24" s="44" t="s">
        <v>374</v>
      </c>
      <c r="F24" s="44" t="s">
        <v>580</v>
      </c>
      <c r="G24" s="26">
        <v>1500</v>
      </c>
      <c r="H24" s="26">
        <v>1500</v>
      </c>
      <c r="I24" s="27"/>
      <c r="J24" s="27"/>
      <c r="K24" s="27">
        <v>336.4</v>
      </c>
      <c r="L24" s="27">
        <v>318.39999999999998</v>
      </c>
      <c r="M24" s="27">
        <v>435.9</v>
      </c>
      <c r="N24" s="27"/>
      <c r="O24" s="234">
        <f>M24/L24</f>
        <v>1.369032663316583</v>
      </c>
      <c r="P24" s="234">
        <f>M24/K24</f>
        <v>1.2957788347205708</v>
      </c>
      <c r="Q24" s="234">
        <f>L24/K24</f>
        <v>0.94649227110582634</v>
      </c>
      <c r="T24" s="26">
        <v>0</v>
      </c>
      <c r="U24" s="24">
        <v>0</v>
      </c>
      <c r="V24" s="24">
        <f>SUM(T24:U24)</f>
        <v>0</v>
      </c>
      <c r="W24" s="26">
        <v>1</v>
      </c>
      <c r="X24" s="26">
        <v>0</v>
      </c>
      <c r="Y24" s="26">
        <v>0</v>
      </c>
    </row>
    <row r="25" spans="1:25" x14ac:dyDescent="0.15">
      <c r="A25" s="2" t="s">
        <v>16</v>
      </c>
      <c r="B25" s="90" t="s">
        <v>595</v>
      </c>
      <c r="C25" s="1" t="s">
        <v>403</v>
      </c>
      <c r="D25" s="88" t="s">
        <v>148</v>
      </c>
      <c r="E25" s="30" t="s">
        <v>374</v>
      </c>
      <c r="F25" s="44" t="s">
        <v>580</v>
      </c>
      <c r="H25" s="26">
        <v>1200</v>
      </c>
      <c r="I25" s="24">
        <v>883</v>
      </c>
      <c r="J25" s="24">
        <f>M25+N25</f>
        <v>883</v>
      </c>
      <c r="K25" s="26">
        <v>189.6</v>
      </c>
      <c r="L25" s="26">
        <v>179.5</v>
      </c>
      <c r="M25" s="26">
        <v>239</v>
      </c>
      <c r="N25" s="26">
        <v>644</v>
      </c>
      <c r="O25" s="232">
        <f>M25/L25</f>
        <v>1.3314763231197773</v>
      </c>
      <c r="P25" s="234">
        <f>M25/K25</f>
        <v>1.260548523206751</v>
      </c>
      <c r="Q25" s="233">
        <f>L25/K25</f>
        <v>0.94672995780590719</v>
      </c>
      <c r="R25" s="233">
        <f>L25/J25</f>
        <v>0.20328425821064552</v>
      </c>
      <c r="S25" s="234">
        <f>K25/J25</f>
        <v>0.21472253680634201</v>
      </c>
      <c r="T25" s="26">
        <v>0</v>
      </c>
      <c r="U25" s="24">
        <v>0</v>
      </c>
      <c r="V25" s="26">
        <v>0</v>
      </c>
      <c r="W25" s="26">
        <v>0</v>
      </c>
      <c r="X25" s="26">
        <v>0</v>
      </c>
      <c r="Y25" s="26">
        <v>0</v>
      </c>
    </row>
    <row r="26" spans="1:25" x14ac:dyDescent="0.15">
      <c r="A26" s="2" t="s">
        <v>16</v>
      </c>
      <c r="B26" s="90" t="s">
        <v>250</v>
      </c>
      <c r="C26" s="1" t="s">
        <v>403</v>
      </c>
      <c r="D26" s="88" t="s">
        <v>82</v>
      </c>
      <c r="E26" s="44" t="s">
        <v>494</v>
      </c>
      <c r="F26" s="44" t="s">
        <v>580</v>
      </c>
      <c r="G26" s="26"/>
      <c r="H26" s="26">
        <v>1000</v>
      </c>
      <c r="I26" s="26"/>
      <c r="J26" s="26"/>
      <c r="K26" s="26">
        <v>1056.5999999999999</v>
      </c>
      <c r="L26" s="26">
        <v>1003.5</v>
      </c>
      <c r="M26" s="26">
        <v>1355.2</v>
      </c>
      <c r="N26" s="26"/>
      <c r="O26" s="232">
        <f>M26/L26</f>
        <v>1.3504733432984555</v>
      </c>
      <c r="P26" s="234">
        <f>M26/K26</f>
        <v>1.2826045807306456</v>
      </c>
      <c r="Q26" s="233">
        <f>L26/K26</f>
        <v>0.9497444633730836</v>
      </c>
      <c r="R26" s="233"/>
      <c r="T26" s="26">
        <v>0</v>
      </c>
      <c r="U26" s="24">
        <v>0</v>
      </c>
      <c r="V26" s="26">
        <f>SUM(T26,U26)</f>
        <v>0</v>
      </c>
      <c r="W26" s="26">
        <v>0</v>
      </c>
      <c r="X26" s="26">
        <v>0</v>
      </c>
      <c r="Y26" s="26">
        <v>0</v>
      </c>
    </row>
    <row r="27" spans="1:25" x14ac:dyDescent="0.15">
      <c r="A27" s="2" t="s">
        <v>16</v>
      </c>
      <c r="B27" s="90" t="s">
        <v>256</v>
      </c>
      <c r="C27" s="1" t="s">
        <v>403</v>
      </c>
      <c r="D27" s="88" t="s">
        <v>148</v>
      </c>
      <c r="E27" s="44" t="s">
        <v>494</v>
      </c>
      <c r="F27" s="44" t="s">
        <v>580</v>
      </c>
      <c r="G27" s="88"/>
      <c r="H27" s="26">
        <v>400</v>
      </c>
      <c r="I27" s="26"/>
      <c r="J27" s="26"/>
      <c r="K27" s="26">
        <v>125.6</v>
      </c>
      <c r="L27" s="26">
        <v>119.3</v>
      </c>
      <c r="M27" s="26">
        <v>165.6</v>
      </c>
      <c r="N27" s="26"/>
      <c r="O27" s="232">
        <f>M27/L27</f>
        <v>1.3880972338642079</v>
      </c>
      <c r="P27" s="234">
        <f>M27/K27</f>
        <v>1.3184713375796178</v>
      </c>
      <c r="Q27" s="233">
        <f>L27/K27</f>
        <v>0.94984076433121023</v>
      </c>
      <c r="R27" s="233"/>
      <c r="T27" s="26">
        <v>0</v>
      </c>
      <c r="U27" s="24">
        <v>0</v>
      </c>
      <c r="V27" s="26">
        <f>SUM(T27,U27)</f>
        <v>0</v>
      </c>
      <c r="W27" s="26">
        <v>0</v>
      </c>
      <c r="X27" s="26">
        <v>0</v>
      </c>
      <c r="Y27" s="26">
        <v>0</v>
      </c>
    </row>
    <row r="28" spans="1:25" ht="14" x14ac:dyDescent="0.2">
      <c r="A28" s="202" t="s">
        <v>465</v>
      </c>
      <c r="B28" s="87" t="s">
        <v>272</v>
      </c>
      <c r="C28" s="191" t="s">
        <v>403</v>
      </c>
      <c r="D28" s="195" t="s">
        <v>82</v>
      </c>
      <c r="E28" s="195" t="s">
        <v>293</v>
      </c>
      <c r="F28" s="195" t="s">
        <v>580</v>
      </c>
      <c r="G28" s="190">
        <v>2500</v>
      </c>
      <c r="H28" s="190">
        <v>2500</v>
      </c>
      <c r="I28" s="190"/>
      <c r="J28" s="190"/>
      <c r="K28" s="190">
        <v>1233.9000000000001</v>
      </c>
      <c r="L28" s="190">
        <v>1173.4000000000001</v>
      </c>
      <c r="M28" s="87">
        <v>1536</v>
      </c>
      <c r="N28" s="197"/>
      <c r="O28" s="236">
        <f>M28/L28</f>
        <v>1.3090165331515253</v>
      </c>
      <c r="P28" s="237">
        <f>M28/K28</f>
        <v>1.2448334548991002</v>
      </c>
      <c r="Q28" s="237">
        <f>L28/K28</f>
        <v>0.95096847394440398</v>
      </c>
      <c r="R28" s="237"/>
      <c r="T28" s="198">
        <v>0</v>
      </c>
      <c r="U28" s="198">
        <v>0</v>
      </c>
      <c r="V28" s="198">
        <f>SUM(T28:U28)</f>
        <v>0</v>
      </c>
      <c r="W28" s="198">
        <v>0</v>
      </c>
      <c r="X28" s="199">
        <v>0</v>
      </c>
      <c r="Y28" s="198">
        <v>0</v>
      </c>
    </row>
    <row r="29" spans="1:25" ht="14" x14ac:dyDescent="0.2">
      <c r="A29" s="202" t="s">
        <v>465</v>
      </c>
      <c r="B29" s="87" t="s">
        <v>313</v>
      </c>
      <c r="C29" s="191" t="s">
        <v>403</v>
      </c>
      <c r="D29" s="195" t="s">
        <v>96</v>
      </c>
      <c r="E29" s="195" t="s">
        <v>374</v>
      </c>
      <c r="F29" s="195" t="s">
        <v>580</v>
      </c>
      <c r="G29" s="190">
        <v>2000</v>
      </c>
      <c r="H29" s="190">
        <v>2000</v>
      </c>
      <c r="I29" s="190"/>
      <c r="J29" s="190"/>
      <c r="K29" s="190">
        <v>650</v>
      </c>
      <c r="L29" s="190">
        <v>619.79999999999995</v>
      </c>
      <c r="M29" s="87">
        <v>831.45</v>
      </c>
      <c r="N29" s="197"/>
      <c r="O29" s="236">
        <f>M29/L29</f>
        <v>1.3414811229428849</v>
      </c>
      <c r="P29" s="237">
        <f>M29/K29</f>
        <v>1.2791538461538463</v>
      </c>
      <c r="Q29" s="237">
        <f>L29/K29</f>
        <v>0.95353846153846145</v>
      </c>
      <c r="R29" s="237"/>
      <c r="T29" s="198">
        <v>0</v>
      </c>
      <c r="U29" s="198">
        <v>0</v>
      </c>
      <c r="V29" s="198">
        <f>SUM(T29:U29)</f>
        <v>0</v>
      </c>
      <c r="W29" s="198">
        <v>1</v>
      </c>
      <c r="X29" s="198">
        <v>0</v>
      </c>
      <c r="Y29" s="198">
        <v>0</v>
      </c>
    </row>
    <row r="30" spans="1:25" x14ac:dyDescent="0.15">
      <c r="A30" s="2" t="s">
        <v>16</v>
      </c>
      <c r="B30" s="90" t="s">
        <v>232</v>
      </c>
      <c r="C30" s="1" t="s">
        <v>403</v>
      </c>
      <c r="D30" s="88" t="s">
        <v>82</v>
      </c>
      <c r="E30" s="44" t="s">
        <v>494</v>
      </c>
      <c r="F30" s="44" t="s">
        <v>580</v>
      </c>
      <c r="G30" s="26"/>
      <c r="H30" s="26">
        <v>1000</v>
      </c>
      <c r="I30" s="26"/>
      <c r="J30" s="26"/>
      <c r="K30" s="26">
        <v>435.23</v>
      </c>
      <c r="L30" s="26">
        <v>415.43</v>
      </c>
      <c r="M30" s="26">
        <v>558.69000000000005</v>
      </c>
      <c r="N30" s="26"/>
      <c r="O30" s="232">
        <f>M30/L30</f>
        <v>1.3448475074019692</v>
      </c>
      <c r="P30" s="234">
        <f>M30/K30</f>
        <v>1.2836661075753051</v>
      </c>
      <c r="Q30" s="233">
        <f>L30/K30</f>
        <v>0.95450681248994784</v>
      </c>
      <c r="R30" s="233"/>
      <c r="T30" s="26">
        <v>0</v>
      </c>
      <c r="U30" s="24">
        <v>0</v>
      </c>
      <c r="V30" s="26">
        <f>SUM(T30,U30)</f>
        <v>0</v>
      </c>
      <c r="W30" s="26">
        <v>0</v>
      </c>
      <c r="X30" s="26">
        <v>0</v>
      </c>
      <c r="Y30" s="26">
        <v>0</v>
      </c>
    </row>
    <row r="31" spans="1:25" x14ac:dyDescent="0.15">
      <c r="A31" s="24" t="s">
        <v>77</v>
      </c>
      <c r="B31" s="90" t="s">
        <v>126</v>
      </c>
      <c r="C31" s="24" t="s">
        <v>403</v>
      </c>
      <c r="D31" s="44" t="s">
        <v>82</v>
      </c>
      <c r="E31" s="44" t="s">
        <v>293</v>
      </c>
      <c r="F31" s="44" t="s">
        <v>580</v>
      </c>
      <c r="G31" s="26">
        <v>3000</v>
      </c>
      <c r="H31" s="26">
        <v>3000</v>
      </c>
      <c r="I31" s="27"/>
      <c r="J31" s="27"/>
      <c r="K31" s="27">
        <v>755.6</v>
      </c>
      <c r="L31" s="27">
        <v>721.4</v>
      </c>
      <c r="M31" s="27">
        <v>946</v>
      </c>
      <c r="N31" s="27"/>
      <c r="O31" s="234">
        <f>M31/L31</f>
        <v>1.3113390629331856</v>
      </c>
      <c r="P31" s="234">
        <f>M31/K31</f>
        <v>1.2519851773425092</v>
      </c>
      <c r="Q31" s="234">
        <f>L31/K31</f>
        <v>0.95473795659078875</v>
      </c>
      <c r="T31" s="26">
        <v>0</v>
      </c>
      <c r="U31" s="24">
        <v>0</v>
      </c>
      <c r="V31" s="24">
        <f>SUM(T31:U31)</f>
        <v>0</v>
      </c>
      <c r="W31" s="26">
        <v>1</v>
      </c>
      <c r="X31" s="26">
        <v>0</v>
      </c>
      <c r="Y31" s="26">
        <v>0</v>
      </c>
    </row>
    <row r="32" spans="1:25" ht="14" x14ac:dyDescent="0.2">
      <c r="A32" s="191" t="s">
        <v>19</v>
      </c>
      <c r="B32" s="87" t="s">
        <v>333</v>
      </c>
      <c r="C32" s="191" t="s">
        <v>403</v>
      </c>
      <c r="D32" s="195" t="s">
        <v>82</v>
      </c>
      <c r="E32" s="195" t="s">
        <v>374</v>
      </c>
      <c r="F32" s="195" t="s">
        <v>580</v>
      </c>
      <c r="G32" s="190">
        <v>2000</v>
      </c>
      <c r="H32" s="190">
        <v>2000</v>
      </c>
      <c r="I32" s="190"/>
      <c r="J32" s="190"/>
      <c r="K32" s="190">
        <v>813.9</v>
      </c>
      <c r="L32" s="190">
        <v>777.4</v>
      </c>
      <c r="M32" s="87">
        <v>1024.0999999999999</v>
      </c>
      <c r="N32" s="197"/>
      <c r="O32" s="236">
        <f>M32/L32</f>
        <v>1.3173398507846668</v>
      </c>
      <c r="P32" s="237">
        <f>M32/K32</f>
        <v>1.2582626858336403</v>
      </c>
      <c r="Q32" s="237">
        <f>L32/K32</f>
        <v>0.95515419584715566</v>
      </c>
      <c r="R32" s="237"/>
      <c r="T32" s="198">
        <v>0</v>
      </c>
      <c r="U32" s="198">
        <v>0</v>
      </c>
      <c r="V32" s="198">
        <f>SUM(T32:U32)</f>
        <v>0</v>
      </c>
      <c r="W32" s="198">
        <v>1</v>
      </c>
      <c r="X32" s="198">
        <v>1</v>
      </c>
      <c r="Y32" s="198">
        <v>0</v>
      </c>
    </row>
    <row r="33" spans="1:25" s="27" customFormat="1" x14ac:dyDescent="0.15">
      <c r="A33" s="24" t="s">
        <v>77</v>
      </c>
      <c r="B33" s="90" t="s">
        <v>375</v>
      </c>
      <c r="C33" s="24" t="s">
        <v>403</v>
      </c>
      <c r="D33" s="44" t="s">
        <v>148</v>
      </c>
      <c r="E33" s="44" t="s">
        <v>494</v>
      </c>
      <c r="F33" s="44" t="s">
        <v>580</v>
      </c>
      <c r="G33" s="27">
        <v>1000</v>
      </c>
      <c r="H33" s="26">
        <v>1000</v>
      </c>
      <c r="K33" s="27">
        <v>539.9</v>
      </c>
      <c r="L33" s="27">
        <v>515.9</v>
      </c>
      <c r="M33" s="27">
        <v>666.7</v>
      </c>
      <c r="O33" s="234">
        <f>M33/L33</f>
        <v>1.2923047102151581</v>
      </c>
      <c r="P33" s="234">
        <f>M33/K33</f>
        <v>1.2348583070939063</v>
      </c>
      <c r="Q33" s="234">
        <f>L33/K33</f>
        <v>0.95554732357844041</v>
      </c>
      <c r="R33" s="234"/>
      <c r="S33" s="234"/>
      <c r="T33" s="26">
        <v>0</v>
      </c>
      <c r="U33" s="24">
        <v>0</v>
      </c>
      <c r="V33" s="24">
        <f>SUM(T33:U33)</f>
        <v>0</v>
      </c>
      <c r="W33" s="26">
        <v>0</v>
      </c>
      <c r="X33" s="26">
        <v>1</v>
      </c>
      <c r="Y33" s="26">
        <v>0</v>
      </c>
    </row>
    <row r="34" spans="1:25" s="27" customFormat="1" ht="14" customHeight="1" x14ac:dyDescent="0.2">
      <c r="A34" s="191" t="s">
        <v>19</v>
      </c>
      <c r="B34" s="87" t="s">
        <v>352</v>
      </c>
      <c r="C34" s="191" t="s">
        <v>403</v>
      </c>
      <c r="D34" s="195" t="s">
        <v>148</v>
      </c>
      <c r="E34" s="195" t="s">
        <v>494</v>
      </c>
      <c r="F34" s="195" t="s">
        <v>580</v>
      </c>
      <c r="G34" s="190">
        <v>1000</v>
      </c>
      <c r="H34" s="190">
        <v>1000</v>
      </c>
      <c r="I34" s="190"/>
      <c r="J34" s="190"/>
      <c r="K34" s="190">
        <v>250.49</v>
      </c>
      <c r="L34" s="190">
        <v>239.7</v>
      </c>
      <c r="M34" s="87">
        <v>316.89999999999998</v>
      </c>
      <c r="N34" s="197"/>
      <c r="O34" s="236">
        <f>M34/L34</f>
        <v>1.3220692532332081</v>
      </c>
      <c r="P34" s="237">
        <f>M34/K34</f>
        <v>1.2651203640863906</v>
      </c>
      <c r="Q34" s="237">
        <f>L34/K34</f>
        <v>0.95692442812088296</v>
      </c>
      <c r="R34" s="237"/>
      <c r="S34" s="234"/>
      <c r="T34" s="198">
        <v>0</v>
      </c>
      <c r="U34" s="198">
        <v>0</v>
      </c>
      <c r="V34" s="198">
        <f>SUM(T34:U34)</f>
        <v>0</v>
      </c>
      <c r="W34" s="198">
        <v>0</v>
      </c>
      <c r="X34" s="198">
        <v>1</v>
      </c>
      <c r="Y34" s="198">
        <v>0</v>
      </c>
    </row>
    <row r="35" spans="1:25" s="27" customFormat="1" ht="15" customHeight="1" x14ac:dyDescent="0.2">
      <c r="A35" s="191" t="s">
        <v>19</v>
      </c>
      <c r="B35" s="87" t="s">
        <v>318</v>
      </c>
      <c r="C35" s="191" t="s">
        <v>403</v>
      </c>
      <c r="D35" s="195" t="s">
        <v>148</v>
      </c>
      <c r="E35" s="195" t="s">
        <v>494</v>
      </c>
      <c r="F35" s="195" t="s">
        <v>580</v>
      </c>
      <c r="G35" s="190">
        <v>1000</v>
      </c>
      <c r="H35" s="190">
        <v>1000</v>
      </c>
      <c r="I35" s="190"/>
      <c r="J35" s="190"/>
      <c r="K35" s="190">
        <v>447</v>
      </c>
      <c r="L35" s="190">
        <v>427.8</v>
      </c>
      <c r="M35" s="87">
        <v>555.4</v>
      </c>
      <c r="N35" s="197"/>
      <c r="O35" s="236">
        <f>M35/L35</f>
        <v>1.2982702197288452</v>
      </c>
      <c r="P35" s="237">
        <f>M35/K35</f>
        <v>1.2425055928411632</v>
      </c>
      <c r="Q35" s="237">
        <f>L35/K35</f>
        <v>0.95704697986577181</v>
      </c>
      <c r="R35" s="237"/>
      <c r="S35" s="234"/>
      <c r="T35" s="198">
        <v>0</v>
      </c>
      <c r="U35" s="198">
        <v>0</v>
      </c>
      <c r="V35" s="198">
        <f>SUM(T35:U35)</f>
        <v>0</v>
      </c>
      <c r="W35" s="198">
        <v>0</v>
      </c>
      <c r="X35" s="198">
        <v>0</v>
      </c>
      <c r="Y35" s="198">
        <v>0</v>
      </c>
    </row>
    <row r="36" spans="1:25" s="27" customFormat="1" ht="15" customHeight="1" x14ac:dyDescent="0.2">
      <c r="A36" s="191" t="s">
        <v>19</v>
      </c>
      <c r="B36" s="87" t="s">
        <v>355</v>
      </c>
      <c r="C36" s="191" t="s">
        <v>403</v>
      </c>
      <c r="D36" s="195" t="s">
        <v>148</v>
      </c>
      <c r="E36" s="195" t="s">
        <v>374</v>
      </c>
      <c r="F36" s="195" t="s">
        <v>580</v>
      </c>
      <c r="G36" s="190">
        <v>1200</v>
      </c>
      <c r="H36" s="190">
        <v>1200</v>
      </c>
      <c r="I36" s="190"/>
      <c r="J36" s="190"/>
      <c r="K36" s="190">
        <v>500</v>
      </c>
      <c r="L36" s="190">
        <v>478.7</v>
      </c>
      <c r="M36" s="87">
        <v>639.20000000000005</v>
      </c>
      <c r="N36" s="197"/>
      <c r="O36" s="236">
        <f>M36/L36</f>
        <v>1.3352830582828494</v>
      </c>
      <c r="P36" s="237">
        <f>M36/K36</f>
        <v>1.2784</v>
      </c>
      <c r="Q36" s="237">
        <f>L36/K36</f>
        <v>0.95740000000000003</v>
      </c>
      <c r="R36" s="237"/>
      <c r="S36" s="234"/>
      <c r="T36" s="198">
        <v>0</v>
      </c>
      <c r="U36" s="198">
        <v>0</v>
      </c>
      <c r="V36" s="198">
        <f>SUM(T36:U36)</f>
        <v>0</v>
      </c>
      <c r="W36" s="198">
        <v>0</v>
      </c>
      <c r="X36" s="198">
        <v>0</v>
      </c>
      <c r="Y36" s="198">
        <v>0</v>
      </c>
    </row>
    <row r="37" spans="1:25" s="27" customFormat="1" ht="15" customHeight="1" x14ac:dyDescent="0.2">
      <c r="A37" s="191" t="s">
        <v>19</v>
      </c>
      <c r="B37" s="87" t="s">
        <v>285</v>
      </c>
      <c r="C37" s="191" t="s">
        <v>403</v>
      </c>
      <c r="D37" s="195" t="s">
        <v>148</v>
      </c>
      <c r="E37" s="195" t="s">
        <v>494</v>
      </c>
      <c r="F37" s="195" t="s">
        <v>580</v>
      </c>
      <c r="G37" s="190">
        <v>950</v>
      </c>
      <c r="H37" s="190">
        <v>950</v>
      </c>
      <c r="I37" s="190"/>
      <c r="J37" s="190"/>
      <c r="K37" s="190">
        <v>977.2</v>
      </c>
      <c r="L37" s="190">
        <v>936.9</v>
      </c>
      <c r="M37" s="87">
        <v>1260.8</v>
      </c>
      <c r="N37" s="197"/>
      <c r="O37" s="236">
        <f>M37/L37</f>
        <v>1.345714590671363</v>
      </c>
      <c r="P37" s="237">
        <f>M37/K37</f>
        <v>1.2902169463774047</v>
      </c>
      <c r="Q37" s="237">
        <f>L37/K37</f>
        <v>0.95875972165370438</v>
      </c>
      <c r="R37" s="237"/>
      <c r="S37" s="234"/>
      <c r="T37" s="198">
        <v>0</v>
      </c>
      <c r="U37" s="198">
        <v>0</v>
      </c>
      <c r="V37" s="198">
        <f>SUM(T37:U37)</f>
        <v>0</v>
      </c>
      <c r="W37" s="198">
        <v>0</v>
      </c>
      <c r="X37" s="198">
        <v>0</v>
      </c>
      <c r="Y37" s="198">
        <v>0</v>
      </c>
    </row>
    <row r="38" spans="1:25" s="27" customFormat="1" ht="15" customHeight="1" x14ac:dyDescent="0.15">
      <c r="A38" s="2" t="s">
        <v>16</v>
      </c>
      <c r="B38" s="90" t="s">
        <v>255</v>
      </c>
      <c r="C38" s="1" t="s">
        <v>403</v>
      </c>
      <c r="D38" s="88" t="s">
        <v>82</v>
      </c>
      <c r="E38" s="44" t="s">
        <v>293</v>
      </c>
      <c r="F38" s="44" t="s">
        <v>580</v>
      </c>
      <c r="G38" s="26"/>
      <c r="H38" s="26">
        <v>2200</v>
      </c>
      <c r="I38" s="26"/>
      <c r="J38" s="26"/>
      <c r="K38" s="26">
        <v>244.3</v>
      </c>
      <c r="L38" s="26">
        <v>234.4</v>
      </c>
      <c r="M38" s="26">
        <v>313.5</v>
      </c>
      <c r="N38" s="26"/>
      <c r="O38" s="232">
        <f>M38/L38</f>
        <v>1.3374573378839589</v>
      </c>
      <c r="P38" s="234">
        <f>M38/K38</f>
        <v>1.2832582889889479</v>
      </c>
      <c r="Q38" s="233">
        <f>L38/K38</f>
        <v>0.95947605403192793</v>
      </c>
      <c r="R38" s="233"/>
      <c r="S38" s="234"/>
      <c r="T38" s="26">
        <v>0</v>
      </c>
      <c r="U38" s="24">
        <v>0</v>
      </c>
      <c r="V38" s="26">
        <f>SUM(T38,U38)</f>
        <v>0</v>
      </c>
      <c r="W38" s="26">
        <v>0</v>
      </c>
      <c r="X38" s="26">
        <v>1</v>
      </c>
      <c r="Y38" s="26">
        <v>0</v>
      </c>
    </row>
    <row r="39" spans="1:25" s="27" customFormat="1" ht="14" customHeight="1" x14ac:dyDescent="0.15">
      <c r="A39" s="2" t="s">
        <v>16</v>
      </c>
      <c r="B39" s="90" t="s">
        <v>227</v>
      </c>
      <c r="C39" s="1" t="s">
        <v>403</v>
      </c>
      <c r="D39" s="88" t="s">
        <v>82</v>
      </c>
      <c r="E39" s="44" t="s">
        <v>374</v>
      </c>
      <c r="F39" s="44" t="s">
        <v>580</v>
      </c>
      <c r="G39" s="26"/>
      <c r="H39" s="26">
        <v>1500</v>
      </c>
      <c r="I39" s="26"/>
      <c r="J39" s="26"/>
      <c r="K39" s="26">
        <v>808.1</v>
      </c>
      <c r="L39" s="26">
        <v>776.1</v>
      </c>
      <c r="M39" s="26">
        <v>1039.5</v>
      </c>
      <c r="N39" s="26"/>
      <c r="O39" s="232">
        <f>M39/L39</f>
        <v>1.3393892539621182</v>
      </c>
      <c r="P39" s="234">
        <f>M39/K39</f>
        <v>1.2863506991708946</v>
      </c>
      <c r="Q39" s="233">
        <f>L39/K39</f>
        <v>0.96040094047766367</v>
      </c>
      <c r="R39" s="233"/>
      <c r="S39" s="234"/>
      <c r="T39" s="26">
        <v>0</v>
      </c>
      <c r="U39" s="24">
        <v>0</v>
      </c>
      <c r="V39" s="26">
        <f>SUM(T39,U39)</f>
        <v>0</v>
      </c>
      <c r="W39" s="26">
        <v>0</v>
      </c>
      <c r="X39" s="26">
        <v>0</v>
      </c>
      <c r="Y39" s="26">
        <v>0</v>
      </c>
    </row>
    <row r="40" spans="1:25" ht="14" customHeight="1" x14ac:dyDescent="0.2">
      <c r="A40" s="193" t="s">
        <v>465</v>
      </c>
      <c r="B40" s="194" t="s">
        <v>528</v>
      </c>
      <c r="C40" s="194" t="s">
        <v>401</v>
      </c>
      <c r="D40" s="192" t="s">
        <v>82</v>
      </c>
      <c r="E40" s="192" t="s">
        <v>494</v>
      </c>
      <c r="F40" s="195" t="s">
        <v>580</v>
      </c>
      <c r="G40" s="98">
        <v>899</v>
      </c>
      <c r="H40" s="98">
        <v>899</v>
      </c>
      <c r="I40" s="98">
        <v>899</v>
      </c>
      <c r="J40" s="98">
        <v>899</v>
      </c>
      <c r="K40" s="98">
        <v>228</v>
      </c>
      <c r="L40" s="98">
        <v>219</v>
      </c>
      <c r="M40" s="196">
        <v>298.33333333333331</v>
      </c>
      <c r="N40" s="197">
        <f>I40-M40</f>
        <v>600.66666666666674</v>
      </c>
      <c r="O40" s="236">
        <f>M40/L40</f>
        <v>1.3622526636225265</v>
      </c>
      <c r="P40" s="237">
        <f>M40/K40</f>
        <v>1.3084795321637426</v>
      </c>
      <c r="Q40" s="237">
        <f>L40/K40</f>
        <v>0.96052631578947367</v>
      </c>
      <c r="R40" s="237">
        <f>L40/J40</f>
        <v>0.24360400444938821</v>
      </c>
      <c r="S40" s="234">
        <f>K40/J40</f>
        <v>0.25361512791991103</v>
      </c>
      <c r="T40" s="198">
        <v>1</v>
      </c>
      <c r="U40" s="198">
        <v>0</v>
      </c>
      <c r="V40" s="198">
        <f>SUM(T40:U40)</f>
        <v>1</v>
      </c>
      <c r="W40" s="198">
        <v>1</v>
      </c>
      <c r="X40" s="199">
        <v>0</v>
      </c>
      <c r="Y40" s="198">
        <v>0</v>
      </c>
    </row>
    <row r="41" spans="1:25" ht="14" x14ac:dyDescent="0.2">
      <c r="A41" s="191" t="s">
        <v>19</v>
      </c>
      <c r="B41" s="87" t="s">
        <v>332</v>
      </c>
      <c r="C41" s="191" t="s">
        <v>403</v>
      </c>
      <c r="D41" s="195" t="s">
        <v>82</v>
      </c>
      <c r="E41" s="195" t="s">
        <v>494</v>
      </c>
      <c r="F41" s="195" t="s">
        <v>580</v>
      </c>
      <c r="G41" s="190">
        <v>863.55</v>
      </c>
      <c r="H41" s="190">
        <v>500</v>
      </c>
      <c r="I41" s="190"/>
      <c r="J41" s="190">
        <v>863.55</v>
      </c>
      <c r="K41" s="190">
        <v>254.7</v>
      </c>
      <c r="L41" s="190">
        <v>244.8</v>
      </c>
      <c r="M41" s="87">
        <v>310.3</v>
      </c>
      <c r="N41" s="197">
        <v>553.25</v>
      </c>
      <c r="O41" s="236">
        <f>M41/L41</f>
        <v>1.2675653594771241</v>
      </c>
      <c r="P41" s="237">
        <f>M41/K41</f>
        <v>1.2182960345504517</v>
      </c>
      <c r="Q41" s="237">
        <f>L41/K41</f>
        <v>0.96113074204947002</v>
      </c>
      <c r="R41" s="237"/>
      <c r="S41" s="234">
        <f>K41/J41</f>
        <v>0.29494528400208442</v>
      </c>
      <c r="T41" s="198">
        <v>0</v>
      </c>
      <c r="U41" s="198">
        <v>0</v>
      </c>
      <c r="V41" s="198">
        <f>SUM(T41:U41)</f>
        <v>0</v>
      </c>
      <c r="W41" s="198">
        <v>1</v>
      </c>
      <c r="X41" s="198">
        <v>0</v>
      </c>
      <c r="Y41" s="198">
        <v>0</v>
      </c>
    </row>
    <row r="42" spans="1:25" s="27" customFormat="1" ht="14" customHeight="1" x14ac:dyDescent="0.2">
      <c r="A42" s="193" t="s">
        <v>465</v>
      </c>
      <c r="B42" s="194" t="s">
        <v>527</v>
      </c>
      <c r="C42" s="194" t="s">
        <v>401</v>
      </c>
      <c r="D42" s="192" t="s">
        <v>82</v>
      </c>
      <c r="E42" s="192" t="s">
        <v>494</v>
      </c>
      <c r="F42" s="195" t="s">
        <v>580</v>
      </c>
      <c r="G42" s="98">
        <v>990</v>
      </c>
      <c r="H42" s="98">
        <v>990</v>
      </c>
      <c r="I42" s="98">
        <v>990</v>
      </c>
      <c r="J42" s="98">
        <v>990</v>
      </c>
      <c r="K42" s="98">
        <v>238</v>
      </c>
      <c r="L42" s="98">
        <v>229</v>
      </c>
      <c r="M42" s="196">
        <v>319</v>
      </c>
      <c r="N42" s="191">
        <v>689</v>
      </c>
      <c r="O42" s="236">
        <f>M42/L42</f>
        <v>1.3930131004366813</v>
      </c>
      <c r="P42" s="237">
        <f>M42/K42</f>
        <v>1.3403361344537814</v>
      </c>
      <c r="Q42" s="237">
        <f>L42/K42</f>
        <v>0.96218487394957986</v>
      </c>
      <c r="R42" s="237">
        <f>L42/J42</f>
        <v>0.2313131313131313</v>
      </c>
      <c r="S42" s="234">
        <f>K42/J42</f>
        <v>0.2404040404040404</v>
      </c>
      <c r="T42" s="198">
        <v>1</v>
      </c>
      <c r="U42" s="198">
        <v>0</v>
      </c>
      <c r="V42" s="198">
        <f>SUM(T42:U42)</f>
        <v>1</v>
      </c>
      <c r="W42" s="198">
        <v>1</v>
      </c>
      <c r="X42" s="199">
        <v>0</v>
      </c>
      <c r="Y42" s="198">
        <v>0</v>
      </c>
    </row>
    <row r="43" spans="1:25" s="27" customFormat="1" ht="14" customHeight="1" x14ac:dyDescent="0.2">
      <c r="A43" s="202" t="s">
        <v>465</v>
      </c>
      <c r="B43" s="87" t="s">
        <v>667</v>
      </c>
      <c r="C43" s="191" t="s">
        <v>403</v>
      </c>
      <c r="D43" s="195" t="s">
        <v>82</v>
      </c>
      <c r="E43" s="195" t="s">
        <v>374</v>
      </c>
      <c r="F43" s="195" t="s">
        <v>580</v>
      </c>
      <c r="G43" s="190">
        <v>1370.0329999999999</v>
      </c>
      <c r="H43" s="190">
        <v>1500</v>
      </c>
      <c r="I43" s="190">
        <v>1370.0329999999999</v>
      </c>
      <c r="J43" s="203">
        <f>M43+N43</f>
        <v>1370.0329999999999</v>
      </c>
      <c r="K43" s="190">
        <v>388.7</v>
      </c>
      <c r="L43" s="190">
        <v>374.42</v>
      </c>
      <c r="M43" s="87">
        <v>499.83699999999999</v>
      </c>
      <c r="N43" s="197">
        <f>294.935+269.728+305.533</f>
        <v>870.19600000000003</v>
      </c>
      <c r="O43" s="236">
        <f>M43/L43</f>
        <v>1.334963410074248</v>
      </c>
      <c r="P43" s="237">
        <f>M43/K43</f>
        <v>1.2859197324414715</v>
      </c>
      <c r="Q43" s="237">
        <f>L43/K43</f>
        <v>0.96326215590429642</v>
      </c>
      <c r="R43" s="237"/>
      <c r="S43" s="234"/>
      <c r="T43" s="198">
        <v>0</v>
      </c>
      <c r="U43" s="198">
        <v>1</v>
      </c>
      <c r="V43" s="198">
        <v>1</v>
      </c>
      <c r="W43" s="198">
        <v>1</v>
      </c>
      <c r="X43" s="199">
        <v>0</v>
      </c>
      <c r="Y43" s="198">
        <v>0</v>
      </c>
    </row>
    <row r="44" spans="1:25" s="27" customFormat="1" ht="14" customHeight="1" x14ac:dyDescent="0.2">
      <c r="A44" s="193" t="s">
        <v>465</v>
      </c>
      <c r="B44" s="194" t="s">
        <v>526</v>
      </c>
      <c r="C44" s="194" t="s">
        <v>401</v>
      </c>
      <c r="D44" s="192" t="s">
        <v>82</v>
      </c>
      <c r="E44" s="195" t="s">
        <v>374</v>
      </c>
      <c r="F44" s="195" t="s">
        <v>580</v>
      </c>
      <c r="G44" s="190">
        <v>1553</v>
      </c>
      <c r="H44" s="190">
        <v>1553</v>
      </c>
      <c r="I44" s="98">
        <v>1553</v>
      </c>
      <c r="J44" s="98">
        <v>1553</v>
      </c>
      <c r="K44" s="98">
        <v>362</v>
      </c>
      <c r="L44" s="98">
        <v>349</v>
      </c>
      <c r="M44" s="196">
        <v>478</v>
      </c>
      <c r="N44" s="197">
        <f>I44-M44</f>
        <v>1075</v>
      </c>
      <c r="O44" s="236">
        <f>M44/L44</f>
        <v>1.3696275071633237</v>
      </c>
      <c r="P44" s="237">
        <f>M44/K44</f>
        <v>1.3204419889502763</v>
      </c>
      <c r="Q44" s="237">
        <f>L44/K44</f>
        <v>0.96408839779005528</v>
      </c>
      <c r="R44" s="237">
        <f>L44/J44</f>
        <v>0.22472633612363169</v>
      </c>
      <c r="S44" s="234">
        <f>K44/J44</f>
        <v>0.23309723116548617</v>
      </c>
      <c r="T44" s="198">
        <v>1</v>
      </c>
      <c r="U44" s="198">
        <v>0</v>
      </c>
      <c r="V44" s="198">
        <f>SUM(T44:U44)</f>
        <v>1</v>
      </c>
      <c r="W44" s="198">
        <v>1</v>
      </c>
      <c r="X44" s="199">
        <v>0</v>
      </c>
      <c r="Y44" s="198">
        <v>0</v>
      </c>
    </row>
    <row r="45" spans="1:25" s="27" customFormat="1" ht="14" customHeight="1" x14ac:dyDescent="0.15">
      <c r="A45" s="2" t="s">
        <v>16</v>
      </c>
      <c r="B45" s="1" t="s">
        <v>596</v>
      </c>
      <c r="C45" s="1" t="s">
        <v>403</v>
      </c>
      <c r="D45" s="88" t="s">
        <v>96</v>
      </c>
      <c r="E45" s="30" t="s">
        <v>374</v>
      </c>
      <c r="F45" s="44" t="s">
        <v>580</v>
      </c>
      <c r="G45" s="24"/>
      <c r="H45" s="26">
        <v>1600</v>
      </c>
      <c r="I45" s="24">
        <v>753.4</v>
      </c>
      <c r="J45" s="24">
        <f>M45+N45</f>
        <v>753.4</v>
      </c>
      <c r="K45" s="26">
        <v>158.9</v>
      </c>
      <c r="L45" s="26">
        <v>153.19999999999999</v>
      </c>
      <c r="M45" s="26">
        <v>207.1</v>
      </c>
      <c r="N45" s="26">
        <v>546.29999999999995</v>
      </c>
      <c r="O45" s="232">
        <f>M45/L45</f>
        <v>1.3518276762402088</v>
      </c>
      <c r="P45" s="234">
        <f>M45/K45</f>
        <v>1.3033354310887351</v>
      </c>
      <c r="Q45" s="233">
        <f>L45/K45</f>
        <v>0.9641283826305852</v>
      </c>
      <c r="R45" s="233">
        <f>L45/J45</f>
        <v>0.20334483674011147</v>
      </c>
      <c r="S45" s="234">
        <f>K45/J45</f>
        <v>0.21091053889036371</v>
      </c>
      <c r="T45" s="26">
        <v>0</v>
      </c>
      <c r="U45" s="24">
        <v>0</v>
      </c>
      <c r="V45" s="26">
        <v>0</v>
      </c>
      <c r="W45" s="26">
        <v>0</v>
      </c>
      <c r="X45" s="26">
        <v>0</v>
      </c>
      <c r="Y45" s="26">
        <v>0</v>
      </c>
    </row>
    <row r="46" spans="1:25" s="27" customFormat="1" ht="14" customHeight="1" x14ac:dyDescent="0.2">
      <c r="A46" s="202" t="s">
        <v>465</v>
      </c>
      <c r="B46" s="87" t="s">
        <v>69</v>
      </c>
      <c r="C46" s="191" t="s">
        <v>403</v>
      </c>
      <c r="D46" s="195" t="s">
        <v>82</v>
      </c>
      <c r="E46" s="195" t="s">
        <v>203</v>
      </c>
      <c r="F46" s="195" t="s">
        <v>581</v>
      </c>
      <c r="G46" s="190">
        <v>3000</v>
      </c>
      <c r="H46" s="190">
        <v>3000</v>
      </c>
      <c r="I46" s="190"/>
      <c r="J46" s="190"/>
      <c r="K46" s="190">
        <v>450.6</v>
      </c>
      <c r="L46" s="190">
        <v>434.5</v>
      </c>
      <c r="M46" s="87">
        <v>569</v>
      </c>
      <c r="N46" s="197">
        <v>1866</v>
      </c>
      <c r="O46" s="236">
        <f>M46/L46</f>
        <v>1.3095512082853855</v>
      </c>
      <c r="P46" s="237">
        <f>M46/K46</f>
        <v>1.2627607634265423</v>
      </c>
      <c r="Q46" s="237">
        <f>L46/K46</f>
        <v>0.96426986240568124</v>
      </c>
      <c r="R46" s="237"/>
      <c r="S46" s="234"/>
      <c r="T46" s="198">
        <v>0</v>
      </c>
      <c r="U46" s="198">
        <v>0</v>
      </c>
      <c r="V46" s="198">
        <f>SUM(T46:U46)</f>
        <v>0</v>
      </c>
      <c r="W46" s="198">
        <v>0</v>
      </c>
      <c r="X46" s="199">
        <v>0</v>
      </c>
      <c r="Y46" s="198">
        <v>0</v>
      </c>
    </row>
    <row r="47" spans="1:25" s="27" customFormat="1" ht="14" customHeight="1" x14ac:dyDescent="0.2">
      <c r="A47" s="202" t="s">
        <v>465</v>
      </c>
      <c r="B47" s="87" t="s">
        <v>308</v>
      </c>
      <c r="C47" s="191" t="s">
        <v>403</v>
      </c>
      <c r="D47" s="195" t="s">
        <v>148</v>
      </c>
      <c r="E47" s="195" t="s">
        <v>203</v>
      </c>
      <c r="F47" s="195" t="s">
        <v>581</v>
      </c>
      <c r="G47" s="190">
        <v>3000</v>
      </c>
      <c r="H47" s="190">
        <v>3000</v>
      </c>
      <c r="I47" s="190"/>
      <c r="J47" s="190"/>
      <c r="K47" s="190">
        <v>642.5</v>
      </c>
      <c r="L47" s="190">
        <v>619.79999999999995</v>
      </c>
      <c r="M47" s="87">
        <v>834.4</v>
      </c>
      <c r="N47" s="197"/>
      <c r="O47" s="236">
        <f>M47/L47</f>
        <v>1.3462407228138109</v>
      </c>
      <c r="P47" s="237">
        <f>M47/K47</f>
        <v>1.2986770428015564</v>
      </c>
      <c r="Q47" s="237">
        <f>L47/K47</f>
        <v>0.96466926070038905</v>
      </c>
      <c r="R47" s="237"/>
      <c r="S47" s="234"/>
      <c r="T47" s="198">
        <v>0</v>
      </c>
      <c r="U47" s="198">
        <v>0</v>
      </c>
      <c r="V47" s="198">
        <f>SUM(T47:U47)</f>
        <v>0</v>
      </c>
      <c r="W47" s="198">
        <v>0</v>
      </c>
      <c r="X47" s="199">
        <v>0</v>
      </c>
      <c r="Y47" s="198">
        <v>0</v>
      </c>
    </row>
    <row r="48" spans="1:25" s="27" customFormat="1" ht="14" customHeight="1" x14ac:dyDescent="0.2">
      <c r="A48" s="202" t="s">
        <v>465</v>
      </c>
      <c r="B48" s="87" t="s">
        <v>273</v>
      </c>
      <c r="C48" s="191" t="s">
        <v>403</v>
      </c>
      <c r="D48" s="195" t="s">
        <v>148</v>
      </c>
      <c r="E48" s="195" t="s">
        <v>293</v>
      </c>
      <c r="F48" s="195" t="s">
        <v>580</v>
      </c>
      <c r="G48" s="190">
        <v>2500</v>
      </c>
      <c r="H48" s="190">
        <v>2500</v>
      </c>
      <c r="I48" s="190"/>
      <c r="J48" s="190"/>
      <c r="K48" s="190">
        <v>855.2</v>
      </c>
      <c r="L48" s="190">
        <v>825.1</v>
      </c>
      <c r="M48" s="87">
        <v>1067.9000000000001</v>
      </c>
      <c r="N48" s="197"/>
      <c r="O48" s="236">
        <f>M48/L48</f>
        <v>1.2942673615319356</v>
      </c>
      <c r="P48" s="237">
        <f>M48/K48</f>
        <v>1.2487137511693172</v>
      </c>
      <c r="Q48" s="237">
        <f>L48/K48</f>
        <v>0.96480355472404111</v>
      </c>
      <c r="R48" s="237"/>
      <c r="S48" s="234"/>
      <c r="T48" s="198">
        <v>0</v>
      </c>
      <c r="U48" s="198">
        <v>0</v>
      </c>
      <c r="V48" s="198">
        <f>SUM(T48:U48)</f>
        <v>0</v>
      </c>
      <c r="W48" s="198">
        <v>0</v>
      </c>
      <c r="X48" s="199">
        <v>1</v>
      </c>
      <c r="Y48" s="198">
        <v>0</v>
      </c>
    </row>
    <row r="49" spans="1:25" s="27" customFormat="1" ht="14" customHeight="1" x14ac:dyDescent="0.2">
      <c r="A49" s="191" t="s">
        <v>19</v>
      </c>
      <c r="B49" s="87" t="s">
        <v>263</v>
      </c>
      <c r="C49" s="191" t="s">
        <v>403</v>
      </c>
      <c r="D49" s="195" t="s">
        <v>148</v>
      </c>
      <c r="E49" s="195" t="s">
        <v>494</v>
      </c>
      <c r="F49" s="195" t="s">
        <v>580</v>
      </c>
      <c r="G49" s="190">
        <v>841.1</v>
      </c>
      <c r="H49" s="190">
        <v>700</v>
      </c>
      <c r="I49" s="190"/>
      <c r="J49" s="190">
        <v>841.1</v>
      </c>
      <c r="K49" s="190">
        <v>265.39999999999998</v>
      </c>
      <c r="L49" s="190">
        <v>256.2</v>
      </c>
      <c r="M49" s="87">
        <v>339.5</v>
      </c>
      <c r="N49" s="197">
        <v>501.6</v>
      </c>
      <c r="O49" s="236">
        <f>M49/L49</f>
        <v>1.325136612021858</v>
      </c>
      <c r="P49" s="237">
        <f>M49/K49</f>
        <v>1.2792012057272044</v>
      </c>
      <c r="Q49" s="237">
        <f>L49/K49</f>
        <v>0.96533534287867373</v>
      </c>
      <c r="R49" s="237"/>
      <c r="S49" s="234">
        <f>K49/J49</f>
        <v>0.31553917489002492</v>
      </c>
      <c r="T49" s="198">
        <v>0</v>
      </c>
      <c r="U49" s="198">
        <v>0</v>
      </c>
      <c r="V49" s="198">
        <v>0</v>
      </c>
      <c r="W49" s="198">
        <v>1</v>
      </c>
      <c r="X49" s="198">
        <v>0</v>
      </c>
      <c r="Y49" s="198">
        <v>0</v>
      </c>
    </row>
    <row r="50" spans="1:25" s="27" customFormat="1" ht="14" customHeight="1" x14ac:dyDescent="0.15">
      <c r="A50" s="2" t="s">
        <v>16</v>
      </c>
      <c r="B50" s="90" t="s">
        <v>238</v>
      </c>
      <c r="C50" s="1" t="s">
        <v>403</v>
      </c>
      <c r="D50" s="88" t="s">
        <v>148</v>
      </c>
      <c r="E50" s="44" t="s">
        <v>293</v>
      </c>
      <c r="F50" s="44" t="s">
        <v>580</v>
      </c>
      <c r="G50" s="26"/>
      <c r="H50" s="26">
        <v>2000</v>
      </c>
      <c r="I50" s="26"/>
      <c r="J50" s="26"/>
      <c r="K50" s="26">
        <v>3404.8</v>
      </c>
      <c r="L50" s="26">
        <v>3288.2</v>
      </c>
      <c r="M50" s="26">
        <v>4420.5</v>
      </c>
      <c r="N50" s="26"/>
      <c r="O50" s="232">
        <f>M50/L50</f>
        <v>1.3443525333008941</v>
      </c>
      <c r="P50" s="234">
        <f>M50/K50</f>
        <v>1.298314144736842</v>
      </c>
      <c r="Q50" s="233">
        <f>L50/K50</f>
        <v>0.96575422932330812</v>
      </c>
      <c r="R50" s="233"/>
      <c r="S50" s="234"/>
      <c r="T50" s="26">
        <v>0</v>
      </c>
      <c r="U50" s="24">
        <v>0</v>
      </c>
      <c r="V50" s="26">
        <f>SUM(T50,U50)</f>
        <v>0</v>
      </c>
      <c r="W50" s="26">
        <v>0</v>
      </c>
      <c r="X50" s="26">
        <v>0</v>
      </c>
      <c r="Y50" s="26">
        <v>0</v>
      </c>
    </row>
    <row r="51" spans="1:25" s="27" customFormat="1" ht="14" customHeight="1" x14ac:dyDescent="0.15">
      <c r="A51" s="2" t="s">
        <v>16</v>
      </c>
      <c r="B51" s="90" t="s">
        <v>243</v>
      </c>
      <c r="C51" s="1" t="s">
        <v>403</v>
      </c>
      <c r="D51" s="88" t="s">
        <v>82</v>
      </c>
      <c r="E51" s="44" t="s">
        <v>374</v>
      </c>
      <c r="F51" s="44" t="s">
        <v>580</v>
      </c>
      <c r="G51" s="26"/>
      <c r="H51" s="26">
        <v>1200</v>
      </c>
      <c r="I51" s="26"/>
      <c r="J51" s="26"/>
      <c r="K51" s="26">
        <v>831.7</v>
      </c>
      <c r="L51" s="26">
        <v>804.6</v>
      </c>
      <c r="M51" s="26">
        <v>1068.3</v>
      </c>
      <c r="N51" s="26"/>
      <c r="O51" s="232">
        <f>M51/L51</f>
        <v>1.3277404921700222</v>
      </c>
      <c r="P51" s="234">
        <f>M51/K51</f>
        <v>1.2844775760490561</v>
      </c>
      <c r="Q51" s="233">
        <f>L51/K51</f>
        <v>0.96741613562582662</v>
      </c>
      <c r="R51" s="233"/>
      <c r="S51" s="234"/>
      <c r="T51" s="26">
        <v>0</v>
      </c>
      <c r="U51" s="24">
        <v>0</v>
      </c>
      <c r="V51" s="26">
        <f>SUM(T51,U51)</f>
        <v>0</v>
      </c>
      <c r="W51" s="26">
        <v>0</v>
      </c>
      <c r="X51" s="26">
        <v>0</v>
      </c>
      <c r="Y51" s="26">
        <v>0</v>
      </c>
    </row>
    <row r="52" spans="1:25" s="27" customFormat="1" ht="14" customHeight="1" x14ac:dyDescent="0.2">
      <c r="A52" s="191" t="s">
        <v>19</v>
      </c>
      <c r="B52" s="87" t="s">
        <v>353</v>
      </c>
      <c r="C52" s="191" t="s">
        <v>403</v>
      </c>
      <c r="D52" s="195" t="s">
        <v>82</v>
      </c>
      <c r="E52" s="195" t="s">
        <v>374</v>
      </c>
      <c r="F52" s="195" t="s">
        <v>580</v>
      </c>
      <c r="G52" s="190">
        <v>1250</v>
      </c>
      <c r="H52" s="190">
        <v>1250</v>
      </c>
      <c r="I52" s="190"/>
      <c r="J52" s="190"/>
      <c r="K52" s="190">
        <v>376.5</v>
      </c>
      <c r="L52" s="190">
        <v>365.1</v>
      </c>
      <c r="M52" s="87">
        <v>469</v>
      </c>
      <c r="N52" s="197"/>
      <c r="O52" s="236">
        <f>M52/L52</f>
        <v>1.2845795672418514</v>
      </c>
      <c r="P52" s="237">
        <f>M52/K52</f>
        <v>1.2456839309428951</v>
      </c>
      <c r="Q52" s="237">
        <f>L52/K52</f>
        <v>0.96972111553784868</v>
      </c>
      <c r="R52" s="237"/>
      <c r="S52" s="234"/>
      <c r="T52" s="198">
        <v>0</v>
      </c>
      <c r="U52" s="198">
        <v>0</v>
      </c>
      <c r="V52" s="198">
        <f>SUM(T52:U52)</f>
        <v>0</v>
      </c>
      <c r="W52" s="198">
        <v>0</v>
      </c>
      <c r="X52" s="198">
        <v>1</v>
      </c>
      <c r="Y52" s="198">
        <v>0</v>
      </c>
    </row>
    <row r="53" spans="1:25" s="27" customFormat="1" ht="14" customHeight="1" x14ac:dyDescent="0.15">
      <c r="A53" s="89" t="s">
        <v>16</v>
      </c>
      <c r="B53" s="89" t="s">
        <v>475</v>
      </c>
      <c r="C53" s="1" t="s">
        <v>401</v>
      </c>
      <c r="D53" s="88" t="s">
        <v>82</v>
      </c>
      <c r="E53" s="44" t="s">
        <v>374</v>
      </c>
      <c r="F53" s="44" t="s">
        <v>580</v>
      </c>
      <c r="G53" s="24">
        <v>1500</v>
      </c>
      <c r="H53" s="24">
        <v>1500</v>
      </c>
      <c r="I53" s="24">
        <v>1500</v>
      </c>
      <c r="J53" s="24">
        <v>1500</v>
      </c>
      <c r="K53" s="24">
        <v>265</v>
      </c>
      <c r="L53" s="24">
        <v>259</v>
      </c>
      <c r="M53" s="24"/>
      <c r="N53" s="24"/>
      <c r="O53" s="234"/>
      <c r="P53" s="234"/>
      <c r="Q53" s="233">
        <f>L53/K53</f>
        <v>0.97735849056603774</v>
      </c>
      <c r="R53" s="233">
        <f>L53/J53</f>
        <v>0.17266666666666666</v>
      </c>
      <c r="S53" s="234">
        <f>K53/J53</f>
        <v>0.17666666666666667</v>
      </c>
      <c r="T53" s="26">
        <v>1</v>
      </c>
      <c r="U53" s="24">
        <v>0</v>
      </c>
      <c r="V53" s="26">
        <f>SUM(T53,U53)</f>
        <v>1</v>
      </c>
      <c r="W53" s="26">
        <v>1</v>
      </c>
      <c r="X53" s="26">
        <v>0</v>
      </c>
      <c r="Y53" s="24">
        <v>0</v>
      </c>
    </row>
    <row r="54" spans="1:25" s="27" customFormat="1" x14ac:dyDescent="0.15">
      <c r="A54" s="231" t="s">
        <v>46</v>
      </c>
      <c r="B54" s="230" t="s">
        <v>476</v>
      </c>
      <c r="C54" s="91" t="s">
        <v>401</v>
      </c>
      <c r="D54" s="90" t="s">
        <v>82</v>
      </c>
      <c r="E54" s="93" t="s">
        <v>494</v>
      </c>
      <c r="F54" s="44" t="s">
        <v>580</v>
      </c>
      <c r="G54" s="88">
        <v>1312</v>
      </c>
      <c r="H54" s="88">
        <v>1312</v>
      </c>
      <c r="I54" s="88">
        <v>1312</v>
      </c>
      <c r="J54" s="88">
        <v>1312</v>
      </c>
      <c r="K54" s="26"/>
      <c r="L54" s="26">
        <v>269</v>
      </c>
      <c r="M54" s="95">
        <v>337</v>
      </c>
      <c r="N54" s="26">
        <v>975</v>
      </c>
      <c r="O54" s="232">
        <f>M54/L54</f>
        <v>1.2527881040892193</v>
      </c>
      <c r="P54" s="233"/>
      <c r="Q54" s="233"/>
      <c r="R54" s="233">
        <f>L54/J54</f>
        <v>0.20503048780487804</v>
      </c>
      <c r="S54" s="234"/>
      <c r="T54" s="26">
        <v>1</v>
      </c>
      <c r="U54" s="26">
        <v>0</v>
      </c>
      <c r="V54" s="26">
        <f>SUM(T54,U54)</f>
        <v>1</v>
      </c>
      <c r="W54" s="26">
        <v>1</v>
      </c>
      <c r="X54" s="26">
        <v>0</v>
      </c>
      <c r="Y54" s="26">
        <v>0</v>
      </c>
    </row>
    <row r="55" spans="1:25" s="27" customFormat="1" ht="14" customHeight="1" x14ac:dyDescent="0.15">
      <c r="A55" s="231" t="s">
        <v>46</v>
      </c>
      <c r="B55" s="230" t="s">
        <v>478</v>
      </c>
      <c r="C55" s="91" t="s">
        <v>401</v>
      </c>
      <c r="D55" s="90" t="s">
        <v>82</v>
      </c>
      <c r="E55" s="93" t="s">
        <v>494</v>
      </c>
      <c r="F55" s="44" t="s">
        <v>580</v>
      </c>
      <c r="G55" s="88">
        <v>1235</v>
      </c>
      <c r="H55" s="88">
        <v>1235</v>
      </c>
      <c r="I55" s="88">
        <v>1235</v>
      </c>
      <c r="J55" s="88">
        <v>1235</v>
      </c>
      <c r="K55" s="26"/>
      <c r="L55" s="26">
        <v>224</v>
      </c>
      <c r="M55" s="26"/>
      <c r="N55" s="26"/>
      <c r="O55" s="232"/>
      <c r="P55" s="233"/>
      <c r="Q55" s="233"/>
      <c r="R55" s="233">
        <f>L55/J55</f>
        <v>0.18137651821862349</v>
      </c>
      <c r="S55" s="234"/>
      <c r="T55" s="26">
        <v>1</v>
      </c>
      <c r="U55" s="26">
        <v>0</v>
      </c>
      <c r="V55" s="26">
        <f>SUM(T55,U55)</f>
        <v>1</v>
      </c>
      <c r="W55" s="26">
        <v>1</v>
      </c>
      <c r="X55" s="26">
        <v>0</v>
      </c>
      <c r="Y55" s="26">
        <v>0</v>
      </c>
    </row>
    <row r="56" spans="1:25" s="27" customFormat="1" ht="14" customHeight="1" x14ac:dyDescent="0.2">
      <c r="A56" s="235" t="s">
        <v>16</v>
      </c>
      <c r="B56" s="96" t="s">
        <v>18</v>
      </c>
      <c r="C56" s="1" t="s">
        <v>401</v>
      </c>
      <c r="D56" s="88" t="s">
        <v>82</v>
      </c>
      <c r="E56" s="44" t="s">
        <v>374</v>
      </c>
      <c r="F56" s="44" t="s">
        <v>580</v>
      </c>
      <c r="G56" s="97">
        <v>1780</v>
      </c>
      <c r="H56" s="97">
        <v>1780</v>
      </c>
      <c r="I56" s="97">
        <v>1780</v>
      </c>
      <c r="J56" s="97">
        <v>1780</v>
      </c>
      <c r="K56" s="97"/>
      <c r="L56" s="98">
        <v>290</v>
      </c>
      <c r="O56" s="233"/>
      <c r="P56" s="233"/>
      <c r="Q56" s="232"/>
      <c r="R56" s="233">
        <f>L56/J56</f>
        <v>0.16292134831460675</v>
      </c>
      <c r="S56" s="234"/>
      <c r="T56" s="26">
        <v>1</v>
      </c>
      <c r="U56" s="24">
        <v>0</v>
      </c>
      <c r="V56" s="26">
        <f>SUM(T56,U56)</f>
        <v>1</v>
      </c>
      <c r="W56" s="26">
        <v>1</v>
      </c>
      <c r="X56" s="26">
        <v>0</v>
      </c>
      <c r="Y56" s="24">
        <v>0</v>
      </c>
    </row>
    <row r="57" spans="1:25" s="27" customFormat="1" ht="14" customHeight="1" x14ac:dyDescent="0.2">
      <c r="A57" s="193" t="s">
        <v>465</v>
      </c>
      <c r="B57" s="194" t="s">
        <v>485</v>
      </c>
      <c r="C57" s="200" t="s">
        <v>401</v>
      </c>
      <c r="D57" s="195" t="s">
        <v>82</v>
      </c>
      <c r="E57" s="195" t="s">
        <v>374</v>
      </c>
      <c r="F57" s="195" t="s">
        <v>580</v>
      </c>
      <c r="G57" s="98">
        <v>1495</v>
      </c>
      <c r="H57" s="98">
        <v>1495</v>
      </c>
      <c r="I57" s="98">
        <v>1495</v>
      </c>
      <c r="J57" s="98">
        <v>1495</v>
      </c>
      <c r="K57" s="190"/>
      <c r="L57" s="98">
        <v>323</v>
      </c>
      <c r="M57" s="87"/>
      <c r="N57" s="87"/>
      <c r="O57" s="236"/>
      <c r="P57" s="237"/>
      <c r="Q57" s="237"/>
      <c r="R57" s="237">
        <f>L57/J57</f>
        <v>0.21605351170568562</v>
      </c>
      <c r="S57" s="234"/>
      <c r="T57" s="198">
        <v>1</v>
      </c>
      <c r="U57" s="198">
        <v>0</v>
      </c>
      <c r="V57" s="198">
        <f>SUM(T57:U57)</f>
        <v>1</v>
      </c>
      <c r="W57" s="198">
        <v>1</v>
      </c>
      <c r="X57" s="199">
        <v>0</v>
      </c>
      <c r="Y57" s="198">
        <v>0</v>
      </c>
    </row>
    <row r="58" spans="1:25" s="27" customFormat="1" ht="14" x14ac:dyDescent="0.2">
      <c r="A58" s="193" t="s">
        <v>465</v>
      </c>
      <c r="B58" s="194" t="s">
        <v>481</v>
      </c>
      <c r="C58" s="200" t="s">
        <v>401</v>
      </c>
      <c r="D58" s="195" t="s">
        <v>82</v>
      </c>
      <c r="E58" s="195" t="s">
        <v>374</v>
      </c>
      <c r="F58" s="195" t="s">
        <v>580</v>
      </c>
      <c r="G58" s="98">
        <v>1420</v>
      </c>
      <c r="H58" s="98">
        <v>1420</v>
      </c>
      <c r="I58" s="98">
        <v>1420</v>
      </c>
      <c r="J58" s="98">
        <v>1420</v>
      </c>
      <c r="K58" s="190"/>
      <c r="L58" s="98">
        <v>313</v>
      </c>
      <c r="M58" s="87"/>
      <c r="N58" s="87"/>
      <c r="O58" s="236"/>
      <c r="P58" s="237"/>
      <c r="Q58" s="237"/>
      <c r="R58" s="237">
        <f>L58/J58</f>
        <v>0.22042253521126762</v>
      </c>
      <c r="S58" s="234"/>
      <c r="T58" s="198">
        <v>1</v>
      </c>
      <c r="U58" s="198">
        <v>0</v>
      </c>
      <c r="V58" s="198">
        <f>SUM(T58:U58)</f>
        <v>1</v>
      </c>
      <c r="W58" s="198">
        <v>1</v>
      </c>
      <c r="X58" s="199">
        <v>0</v>
      </c>
      <c r="Y58" s="198">
        <v>0</v>
      </c>
    </row>
    <row r="59" spans="1:25" s="27" customFormat="1" ht="14" x14ac:dyDescent="0.2">
      <c r="A59" s="193" t="s">
        <v>465</v>
      </c>
      <c r="B59" s="194" t="s">
        <v>482</v>
      </c>
      <c r="C59" s="200" t="s">
        <v>401</v>
      </c>
      <c r="D59" s="195" t="s">
        <v>82</v>
      </c>
      <c r="E59" s="195" t="s">
        <v>374</v>
      </c>
      <c r="F59" s="195" t="s">
        <v>580</v>
      </c>
      <c r="G59" s="98">
        <v>1708</v>
      </c>
      <c r="H59" s="98">
        <v>1708</v>
      </c>
      <c r="I59" s="98">
        <v>1708</v>
      </c>
      <c r="J59" s="98">
        <v>1708</v>
      </c>
      <c r="K59" s="190"/>
      <c r="L59" s="98">
        <v>367</v>
      </c>
      <c r="M59" s="87"/>
      <c r="N59" s="87"/>
      <c r="O59" s="236"/>
      <c r="P59" s="237"/>
      <c r="Q59" s="237"/>
      <c r="R59" s="237">
        <f>L59/J59</f>
        <v>0.21487119437939109</v>
      </c>
      <c r="S59" s="234"/>
      <c r="T59" s="198">
        <v>1</v>
      </c>
      <c r="U59" s="198">
        <v>0</v>
      </c>
      <c r="V59" s="198">
        <f>SUM(T59:U59)</f>
        <v>1</v>
      </c>
      <c r="W59" s="198">
        <v>1</v>
      </c>
      <c r="X59" s="199">
        <v>0</v>
      </c>
      <c r="Y59" s="198">
        <v>0</v>
      </c>
    </row>
    <row r="60" spans="1:25" s="27" customFormat="1" ht="14" x14ac:dyDescent="0.2">
      <c r="A60" s="193" t="s">
        <v>465</v>
      </c>
      <c r="B60" s="194" t="s">
        <v>483</v>
      </c>
      <c r="C60" s="200" t="s">
        <v>401</v>
      </c>
      <c r="D60" s="195" t="s">
        <v>82</v>
      </c>
      <c r="E60" s="195" t="s">
        <v>374</v>
      </c>
      <c r="F60" s="195" t="s">
        <v>580</v>
      </c>
      <c r="G60" s="98">
        <v>1465</v>
      </c>
      <c r="H60" s="98">
        <v>1465</v>
      </c>
      <c r="I60" s="98">
        <v>1465</v>
      </c>
      <c r="J60" s="98">
        <v>1465</v>
      </c>
      <c r="K60" s="190"/>
      <c r="L60" s="98">
        <v>338</v>
      </c>
      <c r="M60" s="87"/>
      <c r="N60" s="87"/>
      <c r="O60" s="236"/>
      <c r="P60" s="237"/>
      <c r="Q60" s="237"/>
      <c r="R60" s="237">
        <f>L60/J60</f>
        <v>0.23071672354948805</v>
      </c>
      <c r="S60" s="234"/>
      <c r="T60" s="198">
        <v>1</v>
      </c>
      <c r="U60" s="198">
        <v>0</v>
      </c>
      <c r="V60" s="198">
        <f>SUM(T60:U60)</f>
        <v>1</v>
      </c>
      <c r="W60" s="198">
        <v>1</v>
      </c>
      <c r="X60" s="199">
        <v>0</v>
      </c>
      <c r="Y60" s="198">
        <v>0</v>
      </c>
    </row>
    <row r="61" spans="1:25" s="27" customFormat="1" ht="14" x14ac:dyDescent="0.2">
      <c r="A61" s="193" t="s">
        <v>465</v>
      </c>
      <c r="B61" s="194" t="s">
        <v>484</v>
      </c>
      <c r="C61" s="200" t="s">
        <v>401</v>
      </c>
      <c r="D61" s="195" t="s">
        <v>82</v>
      </c>
      <c r="E61" s="195" t="s">
        <v>494</v>
      </c>
      <c r="F61" s="195" t="s">
        <v>580</v>
      </c>
      <c r="G61" s="98">
        <v>1160</v>
      </c>
      <c r="H61" s="98">
        <v>1160</v>
      </c>
      <c r="I61" s="98">
        <v>1160</v>
      </c>
      <c r="J61" s="98">
        <v>1160</v>
      </c>
      <c r="K61" s="190"/>
      <c r="L61" s="98">
        <v>275</v>
      </c>
      <c r="M61" s="87"/>
      <c r="N61" s="87"/>
      <c r="O61" s="236"/>
      <c r="P61" s="237"/>
      <c r="Q61" s="237"/>
      <c r="R61" s="237">
        <f>L61/J61</f>
        <v>0.23706896551724138</v>
      </c>
      <c r="S61" s="234"/>
      <c r="T61" s="198">
        <v>1</v>
      </c>
      <c r="U61" s="198">
        <v>0</v>
      </c>
      <c r="V61" s="198">
        <f>SUM(T61:U61)</f>
        <v>1</v>
      </c>
      <c r="W61" s="198">
        <v>1</v>
      </c>
      <c r="X61" s="199">
        <v>0</v>
      </c>
      <c r="Y61" s="198">
        <v>0</v>
      </c>
    </row>
    <row r="62" spans="1:25" s="27" customFormat="1" x14ac:dyDescent="0.15">
      <c r="A62" s="90" t="s">
        <v>46</v>
      </c>
      <c r="B62" s="90" t="s">
        <v>175</v>
      </c>
      <c r="C62" s="91" t="s">
        <v>403</v>
      </c>
      <c r="D62" s="90" t="s">
        <v>148</v>
      </c>
      <c r="E62" s="93" t="s">
        <v>494</v>
      </c>
      <c r="F62" s="44" t="s">
        <v>580</v>
      </c>
      <c r="G62" s="88">
        <v>1287.2</v>
      </c>
      <c r="H62" s="26">
        <v>1300</v>
      </c>
      <c r="I62" s="88">
        <v>1287.2</v>
      </c>
      <c r="J62" s="88">
        <v>1287.2</v>
      </c>
      <c r="K62" s="26">
        <v>321.26</v>
      </c>
      <c r="L62" s="26">
        <v>235.17</v>
      </c>
      <c r="M62" s="26">
        <v>400.98</v>
      </c>
      <c r="N62" s="26">
        <f>J62-M62</f>
        <v>886.22</v>
      </c>
      <c r="O62" s="232">
        <f>M62/L62</f>
        <v>1.7050644214823321</v>
      </c>
      <c r="P62" s="233">
        <f>M62/K62</f>
        <v>1.2481479175745502</v>
      </c>
      <c r="Q62" s="233">
        <f>L62/K62</f>
        <v>0.73202390587063437</v>
      </c>
      <c r="R62" s="233">
        <f>L62/J62</f>
        <v>0.18269888129272838</v>
      </c>
      <c r="S62" s="234">
        <f>K62/J62</f>
        <v>0.24958048477315101</v>
      </c>
      <c r="T62" s="26">
        <v>0</v>
      </c>
      <c r="U62" s="26">
        <v>1</v>
      </c>
      <c r="V62" s="26">
        <f>SUM(T62,U62)</f>
        <v>1</v>
      </c>
      <c r="W62" s="26">
        <v>1</v>
      </c>
      <c r="X62" s="26">
        <v>0</v>
      </c>
      <c r="Y62" s="26">
        <v>1</v>
      </c>
    </row>
    <row r="63" spans="1:25" s="27" customFormat="1" x14ac:dyDescent="0.15">
      <c r="A63" s="90" t="s">
        <v>46</v>
      </c>
      <c r="B63" s="90" t="s">
        <v>163</v>
      </c>
      <c r="C63" s="91" t="s">
        <v>403</v>
      </c>
      <c r="D63" s="90" t="s">
        <v>82</v>
      </c>
      <c r="E63" s="93" t="s">
        <v>494</v>
      </c>
      <c r="F63" s="44" t="s">
        <v>580</v>
      </c>
      <c r="G63" s="26">
        <f>329.65+248.94+207.51</f>
        <v>786.09999999999991</v>
      </c>
      <c r="H63" s="26">
        <v>700</v>
      </c>
      <c r="I63" s="26">
        <f>329.65+248.94+207.51</f>
        <v>786.09999999999991</v>
      </c>
      <c r="J63" s="26">
        <f>329.65+248.94+207.51</f>
        <v>786.09999999999991</v>
      </c>
      <c r="K63" s="26">
        <v>187.08</v>
      </c>
      <c r="L63" s="26">
        <v>137.79</v>
      </c>
      <c r="M63" s="26">
        <v>231.86</v>
      </c>
      <c r="N63" s="26">
        <f>J63-M63</f>
        <v>554.2399999999999</v>
      </c>
      <c r="O63" s="232">
        <f>M63/L63</f>
        <v>1.6827055664416868</v>
      </c>
      <c r="P63" s="233">
        <f>M63/K63</f>
        <v>1.2393628394269831</v>
      </c>
      <c r="Q63" s="233">
        <f>L63/K63</f>
        <v>0.73652982681205892</v>
      </c>
      <c r="R63" s="233">
        <f>L63/J63</f>
        <v>0.1752830428698639</v>
      </c>
      <c r="S63" s="234">
        <f>K63/J63</f>
        <v>0.23798498918712635</v>
      </c>
      <c r="T63" s="26">
        <v>0</v>
      </c>
      <c r="U63" s="26">
        <v>1</v>
      </c>
      <c r="V63" s="26">
        <f>SUM(T63,U63)</f>
        <v>1</v>
      </c>
      <c r="W63" s="26">
        <v>1</v>
      </c>
      <c r="X63" s="26">
        <v>0</v>
      </c>
      <c r="Y63" s="26">
        <v>1</v>
      </c>
    </row>
    <row r="64" spans="1:25" s="27" customFormat="1" x14ac:dyDescent="0.15">
      <c r="A64" s="26" t="s">
        <v>46</v>
      </c>
      <c r="B64" s="90" t="s">
        <v>474</v>
      </c>
      <c r="C64" s="91" t="s">
        <v>458</v>
      </c>
      <c r="D64" s="90" t="s">
        <v>82</v>
      </c>
      <c r="E64" s="93" t="s">
        <v>494</v>
      </c>
      <c r="F64" s="44" t="s">
        <v>580</v>
      </c>
      <c r="G64" s="88">
        <v>970</v>
      </c>
      <c r="H64" s="88">
        <v>970</v>
      </c>
      <c r="I64" s="88">
        <v>970</v>
      </c>
      <c r="J64" s="88">
        <v>970</v>
      </c>
      <c r="K64" s="26">
        <v>267</v>
      </c>
      <c r="L64" s="26">
        <v>200</v>
      </c>
      <c r="M64" s="88">
        <v>336</v>
      </c>
      <c r="N64" s="26">
        <f>J64-M64</f>
        <v>634</v>
      </c>
      <c r="O64" s="232">
        <f>M64/L64</f>
        <v>1.68</v>
      </c>
      <c r="P64" s="233">
        <f>M64/K64</f>
        <v>1.2584269662921348</v>
      </c>
      <c r="Q64" s="233">
        <f>L64/K64</f>
        <v>0.74906367041198507</v>
      </c>
      <c r="R64" s="233">
        <f>L64/J64</f>
        <v>0.20618556701030927</v>
      </c>
      <c r="S64" s="234">
        <f>K64/J64</f>
        <v>0.27525773195876291</v>
      </c>
      <c r="T64" s="26">
        <v>1</v>
      </c>
      <c r="U64" s="26">
        <v>0</v>
      </c>
      <c r="V64" s="26">
        <f>SUM(T64,U64)</f>
        <v>1</v>
      </c>
      <c r="W64" s="26">
        <v>1</v>
      </c>
      <c r="X64" s="26">
        <v>0</v>
      </c>
      <c r="Y64" s="26">
        <v>1</v>
      </c>
    </row>
    <row r="65" spans="1:25" s="27" customFormat="1" x14ac:dyDescent="0.15">
      <c r="A65" s="26" t="s">
        <v>46</v>
      </c>
      <c r="B65" s="90" t="s">
        <v>473</v>
      </c>
      <c r="C65" s="91" t="s">
        <v>458</v>
      </c>
      <c r="D65" s="90" t="s">
        <v>82</v>
      </c>
      <c r="E65" s="93" t="s">
        <v>494</v>
      </c>
      <c r="F65" s="44" t="s">
        <v>580</v>
      </c>
      <c r="G65" s="88">
        <v>1100</v>
      </c>
      <c r="H65" s="88">
        <v>1100</v>
      </c>
      <c r="I65" s="88">
        <v>1100</v>
      </c>
      <c r="J65" s="88">
        <v>1100</v>
      </c>
      <c r="K65" s="26">
        <v>270</v>
      </c>
      <c r="L65" s="26">
        <v>207</v>
      </c>
      <c r="M65" s="26">
        <v>324</v>
      </c>
      <c r="N65" s="26">
        <f>J65-M65</f>
        <v>776</v>
      </c>
      <c r="O65" s="232">
        <f>M65/L65</f>
        <v>1.5652173913043479</v>
      </c>
      <c r="P65" s="233">
        <f>M65/K65</f>
        <v>1.2</v>
      </c>
      <c r="Q65" s="233">
        <f>L65/K65</f>
        <v>0.76666666666666672</v>
      </c>
      <c r="R65" s="233">
        <f>L65/J65</f>
        <v>0.18818181818181817</v>
      </c>
      <c r="S65" s="234">
        <f>K65/J65</f>
        <v>0.24545454545454545</v>
      </c>
      <c r="T65" s="26">
        <v>1</v>
      </c>
      <c r="U65" s="26">
        <v>0</v>
      </c>
      <c r="V65" s="26">
        <f>SUM(T65,U65)</f>
        <v>1</v>
      </c>
      <c r="W65" s="26">
        <v>1</v>
      </c>
      <c r="X65" s="26">
        <v>0</v>
      </c>
      <c r="Y65" s="26">
        <v>1</v>
      </c>
    </row>
    <row r="66" spans="1:25" s="27" customFormat="1" x14ac:dyDescent="0.15">
      <c r="A66" s="26" t="s">
        <v>46</v>
      </c>
      <c r="B66" s="90" t="s">
        <v>470</v>
      </c>
      <c r="C66" s="91" t="s">
        <v>458</v>
      </c>
      <c r="D66" s="90" t="s">
        <v>82</v>
      </c>
      <c r="E66" s="93" t="s">
        <v>494</v>
      </c>
      <c r="F66" s="44" t="s">
        <v>580</v>
      </c>
      <c r="G66" s="88">
        <v>960</v>
      </c>
      <c r="H66" s="88">
        <v>960</v>
      </c>
      <c r="I66" s="88">
        <v>960</v>
      </c>
      <c r="J66" s="88">
        <v>960</v>
      </c>
      <c r="K66" s="26">
        <v>250</v>
      </c>
      <c r="L66" s="26">
        <v>193</v>
      </c>
      <c r="M66" s="26">
        <v>299</v>
      </c>
      <c r="N66" s="26">
        <f>J66-M66</f>
        <v>661</v>
      </c>
      <c r="O66" s="232">
        <f>M66/L66</f>
        <v>1.5492227979274611</v>
      </c>
      <c r="P66" s="233">
        <f>M66/K66</f>
        <v>1.196</v>
      </c>
      <c r="Q66" s="233">
        <f>L66/K66</f>
        <v>0.77200000000000002</v>
      </c>
      <c r="R66" s="233">
        <f>L66/J66</f>
        <v>0.20104166666666667</v>
      </c>
      <c r="S66" s="234">
        <f>K66/J66</f>
        <v>0.26041666666666669</v>
      </c>
      <c r="T66" s="26">
        <v>1</v>
      </c>
      <c r="U66" s="26">
        <v>0</v>
      </c>
      <c r="V66" s="26">
        <f>SUM(T66,U66)</f>
        <v>1</v>
      </c>
      <c r="W66" s="26">
        <v>1</v>
      </c>
      <c r="X66" s="26">
        <v>0</v>
      </c>
      <c r="Y66" s="26">
        <v>1</v>
      </c>
    </row>
    <row r="67" spans="1:25" s="27" customFormat="1" ht="14" customHeight="1" x14ac:dyDescent="0.15">
      <c r="A67" s="90" t="s">
        <v>46</v>
      </c>
      <c r="B67" s="90" t="s">
        <v>187</v>
      </c>
      <c r="C67" s="91" t="s">
        <v>403</v>
      </c>
      <c r="D67" s="90" t="s">
        <v>82</v>
      </c>
      <c r="E67" s="44" t="s">
        <v>374</v>
      </c>
      <c r="F67" s="44" t="s">
        <v>580</v>
      </c>
      <c r="G67" s="88">
        <v>1460.1000000000001</v>
      </c>
      <c r="H67" s="26">
        <v>1500</v>
      </c>
      <c r="I67" s="26">
        <v>1460.1000000000001</v>
      </c>
      <c r="J67" s="26">
        <v>1460.1000000000001</v>
      </c>
      <c r="K67" s="26">
        <v>433.3</v>
      </c>
      <c r="L67" s="26">
        <v>336</v>
      </c>
      <c r="M67" s="26">
        <v>531.9</v>
      </c>
      <c r="N67" s="26">
        <f>J67-M67</f>
        <v>928.20000000000016</v>
      </c>
      <c r="O67" s="232">
        <f>M67/L67</f>
        <v>1.5830357142857143</v>
      </c>
      <c r="P67" s="233">
        <f>M67/K67</f>
        <v>1.2275559658435264</v>
      </c>
      <c r="Q67" s="233">
        <f>L67/K67</f>
        <v>0.7754442649434572</v>
      </c>
      <c r="R67" s="233">
        <f>L67/J67</f>
        <v>0.23012122457365933</v>
      </c>
      <c r="S67" s="234">
        <f>K67/J67</f>
        <v>0.29676049585644815</v>
      </c>
      <c r="T67" s="26">
        <v>0</v>
      </c>
      <c r="U67" s="26">
        <v>1</v>
      </c>
      <c r="V67" s="26">
        <f>SUM(T67,U67)</f>
        <v>1</v>
      </c>
      <c r="W67" s="26">
        <v>1</v>
      </c>
      <c r="X67" s="26">
        <v>0</v>
      </c>
      <c r="Y67" s="26">
        <v>1</v>
      </c>
    </row>
    <row r="68" spans="1:25" s="27" customFormat="1" ht="15" customHeight="1" x14ac:dyDescent="0.15">
      <c r="A68" s="90" t="s">
        <v>46</v>
      </c>
      <c r="B68" s="90" t="s">
        <v>224</v>
      </c>
      <c r="C68" s="91" t="s">
        <v>403</v>
      </c>
      <c r="D68" s="90" t="s">
        <v>82</v>
      </c>
      <c r="E68" s="93" t="s">
        <v>494</v>
      </c>
      <c r="F68" s="44" t="s">
        <v>580</v>
      </c>
      <c r="G68" s="88">
        <v>908.46</v>
      </c>
      <c r="H68" s="26">
        <v>1000</v>
      </c>
      <c r="I68" s="26">
        <f>132.5+133.44+332.42+310.1</f>
        <v>908.46</v>
      </c>
      <c r="J68" s="26">
        <f>132.5+133.44+332.42+310.1</f>
        <v>908.46</v>
      </c>
      <c r="K68" s="26">
        <v>240</v>
      </c>
      <c r="L68" s="26">
        <v>188</v>
      </c>
      <c r="M68" s="26">
        <v>310.10000000000002</v>
      </c>
      <c r="N68" s="26">
        <f>J68-M68</f>
        <v>598.36</v>
      </c>
      <c r="O68" s="232">
        <f>M68/L68</f>
        <v>1.6494680851063832</v>
      </c>
      <c r="P68" s="233">
        <f>M68/K68</f>
        <v>1.2920833333333335</v>
      </c>
      <c r="Q68" s="233">
        <f>L68/K68</f>
        <v>0.78333333333333333</v>
      </c>
      <c r="R68" s="233">
        <f>L68/J68</f>
        <v>0.20694361887149682</v>
      </c>
      <c r="S68" s="234">
        <f>K68/J68</f>
        <v>0.2641833432402087</v>
      </c>
      <c r="T68" s="26">
        <v>0</v>
      </c>
      <c r="U68" s="26">
        <v>1</v>
      </c>
      <c r="V68" s="26">
        <f>SUM(T68,U68)</f>
        <v>1</v>
      </c>
      <c r="W68" s="26">
        <v>1</v>
      </c>
      <c r="X68" s="26">
        <v>0</v>
      </c>
      <c r="Y68" s="26">
        <v>1</v>
      </c>
    </row>
    <row r="69" spans="1:25" s="27" customFormat="1" ht="15" customHeight="1" x14ac:dyDescent="0.15">
      <c r="A69" s="90" t="s">
        <v>46</v>
      </c>
      <c r="B69" s="90" t="s">
        <v>204</v>
      </c>
      <c r="C69" s="91" t="s">
        <v>403</v>
      </c>
      <c r="D69" s="90" t="s">
        <v>82</v>
      </c>
      <c r="E69" s="93" t="s">
        <v>494</v>
      </c>
      <c r="F69" s="44" t="s">
        <v>580</v>
      </c>
      <c r="G69" s="88">
        <v>1235.4099999999999</v>
      </c>
      <c r="H69" s="26">
        <v>1300</v>
      </c>
      <c r="I69" s="26">
        <f>(51.132+35.915+36.494)*10</f>
        <v>1235.4099999999999</v>
      </c>
      <c r="J69" s="26">
        <f>(51.132+35.915+36.494)*10</f>
        <v>1235.4099999999999</v>
      </c>
      <c r="K69" s="26">
        <v>294.89999999999998</v>
      </c>
      <c r="L69" s="26">
        <v>233.4</v>
      </c>
      <c r="M69" s="26">
        <v>364.95</v>
      </c>
      <c r="N69" s="26">
        <f>J69-M69</f>
        <v>870.45999999999981</v>
      </c>
      <c r="O69" s="232">
        <f>M69/L69</f>
        <v>1.5636246786632391</v>
      </c>
      <c r="P69" s="233">
        <f>M69/K69</f>
        <v>1.2375381485249237</v>
      </c>
      <c r="Q69" s="233">
        <f>L69/K69</f>
        <v>0.79145473041709058</v>
      </c>
      <c r="R69" s="233">
        <f>L69/J69</f>
        <v>0.18892513416598541</v>
      </c>
      <c r="S69" s="234">
        <f>K69/J69</f>
        <v>0.2387061785156345</v>
      </c>
      <c r="T69" s="26">
        <v>1</v>
      </c>
      <c r="U69" s="26">
        <v>0</v>
      </c>
      <c r="V69" s="26">
        <f>SUM(T69,U69)</f>
        <v>1</v>
      </c>
      <c r="W69" s="26">
        <v>1</v>
      </c>
      <c r="X69" s="26">
        <v>0</v>
      </c>
      <c r="Y69" s="26">
        <v>1</v>
      </c>
    </row>
    <row r="70" spans="1:25" s="27" customFormat="1" ht="15" customHeight="1" x14ac:dyDescent="0.15">
      <c r="A70" s="26" t="s">
        <v>46</v>
      </c>
      <c r="B70" s="90" t="s">
        <v>466</v>
      </c>
      <c r="C70" s="91" t="s">
        <v>458</v>
      </c>
      <c r="D70" s="90" t="s">
        <v>82</v>
      </c>
      <c r="E70" s="93" t="s">
        <v>494</v>
      </c>
      <c r="F70" s="44" t="s">
        <v>580</v>
      </c>
      <c r="G70" s="88">
        <v>1020</v>
      </c>
      <c r="H70" s="88">
        <v>1020</v>
      </c>
      <c r="I70" s="88">
        <v>1020</v>
      </c>
      <c r="J70" s="88">
        <v>1020</v>
      </c>
      <c r="K70" s="26">
        <v>270</v>
      </c>
      <c r="L70" s="26">
        <v>217</v>
      </c>
      <c r="M70" s="26">
        <v>316</v>
      </c>
      <c r="N70" s="26">
        <f>J70-M70</f>
        <v>704</v>
      </c>
      <c r="O70" s="232">
        <f>M70/L70</f>
        <v>1.4562211981566819</v>
      </c>
      <c r="P70" s="233">
        <f>M70/K70</f>
        <v>1.1703703703703703</v>
      </c>
      <c r="Q70" s="233">
        <f>L70/K70</f>
        <v>0.8037037037037037</v>
      </c>
      <c r="R70" s="233">
        <f>L70/J70</f>
        <v>0.21274509803921568</v>
      </c>
      <c r="S70" s="234">
        <f>K70/J70</f>
        <v>0.26470588235294118</v>
      </c>
      <c r="T70" s="26">
        <v>1</v>
      </c>
      <c r="U70" s="26">
        <v>0</v>
      </c>
      <c r="V70" s="26">
        <f>SUM(T70,U70)</f>
        <v>1</v>
      </c>
      <c r="W70" s="26">
        <v>1</v>
      </c>
      <c r="X70" s="26">
        <v>0</v>
      </c>
      <c r="Y70" s="26">
        <v>1</v>
      </c>
    </row>
    <row r="71" spans="1:25" s="27" customFormat="1" ht="15" customHeight="1" x14ac:dyDescent="0.15">
      <c r="A71" s="90" t="s">
        <v>46</v>
      </c>
      <c r="B71" s="90" t="s">
        <v>591</v>
      </c>
      <c r="C71" s="91" t="s">
        <v>403</v>
      </c>
      <c r="D71" s="90" t="s">
        <v>82</v>
      </c>
      <c r="E71" s="44" t="s">
        <v>203</v>
      </c>
      <c r="F71" s="44" t="s">
        <v>581</v>
      </c>
      <c r="G71" s="88">
        <v>2505</v>
      </c>
      <c r="H71" s="88">
        <v>2200</v>
      </c>
      <c r="I71" s="88">
        <v>2505</v>
      </c>
      <c r="J71" s="88">
        <v>2505</v>
      </c>
      <c r="K71" s="88">
        <v>712.8</v>
      </c>
      <c r="L71" s="88">
        <v>575</v>
      </c>
      <c r="M71" s="88">
        <v>928.5</v>
      </c>
      <c r="N71" s="88">
        <f>J71-M71</f>
        <v>1576.5</v>
      </c>
      <c r="O71" s="232">
        <f>M71/L71</f>
        <v>1.6147826086956523</v>
      </c>
      <c r="P71" s="233">
        <f>M71/K71</f>
        <v>1.3026094276094278</v>
      </c>
      <c r="Q71" s="233">
        <f>L71/K71</f>
        <v>0.80667789001122336</v>
      </c>
      <c r="R71" s="233">
        <f>L71/J71</f>
        <v>0.22954091816367264</v>
      </c>
      <c r="S71" s="234">
        <f>K71/J71</f>
        <v>0.28455089820359281</v>
      </c>
      <c r="T71" s="88">
        <v>0</v>
      </c>
      <c r="U71" s="88">
        <v>1</v>
      </c>
      <c r="V71" s="26">
        <f>SUM(T71,U71)</f>
        <v>1</v>
      </c>
      <c r="W71" s="26">
        <v>1</v>
      </c>
      <c r="X71" s="26">
        <v>1</v>
      </c>
      <c r="Y71" s="26">
        <v>1</v>
      </c>
    </row>
    <row r="72" spans="1:25" s="27" customFormat="1" ht="14" customHeight="1" x14ac:dyDescent="0.15">
      <c r="A72" s="26" t="s">
        <v>46</v>
      </c>
      <c r="B72" s="90" t="s">
        <v>467</v>
      </c>
      <c r="C72" s="91" t="s">
        <v>458</v>
      </c>
      <c r="D72" s="90" t="s">
        <v>82</v>
      </c>
      <c r="E72" s="93" t="s">
        <v>494</v>
      </c>
      <c r="F72" s="44" t="s">
        <v>580</v>
      </c>
      <c r="G72" s="88">
        <v>1000</v>
      </c>
      <c r="H72" s="88">
        <v>1000</v>
      </c>
      <c r="I72" s="88">
        <v>1000</v>
      </c>
      <c r="J72" s="88">
        <v>1000</v>
      </c>
      <c r="K72" s="26">
        <v>283</v>
      </c>
      <c r="L72" s="26">
        <v>229</v>
      </c>
      <c r="M72" s="26">
        <v>355</v>
      </c>
      <c r="N72" s="26">
        <f>J72-M72</f>
        <v>645</v>
      </c>
      <c r="O72" s="232">
        <f>M72/L72</f>
        <v>1.5502183406113537</v>
      </c>
      <c r="P72" s="233">
        <f>M72/K72</f>
        <v>1.2544169611307421</v>
      </c>
      <c r="Q72" s="233">
        <f>L72/K72</f>
        <v>0.80918727915194344</v>
      </c>
      <c r="R72" s="233">
        <f>L72/J72</f>
        <v>0.22900000000000001</v>
      </c>
      <c r="S72" s="234">
        <f>K72/J72</f>
        <v>0.28299999999999997</v>
      </c>
      <c r="T72" s="26">
        <v>1</v>
      </c>
      <c r="U72" s="26">
        <v>0</v>
      </c>
      <c r="V72" s="26">
        <f>SUM(T72,U72)</f>
        <v>1</v>
      </c>
      <c r="W72" s="26">
        <v>1</v>
      </c>
      <c r="X72" s="26">
        <v>0</v>
      </c>
      <c r="Y72" s="26">
        <v>1</v>
      </c>
    </row>
    <row r="73" spans="1:25" s="27" customFormat="1" ht="14" customHeight="1" x14ac:dyDescent="0.15">
      <c r="A73" s="90" t="s">
        <v>46</v>
      </c>
      <c r="B73" s="90" t="s">
        <v>594</v>
      </c>
      <c r="C73" s="91" t="s">
        <v>403</v>
      </c>
      <c r="D73" s="90" t="s">
        <v>82</v>
      </c>
      <c r="E73" s="44" t="s">
        <v>494</v>
      </c>
      <c r="F73" s="44" t="s">
        <v>580</v>
      </c>
      <c r="G73" s="88">
        <v>870</v>
      </c>
      <c r="H73" s="88">
        <v>890</v>
      </c>
      <c r="I73" s="26">
        <v>870</v>
      </c>
      <c r="J73" s="26">
        <v>870</v>
      </c>
      <c r="K73" s="26">
        <v>244</v>
      </c>
      <c r="L73" s="26">
        <v>198</v>
      </c>
      <c r="M73" s="26">
        <v>315</v>
      </c>
      <c r="N73" s="26">
        <f>J73-M73</f>
        <v>555</v>
      </c>
      <c r="O73" s="232">
        <f>M73/L73</f>
        <v>1.5909090909090908</v>
      </c>
      <c r="P73" s="233">
        <f>M73/K73</f>
        <v>1.290983606557377</v>
      </c>
      <c r="Q73" s="233">
        <f>L73/K73</f>
        <v>0.81147540983606559</v>
      </c>
      <c r="R73" s="233">
        <f>L73/J73</f>
        <v>0.22758620689655173</v>
      </c>
      <c r="S73" s="234">
        <f>K73/J73</f>
        <v>0.28045977011494255</v>
      </c>
      <c r="T73" s="26">
        <v>1</v>
      </c>
      <c r="U73" s="26">
        <v>0</v>
      </c>
      <c r="V73" s="26">
        <f>SUM(T73,U73)</f>
        <v>1</v>
      </c>
      <c r="W73" s="26">
        <v>1</v>
      </c>
      <c r="X73" s="26">
        <v>0</v>
      </c>
      <c r="Y73" s="26">
        <v>1</v>
      </c>
    </row>
    <row r="74" spans="1:25" s="27" customFormat="1" ht="14" customHeight="1" x14ac:dyDescent="0.15">
      <c r="A74" s="90" t="s">
        <v>46</v>
      </c>
      <c r="B74" s="90" t="s">
        <v>212</v>
      </c>
      <c r="C74" s="91" t="s">
        <v>403</v>
      </c>
      <c r="D74" s="90" t="s">
        <v>82</v>
      </c>
      <c r="E74" s="93" t="s">
        <v>494</v>
      </c>
      <c r="F74" s="44" t="s">
        <v>580</v>
      </c>
      <c r="G74" s="88">
        <v>1287.4000000000001</v>
      </c>
      <c r="H74" s="26">
        <v>1000</v>
      </c>
      <c r="I74" s="26">
        <f>N74+M74</f>
        <v>1287.4000000000001</v>
      </c>
      <c r="J74" s="26">
        <f>M74+N74</f>
        <v>1287.4000000000001</v>
      </c>
      <c r="K74" s="26">
        <v>313.3</v>
      </c>
      <c r="L74" s="26">
        <v>256.85000000000002</v>
      </c>
      <c r="M74" s="26">
        <v>387.4</v>
      </c>
      <c r="N74" s="26">
        <v>900</v>
      </c>
      <c r="O74" s="232">
        <f>M74/L74</f>
        <v>1.5082733112711697</v>
      </c>
      <c r="P74" s="233">
        <f>M74/K74</f>
        <v>1.2365145228215766</v>
      </c>
      <c r="Q74" s="233">
        <f>L74/K74</f>
        <v>0.81982125758059377</v>
      </c>
      <c r="R74" s="233">
        <f>L74/J74</f>
        <v>0.19951064160323131</v>
      </c>
      <c r="S74" s="234">
        <f>K74/J74</f>
        <v>0.24335870747242502</v>
      </c>
      <c r="T74" s="26">
        <v>0</v>
      </c>
      <c r="U74" s="26">
        <v>1</v>
      </c>
      <c r="V74" s="26">
        <f>SUM(T74,U74)</f>
        <v>1</v>
      </c>
      <c r="W74" s="26">
        <v>1</v>
      </c>
      <c r="X74" s="26">
        <v>1</v>
      </c>
      <c r="Y74" s="26">
        <v>1</v>
      </c>
    </row>
    <row r="75" spans="1:25" s="27" customFormat="1" ht="14" customHeight="1" x14ac:dyDescent="0.15">
      <c r="A75" s="90" t="s">
        <v>46</v>
      </c>
      <c r="B75" s="90" t="s">
        <v>599</v>
      </c>
      <c r="C75" s="91" t="s">
        <v>403</v>
      </c>
      <c r="D75" s="90" t="s">
        <v>82</v>
      </c>
      <c r="E75" s="44" t="s">
        <v>203</v>
      </c>
      <c r="F75" s="44" t="s">
        <v>581</v>
      </c>
      <c r="G75" s="27">
        <v>2556</v>
      </c>
      <c r="H75" s="27">
        <v>3000</v>
      </c>
      <c r="I75" s="27">
        <v>2556</v>
      </c>
      <c r="J75" s="27">
        <v>2556</v>
      </c>
      <c r="K75" s="27">
        <v>764</v>
      </c>
      <c r="L75" s="27">
        <v>639</v>
      </c>
      <c r="M75" s="27">
        <v>952</v>
      </c>
      <c r="N75" s="27">
        <f>J75-M75</f>
        <v>1604</v>
      </c>
      <c r="O75" s="46">
        <f>M75/L75</f>
        <v>1.4898278560250391</v>
      </c>
      <c r="P75" s="47">
        <f>M75/K75</f>
        <v>1.2460732984293195</v>
      </c>
      <c r="Q75" s="47">
        <f>L75/K75</f>
        <v>0.83638743455497377</v>
      </c>
      <c r="R75" s="47">
        <f>L75/J75</f>
        <v>0.25</v>
      </c>
      <c r="S75" s="240">
        <f>K75/J75</f>
        <v>0.29890453834115804</v>
      </c>
      <c r="T75" s="26">
        <v>0</v>
      </c>
      <c r="U75" s="26">
        <v>1</v>
      </c>
      <c r="V75" s="26">
        <f>SUM(T75,U75)</f>
        <v>1</v>
      </c>
      <c r="W75" s="26">
        <v>1</v>
      </c>
      <c r="X75" s="26">
        <v>0</v>
      </c>
      <c r="Y75" s="26">
        <v>1</v>
      </c>
    </row>
    <row r="76" spans="1:25" s="27" customFormat="1" ht="14" customHeight="1" x14ac:dyDescent="0.15">
      <c r="A76" s="91" t="s">
        <v>46</v>
      </c>
      <c r="B76" s="94" t="s">
        <v>493</v>
      </c>
      <c r="C76" s="91" t="s">
        <v>401</v>
      </c>
      <c r="D76" s="91" t="s">
        <v>82</v>
      </c>
      <c r="E76" s="44" t="s">
        <v>203</v>
      </c>
      <c r="F76" s="44" t="s">
        <v>581</v>
      </c>
      <c r="G76" s="88">
        <v>2590</v>
      </c>
      <c r="H76" s="91">
        <v>2590</v>
      </c>
      <c r="I76" s="91">
        <v>2590</v>
      </c>
      <c r="J76" s="91">
        <v>2590</v>
      </c>
      <c r="K76" s="91">
        <v>601</v>
      </c>
      <c r="L76" s="91">
        <v>518</v>
      </c>
      <c r="M76" s="95">
        <v>820</v>
      </c>
      <c r="N76" s="91">
        <v>1770</v>
      </c>
      <c r="O76" s="232">
        <f>M76/L76</f>
        <v>1.583011583011583</v>
      </c>
      <c r="P76" s="233">
        <f>M76/K76</f>
        <v>1.3643926788685523</v>
      </c>
      <c r="Q76" s="233">
        <f>L76/K76</f>
        <v>0.86189683860232946</v>
      </c>
      <c r="R76" s="233">
        <f>L76/J76</f>
        <v>0.2</v>
      </c>
      <c r="S76" s="234">
        <f>K76/J76</f>
        <v>0.23204633204633204</v>
      </c>
      <c r="T76" s="26">
        <v>1</v>
      </c>
      <c r="U76" s="26">
        <v>0</v>
      </c>
      <c r="V76" s="26">
        <f>SUM(T76,U76)</f>
        <v>1</v>
      </c>
      <c r="W76" s="26">
        <v>1</v>
      </c>
      <c r="X76" s="26">
        <v>0</v>
      </c>
      <c r="Y76" s="26">
        <v>1</v>
      </c>
    </row>
    <row r="77" spans="1:25" s="27" customFormat="1" ht="14" customHeight="1" x14ac:dyDescent="0.15">
      <c r="A77" s="24" t="s">
        <v>77</v>
      </c>
      <c r="B77" s="90" t="s">
        <v>733</v>
      </c>
      <c r="C77" s="24" t="s">
        <v>403</v>
      </c>
      <c r="D77" s="44" t="s">
        <v>82</v>
      </c>
      <c r="E77" s="44" t="s">
        <v>293</v>
      </c>
      <c r="F77" s="44" t="s">
        <v>581</v>
      </c>
      <c r="G77" s="26">
        <v>3740</v>
      </c>
      <c r="H77" s="26">
        <v>3740</v>
      </c>
      <c r="I77" s="26">
        <v>3740</v>
      </c>
      <c r="J77" s="26">
        <v>3740</v>
      </c>
      <c r="K77" s="26">
        <v>1016</v>
      </c>
      <c r="L77" s="26">
        <v>907</v>
      </c>
      <c r="M77" s="26">
        <v>1215</v>
      </c>
      <c r="N77" s="26">
        <f>J77-M77</f>
        <v>2525</v>
      </c>
      <c r="O77" s="234">
        <f>M77/L77</f>
        <v>1.3395810363836824</v>
      </c>
      <c r="P77" s="234">
        <f>M77/K77</f>
        <v>1.1958661417322836</v>
      </c>
      <c r="Q77" s="234">
        <f>L77/K77</f>
        <v>0.89271653543307083</v>
      </c>
      <c r="R77" s="234">
        <f>L77/J77</f>
        <v>0.24251336898395723</v>
      </c>
      <c r="S77" s="234">
        <f>K77/J77</f>
        <v>0.2716577540106952</v>
      </c>
      <c r="T77" s="26">
        <v>1</v>
      </c>
      <c r="U77" s="24">
        <v>0</v>
      </c>
      <c r="V77" s="24">
        <f>SUM(T77:U77)</f>
        <v>1</v>
      </c>
      <c r="W77" s="26">
        <v>1</v>
      </c>
      <c r="X77" s="26">
        <v>0</v>
      </c>
      <c r="Y77" s="26">
        <v>1</v>
      </c>
    </row>
    <row r="78" spans="1:25" s="27" customFormat="1" ht="14" customHeight="1" x14ac:dyDescent="0.15">
      <c r="A78" s="24" t="s">
        <v>77</v>
      </c>
      <c r="B78" s="90" t="s">
        <v>670</v>
      </c>
      <c r="C78" s="24" t="s">
        <v>403</v>
      </c>
      <c r="D78" s="29" t="s">
        <v>83</v>
      </c>
      <c r="E78" s="29" t="s">
        <v>203</v>
      </c>
      <c r="F78" s="29" t="s">
        <v>581</v>
      </c>
      <c r="G78" s="24">
        <f>2213.6+2992.3</f>
        <v>5205.8999999999996</v>
      </c>
      <c r="H78" s="24">
        <v>5181.6000000000004</v>
      </c>
      <c r="I78" s="24">
        <f>2213.6+2992.3</f>
        <v>5205.8999999999996</v>
      </c>
      <c r="J78" s="24">
        <f>2213.6+2992.3</f>
        <v>5205.8999999999996</v>
      </c>
      <c r="K78" s="27">
        <v>1600.17</v>
      </c>
      <c r="L78" s="27">
        <v>1433.5</v>
      </c>
      <c r="M78" s="27">
        <v>1831.5</v>
      </c>
      <c r="N78" s="24">
        <f>2213.6+2992.3</f>
        <v>5205.8999999999996</v>
      </c>
      <c r="O78" s="234">
        <f>M78/L78</f>
        <v>1.2776421346355076</v>
      </c>
      <c r="P78" s="234">
        <f>M78/K78</f>
        <v>1.1445658898742008</v>
      </c>
      <c r="Q78" s="234">
        <f>L78/K78</f>
        <v>0.89584231675384485</v>
      </c>
      <c r="R78" s="234">
        <f>L78/J78</f>
        <v>0.27536064849497688</v>
      </c>
      <c r="S78" s="234">
        <f>K78/J78</f>
        <v>0.30737624618221637</v>
      </c>
      <c r="T78" s="26">
        <v>1</v>
      </c>
      <c r="U78" s="24">
        <v>0</v>
      </c>
      <c r="V78" s="24">
        <f>SUM(T78:U78)</f>
        <v>1</v>
      </c>
      <c r="W78" s="26">
        <v>1</v>
      </c>
      <c r="X78" s="26">
        <v>1</v>
      </c>
      <c r="Y78" s="26">
        <v>1</v>
      </c>
    </row>
    <row r="79" spans="1:25" s="27" customFormat="1" ht="14" customHeight="1" x14ac:dyDescent="0.15">
      <c r="A79" s="90" t="s">
        <v>46</v>
      </c>
      <c r="B79" s="90" t="s">
        <v>592</v>
      </c>
      <c r="C79" s="91" t="s">
        <v>403</v>
      </c>
      <c r="D79" s="90" t="s">
        <v>82</v>
      </c>
      <c r="E79" s="44" t="s">
        <v>203</v>
      </c>
      <c r="F79" s="44" t="s">
        <v>581</v>
      </c>
      <c r="G79" s="88">
        <v>2914</v>
      </c>
      <c r="H79" s="88">
        <v>2200</v>
      </c>
      <c r="I79" s="88">
        <v>2914</v>
      </c>
      <c r="J79" s="88">
        <v>2914</v>
      </c>
      <c r="K79" s="88">
        <v>755</v>
      </c>
      <c r="L79" s="88">
        <v>677</v>
      </c>
      <c r="M79" s="88">
        <v>982.9</v>
      </c>
      <c r="N79" s="88">
        <f>J79-M79</f>
        <v>1931.1</v>
      </c>
      <c r="O79" s="232">
        <f>M79/L79</f>
        <v>1.4518463810930575</v>
      </c>
      <c r="P79" s="233">
        <f>M79/K79</f>
        <v>1.3018543046357616</v>
      </c>
      <c r="Q79" s="233">
        <f>L79/K79</f>
        <v>0.89668874172185431</v>
      </c>
      <c r="R79" s="233">
        <f>L79/J79</f>
        <v>0.23232669869595057</v>
      </c>
      <c r="S79" s="234">
        <f>K79/J79</f>
        <v>0.25909402882635552</v>
      </c>
      <c r="T79" s="88">
        <v>0</v>
      </c>
      <c r="U79" s="88">
        <v>1</v>
      </c>
      <c r="V79" s="26">
        <f>SUM(T79,U79)</f>
        <v>1</v>
      </c>
      <c r="W79" s="26">
        <v>1</v>
      </c>
      <c r="X79" s="26">
        <v>1</v>
      </c>
      <c r="Y79" s="26">
        <v>1</v>
      </c>
    </row>
    <row r="80" spans="1:25" s="27" customFormat="1" ht="14" customHeight="1" x14ac:dyDescent="0.15">
      <c r="A80" s="24" t="s">
        <v>77</v>
      </c>
      <c r="B80" s="90" t="s">
        <v>139</v>
      </c>
      <c r="C80" s="24" t="s">
        <v>403</v>
      </c>
      <c r="D80" s="44" t="s">
        <v>82</v>
      </c>
      <c r="E80" s="44" t="s">
        <v>203</v>
      </c>
      <c r="F80" s="44" t="s">
        <v>581</v>
      </c>
      <c r="G80" s="26">
        <v>4870</v>
      </c>
      <c r="H80" s="26">
        <v>4870</v>
      </c>
      <c r="I80" s="26">
        <v>4870</v>
      </c>
      <c r="J80" s="26">
        <v>4834.8</v>
      </c>
      <c r="K80" s="26">
        <v>1243.5999999999999</v>
      </c>
      <c r="L80" s="26">
        <v>1122.4000000000001</v>
      </c>
      <c r="M80" s="26">
        <v>1526.2</v>
      </c>
      <c r="N80" s="26">
        <f>J80-M80</f>
        <v>3308.6000000000004</v>
      </c>
      <c r="O80" s="234">
        <f>M80/L80</f>
        <v>1.3597647897362792</v>
      </c>
      <c r="P80" s="234">
        <f>M80/K80</f>
        <v>1.2272434866516566</v>
      </c>
      <c r="Q80" s="234">
        <f>L80/K80</f>
        <v>0.90254100997105191</v>
      </c>
      <c r="R80" s="234">
        <f>L80/J80</f>
        <v>0.23215024406387028</v>
      </c>
      <c r="S80" s="234">
        <f>K80/J80</f>
        <v>0.25721849921403156</v>
      </c>
      <c r="T80" s="26">
        <v>1</v>
      </c>
      <c r="U80" s="24">
        <v>0</v>
      </c>
      <c r="V80" s="24">
        <f>SUM(T80:U80)</f>
        <v>1</v>
      </c>
      <c r="W80" s="26">
        <v>1</v>
      </c>
      <c r="X80" s="26">
        <v>1</v>
      </c>
      <c r="Y80" s="26">
        <v>1</v>
      </c>
    </row>
    <row r="81" spans="1:25" s="27" customFormat="1" ht="14" customHeight="1" x14ac:dyDescent="0.15">
      <c r="A81" s="24" t="s">
        <v>77</v>
      </c>
      <c r="B81" s="90" t="s">
        <v>669</v>
      </c>
      <c r="C81" s="24" t="s">
        <v>403</v>
      </c>
      <c r="D81" s="29" t="s">
        <v>148</v>
      </c>
      <c r="E81" s="44" t="s">
        <v>494</v>
      </c>
      <c r="F81" s="29" t="s">
        <v>580</v>
      </c>
      <c r="G81" s="24">
        <v>875</v>
      </c>
      <c r="H81" s="29"/>
      <c r="I81" s="24">
        <v>875</v>
      </c>
      <c r="J81" s="24">
        <v>875</v>
      </c>
      <c r="K81" s="27">
        <v>236</v>
      </c>
      <c r="L81" s="27">
        <v>214</v>
      </c>
      <c r="M81" s="27">
        <v>294.2</v>
      </c>
      <c r="N81" s="24">
        <f>J81-M81</f>
        <v>580.79999999999995</v>
      </c>
      <c r="O81" s="234">
        <f>M81/L81</f>
        <v>1.374766355140187</v>
      </c>
      <c r="P81" s="234">
        <f>M81/K81</f>
        <v>1.2466101694915255</v>
      </c>
      <c r="Q81" s="234">
        <f>L81/K81</f>
        <v>0.90677966101694918</v>
      </c>
      <c r="R81" s="234">
        <f>L81/J81</f>
        <v>0.24457142857142858</v>
      </c>
      <c r="S81" s="234">
        <f>K81/J81</f>
        <v>0.26971428571428574</v>
      </c>
      <c r="T81" s="26">
        <v>0</v>
      </c>
      <c r="U81" s="24">
        <v>1</v>
      </c>
      <c r="V81" s="24">
        <f>SUM(T81:U81)</f>
        <v>1</v>
      </c>
      <c r="W81" s="26">
        <v>1</v>
      </c>
      <c r="X81" s="26">
        <v>1</v>
      </c>
      <c r="Y81" s="26">
        <v>1</v>
      </c>
    </row>
    <row r="82" spans="1:25" s="27" customFormat="1" ht="14" customHeight="1" x14ac:dyDescent="0.2">
      <c r="A82" s="24" t="s">
        <v>77</v>
      </c>
      <c r="B82" s="90" t="s">
        <v>665</v>
      </c>
      <c r="C82" s="24" t="s">
        <v>403</v>
      </c>
      <c r="D82" s="44" t="s">
        <v>82</v>
      </c>
      <c r="E82" s="44" t="s">
        <v>374</v>
      </c>
      <c r="F82" s="44" t="s">
        <v>580</v>
      </c>
      <c r="G82" s="87">
        <v>1342.6</v>
      </c>
      <c r="H82" s="44"/>
      <c r="I82" s="87">
        <v>1342.6</v>
      </c>
      <c r="J82" s="87">
        <v>1342.6</v>
      </c>
      <c r="K82" s="87">
        <v>354.79</v>
      </c>
      <c r="L82" s="87">
        <v>322.77</v>
      </c>
      <c r="M82" s="87">
        <v>441.39</v>
      </c>
      <c r="N82" s="87">
        <f>J82-M82</f>
        <v>901.20999999999992</v>
      </c>
      <c r="O82" s="234">
        <f>M82/L82</f>
        <v>1.3675062738172692</v>
      </c>
      <c r="P82" s="234">
        <f>M82/K82</f>
        <v>1.24408805208715</v>
      </c>
      <c r="Q82" s="234">
        <f>L82/K82</f>
        <v>0.90974942923983193</v>
      </c>
      <c r="R82" s="234">
        <f>L82/J82</f>
        <v>0.24040667361835244</v>
      </c>
      <c r="S82" s="234">
        <f>K82/J82</f>
        <v>0.26425592134664089</v>
      </c>
      <c r="T82" s="26">
        <v>0</v>
      </c>
      <c r="U82" s="24">
        <v>1</v>
      </c>
      <c r="V82" s="24">
        <f>SUM(T82:U82)</f>
        <v>1</v>
      </c>
      <c r="W82" s="26">
        <v>1</v>
      </c>
      <c r="X82" s="26">
        <v>0</v>
      </c>
      <c r="Y82" s="26">
        <v>1</v>
      </c>
    </row>
    <row r="83" spans="1:25" s="27" customFormat="1" ht="14" customHeight="1" x14ac:dyDescent="0.15">
      <c r="A83" s="24" t="s">
        <v>77</v>
      </c>
      <c r="B83" s="90" t="s">
        <v>598</v>
      </c>
      <c r="C83" s="24" t="s">
        <v>403</v>
      </c>
      <c r="D83" s="29" t="s">
        <v>82</v>
      </c>
      <c r="E83" s="44" t="s">
        <v>494</v>
      </c>
      <c r="F83" s="29" t="s">
        <v>580</v>
      </c>
      <c r="G83" s="24">
        <v>1217</v>
      </c>
      <c r="H83" s="29"/>
      <c r="I83" s="24">
        <v>1217</v>
      </c>
      <c r="J83" s="24">
        <f>M83+N83</f>
        <v>1217.3</v>
      </c>
      <c r="K83" s="27">
        <v>323</v>
      </c>
      <c r="L83" s="27">
        <v>295</v>
      </c>
      <c r="M83" s="27">
        <v>395</v>
      </c>
      <c r="N83" s="24">
        <f>215+297+310.3</f>
        <v>822.3</v>
      </c>
      <c r="O83" s="234">
        <f>M83/L83</f>
        <v>1.3389830508474576</v>
      </c>
      <c r="P83" s="234">
        <f>M83/K83</f>
        <v>1.2229102167182662</v>
      </c>
      <c r="Q83" s="234">
        <f>L83/K83</f>
        <v>0.91331269349845201</v>
      </c>
      <c r="R83" s="234">
        <f>L83/J83</f>
        <v>0.24233960404173172</v>
      </c>
      <c r="S83" s="234">
        <f>K83/J83</f>
        <v>0.26534132917111641</v>
      </c>
      <c r="T83" s="26">
        <v>0</v>
      </c>
      <c r="U83" s="24">
        <v>1</v>
      </c>
      <c r="V83" s="24">
        <f>SUM(T83:U83)</f>
        <v>1</v>
      </c>
      <c r="W83" s="26">
        <v>1</v>
      </c>
      <c r="X83" s="26">
        <v>1</v>
      </c>
      <c r="Y83" s="26">
        <v>1</v>
      </c>
    </row>
    <row r="84" spans="1:25" s="27" customFormat="1" ht="14" customHeight="1" x14ac:dyDescent="0.15">
      <c r="A84" s="24" t="s">
        <v>77</v>
      </c>
      <c r="B84" s="24" t="s">
        <v>806</v>
      </c>
      <c r="C84" s="24" t="s">
        <v>401</v>
      </c>
      <c r="D84" s="29" t="s">
        <v>82</v>
      </c>
      <c r="E84" s="44" t="s">
        <v>374</v>
      </c>
      <c r="F84" s="44" t="s">
        <v>580</v>
      </c>
      <c r="G84" s="24">
        <v>2870</v>
      </c>
      <c r="H84" s="24">
        <v>2870</v>
      </c>
      <c r="I84" s="24">
        <v>2870</v>
      </c>
      <c r="J84" s="24"/>
      <c r="K84" s="24">
        <v>731</v>
      </c>
      <c r="L84" s="24">
        <v>671</v>
      </c>
      <c r="M84" s="24"/>
      <c r="N84" s="24"/>
      <c r="O84" s="234"/>
      <c r="P84" s="234"/>
      <c r="Q84" s="234">
        <f>L84/K84</f>
        <v>0.91792065663474687</v>
      </c>
      <c r="R84" s="234">
        <f>L84/I84</f>
        <v>0.23379790940766551</v>
      </c>
      <c r="S84" s="234"/>
      <c r="T84" s="26">
        <v>1</v>
      </c>
      <c r="U84" s="24">
        <v>0</v>
      </c>
      <c r="V84" s="24">
        <v>1</v>
      </c>
      <c r="W84" s="26">
        <v>1</v>
      </c>
      <c r="X84" s="26">
        <v>0</v>
      </c>
      <c r="Y84" s="26">
        <v>1</v>
      </c>
    </row>
    <row r="85" spans="1:25" s="27" customFormat="1" x14ac:dyDescent="0.15">
      <c r="A85" s="24" t="s">
        <v>77</v>
      </c>
      <c r="B85" s="90" t="s">
        <v>369</v>
      </c>
      <c r="C85" s="24" t="s">
        <v>403</v>
      </c>
      <c r="D85" s="44" t="s">
        <v>148</v>
      </c>
      <c r="E85" s="44" t="s">
        <v>374</v>
      </c>
      <c r="F85" s="44" t="s">
        <v>580</v>
      </c>
      <c r="G85" s="27">
        <v>2524.9700000000003</v>
      </c>
      <c r="H85" s="26">
        <v>2500</v>
      </c>
      <c r="I85" s="27">
        <v>2524.9700000000003</v>
      </c>
      <c r="J85" s="27">
        <f>N85+M85</f>
        <v>2524.9700000000003</v>
      </c>
      <c r="K85" s="27">
        <v>663.72</v>
      </c>
      <c r="L85" s="27">
        <v>609.66</v>
      </c>
      <c r="M85" s="27">
        <v>810.17</v>
      </c>
      <c r="N85" s="27">
        <f>563.98+793.92+356.9</f>
        <v>1714.8000000000002</v>
      </c>
      <c r="O85" s="234">
        <f>M85/L85</f>
        <v>1.328888232785487</v>
      </c>
      <c r="P85" s="234">
        <f>M85/K85</f>
        <v>1.2206502742120171</v>
      </c>
      <c r="Q85" s="234">
        <f>L85/K85</f>
        <v>0.91854999096004331</v>
      </c>
      <c r="R85" s="234">
        <f>L85/J85</f>
        <v>0.24145237369156858</v>
      </c>
      <c r="S85" s="234">
        <f>K85/J85</f>
        <v>0.26286252905975122</v>
      </c>
      <c r="T85" s="26">
        <v>0</v>
      </c>
      <c r="U85" s="24">
        <v>1</v>
      </c>
      <c r="V85" s="24">
        <f>SUM(T85:U85)</f>
        <v>1</v>
      </c>
      <c r="W85" s="26">
        <v>1</v>
      </c>
      <c r="X85" s="26">
        <v>1</v>
      </c>
      <c r="Y85" s="26">
        <v>1</v>
      </c>
    </row>
    <row r="86" spans="1:25" s="27" customFormat="1" ht="14" customHeight="1" x14ac:dyDescent="0.15">
      <c r="A86" s="24" t="s">
        <v>77</v>
      </c>
      <c r="B86" s="90" t="s">
        <v>115</v>
      </c>
      <c r="C86" s="24" t="s">
        <v>403</v>
      </c>
      <c r="D86" s="44" t="s">
        <v>83</v>
      </c>
      <c r="E86" s="44" t="s">
        <v>203</v>
      </c>
      <c r="F86" s="44" t="s">
        <v>581</v>
      </c>
      <c r="G86" s="27">
        <f>1586.3+3352.01</f>
        <v>4938.3100000000004</v>
      </c>
      <c r="H86" s="26">
        <v>4700</v>
      </c>
      <c r="I86" s="27">
        <v>4938.3100000000004</v>
      </c>
      <c r="J86" s="27">
        <v>4938.3100000000004</v>
      </c>
      <c r="K86" s="27">
        <v>1301.8</v>
      </c>
      <c r="L86" s="27">
        <v>1200.2</v>
      </c>
      <c r="M86" s="27">
        <v>1586.3</v>
      </c>
      <c r="N86" s="27">
        <f>J86-M86</f>
        <v>3352.01</v>
      </c>
      <c r="O86" s="234">
        <f>M86/L86</f>
        <v>1.3216963839360105</v>
      </c>
      <c r="P86" s="234">
        <f>M86/K86</f>
        <v>1.2185435550775849</v>
      </c>
      <c r="Q86" s="234">
        <f>L86/K86</f>
        <v>0.92195421723767101</v>
      </c>
      <c r="R86" s="234">
        <f>L86/J86</f>
        <v>0.24303861037480431</v>
      </c>
      <c r="S86" s="234">
        <f>K86/J86</f>
        <v>0.26361245041319803</v>
      </c>
      <c r="T86" s="26">
        <v>0</v>
      </c>
      <c r="U86" s="24">
        <v>1</v>
      </c>
      <c r="V86" s="24">
        <f>SUM(T86:U86)</f>
        <v>1</v>
      </c>
      <c r="W86" s="26">
        <v>1</v>
      </c>
      <c r="X86" s="26">
        <v>0</v>
      </c>
      <c r="Y86" s="26">
        <v>1</v>
      </c>
    </row>
    <row r="87" spans="1:25" s="27" customFormat="1" ht="14" customHeight="1" x14ac:dyDescent="0.15">
      <c r="A87" s="24" t="s">
        <v>77</v>
      </c>
      <c r="B87" s="90" t="s">
        <v>382</v>
      </c>
      <c r="C87" s="24" t="s">
        <v>403</v>
      </c>
      <c r="D87" s="44" t="s">
        <v>148</v>
      </c>
      <c r="E87" s="44" t="s">
        <v>494</v>
      </c>
      <c r="F87" s="44" t="s">
        <v>580</v>
      </c>
      <c r="G87" s="27">
        <v>965.43</v>
      </c>
      <c r="H87" s="26">
        <v>1000</v>
      </c>
      <c r="I87" s="27">
        <v>965.43</v>
      </c>
      <c r="J87" s="27">
        <f>M87+N87</f>
        <v>965.43000000000006</v>
      </c>
      <c r="K87" s="27">
        <v>305.83</v>
      </c>
      <c r="L87" s="27">
        <v>282.45999999999998</v>
      </c>
      <c r="M87" s="27">
        <v>375.45</v>
      </c>
      <c r="N87" s="27">
        <f>346.5+243.48</f>
        <v>589.98</v>
      </c>
      <c r="O87" s="234">
        <f>M87/L87</f>
        <v>1.3292147560716563</v>
      </c>
      <c r="P87" s="234">
        <f>M87/K87</f>
        <v>1.2276428080960011</v>
      </c>
      <c r="Q87" s="234">
        <f>L87/K87</f>
        <v>0.92358499820161521</v>
      </c>
      <c r="R87" s="234">
        <f>L87/J87</f>
        <v>0.29257429332007495</v>
      </c>
      <c r="S87" s="234">
        <f>K87/J87</f>
        <v>0.31678112343722481</v>
      </c>
      <c r="T87" s="26">
        <v>0</v>
      </c>
      <c r="U87" s="24">
        <v>1</v>
      </c>
      <c r="V87" s="24">
        <f>SUM(T87:U87)</f>
        <v>1</v>
      </c>
      <c r="W87" s="26">
        <v>1</v>
      </c>
      <c r="X87" s="26">
        <v>1</v>
      </c>
      <c r="Y87" s="26">
        <v>1</v>
      </c>
    </row>
    <row r="88" spans="1:25" s="27" customFormat="1" ht="14" customHeight="1" x14ac:dyDescent="0.2">
      <c r="A88" s="202" t="s">
        <v>465</v>
      </c>
      <c r="B88" s="87" t="s">
        <v>664</v>
      </c>
      <c r="C88" s="191" t="s">
        <v>403</v>
      </c>
      <c r="D88" s="195" t="s">
        <v>82</v>
      </c>
      <c r="E88" s="195" t="s">
        <v>374</v>
      </c>
      <c r="F88" s="195" t="s">
        <v>580</v>
      </c>
      <c r="G88" s="190">
        <v>1730.8</v>
      </c>
      <c r="H88" s="190">
        <v>1800</v>
      </c>
      <c r="I88" s="190">
        <v>1730.8</v>
      </c>
      <c r="J88" s="190">
        <v>1730.8</v>
      </c>
      <c r="K88" s="190">
        <v>398.22</v>
      </c>
      <c r="L88" s="190">
        <v>367.94</v>
      </c>
      <c r="M88" s="87">
        <v>500.12</v>
      </c>
      <c r="N88" s="197">
        <f>J88-M88</f>
        <v>1230.6799999999998</v>
      </c>
      <c r="O88" s="236">
        <f>M88/L88</f>
        <v>1.3592433548948197</v>
      </c>
      <c r="P88" s="237">
        <f>M88/K88</f>
        <v>1.2558887047360754</v>
      </c>
      <c r="Q88" s="237">
        <f>L88/K88</f>
        <v>0.92396162925016312</v>
      </c>
      <c r="R88" s="237">
        <f>L88/J88</f>
        <v>0.21258377628842154</v>
      </c>
      <c r="S88" s="234">
        <f>K88/J88</f>
        <v>0.23007857638086437</v>
      </c>
      <c r="T88" s="198">
        <v>0</v>
      </c>
      <c r="U88" s="198">
        <v>1</v>
      </c>
      <c r="V88" s="198">
        <v>1</v>
      </c>
      <c r="W88" s="198">
        <v>1</v>
      </c>
      <c r="X88" s="199">
        <v>0</v>
      </c>
      <c r="Y88" s="198">
        <v>1</v>
      </c>
    </row>
    <row r="89" spans="1:25" s="27" customFormat="1" x14ac:dyDescent="0.15">
      <c r="A89" s="24" t="s">
        <v>77</v>
      </c>
      <c r="B89" s="90" t="s">
        <v>127</v>
      </c>
      <c r="C89" s="24" t="s">
        <v>403</v>
      </c>
      <c r="D89" s="44" t="s">
        <v>82</v>
      </c>
      <c r="E89" s="44" t="s">
        <v>203</v>
      </c>
      <c r="F89" s="44" t="s">
        <v>581</v>
      </c>
      <c r="G89" s="27">
        <v>4745.58</v>
      </c>
      <c r="H89" s="26">
        <v>4724</v>
      </c>
      <c r="I89" s="27">
        <v>4745.58</v>
      </c>
      <c r="J89" s="27">
        <f>M89+N89</f>
        <v>4745.58</v>
      </c>
      <c r="K89" s="27">
        <v>1330.47</v>
      </c>
      <c r="L89" s="27">
        <v>1229.3699999999999</v>
      </c>
      <c r="M89" s="27">
        <v>1615.8</v>
      </c>
      <c r="N89" s="27">
        <v>3129.78</v>
      </c>
      <c r="O89" s="234">
        <f>M89/L89</f>
        <v>1.3143317308865516</v>
      </c>
      <c r="P89" s="234">
        <f>M89/K89</f>
        <v>1.2144580486594962</v>
      </c>
      <c r="Q89" s="234">
        <f>L89/K89</f>
        <v>0.92401181537351451</v>
      </c>
      <c r="R89" s="234">
        <f>L89/J89</f>
        <v>0.25905579507668186</v>
      </c>
      <c r="S89" s="234">
        <f>K89/J89</f>
        <v>0.28035982956772409</v>
      </c>
      <c r="T89" s="26">
        <v>1</v>
      </c>
      <c r="U89" s="24">
        <v>0</v>
      </c>
      <c r="V89" s="24">
        <v>1</v>
      </c>
      <c r="W89" s="26">
        <v>1</v>
      </c>
      <c r="X89" s="26">
        <v>0</v>
      </c>
      <c r="Y89" s="26">
        <v>1</v>
      </c>
    </row>
    <row r="90" spans="1:25" s="27" customFormat="1" x14ac:dyDescent="0.15">
      <c r="A90" s="24" t="s">
        <v>77</v>
      </c>
      <c r="B90" s="90" t="s">
        <v>90</v>
      </c>
      <c r="C90" s="24" t="s">
        <v>403</v>
      </c>
      <c r="D90" s="44" t="s">
        <v>82</v>
      </c>
      <c r="E90" s="44" t="s">
        <v>203</v>
      </c>
      <c r="F90" s="44" t="s">
        <v>581</v>
      </c>
      <c r="G90" s="26">
        <v>5080</v>
      </c>
      <c r="H90" s="26">
        <v>5080</v>
      </c>
      <c r="I90" s="27">
        <v>5080</v>
      </c>
      <c r="J90" s="27">
        <v>5080</v>
      </c>
      <c r="K90" s="27">
        <v>1379.78</v>
      </c>
      <c r="L90" s="27">
        <v>1275.5</v>
      </c>
      <c r="M90" s="27">
        <f>319.75+1439.2</f>
        <v>1758.95</v>
      </c>
      <c r="N90" s="27">
        <f>J90-M90</f>
        <v>3321.05</v>
      </c>
      <c r="O90" s="234">
        <f>M90/L90</f>
        <v>1.3790278322226579</v>
      </c>
      <c r="P90" s="234">
        <f>M90/K90</f>
        <v>1.2748046790067982</v>
      </c>
      <c r="Q90" s="234">
        <f>L90/K90</f>
        <v>0.92442273405905295</v>
      </c>
      <c r="R90" s="234">
        <f>L90/J90</f>
        <v>0.25108267716535432</v>
      </c>
      <c r="S90" s="234">
        <f>K90/J90</f>
        <v>0.27161023622047242</v>
      </c>
      <c r="T90" s="26">
        <v>1</v>
      </c>
      <c r="U90" s="24">
        <v>0</v>
      </c>
      <c r="V90" s="24">
        <f>SUM(T90:U90)</f>
        <v>1</v>
      </c>
      <c r="W90" s="26">
        <v>1</v>
      </c>
      <c r="X90" s="26">
        <v>0</v>
      </c>
      <c r="Y90" s="26">
        <v>1</v>
      </c>
    </row>
    <row r="91" spans="1:25" s="27" customFormat="1" x14ac:dyDescent="0.15">
      <c r="A91" s="24" t="s">
        <v>77</v>
      </c>
      <c r="B91" s="90" t="s">
        <v>588</v>
      </c>
      <c r="C91" s="24" t="s">
        <v>403</v>
      </c>
      <c r="D91" s="44" t="s">
        <v>148</v>
      </c>
      <c r="E91" s="44" t="s">
        <v>374</v>
      </c>
      <c r="F91" s="30" t="s">
        <v>580</v>
      </c>
      <c r="G91" s="24">
        <v>2740.86</v>
      </c>
      <c r="H91" s="26">
        <v>3000</v>
      </c>
      <c r="I91" s="24">
        <v>2740.86</v>
      </c>
      <c r="J91" s="24">
        <f>M91+N91</f>
        <v>2740.86</v>
      </c>
      <c r="K91" s="27">
        <v>787.88</v>
      </c>
      <c r="L91" s="27">
        <v>728.36</v>
      </c>
      <c r="M91" s="27">
        <v>953.29</v>
      </c>
      <c r="N91" s="27">
        <f>835.59+585.04+366.94</f>
        <v>1787.5700000000002</v>
      </c>
      <c r="O91" s="234">
        <f>M91/L91</f>
        <v>1.3088170684826184</v>
      </c>
      <c r="P91" s="234">
        <f>M91/K91</f>
        <v>1.2099431385490176</v>
      </c>
      <c r="Q91" s="234">
        <f>L91/K91</f>
        <v>0.92445550083769101</v>
      </c>
      <c r="R91" s="234">
        <f>L91/J91</f>
        <v>0.26574140963055393</v>
      </c>
      <c r="S91" s="234">
        <f>K91/J91</f>
        <v>0.28745722145603936</v>
      </c>
      <c r="T91" s="26">
        <v>0</v>
      </c>
      <c r="U91" s="24">
        <v>1</v>
      </c>
      <c r="V91" s="24">
        <f>SUM(T91:U91)</f>
        <v>1</v>
      </c>
      <c r="W91" s="24">
        <v>1</v>
      </c>
      <c r="X91" s="24">
        <v>0</v>
      </c>
      <c r="Y91" s="26">
        <v>1</v>
      </c>
    </row>
    <row r="92" spans="1:25" s="27" customFormat="1" x14ac:dyDescent="0.15">
      <c r="A92" s="24" t="s">
        <v>77</v>
      </c>
      <c r="B92" s="24" t="s">
        <v>486</v>
      </c>
      <c r="C92" s="24" t="s">
        <v>403</v>
      </c>
      <c r="D92" s="29" t="s">
        <v>82</v>
      </c>
      <c r="E92" s="44" t="s">
        <v>203</v>
      </c>
      <c r="F92" s="44" t="s">
        <v>581</v>
      </c>
      <c r="G92" s="24">
        <v>4927.5</v>
      </c>
      <c r="H92" s="24">
        <v>4927</v>
      </c>
      <c r="I92" s="24">
        <v>4927</v>
      </c>
      <c r="J92" s="24">
        <v>4927</v>
      </c>
      <c r="K92" s="24">
        <v>1276</v>
      </c>
      <c r="L92" s="24">
        <v>1180</v>
      </c>
      <c r="M92" s="24">
        <v>1607</v>
      </c>
      <c r="N92" s="24">
        <f>J92-M92</f>
        <v>3320</v>
      </c>
      <c r="O92" s="234">
        <f>M92/L92</f>
        <v>1.361864406779661</v>
      </c>
      <c r="P92" s="234">
        <f>M92/K92</f>
        <v>1.2594043887147335</v>
      </c>
      <c r="Q92" s="234">
        <f>L92/K92</f>
        <v>0.92476489028213171</v>
      </c>
      <c r="R92" s="234">
        <f>L92/J92</f>
        <v>0.23949665110614979</v>
      </c>
      <c r="S92" s="234">
        <f>K92/J92</f>
        <v>0.25898112441648063</v>
      </c>
      <c r="T92" s="26">
        <v>1</v>
      </c>
      <c r="U92" s="24">
        <v>0</v>
      </c>
      <c r="V92" s="24">
        <f>SUM(T92:U92)</f>
        <v>1</v>
      </c>
      <c r="W92" s="26">
        <v>1</v>
      </c>
      <c r="X92" s="26">
        <v>1</v>
      </c>
      <c r="Y92" s="26">
        <v>1</v>
      </c>
    </row>
    <row r="93" spans="1:25" s="27" customFormat="1" x14ac:dyDescent="0.15">
      <c r="A93" s="2" t="s">
        <v>16</v>
      </c>
      <c r="B93" s="1" t="s">
        <v>714</v>
      </c>
      <c r="C93" s="26" t="s">
        <v>458</v>
      </c>
      <c r="D93" s="88" t="s">
        <v>82</v>
      </c>
      <c r="E93" s="44" t="s">
        <v>293</v>
      </c>
      <c r="F93" s="44" t="s">
        <v>580</v>
      </c>
      <c r="G93" s="24">
        <v>1890</v>
      </c>
      <c r="H93" s="24">
        <v>1890</v>
      </c>
      <c r="I93" s="24">
        <v>1890</v>
      </c>
      <c r="J93" s="24">
        <v>1890</v>
      </c>
      <c r="K93" s="24">
        <v>351</v>
      </c>
      <c r="L93" s="24">
        <v>325</v>
      </c>
      <c r="M93" s="24">
        <v>445</v>
      </c>
      <c r="N93" s="24">
        <f>J93-M93</f>
        <v>1445</v>
      </c>
      <c r="O93" s="232">
        <f>M93/L93</f>
        <v>1.3692307692307693</v>
      </c>
      <c r="P93" s="234">
        <f>M93/K93</f>
        <v>1.2678062678062678</v>
      </c>
      <c r="Q93" s="233">
        <f>L93/K93</f>
        <v>0.92592592592592593</v>
      </c>
      <c r="R93" s="233">
        <f>L93/J93</f>
        <v>0.17195767195767195</v>
      </c>
      <c r="S93" s="234">
        <f>K93/J93</f>
        <v>0.18571428571428572</v>
      </c>
      <c r="T93" s="24">
        <v>1</v>
      </c>
      <c r="U93" s="24">
        <v>0</v>
      </c>
      <c r="V93" s="24">
        <v>1</v>
      </c>
      <c r="W93" s="24">
        <v>1</v>
      </c>
      <c r="X93" s="24">
        <v>0</v>
      </c>
      <c r="Y93" s="24">
        <v>1</v>
      </c>
    </row>
    <row r="94" spans="1:25" s="27" customFormat="1" ht="14" x14ac:dyDescent="0.2">
      <c r="A94" s="202" t="s">
        <v>465</v>
      </c>
      <c r="B94" s="24" t="s">
        <v>859</v>
      </c>
      <c r="C94" s="224" t="s">
        <v>824</v>
      </c>
      <c r="D94" s="195" t="s">
        <v>148</v>
      </c>
      <c r="E94" s="195" t="s">
        <v>494</v>
      </c>
      <c r="F94" s="195" t="s">
        <v>580</v>
      </c>
      <c r="G94" s="238">
        <v>1135</v>
      </c>
      <c r="H94" s="238">
        <v>1135</v>
      </c>
      <c r="I94" s="238">
        <v>1135</v>
      </c>
      <c r="J94" s="238">
        <v>1135</v>
      </c>
      <c r="K94" s="238">
        <v>275</v>
      </c>
      <c r="L94" s="238">
        <v>255</v>
      </c>
      <c r="M94" s="87"/>
      <c r="N94" s="87"/>
      <c r="O94" s="237"/>
      <c r="P94" s="237"/>
      <c r="Q94" s="237">
        <f>L94/K94</f>
        <v>0.92727272727272725</v>
      </c>
      <c r="R94" s="237">
        <f>L94/J94</f>
        <v>0.22466960352422907</v>
      </c>
      <c r="S94" s="234">
        <f>K94/J94</f>
        <v>0.24229074889867841</v>
      </c>
      <c r="T94" s="87">
        <v>1</v>
      </c>
      <c r="U94" s="87">
        <v>0</v>
      </c>
      <c r="V94" s="87">
        <v>1</v>
      </c>
      <c r="W94" s="87">
        <v>1</v>
      </c>
      <c r="X94" s="87">
        <v>0</v>
      </c>
      <c r="Y94" s="87">
        <v>1</v>
      </c>
    </row>
    <row r="95" spans="1:25" s="27" customFormat="1" ht="14" customHeight="1" x14ac:dyDescent="0.15">
      <c r="A95" s="90" t="s">
        <v>16</v>
      </c>
      <c r="B95" s="90" t="s">
        <v>808</v>
      </c>
      <c r="C95" s="24" t="s">
        <v>824</v>
      </c>
      <c r="D95" s="3" t="s">
        <v>148</v>
      </c>
      <c r="E95" s="30" t="s">
        <v>374</v>
      </c>
      <c r="F95" s="44" t="s">
        <v>580</v>
      </c>
      <c r="G95" s="88">
        <v>1450</v>
      </c>
      <c r="H95" s="88">
        <v>1450</v>
      </c>
      <c r="I95" s="88">
        <v>1450</v>
      </c>
      <c r="J95" s="88">
        <v>1450</v>
      </c>
      <c r="K95" s="88">
        <v>294</v>
      </c>
      <c r="L95" s="88">
        <v>273</v>
      </c>
      <c r="M95" s="24"/>
      <c r="N95" s="24"/>
      <c r="O95" s="234"/>
      <c r="P95" s="234"/>
      <c r="Q95" s="234">
        <f>L95/K95</f>
        <v>0.9285714285714286</v>
      </c>
      <c r="R95" s="234">
        <f>L95/J95</f>
        <v>0.18827586206896552</v>
      </c>
      <c r="S95" s="234">
        <f>K95/J95</f>
        <v>0.20275862068965517</v>
      </c>
      <c r="T95" s="24">
        <v>1</v>
      </c>
      <c r="U95" s="24">
        <v>0</v>
      </c>
      <c r="V95" s="26">
        <f>SUM(T95,U95)</f>
        <v>1</v>
      </c>
      <c r="W95" s="24">
        <v>1</v>
      </c>
      <c r="X95" s="24">
        <v>0</v>
      </c>
      <c r="Y95" s="24">
        <v>1</v>
      </c>
    </row>
    <row r="96" spans="1:25" s="27" customFormat="1" ht="14" customHeight="1" x14ac:dyDescent="0.15">
      <c r="A96" s="90" t="s">
        <v>16</v>
      </c>
      <c r="B96" s="24" t="s">
        <v>816</v>
      </c>
      <c r="C96" s="24" t="s">
        <v>824</v>
      </c>
      <c r="D96" s="138" t="s">
        <v>148</v>
      </c>
      <c r="E96" s="30" t="s">
        <v>374</v>
      </c>
      <c r="F96" s="44" t="s">
        <v>580</v>
      </c>
      <c r="G96" s="24">
        <v>1476</v>
      </c>
      <c r="H96" s="24">
        <v>1476</v>
      </c>
      <c r="I96" s="24">
        <v>1476</v>
      </c>
      <c r="J96" s="24">
        <v>1476</v>
      </c>
      <c r="K96" s="24">
        <v>310</v>
      </c>
      <c r="L96" s="24">
        <v>288</v>
      </c>
      <c r="M96" s="24"/>
      <c r="N96" s="24"/>
      <c r="O96" s="234"/>
      <c r="P96" s="234"/>
      <c r="Q96" s="234">
        <f>L96/K96</f>
        <v>0.92903225806451617</v>
      </c>
      <c r="R96" s="234">
        <f>L96/J96</f>
        <v>0.1951219512195122</v>
      </c>
      <c r="S96" s="234">
        <f>K96/J96</f>
        <v>0.21002710027100271</v>
      </c>
      <c r="T96" s="24">
        <v>1</v>
      </c>
      <c r="U96" s="24">
        <v>0</v>
      </c>
      <c r="V96" s="26">
        <f>SUM(T96,U96)</f>
        <v>1</v>
      </c>
      <c r="W96" s="24">
        <v>1</v>
      </c>
      <c r="X96" s="24">
        <v>0</v>
      </c>
      <c r="Y96" s="24">
        <v>1</v>
      </c>
    </row>
    <row r="97" spans="1:25" s="27" customFormat="1" ht="14" customHeight="1" x14ac:dyDescent="0.2">
      <c r="A97" s="202" t="s">
        <v>465</v>
      </c>
      <c r="B97" s="87" t="s">
        <v>365</v>
      </c>
      <c r="C97" s="191" t="s">
        <v>403</v>
      </c>
      <c r="D97" s="195" t="s">
        <v>148</v>
      </c>
      <c r="E97" s="195" t="s">
        <v>494</v>
      </c>
      <c r="F97" s="195" t="s">
        <v>580</v>
      </c>
      <c r="G97" s="190">
        <v>992.24</v>
      </c>
      <c r="H97" s="190">
        <v>1000</v>
      </c>
      <c r="I97" s="190">
        <v>992.24</v>
      </c>
      <c r="J97" s="190">
        <v>992.24</v>
      </c>
      <c r="K97" s="190">
        <v>241.81</v>
      </c>
      <c r="L97" s="190">
        <v>225.16</v>
      </c>
      <c r="M97" s="87">
        <v>298.48</v>
      </c>
      <c r="N97" s="197">
        <f>J97-M97</f>
        <v>693.76</v>
      </c>
      <c r="O97" s="236">
        <f>M97/L97</f>
        <v>1.3256351039260972</v>
      </c>
      <c r="P97" s="237">
        <f>M97/K97</f>
        <v>1.2343575534510567</v>
      </c>
      <c r="Q97" s="237">
        <f>L97/K97</f>
        <v>0.93114428683677264</v>
      </c>
      <c r="R97" s="237">
        <f>L97/J97</f>
        <v>0.22692090623236313</v>
      </c>
      <c r="S97" s="234">
        <f>K97/J97</f>
        <v>0.24370112069660566</v>
      </c>
      <c r="T97" s="198">
        <v>0</v>
      </c>
      <c r="U97" s="198">
        <v>1</v>
      </c>
      <c r="V97" s="198">
        <f>SUM(T97:U97)</f>
        <v>1</v>
      </c>
      <c r="W97" s="198">
        <v>1</v>
      </c>
      <c r="X97" s="199">
        <v>0</v>
      </c>
      <c r="Y97" s="198">
        <v>1</v>
      </c>
    </row>
    <row r="98" spans="1:25" s="27" customFormat="1" x14ac:dyDescent="0.15">
      <c r="A98" s="24" t="s">
        <v>77</v>
      </c>
      <c r="B98" s="90" t="s">
        <v>584</v>
      </c>
      <c r="C98" s="24" t="s">
        <v>403</v>
      </c>
      <c r="D98" s="44" t="s">
        <v>148</v>
      </c>
      <c r="E98" s="44" t="s">
        <v>374</v>
      </c>
      <c r="F98" s="44" t="s">
        <v>580</v>
      </c>
      <c r="G98" s="26">
        <v>1687.51</v>
      </c>
      <c r="H98" s="26">
        <v>1700</v>
      </c>
      <c r="I98" s="26">
        <v>1687.51</v>
      </c>
      <c r="J98" s="26">
        <f>M98+N98</f>
        <v>1687.5100000000002</v>
      </c>
      <c r="K98" s="26">
        <v>453.15</v>
      </c>
      <c r="L98" s="26">
        <v>422.55</v>
      </c>
      <c r="M98" s="26">
        <v>598.86</v>
      </c>
      <c r="N98" s="26">
        <f>789.98+298.67</f>
        <v>1088.6500000000001</v>
      </c>
      <c r="O98" s="234">
        <f>M98/L98</f>
        <v>1.4172523961661341</v>
      </c>
      <c r="P98" s="234">
        <f>M98/K98</f>
        <v>1.3215491559086396</v>
      </c>
      <c r="Q98" s="234">
        <f>L98/K98</f>
        <v>0.93247269116186704</v>
      </c>
      <c r="R98" s="234">
        <f>L98/J98</f>
        <v>0.25039851615694125</v>
      </c>
      <c r="S98" s="234">
        <f>K98/J98</f>
        <v>0.26853174203412122</v>
      </c>
      <c r="T98" s="26">
        <v>0</v>
      </c>
      <c r="U98" s="24">
        <v>1</v>
      </c>
      <c r="V98" s="24">
        <f>SUM(T98:U98)</f>
        <v>1</v>
      </c>
      <c r="W98" s="26">
        <v>1</v>
      </c>
      <c r="X98" s="26">
        <v>0</v>
      </c>
      <c r="Y98" s="26">
        <v>1</v>
      </c>
    </row>
    <row r="99" spans="1:25" s="27" customFormat="1" x14ac:dyDescent="0.15">
      <c r="A99" s="24" t="s">
        <v>77</v>
      </c>
      <c r="B99" s="90" t="s">
        <v>668</v>
      </c>
      <c r="C99" s="24" t="s">
        <v>403</v>
      </c>
      <c r="D99" s="44" t="s">
        <v>82</v>
      </c>
      <c r="E99" s="44" t="s">
        <v>203</v>
      </c>
      <c r="F99" s="44" t="s">
        <v>581</v>
      </c>
      <c r="G99" s="27">
        <v>5410</v>
      </c>
      <c r="H99" s="27">
        <v>5410</v>
      </c>
      <c r="I99" s="27">
        <v>5410</v>
      </c>
      <c r="J99" s="27">
        <v>5410</v>
      </c>
      <c r="K99" s="27">
        <v>1551.3</v>
      </c>
      <c r="L99" s="27">
        <v>1448.5</v>
      </c>
      <c r="O99" s="234"/>
      <c r="P99" s="234"/>
      <c r="Q99" s="234">
        <f>L99/K99</f>
        <v>0.93373299813060018</v>
      </c>
      <c r="R99" s="234">
        <f>L99/J99</f>
        <v>0.26774491682070239</v>
      </c>
      <c r="S99" s="234">
        <f>K99/J99</f>
        <v>0.2867467652495379</v>
      </c>
      <c r="T99" s="26">
        <v>1</v>
      </c>
      <c r="U99" s="24">
        <v>0</v>
      </c>
      <c r="V99" s="24">
        <v>1</v>
      </c>
      <c r="W99" s="26">
        <v>1</v>
      </c>
      <c r="X99" s="26">
        <v>0</v>
      </c>
      <c r="Y99" s="26">
        <v>1</v>
      </c>
    </row>
    <row r="100" spans="1:25" s="31" customFormat="1" ht="14" customHeight="1" x14ac:dyDescent="0.15">
      <c r="A100" s="90" t="s">
        <v>16</v>
      </c>
      <c r="B100" s="24" t="s">
        <v>822</v>
      </c>
      <c r="C100" s="24" t="s">
        <v>824</v>
      </c>
      <c r="D100" s="138" t="s">
        <v>148</v>
      </c>
      <c r="E100" s="44" t="s">
        <v>374</v>
      </c>
      <c r="F100" s="44" t="s">
        <v>580</v>
      </c>
      <c r="G100" s="24">
        <v>1744</v>
      </c>
      <c r="H100" s="24">
        <v>1744</v>
      </c>
      <c r="I100" s="24">
        <v>1744</v>
      </c>
      <c r="J100" s="24">
        <v>1744</v>
      </c>
      <c r="K100" s="24">
        <v>335</v>
      </c>
      <c r="L100" s="24">
        <v>313</v>
      </c>
      <c r="M100" s="24"/>
      <c r="N100" s="24"/>
      <c r="O100" s="234"/>
      <c r="P100" s="234"/>
      <c r="Q100" s="234">
        <f>L100/K100</f>
        <v>0.93432835820895521</v>
      </c>
      <c r="R100" s="234">
        <f>L100/J100</f>
        <v>0.17947247706422018</v>
      </c>
      <c r="S100" s="234">
        <f>K100/J100</f>
        <v>0.19208715596330275</v>
      </c>
      <c r="T100" s="24">
        <v>1</v>
      </c>
      <c r="U100" s="24">
        <v>0</v>
      </c>
      <c r="V100" s="26">
        <f>SUM(T100,U100)</f>
        <v>1</v>
      </c>
      <c r="W100" s="24">
        <v>1</v>
      </c>
      <c r="X100" s="24">
        <v>0</v>
      </c>
      <c r="Y100" s="24">
        <v>1</v>
      </c>
    </row>
    <row r="101" spans="1:25" s="27" customFormat="1" ht="14" x14ac:dyDescent="0.2">
      <c r="A101" s="202" t="s">
        <v>465</v>
      </c>
      <c r="B101" s="87" t="s">
        <v>152</v>
      </c>
      <c r="C101" s="191" t="s">
        <v>403</v>
      </c>
      <c r="D101" s="195" t="s">
        <v>82</v>
      </c>
      <c r="E101" s="195" t="s">
        <v>203</v>
      </c>
      <c r="F101" s="195" t="s">
        <v>581</v>
      </c>
      <c r="G101" s="190">
        <v>5810</v>
      </c>
      <c r="H101" s="190">
        <v>5810</v>
      </c>
      <c r="I101" s="190">
        <v>5810</v>
      </c>
      <c r="J101" s="190">
        <v>5810</v>
      </c>
      <c r="K101" s="190">
        <v>1518.6</v>
      </c>
      <c r="L101" s="190">
        <v>1421.1</v>
      </c>
      <c r="M101" s="87">
        <v>1829</v>
      </c>
      <c r="N101" s="197">
        <v>3981</v>
      </c>
      <c r="O101" s="236">
        <f>M101/L101</f>
        <v>1.2870311730349731</v>
      </c>
      <c r="P101" s="237">
        <f>M101/K101</f>
        <v>1.2043987883576979</v>
      </c>
      <c r="Q101" s="237">
        <f>L101/K101</f>
        <v>0.93579612801264322</v>
      </c>
      <c r="R101" s="237">
        <f>L101/J101</f>
        <v>0.24459552495697073</v>
      </c>
      <c r="S101" s="234">
        <f>K101/J101</f>
        <v>0.26137693631669534</v>
      </c>
      <c r="T101" s="198">
        <v>1</v>
      </c>
      <c r="U101" s="198">
        <v>0</v>
      </c>
      <c r="V101" s="198">
        <f>SUM(T101:U101)</f>
        <v>1</v>
      </c>
      <c r="W101" s="198">
        <v>1</v>
      </c>
      <c r="X101" s="199">
        <v>0</v>
      </c>
      <c r="Y101" s="198">
        <v>1</v>
      </c>
    </row>
    <row r="102" spans="1:25" s="27" customFormat="1" x14ac:dyDescent="0.15">
      <c r="A102" s="90" t="s">
        <v>16</v>
      </c>
      <c r="B102" s="1" t="s">
        <v>606</v>
      </c>
      <c r="C102" s="26" t="s">
        <v>403</v>
      </c>
      <c r="D102" s="88" t="s">
        <v>148</v>
      </c>
      <c r="E102" s="44" t="s">
        <v>374</v>
      </c>
      <c r="F102" s="44" t="s">
        <v>580</v>
      </c>
      <c r="G102" s="24">
        <v>1196.7</v>
      </c>
      <c r="H102" s="24"/>
      <c r="I102" s="24">
        <v>1196.7</v>
      </c>
      <c r="J102" s="24">
        <v>1196.7</v>
      </c>
      <c r="K102" s="26">
        <v>257.60000000000002</v>
      </c>
      <c r="L102" s="26">
        <v>241.12</v>
      </c>
      <c r="M102" s="26">
        <v>324.56</v>
      </c>
      <c r="N102" s="26">
        <f>J102-M102</f>
        <v>872.1400000000001</v>
      </c>
      <c r="O102" s="232">
        <f>M102/L102</f>
        <v>1.3460517584605176</v>
      </c>
      <c r="P102" s="234">
        <f>M102/K102</f>
        <v>1.2599378881987577</v>
      </c>
      <c r="Q102" s="233">
        <f>L102/K102</f>
        <v>0.93602484472049685</v>
      </c>
      <c r="R102" s="233">
        <f>L102/J102</f>
        <v>0.20148742374864209</v>
      </c>
      <c r="S102" s="234">
        <f>K102/J102</f>
        <v>0.21525862789337347</v>
      </c>
      <c r="T102" s="26">
        <v>0</v>
      </c>
      <c r="U102" s="24">
        <v>1</v>
      </c>
      <c r="V102" s="26">
        <f>SUM(T102,U102)</f>
        <v>1</v>
      </c>
      <c r="W102" s="26">
        <v>1</v>
      </c>
      <c r="X102" s="26">
        <v>0</v>
      </c>
      <c r="Y102" s="24">
        <v>1</v>
      </c>
    </row>
    <row r="103" spans="1:25" s="27" customFormat="1" ht="14" x14ac:dyDescent="0.2">
      <c r="A103" s="202" t="s">
        <v>465</v>
      </c>
      <c r="B103" s="87" t="s">
        <v>424</v>
      </c>
      <c r="C103" s="87" t="s">
        <v>458</v>
      </c>
      <c r="D103" s="192" t="s">
        <v>82</v>
      </c>
      <c r="E103" s="195" t="s">
        <v>374</v>
      </c>
      <c r="F103" s="195" t="s">
        <v>580</v>
      </c>
      <c r="G103" s="190">
        <v>1800</v>
      </c>
      <c r="H103" s="190">
        <v>1800</v>
      </c>
      <c r="I103" s="190">
        <v>1800</v>
      </c>
      <c r="J103" s="190">
        <v>1800</v>
      </c>
      <c r="K103" s="190">
        <v>425</v>
      </c>
      <c r="L103" s="190">
        <v>398</v>
      </c>
      <c r="M103" s="87">
        <v>535</v>
      </c>
      <c r="N103" s="87">
        <f>H103-M103</f>
        <v>1265</v>
      </c>
      <c r="O103" s="236">
        <f>M103/L103</f>
        <v>1.3442211055276383</v>
      </c>
      <c r="P103" s="237">
        <f>M103/K103</f>
        <v>1.2588235294117647</v>
      </c>
      <c r="Q103" s="237">
        <f>L103/K103</f>
        <v>0.93647058823529417</v>
      </c>
      <c r="R103" s="237">
        <f>L103/J103</f>
        <v>0.22111111111111112</v>
      </c>
      <c r="S103" s="234">
        <f>K103/J103</f>
        <v>0.2361111111111111</v>
      </c>
      <c r="T103" s="198">
        <v>1</v>
      </c>
      <c r="U103" s="198">
        <v>0</v>
      </c>
      <c r="V103" s="198">
        <f>SUM(T103:U103)</f>
        <v>1</v>
      </c>
      <c r="W103" s="198">
        <v>1</v>
      </c>
      <c r="X103" s="199">
        <v>0</v>
      </c>
      <c r="Y103" s="198">
        <v>1</v>
      </c>
    </row>
    <row r="104" spans="1:25" s="27" customFormat="1" x14ac:dyDescent="0.15">
      <c r="A104" s="24" t="s">
        <v>77</v>
      </c>
      <c r="B104" s="90" t="s">
        <v>389</v>
      </c>
      <c r="C104" s="24" t="s">
        <v>403</v>
      </c>
      <c r="D104" s="44" t="s">
        <v>82</v>
      </c>
      <c r="E104" s="44" t="s">
        <v>494</v>
      </c>
      <c r="F104" s="44" t="s">
        <v>580</v>
      </c>
      <c r="G104" s="27">
        <v>1095.26</v>
      </c>
      <c r="H104" s="26">
        <v>850</v>
      </c>
      <c r="I104" s="27">
        <v>1095.26</v>
      </c>
      <c r="J104" s="27">
        <f>M104+N104</f>
        <v>1095.26</v>
      </c>
      <c r="K104" s="27">
        <v>294.22000000000003</v>
      </c>
      <c r="L104" s="27">
        <v>275.68</v>
      </c>
      <c r="M104" s="27">
        <v>365.34</v>
      </c>
      <c r="N104" s="27">
        <v>729.92</v>
      </c>
      <c r="O104" s="234">
        <f>M104/L104</f>
        <v>1.3252321532211258</v>
      </c>
      <c r="P104" s="234">
        <f>M104/K104</f>
        <v>1.2417238800897286</v>
      </c>
      <c r="Q104" s="234">
        <f>L104/K104</f>
        <v>0.93698592889674392</v>
      </c>
      <c r="R104" s="234">
        <f>L104/J104</f>
        <v>0.2517027920311159</v>
      </c>
      <c r="S104" s="234">
        <f>K104/J104</f>
        <v>0.26863027956832169</v>
      </c>
      <c r="T104" s="26">
        <v>0</v>
      </c>
      <c r="U104" s="24">
        <v>1</v>
      </c>
      <c r="V104" s="24">
        <f>SUM(T104:U104)</f>
        <v>1</v>
      </c>
      <c r="W104" s="26">
        <v>1</v>
      </c>
      <c r="X104" s="26">
        <v>0</v>
      </c>
      <c r="Y104" s="26">
        <v>1</v>
      </c>
    </row>
    <row r="105" spans="1:25" s="27" customFormat="1" ht="14" x14ac:dyDescent="0.2">
      <c r="A105" s="202" t="s">
        <v>465</v>
      </c>
      <c r="B105" s="87" t="s">
        <v>136</v>
      </c>
      <c r="C105" s="191" t="s">
        <v>403</v>
      </c>
      <c r="D105" s="195" t="s">
        <v>96</v>
      </c>
      <c r="E105" s="195" t="s">
        <v>374</v>
      </c>
      <c r="F105" s="195" t="s">
        <v>580</v>
      </c>
      <c r="G105" s="190">
        <v>2365.6</v>
      </c>
      <c r="H105" s="190">
        <v>2000</v>
      </c>
      <c r="I105" s="190">
        <v>2365.6</v>
      </c>
      <c r="J105" s="190">
        <v>2365.6</v>
      </c>
      <c r="K105" s="190">
        <v>525.20000000000005</v>
      </c>
      <c r="L105" s="190">
        <v>492.84</v>
      </c>
      <c r="M105" s="87">
        <v>706.56</v>
      </c>
      <c r="N105" s="197">
        <f>J105-M105</f>
        <v>1659.04</v>
      </c>
      <c r="O105" s="236">
        <f>M105/L105</f>
        <v>1.4336498660822985</v>
      </c>
      <c r="P105" s="237">
        <f>M105/K105</f>
        <v>1.3453160700685451</v>
      </c>
      <c r="Q105" s="237">
        <f>L105/K105</f>
        <v>0.9383853769992383</v>
      </c>
      <c r="R105" s="237">
        <f>L105/J105</f>
        <v>0.20833615150490362</v>
      </c>
      <c r="S105" s="234">
        <f>K105/J105</f>
        <v>0.22201555630706801</v>
      </c>
      <c r="T105" s="198">
        <v>0</v>
      </c>
      <c r="U105" s="198">
        <v>1</v>
      </c>
      <c r="V105" s="198">
        <f>SUM(T105:U105)</f>
        <v>1</v>
      </c>
      <c r="W105" s="198">
        <v>1</v>
      </c>
      <c r="X105" s="199">
        <v>0</v>
      </c>
      <c r="Y105" s="198">
        <v>1</v>
      </c>
    </row>
    <row r="106" spans="1:25" s="27" customFormat="1" ht="15" customHeight="1" x14ac:dyDescent="0.15">
      <c r="A106" s="24" t="s">
        <v>77</v>
      </c>
      <c r="B106" s="90" t="s">
        <v>88</v>
      </c>
      <c r="C106" s="24" t="s">
        <v>403</v>
      </c>
      <c r="D106" s="44" t="s">
        <v>82</v>
      </c>
      <c r="E106" s="44" t="s">
        <v>293</v>
      </c>
      <c r="F106" s="44" t="s">
        <v>580</v>
      </c>
      <c r="G106" s="27">
        <v>3045.75</v>
      </c>
      <c r="H106" s="26">
        <v>3400</v>
      </c>
      <c r="I106" s="27">
        <v>3045.75</v>
      </c>
      <c r="J106" s="27">
        <f>M106+N106</f>
        <v>3045.75</v>
      </c>
      <c r="K106" s="27">
        <v>838.11</v>
      </c>
      <c r="L106" s="27">
        <v>786.67</v>
      </c>
      <c r="M106" s="27">
        <v>1043.6500000000001</v>
      </c>
      <c r="N106" s="27">
        <v>2002.1</v>
      </c>
      <c r="O106" s="234">
        <f>M106/L106</f>
        <v>1.3266681073385285</v>
      </c>
      <c r="P106" s="234">
        <f>M106/K106</f>
        <v>1.2452422713009033</v>
      </c>
      <c r="Q106" s="234">
        <f>L106/K106</f>
        <v>0.93862380833064862</v>
      </c>
      <c r="R106" s="234">
        <f>L106/J106</f>
        <v>0.25828449478781906</v>
      </c>
      <c r="S106" s="234">
        <f>K106/J106</f>
        <v>0.27517360256094558</v>
      </c>
      <c r="T106" s="26">
        <v>0</v>
      </c>
      <c r="U106" s="24">
        <v>1</v>
      </c>
      <c r="V106" s="24">
        <f>SUM(T106:U106)</f>
        <v>1</v>
      </c>
      <c r="W106" s="26">
        <v>1</v>
      </c>
      <c r="X106" s="26">
        <v>0</v>
      </c>
      <c r="Y106" s="26">
        <v>1</v>
      </c>
    </row>
    <row r="107" spans="1:25" s="27" customFormat="1" ht="16" customHeight="1" x14ac:dyDescent="0.2">
      <c r="A107" s="202" t="s">
        <v>465</v>
      </c>
      <c r="B107" s="24" t="s">
        <v>868</v>
      </c>
      <c r="C107" s="224" t="s">
        <v>824</v>
      </c>
      <c r="D107" s="195" t="s">
        <v>148</v>
      </c>
      <c r="E107" s="195" t="s">
        <v>374</v>
      </c>
      <c r="F107" s="195" t="s">
        <v>580</v>
      </c>
      <c r="G107" s="238">
        <v>1530</v>
      </c>
      <c r="H107" s="238">
        <v>1530</v>
      </c>
      <c r="I107" s="238">
        <v>1530</v>
      </c>
      <c r="J107" s="238">
        <v>1530</v>
      </c>
      <c r="K107" s="238">
        <v>375</v>
      </c>
      <c r="L107" s="238">
        <v>352</v>
      </c>
      <c r="M107" s="87"/>
      <c r="N107" s="87"/>
      <c r="O107" s="237"/>
      <c r="P107" s="237"/>
      <c r="Q107" s="237">
        <f>L107/K107</f>
        <v>0.93866666666666665</v>
      </c>
      <c r="R107" s="237">
        <f>L107/J107</f>
        <v>0.23006535947712417</v>
      </c>
      <c r="S107" s="234">
        <f>K107/J107</f>
        <v>0.24509803921568626</v>
      </c>
      <c r="T107" s="87">
        <v>1</v>
      </c>
      <c r="U107" s="87">
        <v>0</v>
      </c>
      <c r="V107" s="87">
        <v>1</v>
      </c>
      <c r="W107" s="87">
        <v>1</v>
      </c>
      <c r="X107" s="87">
        <v>0</v>
      </c>
      <c r="Y107" s="87">
        <v>1</v>
      </c>
    </row>
    <row r="108" spans="1:25" s="27" customFormat="1" ht="16" customHeight="1" x14ac:dyDescent="0.15">
      <c r="A108" s="90" t="s">
        <v>16</v>
      </c>
      <c r="B108" s="24" t="s">
        <v>812</v>
      </c>
      <c r="C108" s="24" t="s">
        <v>824</v>
      </c>
      <c r="D108" s="88" t="s">
        <v>148</v>
      </c>
      <c r="E108" s="44" t="s">
        <v>374</v>
      </c>
      <c r="F108" s="44" t="s">
        <v>580</v>
      </c>
      <c r="G108" s="24">
        <v>1911</v>
      </c>
      <c r="H108" s="24">
        <v>1911</v>
      </c>
      <c r="I108" s="24">
        <v>1911</v>
      </c>
      <c r="J108" s="24">
        <v>1911</v>
      </c>
      <c r="K108" s="24">
        <v>385</v>
      </c>
      <c r="L108" s="24">
        <v>362</v>
      </c>
      <c r="M108" s="24"/>
      <c r="N108" s="24"/>
      <c r="O108" s="234"/>
      <c r="P108" s="234"/>
      <c r="Q108" s="234">
        <f>L108/K108</f>
        <v>0.94025974025974024</v>
      </c>
      <c r="R108" s="234">
        <f>L108/J108</f>
        <v>0.18942961800104657</v>
      </c>
      <c r="S108" s="234">
        <f>K108/J108</f>
        <v>0.20146520146520147</v>
      </c>
      <c r="T108" s="24">
        <v>1</v>
      </c>
      <c r="U108" s="24">
        <v>0</v>
      </c>
      <c r="V108" s="26">
        <f>SUM(T108,U108)</f>
        <v>1</v>
      </c>
      <c r="W108" s="24">
        <v>1</v>
      </c>
      <c r="X108" s="24">
        <v>0</v>
      </c>
      <c r="Y108" s="24">
        <v>1</v>
      </c>
    </row>
    <row r="109" spans="1:25" s="27" customFormat="1" ht="16" customHeight="1" x14ac:dyDescent="0.2">
      <c r="A109" s="202" t="s">
        <v>465</v>
      </c>
      <c r="B109" s="87" t="s">
        <v>421</v>
      </c>
      <c r="C109" s="87" t="s">
        <v>458</v>
      </c>
      <c r="D109" s="195" t="s">
        <v>82</v>
      </c>
      <c r="E109" s="195" t="s">
        <v>494</v>
      </c>
      <c r="F109" s="195" t="s">
        <v>580</v>
      </c>
      <c r="G109" s="190">
        <v>825</v>
      </c>
      <c r="H109" s="190">
        <v>825</v>
      </c>
      <c r="I109" s="190">
        <v>825</v>
      </c>
      <c r="J109" s="190">
        <v>825</v>
      </c>
      <c r="K109" s="190">
        <v>205</v>
      </c>
      <c r="L109" s="98">
        <v>193</v>
      </c>
      <c r="M109" s="191">
        <v>255</v>
      </c>
      <c r="N109" s="87"/>
      <c r="O109" s="236">
        <f>M109/L109</f>
        <v>1.3212435233160622</v>
      </c>
      <c r="P109" s="237">
        <f>M109/K109</f>
        <v>1.2439024390243902</v>
      </c>
      <c r="Q109" s="237">
        <f>L109/K109</f>
        <v>0.94146341463414629</v>
      </c>
      <c r="R109" s="237">
        <f>L109/J109</f>
        <v>0.23393939393939395</v>
      </c>
      <c r="S109" s="234">
        <f>K109/J109</f>
        <v>0.24848484848484848</v>
      </c>
      <c r="T109" s="198">
        <v>1</v>
      </c>
      <c r="U109" s="198">
        <v>0</v>
      </c>
      <c r="V109" s="198">
        <f>SUM(T109:U109)</f>
        <v>1</v>
      </c>
      <c r="W109" s="198">
        <v>1</v>
      </c>
      <c r="X109" s="199">
        <v>0</v>
      </c>
      <c r="Y109" s="198">
        <v>1</v>
      </c>
    </row>
    <row r="110" spans="1:25" s="27" customFormat="1" ht="16" customHeight="1" x14ac:dyDescent="0.15">
      <c r="A110" s="90" t="s">
        <v>16</v>
      </c>
      <c r="B110" s="90" t="s">
        <v>809</v>
      </c>
      <c r="C110" s="24" t="s">
        <v>824</v>
      </c>
      <c r="D110" s="88" t="s">
        <v>148</v>
      </c>
      <c r="E110" s="30" t="s">
        <v>374</v>
      </c>
      <c r="F110" s="44" t="s">
        <v>580</v>
      </c>
      <c r="G110" s="24">
        <v>1333</v>
      </c>
      <c r="H110" s="24">
        <v>1333</v>
      </c>
      <c r="I110" s="24">
        <v>1333</v>
      </c>
      <c r="J110" s="24">
        <v>1333</v>
      </c>
      <c r="K110" s="24">
        <v>277</v>
      </c>
      <c r="L110" s="24">
        <v>261</v>
      </c>
      <c r="M110" s="24"/>
      <c r="N110" s="24"/>
      <c r="O110" s="234"/>
      <c r="P110" s="234"/>
      <c r="Q110" s="234">
        <f>L110/K110</f>
        <v>0.9422382671480144</v>
      </c>
      <c r="R110" s="234">
        <f>L110/J110</f>
        <v>0.19579894973743436</v>
      </c>
      <c r="S110" s="234">
        <f>K110/J110</f>
        <v>0.2078019504876219</v>
      </c>
      <c r="T110" s="24">
        <v>1</v>
      </c>
      <c r="U110" s="24">
        <v>0</v>
      </c>
      <c r="V110" s="26">
        <f>SUM(T110,U110)</f>
        <v>1</v>
      </c>
      <c r="W110" s="24">
        <v>1</v>
      </c>
      <c r="X110" s="24">
        <v>0</v>
      </c>
      <c r="Y110" s="24">
        <v>1</v>
      </c>
    </row>
    <row r="111" spans="1:25" s="27" customFormat="1" ht="15" customHeight="1" x14ac:dyDescent="0.2">
      <c r="A111" s="202" t="s">
        <v>465</v>
      </c>
      <c r="B111" s="24" t="s">
        <v>836</v>
      </c>
      <c r="C111" s="224" t="s">
        <v>824</v>
      </c>
      <c r="D111" s="195" t="s">
        <v>148</v>
      </c>
      <c r="E111" s="195" t="s">
        <v>374</v>
      </c>
      <c r="F111" s="195" t="s">
        <v>580</v>
      </c>
      <c r="G111" s="24">
        <v>2190</v>
      </c>
      <c r="H111" s="24">
        <v>2190</v>
      </c>
      <c r="I111" s="24">
        <v>2190</v>
      </c>
      <c r="J111" s="24">
        <v>2190</v>
      </c>
      <c r="K111" s="24">
        <v>520</v>
      </c>
      <c r="L111" s="24">
        <v>490</v>
      </c>
      <c r="M111" s="87"/>
      <c r="N111" s="87"/>
      <c r="O111" s="237"/>
      <c r="P111" s="237"/>
      <c r="Q111" s="237">
        <f>L111/K111</f>
        <v>0.94230769230769229</v>
      </c>
      <c r="R111" s="237">
        <f>L111/J111</f>
        <v>0.22374429223744291</v>
      </c>
      <c r="S111" s="234">
        <f>K111/J111</f>
        <v>0.23744292237442921</v>
      </c>
      <c r="T111" s="87">
        <v>1</v>
      </c>
      <c r="U111" s="87">
        <v>0</v>
      </c>
      <c r="V111" s="87">
        <v>1</v>
      </c>
      <c r="W111" s="87">
        <v>1</v>
      </c>
      <c r="X111" s="87">
        <v>0</v>
      </c>
      <c r="Y111" s="87">
        <v>1</v>
      </c>
    </row>
    <row r="112" spans="1:25" s="27" customFormat="1" ht="15" customHeight="1" x14ac:dyDescent="0.15">
      <c r="A112" s="24" t="s">
        <v>77</v>
      </c>
      <c r="B112" s="90" t="s">
        <v>386</v>
      </c>
      <c r="C112" s="24" t="s">
        <v>403</v>
      </c>
      <c r="D112" s="44" t="s">
        <v>82</v>
      </c>
      <c r="E112" s="44" t="s">
        <v>374</v>
      </c>
      <c r="F112" s="44" t="s">
        <v>580</v>
      </c>
      <c r="G112" s="27">
        <v>1538.3</v>
      </c>
      <c r="H112" s="26">
        <v>1200</v>
      </c>
      <c r="I112" s="27">
        <v>1538.3</v>
      </c>
      <c r="J112" s="27">
        <v>1538.3</v>
      </c>
      <c r="K112" s="27">
        <v>395.5</v>
      </c>
      <c r="L112" s="27">
        <v>372.7</v>
      </c>
      <c r="M112" s="27">
        <v>497</v>
      </c>
      <c r="N112" s="27">
        <v>1041.3</v>
      </c>
      <c r="O112" s="234">
        <f>M112/L112</f>
        <v>1.333512208210357</v>
      </c>
      <c r="P112" s="234">
        <f>M112/K112</f>
        <v>1.2566371681415929</v>
      </c>
      <c r="Q112" s="234">
        <f>L112/K112</f>
        <v>0.9423514538558786</v>
      </c>
      <c r="R112" s="234">
        <f>L112/J112</f>
        <v>0.24228043944614183</v>
      </c>
      <c r="S112" s="234">
        <f>K112/J112</f>
        <v>0.2571019957095495</v>
      </c>
      <c r="T112" s="26">
        <v>0</v>
      </c>
      <c r="U112" s="24">
        <v>1</v>
      </c>
      <c r="V112" s="24">
        <f>SUM(T112:U112)</f>
        <v>1</v>
      </c>
      <c r="W112" s="26">
        <v>1</v>
      </c>
      <c r="X112" s="26">
        <v>0</v>
      </c>
      <c r="Y112" s="26">
        <v>1</v>
      </c>
    </row>
    <row r="113" spans="1:25" s="27" customFormat="1" ht="15" customHeight="1" x14ac:dyDescent="0.2">
      <c r="A113" s="202" t="s">
        <v>465</v>
      </c>
      <c r="B113" s="24" t="s">
        <v>837</v>
      </c>
      <c r="C113" s="224" t="s">
        <v>824</v>
      </c>
      <c r="D113" s="195" t="s">
        <v>148</v>
      </c>
      <c r="E113" s="225" t="s">
        <v>293</v>
      </c>
      <c r="F113" s="29" t="s">
        <v>580</v>
      </c>
      <c r="G113" s="24">
        <v>2570</v>
      </c>
      <c r="H113" s="24">
        <v>2570</v>
      </c>
      <c r="I113" s="24">
        <v>2570</v>
      </c>
      <c r="J113" s="24">
        <v>2570</v>
      </c>
      <c r="K113" s="24">
        <v>610</v>
      </c>
      <c r="L113" s="24">
        <v>575</v>
      </c>
      <c r="M113" s="87"/>
      <c r="N113" s="87"/>
      <c r="O113" s="237"/>
      <c r="P113" s="237"/>
      <c r="Q113" s="237">
        <f>L113/K113</f>
        <v>0.94262295081967218</v>
      </c>
      <c r="R113" s="237">
        <f>L113/J113</f>
        <v>0.22373540856031129</v>
      </c>
      <c r="S113" s="234">
        <f>K113/J113</f>
        <v>0.23735408560311283</v>
      </c>
      <c r="T113" s="87">
        <v>1</v>
      </c>
      <c r="U113" s="87">
        <v>0</v>
      </c>
      <c r="V113" s="87">
        <v>1</v>
      </c>
      <c r="W113" s="87">
        <v>1</v>
      </c>
      <c r="X113" s="87">
        <v>0</v>
      </c>
      <c r="Y113" s="87">
        <v>1</v>
      </c>
    </row>
    <row r="114" spans="1:25" s="51" customFormat="1" ht="15" customHeight="1" x14ac:dyDescent="0.15">
      <c r="A114" s="24" t="s">
        <v>77</v>
      </c>
      <c r="B114" s="24" t="s">
        <v>431</v>
      </c>
      <c r="C114" s="24" t="s">
        <v>458</v>
      </c>
      <c r="D114" s="29" t="s">
        <v>82</v>
      </c>
      <c r="E114" s="44" t="s">
        <v>203</v>
      </c>
      <c r="F114" s="44" t="s">
        <v>581</v>
      </c>
      <c r="G114" s="24">
        <v>4710</v>
      </c>
      <c r="H114" s="24">
        <v>4710</v>
      </c>
      <c r="I114" s="24">
        <v>4710</v>
      </c>
      <c r="J114" s="24">
        <v>4710</v>
      </c>
      <c r="K114" s="24">
        <v>1420</v>
      </c>
      <c r="L114" s="24">
        <v>1341</v>
      </c>
      <c r="M114" s="24">
        <v>1707</v>
      </c>
      <c r="N114" s="24">
        <f>J114-M114</f>
        <v>3003</v>
      </c>
      <c r="O114" s="234">
        <f>M114/L114</f>
        <v>1.2729306487695748</v>
      </c>
      <c r="P114" s="234">
        <f>M114/K114</f>
        <v>1.2021126760563381</v>
      </c>
      <c r="Q114" s="234">
        <f>L114/K114</f>
        <v>0.94436619718309855</v>
      </c>
      <c r="R114" s="234">
        <f>L114/J114</f>
        <v>0.28471337579617834</v>
      </c>
      <c r="S114" s="234">
        <f>K114/J114</f>
        <v>0.30148619957537154</v>
      </c>
      <c r="T114" s="26">
        <v>1</v>
      </c>
      <c r="U114" s="24">
        <v>0</v>
      </c>
      <c r="V114" s="24">
        <f>SUM(T114:U114)</f>
        <v>1</v>
      </c>
      <c r="W114" s="26">
        <v>1</v>
      </c>
      <c r="X114" s="26">
        <v>1</v>
      </c>
      <c r="Y114" s="26">
        <v>1</v>
      </c>
    </row>
    <row r="115" spans="1:25" s="27" customFormat="1" ht="15" customHeight="1" x14ac:dyDescent="0.15">
      <c r="A115" s="90" t="s">
        <v>16</v>
      </c>
      <c r="B115" s="90" t="s">
        <v>813</v>
      </c>
      <c r="C115" s="24" t="s">
        <v>824</v>
      </c>
      <c r="D115" s="88" t="s">
        <v>148</v>
      </c>
      <c r="E115" s="30" t="s">
        <v>374</v>
      </c>
      <c r="F115" s="44" t="s">
        <v>580</v>
      </c>
      <c r="G115" s="24">
        <v>1427</v>
      </c>
      <c r="H115" s="24">
        <v>1427</v>
      </c>
      <c r="I115" s="24">
        <v>1427</v>
      </c>
      <c r="J115" s="24">
        <v>1427</v>
      </c>
      <c r="K115" s="24">
        <v>288</v>
      </c>
      <c r="L115" s="24">
        <v>272</v>
      </c>
      <c r="M115" s="24"/>
      <c r="N115" s="24"/>
      <c r="O115" s="234"/>
      <c r="P115" s="234"/>
      <c r="Q115" s="234">
        <f>L115/K115</f>
        <v>0.94444444444444442</v>
      </c>
      <c r="R115" s="234">
        <f>L115/J115</f>
        <v>0.19060967063770148</v>
      </c>
      <c r="S115" s="234">
        <f>K115/J115</f>
        <v>0.20182200420462509</v>
      </c>
      <c r="T115" s="24">
        <v>1</v>
      </c>
      <c r="U115" s="24">
        <v>0</v>
      </c>
      <c r="V115" s="26">
        <f>SUM(T115,U115)</f>
        <v>1</v>
      </c>
      <c r="W115" s="24">
        <v>1</v>
      </c>
      <c r="X115" s="24">
        <v>0</v>
      </c>
      <c r="Y115" s="24">
        <v>1</v>
      </c>
    </row>
    <row r="116" spans="1:25" s="27" customFormat="1" ht="15" customHeight="1" x14ac:dyDescent="0.2">
      <c r="A116" s="202" t="s">
        <v>465</v>
      </c>
      <c r="B116" s="24" t="s">
        <v>843</v>
      </c>
      <c r="C116" s="224" t="s">
        <v>824</v>
      </c>
      <c r="D116" s="195" t="s">
        <v>148</v>
      </c>
      <c r="E116" s="195" t="s">
        <v>494</v>
      </c>
      <c r="F116" s="195" t="s">
        <v>580</v>
      </c>
      <c r="G116" s="238">
        <v>1126</v>
      </c>
      <c r="H116" s="238">
        <v>1126</v>
      </c>
      <c r="I116" s="238">
        <v>1126</v>
      </c>
      <c r="J116" s="238">
        <v>1126</v>
      </c>
      <c r="K116" s="238">
        <v>272</v>
      </c>
      <c r="L116" s="238">
        <v>257</v>
      </c>
      <c r="M116" s="87"/>
      <c r="N116" s="87"/>
      <c r="O116" s="237"/>
      <c r="P116" s="237"/>
      <c r="Q116" s="237">
        <f>L116/K116</f>
        <v>0.94485294117647056</v>
      </c>
      <c r="R116" s="237">
        <f>L116/J116</f>
        <v>0.22824156305506216</v>
      </c>
      <c r="S116" s="234">
        <f>K116/J116</f>
        <v>0.24156305506216696</v>
      </c>
      <c r="T116" s="87">
        <v>1</v>
      </c>
      <c r="U116" s="87">
        <v>0</v>
      </c>
      <c r="V116" s="87">
        <v>1</v>
      </c>
      <c r="W116" s="87">
        <v>1</v>
      </c>
      <c r="X116" s="87">
        <v>0</v>
      </c>
      <c r="Y116" s="87">
        <v>1</v>
      </c>
    </row>
    <row r="117" spans="1:25" s="27" customFormat="1" x14ac:dyDescent="0.15">
      <c r="A117" s="24" t="s">
        <v>77</v>
      </c>
      <c r="B117" s="90" t="s">
        <v>121</v>
      </c>
      <c r="C117" s="24" t="s">
        <v>403</v>
      </c>
      <c r="D117" s="44" t="s">
        <v>82</v>
      </c>
      <c r="E117" s="44" t="s">
        <v>203</v>
      </c>
      <c r="F117" s="44" t="s">
        <v>581</v>
      </c>
      <c r="G117" s="26">
        <v>4470</v>
      </c>
      <c r="H117" s="26">
        <v>4470</v>
      </c>
      <c r="I117" s="27">
        <v>4470</v>
      </c>
      <c r="J117" s="27">
        <v>4470</v>
      </c>
      <c r="K117" s="27">
        <v>1096</v>
      </c>
      <c r="L117" s="27">
        <v>1036</v>
      </c>
      <c r="O117" s="234"/>
      <c r="P117" s="234"/>
      <c r="Q117" s="234">
        <f>L117/K117</f>
        <v>0.94525547445255476</v>
      </c>
      <c r="R117" s="234">
        <f>L117/J117</f>
        <v>0.23176733780760628</v>
      </c>
      <c r="S117" s="234">
        <f>K117/J117</f>
        <v>0.24519015659955257</v>
      </c>
      <c r="T117" s="26">
        <v>1</v>
      </c>
      <c r="U117" s="24">
        <v>0</v>
      </c>
      <c r="V117" s="24">
        <f>SUM(T117:U117)</f>
        <v>1</v>
      </c>
      <c r="W117" s="26">
        <v>1</v>
      </c>
      <c r="X117" s="26">
        <v>0</v>
      </c>
      <c r="Y117" s="26">
        <v>1</v>
      </c>
    </row>
    <row r="118" spans="1:25" s="27" customFormat="1" x14ac:dyDescent="0.15">
      <c r="A118" s="24" t="s">
        <v>77</v>
      </c>
      <c r="B118" s="90" t="s">
        <v>84</v>
      </c>
      <c r="C118" s="24" t="s">
        <v>403</v>
      </c>
      <c r="D118" s="44" t="s">
        <v>83</v>
      </c>
      <c r="E118" s="44" t="s">
        <v>203</v>
      </c>
      <c r="F118" s="44" t="s">
        <v>581</v>
      </c>
      <c r="G118" s="26">
        <v>4572</v>
      </c>
      <c r="H118" s="26">
        <v>4572</v>
      </c>
      <c r="I118" s="27">
        <v>4674</v>
      </c>
      <c r="J118" s="27">
        <v>4674</v>
      </c>
      <c r="K118" s="27">
        <v>1295</v>
      </c>
      <c r="L118" s="27">
        <v>1224.2</v>
      </c>
      <c r="M118" s="27">
        <v>1562.8</v>
      </c>
      <c r="N118" s="27">
        <v>3111.2</v>
      </c>
      <c r="O118" s="234">
        <f>M118/L118</f>
        <v>1.2765887926809345</v>
      </c>
      <c r="P118" s="234">
        <f>M118/K118</f>
        <v>1.2067953667953668</v>
      </c>
      <c r="Q118" s="234">
        <f>L118/K118</f>
        <v>0.94532818532818541</v>
      </c>
      <c r="R118" s="234">
        <f>L118/J118</f>
        <v>0.26191698759092857</v>
      </c>
      <c r="S118" s="234">
        <f>K118/J118</f>
        <v>0.27706461275139066</v>
      </c>
      <c r="T118" s="26">
        <v>1</v>
      </c>
      <c r="U118" s="24">
        <v>0</v>
      </c>
      <c r="V118" s="24">
        <f>SUM(T118:U118)</f>
        <v>1</v>
      </c>
      <c r="W118" s="26">
        <v>1</v>
      </c>
      <c r="X118" s="26">
        <v>0</v>
      </c>
      <c r="Y118" s="26">
        <v>1</v>
      </c>
    </row>
    <row r="119" spans="1:25" s="27" customFormat="1" ht="14" x14ac:dyDescent="0.2">
      <c r="A119" s="202" t="s">
        <v>465</v>
      </c>
      <c r="B119" s="24" t="s">
        <v>838</v>
      </c>
      <c r="C119" s="224" t="s">
        <v>824</v>
      </c>
      <c r="D119" s="195" t="s">
        <v>148</v>
      </c>
      <c r="E119" s="195" t="s">
        <v>374</v>
      </c>
      <c r="F119" s="195" t="s">
        <v>580</v>
      </c>
      <c r="G119" s="24">
        <v>2285</v>
      </c>
      <c r="H119" s="24">
        <v>2285</v>
      </c>
      <c r="I119" s="24">
        <v>2285</v>
      </c>
      <c r="J119" s="24">
        <v>2285</v>
      </c>
      <c r="K119" s="24">
        <v>550</v>
      </c>
      <c r="L119" s="24">
        <v>520</v>
      </c>
      <c r="M119" s="87"/>
      <c r="N119" s="87"/>
      <c r="O119" s="237"/>
      <c r="P119" s="237"/>
      <c r="Q119" s="237">
        <f>L119/K119</f>
        <v>0.94545454545454544</v>
      </c>
      <c r="R119" s="237">
        <f>L119/J119</f>
        <v>0.2275711159737418</v>
      </c>
      <c r="S119" s="234">
        <f>K119/J119</f>
        <v>0.24070021881838075</v>
      </c>
      <c r="T119" s="87">
        <v>1</v>
      </c>
      <c r="U119" s="87">
        <v>0</v>
      </c>
      <c r="V119" s="87">
        <v>1</v>
      </c>
      <c r="W119" s="87">
        <v>1</v>
      </c>
      <c r="X119" s="87">
        <v>0</v>
      </c>
      <c r="Y119" s="87">
        <v>1</v>
      </c>
    </row>
    <row r="120" spans="1:25" s="27" customFormat="1" x14ac:dyDescent="0.15">
      <c r="A120" s="90" t="s">
        <v>16</v>
      </c>
      <c r="B120" s="24" t="s">
        <v>819</v>
      </c>
      <c r="C120" s="24" t="s">
        <v>824</v>
      </c>
      <c r="D120" s="138" t="s">
        <v>148</v>
      </c>
      <c r="E120" s="44" t="s">
        <v>374</v>
      </c>
      <c r="F120" s="44" t="s">
        <v>580</v>
      </c>
      <c r="G120" s="24">
        <v>1830</v>
      </c>
      <c r="H120" s="24">
        <v>1830</v>
      </c>
      <c r="I120" s="24">
        <v>1830</v>
      </c>
      <c r="J120" s="24">
        <v>1830</v>
      </c>
      <c r="K120" s="24">
        <v>367</v>
      </c>
      <c r="L120" s="24">
        <v>347</v>
      </c>
      <c r="M120" s="24"/>
      <c r="N120" s="24"/>
      <c r="O120" s="234"/>
      <c r="P120" s="234"/>
      <c r="Q120" s="234">
        <f>L120/K120</f>
        <v>0.94550408719346046</v>
      </c>
      <c r="R120" s="234">
        <f>L120/J120</f>
        <v>0.18961748633879782</v>
      </c>
      <c r="S120" s="234">
        <f>K120/J120</f>
        <v>0.20054644808743169</v>
      </c>
      <c r="T120" s="24">
        <v>1</v>
      </c>
      <c r="U120" s="24">
        <v>0</v>
      </c>
      <c r="V120" s="26">
        <f>SUM(T120,U120)</f>
        <v>1</v>
      </c>
      <c r="W120" s="24">
        <v>1</v>
      </c>
      <c r="X120" s="24">
        <v>0</v>
      </c>
      <c r="Y120" s="24">
        <v>1</v>
      </c>
    </row>
    <row r="121" spans="1:25" s="27" customFormat="1" ht="14" x14ac:dyDescent="0.2">
      <c r="A121" s="202" t="s">
        <v>465</v>
      </c>
      <c r="B121" s="24" t="s">
        <v>839</v>
      </c>
      <c r="C121" s="224" t="s">
        <v>824</v>
      </c>
      <c r="D121" s="195" t="s">
        <v>148</v>
      </c>
      <c r="E121" s="195" t="s">
        <v>374</v>
      </c>
      <c r="F121" s="195" t="s">
        <v>580</v>
      </c>
      <c r="G121" s="238">
        <v>1380</v>
      </c>
      <c r="H121" s="238">
        <v>1380</v>
      </c>
      <c r="I121" s="238">
        <v>1380</v>
      </c>
      <c r="J121" s="238">
        <v>1380</v>
      </c>
      <c r="K121" s="238">
        <v>317</v>
      </c>
      <c r="L121" s="238">
        <v>300</v>
      </c>
      <c r="M121" s="87"/>
      <c r="N121" s="87"/>
      <c r="O121" s="237"/>
      <c r="P121" s="237"/>
      <c r="Q121" s="237">
        <f>L121/K121</f>
        <v>0.94637223974763407</v>
      </c>
      <c r="R121" s="237">
        <f>L121/J121</f>
        <v>0.21739130434782608</v>
      </c>
      <c r="S121" s="234">
        <f>K121/J121</f>
        <v>0.22971014492753622</v>
      </c>
      <c r="T121" s="87">
        <v>1</v>
      </c>
      <c r="U121" s="87">
        <v>0</v>
      </c>
      <c r="V121" s="87">
        <v>1</v>
      </c>
      <c r="W121" s="87">
        <v>1</v>
      </c>
      <c r="X121" s="87">
        <v>0</v>
      </c>
      <c r="Y121" s="87">
        <v>1</v>
      </c>
    </row>
    <row r="122" spans="1:25" s="27" customFormat="1" ht="14" x14ac:dyDescent="0.2">
      <c r="A122" s="202" t="s">
        <v>465</v>
      </c>
      <c r="B122" s="87" t="s">
        <v>327</v>
      </c>
      <c r="C122" s="191" t="s">
        <v>403</v>
      </c>
      <c r="D122" s="195" t="s">
        <v>82</v>
      </c>
      <c r="E122" s="195" t="s">
        <v>374</v>
      </c>
      <c r="F122" s="195" t="s">
        <v>580</v>
      </c>
      <c r="G122" s="190">
        <v>1217.5999999999999</v>
      </c>
      <c r="H122" s="190">
        <v>1200</v>
      </c>
      <c r="I122" s="190">
        <v>1217.5999999999999</v>
      </c>
      <c r="J122" s="190">
        <v>1217.5999999999999</v>
      </c>
      <c r="K122" s="190">
        <v>293.7</v>
      </c>
      <c r="L122" s="190">
        <v>278.2</v>
      </c>
      <c r="M122" s="87">
        <v>410.15</v>
      </c>
      <c r="N122" s="197">
        <v>807.44999999999993</v>
      </c>
      <c r="O122" s="236">
        <f>M122/L122</f>
        <v>1.4742990654205608</v>
      </c>
      <c r="P122" s="237">
        <f>M122/K122</f>
        <v>1.3964930200885257</v>
      </c>
      <c r="Q122" s="237">
        <f>L122/K122</f>
        <v>0.94722505958461012</v>
      </c>
      <c r="R122" s="237">
        <f>L122/J122</f>
        <v>0.22848226018396847</v>
      </c>
      <c r="S122" s="234">
        <f>K122/J122</f>
        <v>0.24121222076215507</v>
      </c>
      <c r="T122" s="198">
        <v>1</v>
      </c>
      <c r="U122" s="198">
        <v>0</v>
      </c>
      <c r="V122" s="198">
        <f>SUM(T122:U122)</f>
        <v>1</v>
      </c>
      <c r="W122" s="198">
        <v>1</v>
      </c>
      <c r="X122" s="199">
        <v>0</v>
      </c>
      <c r="Y122" s="198">
        <v>1</v>
      </c>
    </row>
    <row r="123" spans="1:25" x14ac:dyDescent="0.15">
      <c r="A123" s="24" t="s">
        <v>77</v>
      </c>
      <c r="B123" s="90" t="s">
        <v>104</v>
      </c>
      <c r="C123" s="24" t="s">
        <v>403</v>
      </c>
      <c r="D123" s="44" t="s">
        <v>83</v>
      </c>
      <c r="E123" s="44" t="s">
        <v>203</v>
      </c>
      <c r="F123" s="44" t="s">
        <v>581</v>
      </c>
      <c r="G123" s="26">
        <v>4769.5</v>
      </c>
      <c r="H123" s="26">
        <v>4877</v>
      </c>
      <c r="I123" s="26">
        <v>4769.5</v>
      </c>
      <c r="J123" s="26">
        <f>M123+N123</f>
        <v>4769.5</v>
      </c>
      <c r="K123" s="26">
        <v>1184.8</v>
      </c>
      <c r="L123" s="27">
        <v>1123</v>
      </c>
      <c r="M123" s="24">
        <v>1468</v>
      </c>
      <c r="N123" s="26">
        <f>2944+357.5</f>
        <v>3301.5</v>
      </c>
      <c r="O123" s="234">
        <f>M123/L123</f>
        <v>1.307212822796082</v>
      </c>
      <c r="P123" s="234">
        <f>M123/K123</f>
        <v>1.2390276839972991</v>
      </c>
      <c r="Q123" s="234">
        <f>L123/K123</f>
        <v>0.94783929777177589</v>
      </c>
      <c r="R123" s="234">
        <f>L123/J123</f>
        <v>0.23545445015200756</v>
      </c>
      <c r="S123" s="234">
        <f>K123/J123</f>
        <v>0.24841178320578677</v>
      </c>
      <c r="T123" s="26">
        <v>1</v>
      </c>
      <c r="U123" s="24">
        <v>0</v>
      </c>
      <c r="V123" s="24">
        <v>1</v>
      </c>
      <c r="W123" s="26">
        <v>1</v>
      </c>
      <c r="X123" s="26">
        <v>0</v>
      </c>
      <c r="Y123" s="26">
        <v>1</v>
      </c>
    </row>
    <row r="124" spans="1:25" ht="14" x14ac:dyDescent="0.2">
      <c r="A124" s="202" t="s">
        <v>465</v>
      </c>
      <c r="B124" s="24" t="s">
        <v>871</v>
      </c>
      <c r="C124" s="224" t="s">
        <v>824</v>
      </c>
      <c r="D124" s="195" t="s">
        <v>148</v>
      </c>
      <c r="E124" s="195" t="s">
        <v>374</v>
      </c>
      <c r="F124" s="195" t="s">
        <v>580</v>
      </c>
      <c r="G124" s="238">
        <v>1575</v>
      </c>
      <c r="H124" s="238">
        <v>1575</v>
      </c>
      <c r="I124" s="238">
        <v>1575</v>
      </c>
      <c r="J124" s="238">
        <v>1575</v>
      </c>
      <c r="K124" s="238">
        <v>365</v>
      </c>
      <c r="L124" s="238">
        <v>346</v>
      </c>
      <c r="M124" s="87"/>
      <c r="N124" s="87"/>
      <c r="O124" s="237"/>
      <c r="P124" s="237"/>
      <c r="Q124" s="237">
        <f>L124/K124</f>
        <v>0.94794520547945205</v>
      </c>
      <c r="R124" s="237">
        <f>L124/J124</f>
        <v>0.21968253968253967</v>
      </c>
      <c r="S124" s="234">
        <f>K124/J124</f>
        <v>0.23174603174603176</v>
      </c>
      <c r="T124" s="87">
        <v>1</v>
      </c>
      <c r="U124" s="87">
        <v>0</v>
      </c>
      <c r="V124" s="87">
        <v>1</v>
      </c>
      <c r="W124" s="87">
        <v>1</v>
      </c>
      <c r="X124" s="87">
        <v>0</v>
      </c>
      <c r="Y124" s="87">
        <v>1</v>
      </c>
    </row>
    <row r="125" spans="1:25" ht="14" x14ac:dyDescent="0.2">
      <c r="A125" s="202" t="s">
        <v>465</v>
      </c>
      <c r="B125" s="24" t="s">
        <v>867</v>
      </c>
      <c r="C125" s="224" t="s">
        <v>824</v>
      </c>
      <c r="D125" s="195" t="s">
        <v>148</v>
      </c>
      <c r="E125" s="195" t="s">
        <v>374</v>
      </c>
      <c r="F125" s="195" t="s">
        <v>580</v>
      </c>
      <c r="G125" s="238">
        <v>1842</v>
      </c>
      <c r="H125" s="238">
        <v>1842</v>
      </c>
      <c r="I125" s="238">
        <v>1842</v>
      </c>
      <c r="J125" s="238">
        <v>1842</v>
      </c>
      <c r="K125" s="238">
        <v>405</v>
      </c>
      <c r="L125" s="238">
        <v>384</v>
      </c>
      <c r="M125" s="87"/>
      <c r="N125" s="87"/>
      <c r="O125" s="237"/>
      <c r="P125" s="237"/>
      <c r="Q125" s="237">
        <f>L125/K125</f>
        <v>0.94814814814814818</v>
      </c>
      <c r="R125" s="237">
        <f>L125/J125</f>
        <v>0.20846905537459284</v>
      </c>
      <c r="S125" s="234">
        <f>K125/J125</f>
        <v>0.21986970684039087</v>
      </c>
      <c r="T125" s="87">
        <v>1</v>
      </c>
      <c r="U125" s="87">
        <v>0</v>
      </c>
      <c r="V125" s="87">
        <v>1</v>
      </c>
      <c r="W125" s="87">
        <v>1</v>
      </c>
      <c r="X125" s="87">
        <v>0</v>
      </c>
      <c r="Y125" s="87">
        <v>1</v>
      </c>
    </row>
    <row r="126" spans="1:25" x14ac:dyDescent="0.15">
      <c r="A126" s="2" t="s">
        <v>16</v>
      </c>
      <c r="B126" s="91" t="s">
        <v>828</v>
      </c>
      <c r="C126" s="1" t="s">
        <v>403</v>
      </c>
      <c r="D126" s="88" t="s">
        <v>82</v>
      </c>
      <c r="E126" s="44" t="s">
        <v>494</v>
      </c>
      <c r="F126" s="44" t="s">
        <v>580</v>
      </c>
      <c r="G126" s="88">
        <v>593</v>
      </c>
      <c r="H126" s="92">
        <v>593</v>
      </c>
      <c r="I126" s="92"/>
      <c r="J126" s="92"/>
      <c r="K126" s="91">
        <v>156</v>
      </c>
      <c r="L126" s="91">
        <v>148</v>
      </c>
      <c r="M126" s="91">
        <v>210</v>
      </c>
      <c r="N126" s="91">
        <v>386</v>
      </c>
      <c r="O126" s="232">
        <f>M126/L126</f>
        <v>1.4189189189189189</v>
      </c>
      <c r="P126" s="234">
        <f>M126/K126</f>
        <v>1.3461538461538463</v>
      </c>
      <c r="Q126" s="233">
        <f>L126/K126</f>
        <v>0.94871794871794868</v>
      </c>
      <c r="R126" s="233"/>
      <c r="T126" s="24">
        <v>0</v>
      </c>
      <c r="U126" s="91">
        <v>1</v>
      </c>
      <c r="V126" s="91">
        <v>1</v>
      </c>
      <c r="W126" s="91">
        <v>1</v>
      </c>
      <c r="X126" s="24">
        <v>0</v>
      </c>
      <c r="Y126" s="91">
        <v>1</v>
      </c>
    </row>
    <row r="127" spans="1:25" ht="14" x14ac:dyDescent="0.2">
      <c r="A127" s="202" t="s">
        <v>465</v>
      </c>
      <c r="B127" s="24" t="s">
        <v>873</v>
      </c>
      <c r="C127" s="224" t="s">
        <v>824</v>
      </c>
      <c r="D127" s="195" t="s">
        <v>148</v>
      </c>
      <c r="E127" s="195" t="s">
        <v>374</v>
      </c>
      <c r="F127" s="195" t="s">
        <v>580</v>
      </c>
      <c r="G127" s="238">
        <v>1646</v>
      </c>
      <c r="H127" s="238">
        <v>1646</v>
      </c>
      <c r="I127" s="238">
        <v>1646</v>
      </c>
      <c r="J127" s="238">
        <v>1646</v>
      </c>
      <c r="K127" s="238">
        <v>390</v>
      </c>
      <c r="L127" s="238">
        <v>370</v>
      </c>
      <c r="M127" s="87"/>
      <c r="N127" s="87"/>
      <c r="O127" s="237"/>
      <c r="P127" s="237"/>
      <c r="Q127" s="237">
        <f>L127/K127</f>
        <v>0.94871794871794868</v>
      </c>
      <c r="R127" s="237">
        <f>L127/J127</f>
        <v>0.22478736330498178</v>
      </c>
      <c r="S127" s="234">
        <f>K127/J127</f>
        <v>0.23693803159173754</v>
      </c>
      <c r="T127" s="87">
        <v>1</v>
      </c>
      <c r="U127" s="87">
        <v>0</v>
      </c>
      <c r="V127" s="87">
        <v>1</v>
      </c>
      <c r="W127" s="87">
        <v>1</v>
      </c>
      <c r="X127" s="87">
        <v>0</v>
      </c>
      <c r="Y127" s="87">
        <v>1</v>
      </c>
    </row>
    <row r="128" spans="1:25" ht="14" x14ac:dyDescent="0.2">
      <c r="A128" s="202" t="s">
        <v>465</v>
      </c>
      <c r="B128" s="24" t="s">
        <v>856</v>
      </c>
      <c r="C128" s="224" t="s">
        <v>824</v>
      </c>
      <c r="D128" s="195" t="s">
        <v>148</v>
      </c>
      <c r="E128" s="225" t="s">
        <v>494</v>
      </c>
      <c r="F128" s="195" t="s">
        <v>580</v>
      </c>
      <c r="G128" s="238">
        <v>1098</v>
      </c>
      <c r="H128" s="238">
        <v>1098</v>
      </c>
      <c r="I128" s="238">
        <v>1098</v>
      </c>
      <c r="J128" s="238">
        <v>1098</v>
      </c>
      <c r="K128" s="238">
        <v>273</v>
      </c>
      <c r="L128" s="238">
        <v>259</v>
      </c>
      <c r="M128" s="87"/>
      <c r="N128" s="87"/>
      <c r="O128" s="237"/>
      <c r="P128" s="237"/>
      <c r="Q128" s="237">
        <f>L128/K128</f>
        <v>0.94871794871794868</v>
      </c>
      <c r="R128" s="237">
        <f>L128/J128</f>
        <v>0.23588342440801457</v>
      </c>
      <c r="S128" s="234">
        <f>K128/J128</f>
        <v>0.24863387978142076</v>
      </c>
      <c r="T128" s="87">
        <v>1</v>
      </c>
      <c r="U128" s="87">
        <v>0</v>
      </c>
      <c r="V128" s="87">
        <v>1</v>
      </c>
      <c r="W128" s="87">
        <v>1</v>
      </c>
      <c r="X128" s="87">
        <v>0</v>
      </c>
      <c r="Y128" s="87">
        <v>1</v>
      </c>
    </row>
    <row r="129" spans="1:25" x14ac:dyDescent="0.15">
      <c r="A129" s="24" t="s">
        <v>77</v>
      </c>
      <c r="B129" s="90" t="s">
        <v>368</v>
      </c>
      <c r="C129" s="24" t="s">
        <v>403</v>
      </c>
      <c r="D129" s="44" t="s">
        <v>148</v>
      </c>
      <c r="E129" s="44" t="s">
        <v>374</v>
      </c>
      <c r="F129" s="44" t="s">
        <v>580</v>
      </c>
      <c r="G129" s="27">
        <v>1933.19</v>
      </c>
      <c r="H129" s="26"/>
      <c r="I129" s="27">
        <v>1933.19</v>
      </c>
      <c r="J129" s="27">
        <f>M129+N129</f>
        <v>1933.19</v>
      </c>
      <c r="K129" s="27">
        <v>545.29999999999995</v>
      </c>
      <c r="L129" s="27">
        <v>517.5</v>
      </c>
      <c r="M129" s="27">
        <v>690.97</v>
      </c>
      <c r="N129" s="27">
        <f>660.31+412.73+169.18</f>
        <v>1242.22</v>
      </c>
      <c r="O129" s="234">
        <f>M129/L129</f>
        <v>1.3352077294685991</v>
      </c>
      <c r="P129" s="234">
        <f>M129/K129</f>
        <v>1.2671373555840824</v>
      </c>
      <c r="Q129" s="234">
        <f>L129/K129</f>
        <v>0.94901888868512752</v>
      </c>
      <c r="R129" s="234">
        <f>L129/J129</f>
        <v>0.26769225994340962</v>
      </c>
      <c r="S129" s="234">
        <f>K129/J129</f>
        <v>0.28207263641959657</v>
      </c>
      <c r="T129" s="26">
        <v>0</v>
      </c>
      <c r="U129" s="24">
        <v>1</v>
      </c>
      <c r="V129" s="24">
        <f>SUM(T129:U129)</f>
        <v>1</v>
      </c>
      <c r="W129" s="26">
        <v>1</v>
      </c>
      <c r="X129" s="26">
        <v>0</v>
      </c>
      <c r="Y129" s="26">
        <v>1</v>
      </c>
    </row>
    <row r="130" spans="1:25" ht="14" x14ac:dyDescent="0.2">
      <c r="A130" s="202" t="s">
        <v>465</v>
      </c>
      <c r="B130" s="24" t="s">
        <v>840</v>
      </c>
      <c r="C130" s="224" t="s">
        <v>824</v>
      </c>
      <c r="D130" s="195" t="s">
        <v>148</v>
      </c>
      <c r="E130" s="225" t="s">
        <v>293</v>
      </c>
      <c r="F130" s="29" t="s">
        <v>580</v>
      </c>
      <c r="G130" s="238">
        <v>2645</v>
      </c>
      <c r="H130" s="238">
        <v>2645</v>
      </c>
      <c r="I130" s="238">
        <v>2645</v>
      </c>
      <c r="J130" s="238">
        <v>2645</v>
      </c>
      <c r="K130" s="238">
        <v>590</v>
      </c>
      <c r="L130" s="238">
        <v>560</v>
      </c>
      <c r="M130" s="87"/>
      <c r="N130" s="87"/>
      <c r="O130" s="237"/>
      <c r="P130" s="237"/>
      <c r="Q130" s="237">
        <f>L130/K130</f>
        <v>0.94915254237288138</v>
      </c>
      <c r="R130" s="237">
        <f>L130/J130</f>
        <v>0.21172022684310018</v>
      </c>
      <c r="S130" s="234">
        <f>K130/J130</f>
        <v>0.22306238185255198</v>
      </c>
      <c r="T130" s="87">
        <v>1</v>
      </c>
      <c r="U130" s="87">
        <v>0</v>
      </c>
      <c r="V130" s="87">
        <v>1</v>
      </c>
      <c r="W130" s="87">
        <v>1</v>
      </c>
      <c r="X130" s="87">
        <v>0</v>
      </c>
      <c r="Y130" s="87">
        <v>1</v>
      </c>
    </row>
    <row r="131" spans="1:25" x14ac:dyDescent="0.15">
      <c r="A131" s="2" t="s">
        <v>16</v>
      </c>
      <c r="B131" s="90" t="s">
        <v>244</v>
      </c>
      <c r="C131" s="1" t="s">
        <v>403</v>
      </c>
      <c r="D131" s="88" t="s">
        <v>82</v>
      </c>
      <c r="E131" s="44" t="s">
        <v>374</v>
      </c>
      <c r="F131" s="44" t="s">
        <v>580</v>
      </c>
      <c r="G131" s="26">
        <v>1199.5</v>
      </c>
      <c r="H131" s="26">
        <v>1500</v>
      </c>
      <c r="I131" s="26">
        <v>1199.5</v>
      </c>
      <c r="J131" s="26">
        <f>M131+N131</f>
        <v>1199.5</v>
      </c>
      <c r="K131" s="26">
        <v>228.3</v>
      </c>
      <c r="L131" s="26">
        <v>216.7</v>
      </c>
      <c r="M131" s="26">
        <v>301.39999999999998</v>
      </c>
      <c r="N131" s="26">
        <f>137.1+220.6+122.7+130.5+287.2</f>
        <v>898.09999999999991</v>
      </c>
      <c r="O131" s="232">
        <f>M131/L131</f>
        <v>1.3908629441624365</v>
      </c>
      <c r="P131" s="234">
        <f>M131/K131</f>
        <v>1.3201927288655277</v>
      </c>
      <c r="Q131" s="233">
        <f>L131/K131</f>
        <v>0.94918966272448524</v>
      </c>
      <c r="R131" s="233">
        <f>L131/J131</f>
        <v>0.1806586077532305</v>
      </c>
      <c r="S131" s="234">
        <f>K131/J131</f>
        <v>0.19032930387661526</v>
      </c>
      <c r="T131" s="26">
        <v>1</v>
      </c>
      <c r="U131" s="24">
        <v>0</v>
      </c>
      <c r="V131" s="26">
        <f>SUM(T131,U131)</f>
        <v>1</v>
      </c>
      <c r="W131" s="26">
        <v>1</v>
      </c>
      <c r="X131" s="26">
        <v>1</v>
      </c>
      <c r="Y131" s="24">
        <v>1</v>
      </c>
    </row>
    <row r="132" spans="1:25" ht="14" x14ac:dyDescent="0.2">
      <c r="A132" s="202" t="s">
        <v>465</v>
      </c>
      <c r="B132" s="87" t="s">
        <v>427</v>
      </c>
      <c r="C132" s="87" t="s">
        <v>458</v>
      </c>
      <c r="D132" s="192" t="s">
        <v>82</v>
      </c>
      <c r="E132" s="195" t="s">
        <v>374</v>
      </c>
      <c r="F132" s="195" t="s">
        <v>580</v>
      </c>
      <c r="G132" s="190">
        <v>1650</v>
      </c>
      <c r="H132" s="190">
        <v>1650</v>
      </c>
      <c r="I132" s="190">
        <v>1650</v>
      </c>
      <c r="J132" s="190">
        <v>1650</v>
      </c>
      <c r="K132" s="190">
        <v>395</v>
      </c>
      <c r="L132" s="190">
        <v>375</v>
      </c>
      <c r="M132" s="190">
        <v>500</v>
      </c>
      <c r="N132" s="87">
        <f>H132-M132</f>
        <v>1150</v>
      </c>
      <c r="O132" s="236">
        <f>M132/L132</f>
        <v>1.3333333333333333</v>
      </c>
      <c r="P132" s="237">
        <f>M132/K132</f>
        <v>1.2658227848101267</v>
      </c>
      <c r="Q132" s="237">
        <f>L132/K132</f>
        <v>0.94936708860759489</v>
      </c>
      <c r="R132" s="237">
        <f>L132/J132</f>
        <v>0.22727272727272727</v>
      </c>
      <c r="S132" s="234">
        <f>K132/J132</f>
        <v>0.23939393939393938</v>
      </c>
      <c r="T132" s="198">
        <v>1</v>
      </c>
      <c r="U132" s="198">
        <v>0</v>
      </c>
      <c r="V132" s="198">
        <f>SUM(T132:U132)</f>
        <v>1</v>
      </c>
      <c r="W132" s="198">
        <v>1</v>
      </c>
      <c r="X132" s="199">
        <v>0</v>
      </c>
      <c r="Y132" s="198">
        <v>1</v>
      </c>
    </row>
    <row r="133" spans="1:25" ht="14" x14ac:dyDescent="0.2">
      <c r="A133" s="202" t="s">
        <v>465</v>
      </c>
      <c r="B133" s="24" t="s">
        <v>887</v>
      </c>
      <c r="C133" s="224" t="s">
        <v>824</v>
      </c>
      <c r="D133" s="195" t="s">
        <v>148</v>
      </c>
      <c r="E133" s="225" t="s">
        <v>494</v>
      </c>
      <c r="F133" s="195" t="s">
        <v>580</v>
      </c>
      <c r="G133" s="24">
        <v>1056</v>
      </c>
      <c r="H133" s="24">
        <v>1056</v>
      </c>
      <c r="I133" s="24">
        <v>1056</v>
      </c>
      <c r="J133" s="24">
        <v>1056</v>
      </c>
      <c r="K133" s="24">
        <v>257</v>
      </c>
      <c r="L133" s="24">
        <v>244</v>
      </c>
      <c r="M133" s="87"/>
      <c r="N133" s="87"/>
      <c r="O133" s="237"/>
      <c r="P133" s="237"/>
      <c r="Q133" s="237">
        <f>L133/K133</f>
        <v>0.94941634241245132</v>
      </c>
      <c r="R133" s="237">
        <f>L133/J133</f>
        <v>0.23106060606060605</v>
      </c>
      <c r="S133" s="234">
        <f>K133/J133</f>
        <v>0.24337121212121213</v>
      </c>
      <c r="T133" s="87">
        <v>1</v>
      </c>
      <c r="U133" s="87">
        <v>0</v>
      </c>
      <c r="V133" s="87">
        <v>1</v>
      </c>
      <c r="W133" s="87">
        <v>1</v>
      </c>
      <c r="X133" s="87">
        <v>0</v>
      </c>
      <c r="Y133" s="87">
        <v>1</v>
      </c>
    </row>
    <row r="134" spans="1:25" ht="14" x14ac:dyDescent="0.2">
      <c r="A134" s="191" t="s">
        <v>19</v>
      </c>
      <c r="B134" s="87" t="s">
        <v>597</v>
      </c>
      <c r="C134" s="191" t="s">
        <v>403</v>
      </c>
      <c r="D134" s="195" t="s">
        <v>82</v>
      </c>
      <c r="E134" s="195" t="s">
        <v>203</v>
      </c>
      <c r="F134" s="195" t="s">
        <v>581</v>
      </c>
      <c r="G134" s="190">
        <v>5241.7</v>
      </c>
      <c r="H134" s="190">
        <v>5334</v>
      </c>
      <c r="I134" s="190">
        <v>5241.7</v>
      </c>
      <c r="J134" s="190">
        <f>N134+M134</f>
        <v>5241.7</v>
      </c>
      <c r="K134" s="190">
        <v>1196</v>
      </c>
      <c r="L134" s="190">
        <v>1136</v>
      </c>
      <c r="M134" s="87">
        <v>1483.7</v>
      </c>
      <c r="N134" s="87">
        <v>3758</v>
      </c>
      <c r="O134" s="236">
        <f>M134/L134</f>
        <v>1.3060739436619719</v>
      </c>
      <c r="P134" s="237">
        <f>M134/K134</f>
        <v>1.2405518394648829</v>
      </c>
      <c r="Q134" s="237">
        <f>L134/K134</f>
        <v>0.94983277591973247</v>
      </c>
      <c r="R134" s="237">
        <f>L134/J134</f>
        <v>0.21672358204399336</v>
      </c>
      <c r="S134" s="234">
        <f>K134/J134</f>
        <v>0.22817025010969724</v>
      </c>
      <c r="T134" s="198">
        <v>1</v>
      </c>
      <c r="U134" s="198">
        <v>0</v>
      </c>
      <c r="V134" s="87">
        <v>1</v>
      </c>
      <c r="W134" s="198">
        <v>1</v>
      </c>
      <c r="X134" s="198">
        <v>0</v>
      </c>
      <c r="Y134" s="198">
        <v>1</v>
      </c>
    </row>
    <row r="135" spans="1:25" x14ac:dyDescent="0.15">
      <c r="A135" s="24" t="s">
        <v>16</v>
      </c>
      <c r="B135" s="24" t="s">
        <v>415</v>
      </c>
      <c r="C135" s="1" t="s">
        <v>458</v>
      </c>
      <c r="D135" s="88" t="s">
        <v>82</v>
      </c>
      <c r="E135" s="44" t="s">
        <v>203</v>
      </c>
      <c r="F135" s="44" t="s">
        <v>581</v>
      </c>
      <c r="G135" s="24">
        <v>2790</v>
      </c>
      <c r="H135" s="24">
        <v>2790</v>
      </c>
      <c r="I135" s="24">
        <v>2790</v>
      </c>
      <c r="J135" s="24">
        <v>2790</v>
      </c>
      <c r="K135" s="24">
        <v>480</v>
      </c>
      <c r="L135" s="24">
        <v>456</v>
      </c>
      <c r="M135" s="24">
        <v>662</v>
      </c>
      <c r="N135" s="26">
        <f>G135-M135</f>
        <v>2128</v>
      </c>
      <c r="O135" s="232">
        <f>M135/L135</f>
        <v>1.4517543859649122</v>
      </c>
      <c r="P135" s="234">
        <f>M135/K135</f>
        <v>1.3791666666666667</v>
      </c>
      <c r="Q135" s="233">
        <f>L135/K135</f>
        <v>0.95</v>
      </c>
      <c r="R135" s="233">
        <f>L135/J135</f>
        <v>0.16344086021505377</v>
      </c>
      <c r="S135" s="234">
        <f>K135/J135</f>
        <v>0.17204301075268819</v>
      </c>
      <c r="T135" s="26">
        <v>1</v>
      </c>
      <c r="U135" s="24">
        <v>0</v>
      </c>
      <c r="V135" s="26">
        <f>SUM(T135,U135)</f>
        <v>1</v>
      </c>
      <c r="W135" s="26">
        <v>1</v>
      </c>
      <c r="X135" s="26">
        <v>0</v>
      </c>
      <c r="Y135" s="24">
        <v>1</v>
      </c>
    </row>
    <row r="136" spans="1:25" ht="14" x14ac:dyDescent="0.2">
      <c r="A136" s="202" t="s">
        <v>465</v>
      </c>
      <c r="B136" s="87" t="s">
        <v>301</v>
      </c>
      <c r="C136" s="191" t="s">
        <v>403</v>
      </c>
      <c r="D136" s="195" t="s">
        <v>82</v>
      </c>
      <c r="E136" s="195" t="s">
        <v>374</v>
      </c>
      <c r="F136" s="195" t="s">
        <v>580</v>
      </c>
      <c r="G136" s="190">
        <v>1300</v>
      </c>
      <c r="H136" s="190">
        <v>1300</v>
      </c>
      <c r="I136" s="190">
        <v>1300</v>
      </c>
      <c r="J136" s="190">
        <v>1300</v>
      </c>
      <c r="K136" s="190">
        <v>300</v>
      </c>
      <c r="L136" s="190">
        <v>285</v>
      </c>
      <c r="M136" s="87">
        <v>363.4</v>
      </c>
      <c r="N136" s="197">
        <v>936.6</v>
      </c>
      <c r="O136" s="236">
        <f>M136/L136</f>
        <v>1.2750877192982455</v>
      </c>
      <c r="P136" s="237">
        <f>M136/K136</f>
        <v>1.2113333333333332</v>
      </c>
      <c r="Q136" s="237">
        <f>L136/K136</f>
        <v>0.95</v>
      </c>
      <c r="R136" s="237">
        <f>L136/J136</f>
        <v>0.21923076923076923</v>
      </c>
      <c r="S136" s="234">
        <f>K136/J136</f>
        <v>0.23076923076923078</v>
      </c>
      <c r="T136" s="198">
        <v>0</v>
      </c>
      <c r="U136" s="198">
        <v>1</v>
      </c>
      <c r="V136" s="198">
        <f>SUM(T136:U136)</f>
        <v>1</v>
      </c>
      <c r="W136" s="198">
        <v>1</v>
      </c>
      <c r="X136" s="199">
        <v>0</v>
      </c>
      <c r="Y136" s="198">
        <v>1</v>
      </c>
    </row>
    <row r="137" spans="1:25" ht="14" x14ac:dyDescent="0.2">
      <c r="A137" s="202" t="s">
        <v>465</v>
      </c>
      <c r="B137" s="87" t="s">
        <v>310</v>
      </c>
      <c r="C137" s="191" t="s">
        <v>403</v>
      </c>
      <c r="D137" s="195" t="s">
        <v>82</v>
      </c>
      <c r="E137" s="195" t="s">
        <v>374</v>
      </c>
      <c r="F137" s="195" t="s">
        <v>580</v>
      </c>
      <c r="G137" s="203">
        <f>489.03+252.1+310.1+413</f>
        <v>1464.23</v>
      </c>
      <c r="H137" s="190">
        <v>1200</v>
      </c>
      <c r="I137" s="203">
        <f>489.03+252.1+310.1+413</f>
        <v>1464.23</v>
      </c>
      <c r="J137" s="203">
        <f>489.03+252.1+310.1+413</f>
        <v>1464.23</v>
      </c>
      <c r="K137" s="190">
        <v>413</v>
      </c>
      <c r="L137" s="190">
        <v>392.4</v>
      </c>
      <c r="M137" s="87">
        <v>528</v>
      </c>
      <c r="N137" s="197">
        <f>J137-M137</f>
        <v>936.23</v>
      </c>
      <c r="O137" s="236">
        <f>M137/L137</f>
        <v>1.345565749235474</v>
      </c>
      <c r="P137" s="237">
        <f>M137/K137</f>
        <v>1.2784503631961259</v>
      </c>
      <c r="Q137" s="237">
        <f>L137/K137</f>
        <v>0.95012106537530261</v>
      </c>
      <c r="R137" s="237">
        <f>L137/J137</f>
        <v>0.26799068452360625</v>
      </c>
      <c r="S137" s="234">
        <f>K137/J137</f>
        <v>0.28205951250828082</v>
      </c>
      <c r="T137" s="198">
        <v>0</v>
      </c>
      <c r="U137" s="198">
        <v>1</v>
      </c>
      <c r="V137" s="198">
        <f>SUM(T137:U137)</f>
        <v>1</v>
      </c>
      <c r="W137" s="198">
        <v>1</v>
      </c>
      <c r="X137" s="199">
        <v>0</v>
      </c>
      <c r="Y137" s="198">
        <v>1</v>
      </c>
    </row>
    <row r="138" spans="1:25" x14ac:dyDescent="0.15">
      <c r="A138" s="24" t="s">
        <v>77</v>
      </c>
      <c r="B138" s="90" t="s">
        <v>120</v>
      </c>
      <c r="C138" s="24" t="s">
        <v>403</v>
      </c>
      <c r="D138" s="44" t="s">
        <v>82</v>
      </c>
      <c r="E138" s="44" t="s">
        <v>203</v>
      </c>
      <c r="F138" s="44" t="s">
        <v>581</v>
      </c>
      <c r="G138" s="26">
        <v>4978</v>
      </c>
      <c r="H138" s="26">
        <v>4978</v>
      </c>
      <c r="I138" s="27">
        <v>4978</v>
      </c>
      <c r="J138" s="27">
        <v>4978</v>
      </c>
      <c r="K138" s="27">
        <v>1315</v>
      </c>
      <c r="L138" s="27">
        <v>1250</v>
      </c>
      <c r="M138" s="27"/>
      <c r="N138" s="27"/>
      <c r="Q138" s="234">
        <f>L138/K138</f>
        <v>0.95057034220532322</v>
      </c>
      <c r="R138" s="234">
        <f>L138/J138</f>
        <v>0.25110486139011651</v>
      </c>
      <c r="S138" s="234">
        <f>K138/J138</f>
        <v>0.26416231418240255</v>
      </c>
      <c r="T138" s="26">
        <v>1</v>
      </c>
      <c r="U138" s="24">
        <v>0</v>
      </c>
      <c r="V138" s="24">
        <f>SUM(T138:U138)</f>
        <v>1</v>
      </c>
      <c r="W138" s="26">
        <v>1</v>
      </c>
      <c r="X138" s="26">
        <v>0</v>
      </c>
      <c r="Y138" s="26">
        <v>1</v>
      </c>
    </row>
    <row r="139" spans="1:25" ht="14" x14ac:dyDescent="0.2">
      <c r="A139" s="202" t="s">
        <v>465</v>
      </c>
      <c r="B139" s="24" t="s">
        <v>861</v>
      </c>
      <c r="C139" s="224" t="s">
        <v>824</v>
      </c>
      <c r="D139" s="195" t="s">
        <v>148</v>
      </c>
      <c r="E139" s="195" t="s">
        <v>494</v>
      </c>
      <c r="F139" s="195" t="s">
        <v>580</v>
      </c>
      <c r="G139" s="238">
        <v>1055</v>
      </c>
      <c r="H139" s="238">
        <v>1055</v>
      </c>
      <c r="I139" s="238">
        <v>1055</v>
      </c>
      <c r="J139" s="238">
        <v>1055</v>
      </c>
      <c r="K139" s="238">
        <v>265</v>
      </c>
      <c r="L139" s="238">
        <v>252</v>
      </c>
      <c r="M139" s="87"/>
      <c r="N139" s="87"/>
      <c r="O139" s="237"/>
      <c r="P139" s="237"/>
      <c r="Q139" s="237">
        <f>L139/K139</f>
        <v>0.95094339622641511</v>
      </c>
      <c r="R139" s="237">
        <f>L139/J139</f>
        <v>0.23886255924170616</v>
      </c>
      <c r="S139" s="234">
        <f>K139/J139</f>
        <v>0.25118483412322273</v>
      </c>
      <c r="T139" s="87">
        <v>1</v>
      </c>
      <c r="U139" s="87">
        <v>0</v>
      </c>
      <c r="V139" s="87">
        <v>1</v>
      </c>
      <c r="W139" s="87">
        <v>1</v>
      </c>
      <c r="X139" s="87">
        <v>0</v>
      </c>
      <c r="Y139" s="87">
        <v>1</v>
      </c>
    </row>
    <row r="140" spans="1:25" ht="14" x14ac:dyDescent="0.2">
      <c r="A140" s="202" t="s">
        <v>465</v>
      </c>
      <c r="B140" s="24" t="s">
        <v>849</v>
      </c>
      <c r="C140" s="224" t="s">
        <v>824</v>
      </c>
      <c r="D140" s="195" t="s">
        <v>148</v>
      </c>
      <c r="E140" s="195" t="s">
        <v>374</v>
      </c>
      <c r="F140" s="195" t="s">
        <v>580</v>
      </c>
      <c r="G140" s="238">
        <v>1413</v>
      </c>
      <c r="H140" s="238">
        <v>1413</v>
      </c>
      <c r="I140" s="238">
        <v>1413</v>
      </c>
      <c r="J140" s="238">
        <v>1413</v>
      </c>
      <c r="K140" s="238">
        <v>327</v>
      </c>
      <c r="L140" s="238">
        <v>311</v>
      </c>
      <c r="M140" s="87"/>
      <c r="N140" s="87"/>
      <c r="O140" s="237"/>
      <c r="P140" s="237"/>
      <c r="Q140" s="237">
        <f>L140/K140</f>
        <v>0.95107033639143734</v>
      </c>
      <c r="R140" s="237">
        <f>L140/J140</f>
        <v>0.22009907997169142</v>
      </c>
      <c r="S140" s="234">
        <f>K140/J140</f>
        <v>0.23142250530785563</v>
      </c>
      <c r="T140" s="87">
        <v>1</v>
      </c>
      <c r="U140" s="87">
        <v>0</v>
      </c>
      <c r="V140" s="87">
        <v>1</v>
      </c>
      <c r="W140" s="87">
        <v>1</v>
      </c>
      <c r="X140" s="87">
        <v>0</v>
      </c>
      <c r="Y140" s="87">
        <v>1</v>
      </c>
    </row>
    <row r="141" spans="1:25" ht="14" x14ac:dyDescent="0.2">
      <c r="A141" s="202" t="s">
        <v>465</v>
      </c>
      <c r="B141" s="24" t="s">
        <v>874</v>
      </c>
      <c r="C141" s="224" t="s">
        <v>824</v>
      </c>
      <c r="D141" s="195" t="s">
        <v>148</v>
      </c>
      <c r="E141" s="195" t="s">
        <v>374</v>
      </c>
      <c r="F141" s="195" t="s">
        <v>580</v>
      </c>
      <c r="G141" s="238">
        <v>1540</v>
      </c>
      <c r="H141" s="238">
        <v>1540</v>
      </c>
      <c r="I141" s="238">
        <v>1540</v>
      </c>
      <c r="J141" s="238">
        <v>1540</v>
      </c>
      <c r="K141" s="238">
        <v>368</v>
      </c>
      <c r="L141" s="238">
        <v>350</v>
      </c>
      <c r="M141" s="87"/>
      <c r="N141" s="87"/>
      <c r="O141" s="237"/>
      <c r="P141" s="237"/>
      <c r="Q141" s="237">
        <f>L141/K141</f>
        <v>0.95108695652173914</v>
      </c>
      <c r="R141" s="237">
        <f>L141/J141</f>
        <v>0.22727272727272727</v>
      </c>
      <c r="S141" s="234">
        <f>K141/J141</f>
        <v>0.23896103896103896</v>
      </c>
      <c r="T141" s="87">
        <v>1</v>
      </c>
      <c r="U141" s="87">
        <v>0</v>
      </c>
      <c r="V141" s="87">
        <v>1</v>
      </c>
      <c r="W141" s="87">
        <v>1</v>
      </c>
      <c r="X141" s="87">
        <v>0</v>
      </c>
      <c r="Y141" s="87">
        <v>1</v>
      </c>
    </row>
    <row r="142" spans="1:25" ht="14" x14ac:dyDescent="0.2">
      <c r="A142" s="202" t="s">
        <v>465</v>
      </c>
      <c r="B142" s="24" t="s">
        <v>869</v>
      </c>
      <c r="C142" s="224" t="s">
        <v>824</v>
      </c>
      <c r="D142" s="195" t="s">
        <v>148</v>
      </c>
      <c r="E142" s="195" t="s">
        <v>374</v>
      </c>
      <c r="F142" s="195" t="s">
        <v>580</v>
      </c>
      <c r="G142" s="238">
        <v>1686</v>
      </c>
      <c r="H142" s="238">
        <v>1686</v>
      </c>
      <c r="I142" s="238">
        <v>1686</v>
      </c>
      <c r="J142" s="238">
        <v>1686</v>
      </c>
      <c r="K142" s="238">
        <v>390</v>
      </c>
      <c r="L142" s="238">
        <v>371</v>
      </c>
      <c r="M142" s="87"/>
      <c r="N142" s="87"/>
      <c r="O142" s="237"/>
      <c r="P142" s="237"/>
      <c r="Q142" s="237">
        <f>L142/K142</f>
        <v>0.95128205128205123</v>
      </c>
      <c r="R142" s="237">
        <f>L142/J142</f>
        <v>0.22004744958481615</v>
      </c>
      <c r="S142" s="234">
        <f>K142/J142</f>
        <v>0.23131672597864769</v>
      </c>
      <c r="T142" s="87">
        <v>1</v>
      </c>
      <c r="U142" s="87">
        <v>0</v>
      </c>
      <c r="V142" s="87">
        <v>1</v>
      </c>
      <c r="W142" s="87">
        <v>1</v>
      </c>
      <c r="X142" s="87">
        <v>0</v>
      </c>
      <c r="Y142" s="87">
        <v>1</v>
      </c>
    </row>
    <row r="143" spans="1:25" x14ac:dyDescent="0.15">
      <c r="A143" s="24" t="s">
        <v>77</v>
      </c>
      <c r="B143" s="90" t="s">
        <v>384</v>
      </c>
      <c r="C143" s="24" t="s">
        <v>403</v>
      </c>
      <c r="D143" s="44" t="s">
        <v>148</v>
      </c>
      <c r="E143" s="44" t="s">
        <v>374</v>
      </c>
      <c r="F143" s="44" t="s">
        <v>580</v>
      </c>
      <c r="G143" s="27">
        <v>1545.5</v>
      </c>
      <c r="H143" s="26">
        <v>1500</v>
      </c>
      <c r="I143" s="27">
        <v>1545.5</v>
      </c>
      <c r="J143" s="27">
        <v>1545.5</v>
      </c>
      <c r="K143" s="27">
        <v>408.8</v>
      </c>
      <c r="L143" s="27">
        <v>389</v>
      </c>
      <c r="M143" s="27">
        <v>511.5</v>
      </c>
      <c r="N143" s="27">
        <v>1034</v>
      </c>
      <c r="O143" s="234">
        <f>M143/L143</f>
        <v>1.3149100257069408</v>
      </c>
      <c r="P143" s="234">
        <f>M143/K143</f>
        <v>1.2512230919765166</v>
      </c>
      <c r="Q143" s="234">
        <f>L143/K143</f>
        <v>0.95156555772994122</v>
      </c>
      <c r="R143" s="234">
        <f>L143/J143</f>
        <v>0.2516984794564866</v>
      </c>
      <c r="S143" s="234">
        <f>K143/J143</f>
        <v>0.26450986735684245</v>
      </c>
      <c r="T143" s="26">
        <v>0</v>
      </c>
      <c r="U143" s="24">
        <v>1</v>
      </c>
      <c r="V143" s="24">
        <f>SUM(T143:U143)</f>
        <v>1</v>
      </c>
      <c r="W143" s="26">
        <v>0</v>
      </c>
      <c r="X143" s="26">
        <v>0</v>
      </c>
      <c r="Y143" s="26">
        <v>1</v>
      </c>
    </row>
    <row r="144" spans="1:25" ht="14" x14ac:dyDescent="0.2">
      <c r="A144" s="202" t="s">
        <v>465</v>
      </c>
      <c r="B144" s="24" t="s">
        <v>841</v>
      </c>
      <c r="C144" s="224" t="s">
        <v>824</v>
      </c>
      <c r="D144" s="195" t="s">
        <v>148</v>
      </c>
      <c r="E144" s="195" t="s">
        <v>374</v>
      </c>
      <c r="F144" s="195" t="s">
        <v>580</v>
      </c>
      <c r="G144" s="238">
        <v>1325</v>
      </c>
      <c r="H144" s="238">
        <v>1325</v>
      </c>
      <c r="I144" s="238">
        <v>1325</v>
      </c>
      <c r="J144" s="238">
        <v>1325</v>
      </c>
      <c r="K144" s="238">
        <v>310</v>
      </c>
      <c r="L144" s="238">
        <v>295</v>
      </c>
      <c r="M144" s="87"/>
      <c r="N144" s="87"/>
      <c r="O144" s="237"/>
      <c r="P144" s="237"/>
      <c r="Q144" s="237">
        <f>L144/K144</f>
        <v>0.95161290322580649</v>
      </c>
      <c r="R144" s="237">
        <f>L144/J144</f>
        <v>0.22264150943396227</v>
      </c>
      <c r="S144" s="234">
        <f>K144/J144</f>
        <v>0.2339622641509434</v>
      </c>
      <c r="T144" s="87">
        <v>1</v>
      </c>
      <c r="U144" s="87">
        <v>0</v>
      </c>
      <c r="V144" s="87">
        <v>1</v>
      </c>
      <c r="W144" s="87">
        <v>1</v>
      </c>
      <c r="X144" s="87">
        <v>0</v>
      </c>
      <c r="Y144" s="87">
        <v>1</v>
      </c>
    </row>
    <row r="145" spans="1:25" ht="14" x14ac:dyDescent="0.2">
      <c r="A145" s="202" t="s">
        <v>465</v>
      </c>
      <c r="B145" s="24" t="s">
        <v>898</v>
      </c>
      <c r="C145" s="224" t="s">
        <v>824</v>
      </c>
      <c r="D145" s="195" t="s">
        <v>148</v>
      </c>
      <c r="E145" s="225" t="s">
        <v>494</v>
      </c>
      <c r="F145" s="195" t="s">
        <v>580</v>
      </c>
      <c r="G145" s="24">
        <v>874</v>
      </c>
      <c r="H145" s="24">
        <v>874</v>
      </c>
      <c r="I145" s="24">
        <v>874</v>
      </c>
      <c r="J145" s="24">
        <v>874</v>
      </c>
      <c r="K145" s="24">
        <v>228</v>
      </c>
      <c r="L145" s="24">
        <v>217</v>
      </c>
      <c r="M145" s="87"/>
      <c r="N145" s="87"/>
      <c r="O145" s="237"/>
      <c r="P145" s="237"/>
      <c r="Q145" s="237">
        <f>L145/K145</f>
        <v>0.95175438596491224</v>
      </c>
      <c r="R145" s="237">
        <f>L145/J145</f>
        <v>0.2482837528604119</v>
      </c>
      <c r="S145" s="234">
        <f>K145/J145</f>
        <v>0.2608695652173913</v>
      </c>
      <c r="T145" s="87">
        <v>1</v>
      </c>
      <c r="U145" s="87">
        <v>0</v>
      </c>
      <c r="V145" s="87">
        <v>1</v>
      </c>
      <c r="W145" s="87">
        <v>1</v>
      </c>
      <c r="X145" s="87">
        <v>0</v>
      </c>
      <c r="Y145" s="87">
        <v>1</v>
      </c>
    </row>
    <row r="146" spans="1:25" ht="14" x14ac:dyDescent="0.2">
      <c r="A146" s="202" t="s">
        <v>465</v>
      </c>
      <c r="B146" s="24" t="s">
        <v>870</v>
      </c>
      <c r="C146" s="224" t="s">
        <v>824</v>
      </c>
      <c r="D146" s="195" t="s">
        <v>148</v>
      </c>
      <c r="E146" s="195" t="s">
        <v>374</v>
      </c>
      <c r="F146" s="195" t="s">
        <v>580</v>
      </c>
      <c r="G146" s="238">
        <v>1582</v>
      </c>
      <c r="H146" s="238">
        <v>1582</v>
      </c>
      <c r="I146" s="238">
        <v>1582</v>
      </c>
      <c r="J146" s="238">
        <v>1582</v>
      </c>
      <c r="K146" s="238">
        <v>374</v>
      </c>
      <c r="L146" s="238">
        <v>356</v>
      </c>
      <c r="M146" s="87"/>
      <c r="N146" s="87"/>
      <c r="O146" s="237"/>
      <c r="P146" s="237"/>
      <c r="Q146" s="237">
        <f>L146/K146</f>
        <v>0.95187165775401072</v>
      </c>
      <c r="R146" s="237">
        <f>L146/J146</f>
        <v>0.22503160556257901</v>
      </c>
      <c r="S146" s="234">
        <f>K146/J146</f>
        <v>0.23640960809102401</v>
      </c>
      <c r="T146" s="87">
        <v>1</v>
      </c>
      <c r="U146" s="87">
        <v>0</v>
      </c>
      <c r="V146" s="87">
        <v>1</v>
      </c>
      <c r="W146" s="87">
        <v>1</v>
      </c>
      <c r="X146" s="87">
        <v>0</v>
      </c>
      <c r="Y146" s="87">
        <v>1</v>
      </c>
    </row>
    <row r="147" spans="1:25" ht="14" x14ac:dyDescent="0.2">
      <c r="A147" s="191" t="s">
        <v>19</v>
      </c>
      <c r="B147" s="87" t="s">
        <v>601</v>
      </c>
      <c r="C147" s="191" t="s">
        <v>403</v>
      </c>
      <c r="D147" s="195" t="s">
        <v>82</v>
      </c>
      <c r="E147" s="195" t="s">
        <v>203</v>
      </c>
      <c r="F147" s="195" t="s">
        <v>581</v>
      </c>
      <c r="G147" s="190">
        <v>5182</v>
      </c>
      <c r="H147" s="190">
        <v>5182</v>
      </c>
      <c r="I147" s="190">
        <v>5182</v>
      </c>
      <c r="J147" s="190">
        <v>5182</v>
      </c>
      <c r="K147" s="190">
        <v>1066</v>
      </c>
      <c r="L147" s="190">
        <v>1015</v>
      </c>
      <c r="M147" s="87">
        <v>1316</v>
      </c>
      <c r="N147" s="87">
        <f>J147-M147</f>
        <v>3866</v>
      </c>
      <c r="O147" s="236">
        <f>M147/L147</f>
        <v>1.296551724137931</v>
      </c>
      <c r="P147" s="237">
        <f>M147/K147</f>
        <v>1.2345215759849906</v>
      </c>
      <c r="Q147" s="237">
        <f>L147/K147</f>
        <v>0.9521575984990619</v>
      </c>
      <c r="R147" s="237">
        <f>L147/J147</f>
        <v>0.19587032033963719</v>
      </c>
      <c r="S147" s="234">
        <f>K147/J147</f>
        <v>0.20571208027788498</v>
      </c>
      <c r="T147" s="198">
        <v>1</v>
      </c>
      <c r="U147" s="198">
        <v>0</v>
      </c>
      <c r="V147" s="87">
        <v>1</v>
      </c>
      <c r="W147" s="198">
        <v>1</v>
      </c>
      <c r="X147" s="198">
        <v>0</v>
      </c>
      <c r="Y147" s="198">
        <v>1</v>
      </c>
    </row>
    <row r="148" spans="1:25" ht="14" x14ac:dyDescent="0.2">
      <c r="A148" s="202" t="s">
        <v>465</v>
      </c>
      <c r="B148" s="24" t="s">
        <v>878</v>
      </c>
      <c r="C148" s="224" t="s">
        <v>824</v>
      </c>
      <c r="D148" s="195" t="s">
        <v>148</v>
      </c>
      <c r="E148" s="195" t="s">
        <v>374</v>
      </c>
      <c r="F148" s="195" t="s">
        <v>580</v>
      </c>
      <c r="G148" s="238">
        <v>1520</v>
      </c>
      <c r="H148" s="238">
        <v>1520</v>
      </c>
      <c r="I148" s="238">
        <v>1520</v>
      </c>
      <c r="J148" s="238">
        <v>1520</v>
      </c>
      <c r="K148" s="238">
        <v>356</v>
      </c>
      <c r="L148" s="238">
        <v>339</v>
      </c>
      <c r="M148" s="87"/>
      <c r="N148" s="87"/>
      <c r="O148" s="237"/>
      <c r="P148" s="237"/>
      <c r="Q148" s="237">
        <f>L148/K148</f>
        <v>0.952247191011236</v>
      </c>
      <c r="R148" s="237">
        <f>L148/J148</f>
        <v>0.22302631578947368</v>
      </c>
      <c r="S148" s="234">
        <f>K148/J148</f>
        <v>0.23421052631578948</v>
      </c>
      <c r="T148" s="87">
        <v>1</v>
      </c>
      <c r="U148" s="87">
        <v>0</v>
      </c>
      <c r="V148" s="87">
        <v>1</v>
      </c>
      <c r="W148" s="87">
        <v>1</v>
      </c>
      <c r="X148" s="87">
        <v>0</v>
      </c>
      <c r="Y148" s="87">
        <v>1</v>
      </c>
    </row>
    <row r="149" spans="1:25" ht="14" x14ac:dyDescent="0.2">
      <c r="A149" s="202" t="s">
        <v>465</v>
      </c>
      <c r="B149" s="24" t="s">
        <v>852</v>
      </c>
      <c r="C149" s="224" t="s">
        <v>824</v>
      </c>
      <c r="D149" s="195" t="s">
        <v>148</v>
      </c>
      <c r="E149" s="195" t="s">
        <v>374</v>
      </c>
      <c r="F149" s="195" t="s">
        <v>580</v>
      </c>
      <c r="G149" s="238">
        <v>1210</v>
      </c>
      <c r="H149" s="238">
        <v>1210</v>
      </c>
      <c r="I149" s="238">
        <v>1210</v>
      </c>
      <c r="J149" s="238">
        <v>1210</v>
      </c>
      <c r="K149" s="238">
        <v>275</v>
      </c>
      <c r="L149" s="238">
        <v>262</v>
      </c>
      <c r="M149" s="87"/>
      <c r="N149" s="87"/>
      <c r="O149" s="237"/>
      <c r="P149" s="237"/>
      <c r="Q149" s="237">
        <f>L149/K149</f>
        <v>0.95272727272727276</v>
      </c>
      <c r="R149" s="237">
        <f>L149/J149</f>
        <v>0.21652892561983472</v>
      </c>
      <c r="S149" s="234">
        <f>K149/J149</f>
        <v>0.22727272727272727</v>
      </c>
      <c r="T149" s="87">
        <v>1</v>
      </c>
      <c r="U149" s="87">
        <v>0</v>
      </c>
      <c r="V149" s="87">
        <v>1</v>
      </c>
      <c r="W149" s="87">
        <v>1</v>
      </c>
      <c r="X149" s="87">
        <v>0</v>
      </c>
      <c r="Y149" s="87">
        <v>1</v>
      </c>
    </row>
    <row r="150" spans="1:25" ht="14" x14ac:dyDescent="0.2">
      <c r="A150" s="202" t="s">
        <v>465</v>
      </c>
      <c r="B150" s="87" t="s">
        <v>345</v>
      </c>
      <c r="C150" s="191" t="s">
        <v>403</v>
      </c>
      <c r="D150" s="195" t="s">
        <v>82</v>
      </c>
      <c r="E150" s="195" t="s">
        <v>374</v>
      </c>
      <c r="F150" s="195" t="s">
        <v>580</v>
      </c>
      <c r="G150" s="190">
        <v>1499</v>
      </c>
      <c r="H150" s="190">
        <v>1800</v>
      </c>
      <c r="I150" s="190">
        <v>1499</v>
      </c>
      <c r="J150" s="190">
        <v>1499</v>
      </c>
      <c r="K150" s="190">
        <v>382</v>
      </c>
      <c r="L150" s="190">
        <v>364</v>
      </c>
      <c r="M150" s="87">
        <v>493.3</v>
      </c>
      <c r="N150" s="197">
        <v>1005.7</v>
      </c>
      <c r="O150" s="236">
        <f>M150/L150</f>
        <v>1.3552197802197803</v>
      </c>
      <c r="P150" s="237">
        <f>M150/K150</f>
        <v>1.2913612565445027</v>
      </c>
      <c r="Q150" s="237">
        <f>L150/K150</f>
        <v>0.95287958115183247</v>
      </c>
      <c r="R150" s="237">
        <f>L150/J150</f>
        <v>0.24282855236824549</v>
      </c>
      <c r="S150" s="234">
        <f>K150/J150</f>
        <v>0.25483655770513675</v>
      </c>
      <c r="T150" s="198">
        <v>0</v>
      </c>
      <c r="U150" s="198">
        <v>1</v>
      </c>
      <c r="V150" s="198">
        <f>SUM(T150:U150)</f>
        <v>1</v>
      </c>
      <c r="W150" s="198">
        <v>1</v>
      </c>
      <c r="X150" s="199">
        <v>0</v>
      </c>
      <c r="Y150" s="190">
        <v>1</v>
      </c>
    </row>
    <row r="151" spans="1:25" ht="14" x14ac:dyDescent="0.2">
      <c r="A151" s="202" t="s">
        <v>465</v>
      </c>
      <c r="B151" s="87" t="s">
        <v>322</v>
      </c>
      <c r="C151" s="191" t="s">
        <v>403</v>
      </c>
      <c r="D151" s="195" t="s">
        <v>96</v>
      </c>
      <c r="E151" s="195" t="s">
        <v>374</v>
      </c>
      <c r="F151" s="195" t="s">
        <v>580</v>
      </c>
      <c r="G151" s="190">
        <f>337.19+626.59+495.45+752.43</f>
        <v>2211.66</v>
      </c>
      <c r="H151" s="190">
        <v>1800</v>
      </c>
      <c r="I151" s="190">
        <f>337.19+626.59+495.45+752.43</f>
        <v>2211.66</v>
      </c>
      <c r="J151" s="190">
        <f>337.19+626.59+495.45+752.43</f>
        <v>2211.66</v>
      </c>
      <c r="K151" s="190">
        <v>598.69000000000005</v>
      </c>
      <c r="L151" s="190">
        <v>570.5</v>
      </c>
      <c r="M151" s="87">
        <v>752.43</v>
      </c>
      <c r="N151" s="197">
        <f>J151-M151</f>
        <v>1459.23</v>
      </c>
      <c r="O151" s="236">
        <f>M151/L151</f>
        <v>1.3188957055214723</v>
      </c>
      <c r="P151" s="237">
        <f>M151/K151</f>
        <v>1.2567940002338438</v>
      </c>
      <c r="Q151" s="237">
        <f>L151/K151</f>
        <v>0.95291386193188454</v>
      </c>
      <c r="R151" s="237">
        <f>L151/J151</f>
        <v>0.25795104129929558</v>
      </c>
      <c r="S151" s="234">
        <f>K151/J151</f>
        <v>0.27069712342765168</v>
      </c>
      <c r="T151" s="198">
        <v>0</v>
      </c>
      <c r="U151" s="198">
        <v>1</v>
      </c>
      <c r="V151" s="198">
        <f>SUM(T151:U151)</f>
        <v>1</v>
      </c>
      <c r="W151" s="198">
        <v>1</v>
      </c>
      <c r="X151" s="199">
        <v>0</v>
      </c>
      <c r="Y151" s="198">
        <v>1</v>
      </c>
    </row>
    <row r="152" spans="1:25" ht="14" x14ac:dyDescent="0.2">
      <c r="A152" s="202" t="s">
        <v>465</v>
      </c>
      <c r="B152" s="24" t="s">
        <v>851</v>
      </c>
      <c r="C152" s="224" t="s">
        <v>824</v>
      </c>
      <c r="D152" s="195" t="s">
        <v>148</v>
      </c>
      <c r="E152" s="195" t="s">
        <v>374</v>
      </c>
      <c r="F152" s="195" t="s">
        <v>580</v>
      </c>
      <c r="G152" s="238">
        <v>1622</v>
      </c>
      <c r="H152" s="238">
        <v>1622</v>
      </c>
      <c r="I152" s="238">
        <v>1622</v>
      </c>
      <c r="J152" s="238">
        <v>1622</v>
      </c>
      <c r="K152" s="238">
        <v>362</v>
      </c>
      <c r="L152" s="238">
        <v>345</v>
      </c>
      <c r="M152" s="87"/>
      <c r="N152" s="87"/>
      <c r="O152" s="237"/>
      <c r="P152" s="237"/>
      <c r="Q152" s="237">
        <f>L152/K152</f>
        <v>0.95303867403314912</v>
      </c>
      <c r="R152" s="237">
        <f>L152/J152</f>
        <v>0.21270036991368679</v>
      </c>
      <c r="S152" s="234">
        <f>K152/J152</f>
        <v>0.22318125770653513</v>
      </c>
      <c r="T152" s="87">
        <v>1</v>
      </c>
      <c r="U152" s="87">
        <v>0</v>
      </c>
      <c r="V152" s="87">
        <v>1</v>
      </c>
      <c r="W152" s="87">
        <v>1</v>
      </c>
      <c r="X152" s="87">
        <v>0</v>
      </c>
      <c r="Y152" s="87">
        <v>1</v>
      </c>
    </row>
    <row r="153" spans="1:25" x14ac:dyDescent="0.15">
      <c r="A153" s="90" t="s">
        <v>16</v>
      </c>
      <c r="B153" s="24" t="s">
        <v>818</v>
      </c>
      <c r="C153" s="24" t="s">
        <v>824</v>
      </c>
      <c r="D153" s="138" t="s">
        <v>148</v>
      </c>
      <c r="E153" s="30" t="s">
        <v>374</v>
      </c>
      <c r="F153" s="44" t="s">
        <v>580</v>
      </c>
      <c r="G153" s="24">
        <v>1360</v>
      </c>
      <c r="H153" s="24">
        <v>1360</v>
      </c>
      <c r="I153" s="24">
        <v>1360</v>
      </c>
      <c r="J153" s="24">
        <v>1360</v>
      </c>
      <c r="K153" s="24">
        <v>277</v>
      </c>
      <c r="L153" s="24">
        <v>264</v>
      </c>
      <c r="Q153" s="234">
        <f>L153/K153</f>
        <v>0.95306859205776173</v>
      </c>
      <c r="R153" s="234">
        <f>L153/J153</f>
        <v>0.19411764705882353</v>
      </c>
      <c r="S153" s="234">
        <f>K153/J153</f>
        <v>0.20367647058823529</v>
      </c>
      <c r="T153" s="24">
        <v>1</v>
      </c>
      <c r="U153" s="24">
        <v>0</v>
      </c>
      <c r="V153" s="26">
        <f>SUM(T153,U153)</f>
        <v>1</v>
      </c>
      <c r="W153" s="24">
        <v>1</v>
      </c>
      <c r="X153" s="24">
        <v>0</v>
      </c>
      <c r="Y153" s="24">
        <v>1</v>
      </c>
    </row>
    <row r="154" spans="1:25" ht="14" x14ac:dyDescent="0.2">
      <c r="A154" s="202" t="s">
        <v>465</v>
      </c>
      <c r="B154" s="24" t="s">
        <v>884</v>
      </c>
      <c r="C154" s="224" t="s">
        <v>824</v>
      </c>
      <c r="D154" s="195" t="s">
        <v>148</v>
      </c>
      <c r="E154" s="195" t="s">
        <v>374</v>
      </c>
      <c r="F154" s="195" t="s">
        <v>580</v>
      </c>
      <c r="G154" s="24">
        <v>1733</v>
      </c>
      <c r="H154" s="24">
        <v>1733</v>
      </c>
      <c r="I154" s="24">
        <v>1733</v>
      </c>
      <c r="J154" s="24">
        <v>1733</v>
      </c>
      <c r="K154" s="24">
        <v>430</v>
      </c>
      <c r="L154" s="24">
        <v>410</v>
      </c>
      <c r="M154" s="87"/>
      <c r="N154" s="87"/>
      <c r="O154" s="237"/>
      <c r="P154" s="237"/>
      <c r="Q154" s="237">
        <f>L154/K154</f>
        <v>0.95348837209302328</v>
      </c>
      <c r="R154" s="237">
        <f>L154/J154</f>
        <v>0.23658395845354876</v>
      </c>
      <c r="S154" s="234">
        <f>K154/J154</f>
        <v>0.24812463935372187</v>
      </c>
      <c r="T154" s="87">
        <v>1</v>
      </c>
      <c r="U154" s="87">
        <v>0</v>
      </c>
      <c r="V154" s="87">
        <v>1</v>
      </c>
      <c r="W154" s="87">
        <v>1</v>
      </c>
      <c r="X154" s="87">
        <v>0</v>
      </c>
      <c r="Y154" s="87">
        <v>1</v>
      </c>
    </row>
    <row r="155" spans="1:25" ht="14" x14ac:dyDescent="0.2">
      <c r="A155" s="202" t="s">
        <v>465</v>
      </c>
      <c r="B155" s="205" t="s">
        <v>344</v>
      </c>
      <c r="C155" s="191" t="s">
        <v>403</v>
      </c>
      <c r="D155" s="195" t="s">
        <v>82</v>
      </c>
      <c r="E155" s="195" t="s">
        <v>374</v>
      </c>
      <c r="F155" s="195" t="s">
        <v>580</v>
      </c>
      <c r="G155" s="190">
        <v>1427.7</v>
      </c>
      <c r="H155" s="190">
        <v>1800</v>
      </c>
      <c r="I155" s="190">
        <v>1427.7</v>
      </c>
      <c r="J155" s="203">
        <f>N155+M155</f>
        <v>1427.7000000000003</v>
      </c>
      <c r="K155" s="190">
        <v>336.5</v>
      </c>
      <c r="L155" s="190">
        <v>320.86</v>
      </c>
      <c r="M155" s="87">
        <v>440.1</v>
      </c>
      <c r="N155" s="197">
        <f>243.33+412.1+332.17</f>
        <v>987.60000000000014</v>
      </c>
      <c r="O155" s="236">
        <f>M155/L155</f>
        <v>1.3716262544411892</v>
      </c>
      <c r="P155" s="237">
        <f>M155/K155</f>
        <v>1.3078751857355126</v>
      </c>
      <c r="Q155" s="237">
        <f>L155/K155</f>
        <v>0.95352154531946509</v>
      </c>
      <c r="R155" s="237">
        <f>L155/J155</f>
        <v>0.22473909084541566</v>
      </c>
      <c r="S155" s="234">
        <f>K155/J155</f>
        <v>0.23569377320165297</v>
      </c>
      <c r="T155" s="198">
        <v>0</v>
      </c>
      <c r="U155" s="198">
        <v>1</v>
      </c>
      <c r="V155" s="198">
        <f>SUM(T155:U155)</f>
        <v>1</v>
      </c>
      <c r="W155" s="198">
        <v>1</v>
      </c>
      <c r="X155" s="199">
        <v>0</v>
      </c>
      <c r="Y155" s="198">
        <v>1</v>
      </c>
    </row>
    <row r="156" spans="1:25" ht="14" x14ac:dyDescent="0.2">
      <c r="A156" s="202" t="s">
        <v>465</v>
      </c>
      <c r="B156" s="24" t="s">
        <v>877</v>
      </c>
      <c r="C156" s="224" t="s">
        <v>824</v>
      </c>
      <c r="D156" s="195" t="s">
        <v>148</v>
      </c>
      <c r="E156" s="195" t="s">
        <v>374</v>
      </c>
      <c r="F156" s="195" t="s">
        <v>580</v>
      </c>
      <c r="G156" s="238">
        <v>1647</v>
      </c>
      <c r="H156" s="238">
        <v>1647</v>
      </c>
      <c r="I156" s="238">
        <v>1647</v>
      </c>
      <c r="J156" s="238">
        <v>1647</v>
      </c>
      <c r="K156" s="238">
        <v>370</v>
      </c>
      <c r="L156" s="238">
        <v>353</v>
      </c>
      <c r="M156" s="87"/>
      <c r="N156" s="87"/>
      <c r="O156" s="237"/>
      <c r="P156" s="237"/>
      <c r="Q156" s="237">
        <f>L156/K156</f>
        <v>0.95405405405405408</v>
      </c>
      <c r="R156" s="237">
        <f>L156/J156</f>
        <v>0.2143290831815422</v>
      </c>
      <c r="S156" s="234">
        <f>K156/J156</f>
        <v>0.2246508803885853</v>
      </c>
      <c r="T156" s="87">
        <v>1</v>
      </c>
      <c r="U156" s="87">
        <v>0</v>
      </c>
      <c r="V156" s="87">
        <v>1</v>
      </c>
      <c r="W156" s="87">
        <v>1</v>
      </c>
      <c r="X156" s="87">
        <v>0</v>
      </c>
      <c r="Y156" s="87">
        <v>1</v>
      </c>
    </row>
    <row r="157" spans="1:25" x14ac:dyDescent="0.15">
      <c r="A157" s="2" t="s">
        <v>16</v>
      </c>
      <c r="B157" s="1" t="s">
        <v>715</v>
      </c>
      <c r="C157" s="26" t="s">
        <v>458</v>
      </c>
      <c r="D157" s="88" t="s">
        <v>82</v>
      </c>
      <c r="E157" s="44" t="s">
        <v>293</v>
      </c>
      <c r="F157" s="44" t="s">
        <v>580</v>
      </c>
      <c r="G157" s="39">
        <v>1940</v>
      </c>
      <c r="H157" s="39">
        <v>1940</v>
      </c>
      <c r="I157" s="39">
        <v>1940</v>
      </c>
      <c r="J157" s="39">
        <v>1940</v>
      </c>
      <c r="K157" s="39">
        <v>349</v>
      </c>
      <c r="L157" s="39">
        <v>333</v>
      </c>
      <c r="M157" s="39"/>
      <c r="N157" s="39"/>
      <c r="Q157" s="234">
        <f>L157/K157</f>
        <v>0.95415472779369626</v>
      </c>
      <c r="R157" s="233">
        <f>L157/J157</f>
        <v>0.17164948453608248</v>
      </c>
      <c r="S157" s="234">
        <f>K157/J157</f>
        <v>0.17989690721649484</v>
      </c>
      <c r="T157" s="24">
        <v>1</v>
      </c>
      <c r="U157" s="24">
        <v>0</v>
      </c>
      <c r="V157" s="24">
        <f>SUM(T157,U157)</f>
        <v>1</v>
      </c>
      <c r="W157" s="24">
        <v>1</v>
      </c>
      <c r="X157" s="24">
        <v>0</v>
      </c>
      <c r="Y157" s="24">
        <v>1</v>
      </c>
    </row>
    <row r="158" spans="1:25" ht="14" x14ac:dyDescent="0.2">
      <c r="A158" s="202" t="s">
        <v>465</v>
      </c>
      <c r="B158" s="24" t="s">
        <v>890</v>
      </c>
      <c r="C158" s="224" t="s">
        <v>824</v>
      </c>
      <c r="D158" s="195" t="s">
        <v>148</v>
      </c>
      <c r="E158" s="195" t="s">
        <v>374</v>
      </c>
      <c r="F158" s="195" t="s">
        <v>580</v>
      </c>
      <c r="G158" s="24">
        <v>1316</v>
      </c>
      <c r="H158" s="24">
        <v>1316</v>
      </c>
      <c r="I158" s="24">
        <v>1316</v>
      </c>
      <c r="J158" s="24">
        <v>1316</v>
      </c>
      <c r="K158" s="24">
        <v>306</v>
      </c>
      <c r="L158" s="24">
        <v>292</v>
      </c>
      <c r="M158" s="87"/>
      <c r="N158" s="87"/>
      <c r="O158" s="237"/>
      <c r="P158" s="237"/>
      <c r="Q158" s="237">
        <f>L158/K158</f>
        <v>0.95424836601307195</v>
      </c>
      <c r="R158" s="237">
        <f>L158/J158</f>
        <v>0.22188449848024316</v>
      </c>
      <c r="S158" s="234">
        <f>K158/J158</f>
        <v>0.23252279635258358</v>
      </c>
      <c r="T158" s="87">
        <v>1</v>
      </c>
      <c r="U158" s="87">
        <v>0</v>
      </c>
      <c r="V158" s="87">
        <v>1</v>
      </c>
      <c r="W158" s="87">
        <v>1</v>
      </c>
      <c r="X158" s="87">
        <v>0</v>
      </c>
      <c r="Y158" s="87">
        <v>1</v>
      </c>
    </row>
    <row r="159" spans="1:25" ht="14" x14ac:dyDescent="0.2">
      <c r="A159" s="202" t="s">
        <v>465</v>
      </c>
      <c r="B159" s="87" t="s">
        <v>434</v>
      </c>
      <c r="C159" s="87" t="s">
        <v>458</v>
      </c>
      <c r="D159" s="192" t="s">
        <v>82</v>
      </c>
      <c r="E159" s="195" t="s">
        <v>374</v>
      </c>
      <c r="F159" s="195" t="s">
        <v>580</v>
      </c>
      <c r="G159" s="190">
        <v>2370</v>
      </c>
      <c r="H159" s="190">
        <v>2370</v>
      </c>
      <c r="I159" s="190">
        <v>2370</v>
      </c>
      <c r="J159" s="190">
        <v>2370</v>
      </c>
      <c r="K159" s="190">
        <v>550</v>
      </c>
      <c r="L159" s="190">
        <v>525</v>
      </c>
      <c r="M159" s="190"/>
      <c r="N159" s="87"/>
      <c r="O159" s="236"/>
      <c r="P159" s="237"/>
      <c r="Q159" s="237">
        <f>L159/K159</f>
        <v>0.95454545454545459</v>
      </c>
      <c r="R159" s="237">
        <f>L159/J159</f>
        <v>0.22151898734177214</v>
      </c>
      <c r="S159" s="234">
        <f>K159/J159</f>
        <v>0.2320675105485232</v>
      </c>
      <c r="T159" s="198">
        <v>1</v>
      </c>
      <c r="U159" s="198">
        <v>0</v>
      </c>
      <c r="V159" s="198">
        <f>SUM(T159:U159)</f>
        <v>1</v>
      </c>
      <c r="W159" s="198">
        <v>1</v>
      </c>
      <c r="X159" s="199">
        <v>0</v>
      </c>
      <c r="Y159" s="198">
        <v>1</v>
      </c>
    </row>
    <row r="160" spans="1:25" ht="14" x14ac:dyDescent="0.2">
      <c r="A160" s="202" t="s">
        <v>465</v>
      </c>
      <c r="B160" s="87" t="s">
        <v>459</v>
      </c>
      <c r="C160" s="87" t="s">
        <v>458</v>
      </c>
      <c r="D160" s="192" t="s">
        <v>82</v>
      </c>
      <c r="E160" s="195" t="s">
        <v>374</v>
      </c>
      <c r="F160" s="195" t="s">
        <v>580</v>
      </c>
      <c r="G160" s="190">
        <v>1640</v>
      </c>
      <c r="H160" s="190">
        <v>1640</v>
      </c>
      <c r="I160" s="190">
        <v>1640</v>
      </c>
      <c r="J160" s="190">
        <v>1640</v>
      </c>
      <c r="K160" s="190">
        <v>375</v>
      </c>
      <c r="L160" s="190">
        <v>358</v>
      </c>
      <c r="M160" s="190">
        <v>481</v>
      </c>
      <c r="N160" s="87">
        <f>H160-M160</f>
        <v>1159</v>
      </c>
      <c r="O160" s="236">
        <f>M160/L160</f>
        <v>1.3435754189944134</v>
      </c>
      <c r="P160" s="237">
        <f>M160/K160</f>
        <v>1.2826666666666666</v>
      </c>
      <c r="Q160" s="237">
        <f>L160/K160</f>
        <v>0.95466666666666666</v>
      </c>
      <c r="R160" s="237">
        <f>L160/J160</f>
        <v>0.21829268292682927</v>
      </c>
      <c r="S160" s="234">
        <f>K160/J160</f>
        <v>0.22865853658536586</v>
      </c>
      <c r="T160" s="198">
        <v>1</v>
      </c>
      <c r="U160" s="198">
        <v>0</v>
      </c>
      <c r="V160" s="198">
        <f>SUM(T160:U160)</f>
        <v>1</v>
      </c>
      <c r="W160" s="198">
        <v>1</v>
      </c>
      <c r="X160" s="199">
        <v>0</v>
      </c>
      <c r="Y160" s="198">
        <v>1</v>
      </c>
    </row>
    <row r="161" spans="1:25" ht="14" x14ac:dyDescent="0.2">
      <c r="A161" s="202" t="s">
        <v>465</v>
      </c>
      <c r="B161" s="24" t="s">
        <v>864</v>
      </c>
      <c r="C161" s="224" t="s">
        <v>824</v>
      </c>
      <c r="D161" s="195" t="s">
        <v>148</v>
      </c>
      <c r="E161" s="195" t="s">
        <v>374</v>
      </c>
      <c r="F161" s="195" t="s">
        <v>580</v>
      </c>
      <c r="G161" s="238">
        <v>1460</v>
      </c>
      <c r="H161" s="238">
        <v>1460</v>
      </c>
      <c r="I161" s="238">
        <v>1460</v>
      </c>
      <c r="J161" s="238">
        <v>1460</v>
      </c>
      <c r="K161" s="238">
        <v>331</v>
      </c>
      <c r="L161" s="238">
        <v>316</v>
      </c>
      <c r="M161" s="87"/>
      <c r="N161" s="87"/>
      <c r="O161" s="237"/>
      <c r="P161" s="237"/>
      <c r="Q161" s="237">
        <f>L161/K161</f>
        <v>0.9546827794561934</v>
      </c>
      <c r="R161" s="237">
        <f>L161/J161</f>
        <v>0.21643835616438356</v>
      </c>
      <c r="S161" s="234">
        <f>K161/J161</f>
        <v>0.2267123287671233</v>
      </c>
      <c r="T161" s="87">
        <v>1</v>
      </c>
      <c r="U161" s="87">
        <v>0</v>
      </c>
      <c r="V161" s="87">
        <v>1</v>
      </c>
      <c r="W161" s="87">
        <v>1</v>
      </c>
      <c r="X161" s="87">
        <v>0</v>
      </c>
      <c r="Y161" s="87">
        <v>1</v>
      </c>
    </row>
    <row r="162" spans="1:25" ht="14" x14ac:dyDescent="0.2">
      <c r="A162" s="202" t="s">
        <v>465</v>
      </c>
      <c r="B162" s="24" t="s">
        <v>855</v>
      </c>
      <c r="C162" s="224" t="s">
        <v>824</v>
      </c>
      <c r="D162" s="195" t="s">
        <v>148</v>
      </c>
      <c r="E162" s="225" t="s">
        <v>494</v>
      </c>
      <c r="F162" s="195" t="s">
        <v>580</v>
      </c>
      <c r="G162" s="238">
        <v>980</v>
      </c>
      <c r="H162" s="238">
        <v>980</v>
      </c>
      <c r="I162" s="238">
        <v>980</v>
      </c>
      <c r="J162" s="238">
        <v>980</v>
      </c>
      <c r="K162" s="238">
        <v>243</v>
      </c>
      <c r="L162" s="238">
        <v>232</v>
      </c>
      <c r="M162" s="87"/>
      <c r="N162" s="87"/>
      <c r="O162" s="237"/>
      <c r="P162" s="237"/>
      <c r="Q162" s="237">
        <f>L162/K162</f>
        <v>0.95473251028806583</v>
      </c>
      <c r="R162" s="237">
        <f>L162/J162</f>
        <v>0.23673469387755103</v>
      </c>
      <c r="S162" s="234">
        <f>K162/J162</f>
        <v>0.24795918367346939</v>
      </c>
      <c r="T162" s="87">
        <v>1</v>
      </c>
      <c r="U162" s="87">
        <v>0</v>
      </c>
      <c r="V162" s="87">
        <v>1</v>
      </c>
      <c r="W162" s="87">
        <v>1</v>
      </c>
      <c r="X162" s="87">
        <v>0</v>
      </c>
      <c r="Y162" s="87">
        <v>1</v>
      </c>
    </row>
    <row r="163" spans="1:25" x14ac:dyDescent="0.15">
      <c r="A163" s="90" t="s">
        <v>16</v>
      </c>
      <c r="B163" s="24" t="s">
        <v>821</v>
      </c>
      <c r="C163" s="24" t="s">
        <v>824</v>
      </c>
      <c r="D163" s="138" t="s">
        <v>148</v>
      </c>
      <c r="E163" s="44" t="s">
        <v>293</v>
      </c>
      <c r="F163" s="44" t="s">
        <v>580</v>
      </c>
      <c r="G163" s="24">
        <v>1980</v>
      </c>
      <c r="H163" s="24">
        <v>1980</v>
      </c>
      <c r="I163" s="24">
        <v>1980</v>
      </c>
      <c r="J163" s="24">
        <v>1980</v>
      </c>
      <c r="K163" s="24">
        <v>378</v>
      </c>
      <c r="L163" s="24">
        <v>361</v>
      </c>
      <c r="Q163" s="234">
        <f>L163/K163</f>
        <v>0.955026455026455</v>
      </c>
      <c r="R163" s="234">
        <f>L163/J163</f>
        <v>0.18232323232323233</v>
      </c>
      <c r="S163" s="234">
        <f>K163/J163</f>
        <v>0.19090909090909092</v>
      </c>
      <c r="T163" s="24">
        <v>1</v>
      </c>
      <c r="U163" s="24">
        <v>0</v>
      </c>
      <c r="V163" s="26">
        <f>SUM(T163,U163)</f>
        <v>1</v>
      </c>
      <c r="W163" s="24">
        <v>1</v>
      </c>
      <c r="X163" s="24">
        <v>0</v>
      </c>
      <c r="Y163" s="24">
        <v>1</v>
      </c>
    </row>
    <row r="164" spans="1:25" ht="14" x14ac:dyDescent="0.2">
      <c r="A164" s="191" t="s">
        <v>19</v>
      </c>
      <c r="B164" s="87" t="s">
        <v>734</v>
      </c>
      <c r="C164" s="202" t="s">
        <v>403</v>
      </c>
      <c r="D164" s="195" t="s">
        <v>82</v>
      </c>
      <c r="E164" s="195" t="s">
        <v>203</v>
      </c>
      <c r="F164" s="195" t="s">
        <v>581</v>
      </c>
      <c r="G164" s="190">
        <v>5600</v>
      </c>
      <c r="H164" s="190">
        <v>5600</v>
      </c>
      <c r="I164" s="190">
        <v>5600</v>
      </c>
      <c r="J164" s="190">
        <v>5600</v>
      </c>
      <c r="K164" s="190">
        <v>1245.4000000000001</v>
      </c>
      <c r="L164" s="190">
        <v>1189.5999999999999</v>
      </c>
      <c r="M164" s="190">
        <v>1524.5</v>
      </c>
      <c r="N164" s="87">
        <f>J164-M164</f>
        <v>4075.5</v>
      </c>
      <c r="O164" s="236">
        <f>M164/L164</f>
        <v>1.281523201075992</v>
      </c>
      <c r="P164" s="237">
        <f>M164/K164</f>
        <v>1.2241047053155611</v>
      </c>
      <c r="Q164" s="237">
        <f>L164/K164</f>
        <v>0.9551951180343663</v>
      </c>
      <c r="R164" s="237">
        <f>L164/J164</f>
        <v>0.21242857142857141</v>
      </c>
      <c r="S164" s="234">
        <f>K164/J164</f>
        <v>0.22239285714285717</v>
      </c>
      <c r="T164" s="198">
        <v>1</v>
      </c>
      <c r="U164" s="198">
        <v>0</v>
      </c>
      <c r="V164" s="87">
        <v>1</v>
      </c>
      <c r="W164" s="198">
        <v>1</v>
      </c>
      <c r="X164" s="199">
        <v>1</v>
      </c>
      <c r="Y164" s="198">
        <v>1</v>
      </c>
    </row>
    <row r="165" spans="1:25" ht="14" x14ac:dyDescent="0.2">
      <c r="A165" s="202" t="s">
        <v>465</v>
      </c>
      <c r="B165" s="87" t="s">
        <v>435</v>
      </c>
      <c r="C165" s="87" t="s">
        <v>458</v>
      </c>
      <c r="D165" s="192" t="s">
        <v>82</v>
      </c>
      <c r="E165" s="195" t="s">
        <v>494</v>
      </c>
      <c r="F165" s="195" t="s">
        <v>580</v>
      </c>
      <c r="G165" s="190">
        <v>1150</v>
      </c>
      <c r="H165" s="190">
        <v>1150</v>
      </c>
      <c r="I165" s="190">
        <v>1150</v>
      </c>
      <c r="J165" s="190">
        <v>1150</v>
      </c>
      <c r="K165" s="190">
        <v>270</v>
      </c>
      <c r="L165" s="190">
        <v>258</v>
      </c>
      <c r="M165" s="190">
        <v>340</v>
      </c>
      <c r="N165" s="87">
        <f>H165-M165</f>
        <v>810</v>
      </c>
      <c r="O165" s="236">
        <f>M165/L165</f>
        <v>1.317829457364341</v>
      </c>
      <c r="P165" s="237">
        <f>M165/K165</f>
        <v>1.2592592592592593</v>
      </c>
      <c r="Q165" s="237">
        <f>L165/K165</f>
        <v>0.9555555555555556</v>
      </c>
      <c r="R165" s="237">
        <f>L165/J165</f>
        <v>0.22434782608695653</v>
      </c>
      <c r="S165" s="234">
        <f>K165/J165</f>
        <v>0.23478260869565218</v>
      </c>
      <c r="T165" s="198">
        <v>1</v>
      </c>
      <c r="U165" s="198">
        <v>0</v>
      </c>
      <c r="V165" s="198">
        <f>SUM(T165:U165)</f>
        <v>1</v>
      </c>
      <c r="W165" s="198">
        <v>1</v>
      </c>
      <c r="X165" s="199">
        <v>0</v>
      </c>
      <c r="Y165" s="198">
        <v>1</v>
      </c>
    </row>
    <row r="166" spans="1:25" ht="14" x14ac:dyDescent="0.2">
      <c r="A166" s="202" t="s">
        <v>465</v>
      </c>
      <c r="B166" s="24" t="s">
        <v>844</v>
      </c>
      <c r="C166" s="224" t="s">
        <v>824</v>
      </c>
      <c r="D166" s="195" t="s">
        <v>148</v>
      </c>
      <c r="E166" s="225" t="s">
        <v>494</v>
      </c>
      <c r="F166" s="195" t="s">
        <v>580</v>
      </c>
      <c r="G166" s="238">
        <v>1028</v>
      </c>
      <c r="H166" s="238">
        <v>1028</v>
      </c>
      <c r="I166" s="238">
        <v>1028</v>
      </c>
      <c r="J166" s="238">
        <v>1028</v>
      </c>
      <c r="K166" s="238">
        <v>248</v>
      </c>
      <c r="L166" s="238">
        <v>237</v>
      </c>
      <c r="M166" s="87"/>
      <c r="N166" s="87"/>
      <c r="O166" s="237"/>
      <c r="P166" s="237"/>
      <c r="Q166" s="237">
        <f>L166/K166</f>
        <v>0.95564516129032262</v>
      </c>
      <c r="R166" s="237">
        <f>L166/J166</f>
        <v>0.23054474708171208</v>
      </c>
      <c r="S166" s="234">
        <f>K166/J166</f>
        <v>0.24124513618677043</v>
      </c>
      <c r="T166" s="87">
        <v>1</v>
      </c>
      <c r="U166" s="87">
        <v>0</v>
      </c>
      <c r="V166" s="87">
        <v>1</v>
      </c>
      <c r="W166" s="87">
        <v>1</v>
      </c>
      <c r="X166" s="87">
        <v>0</v>
      </c>
      <c r="Y166" s="87">
        <v>1</v>
      </c>
    </row>
    <row r="167" spans="1:25" x14ac:dyDescent="0.15">
      <c r="A167" s="90" t="s">
        <v>16</v>
      </c>
      <c r="B167" s="90" t="s">
        <v>810</v>
      </c>
      <c r="C167" s="24" t="s">
        <v>824</v>
      </c>
      <c r="D167" s="88" t="s">
        <v>148</v>
      </c>
      <c r="E167" s="44" t="s">
        <v>374</v>
      </c>
      <c r="F167" s="44" t="s">
        <v>580</v>
      </c>
      <c r="G167" s="24">
        <v>1622</v>
      </c>
      <c r="H167" s="24">
        <v>1622</v>
      </c>
      <c r="I167" s="24">
        <v>1622</v>
      </c>
      <c r="J167" s="24">
        <v>1622</v>
      </c>
      <c r="K167" s="24">
        <v>320</v>
      </c>
      <c r="L167" s="24">
        <v>306</v>
      </c>
      <c r="Q167" s="234">
        <f>L167/K167</f>
        <v>0.95625000000000004</v>
      </c>
      <c r="R167" s="234">
        <f>L167/J167</f>
        <v>0.18865598027127004</v>
      </c>
      <c r="S167" s="234">
        <f>K167/J167</f>
        <v>0.19728729963008632</v>
      </c>
      <c r="T167" s="24">
        <v>1</v>
      </c>
      <c r="U167" s="24">
        <v>0</v>
      </c>
      <c r="V167" s="26">
        <f>SUM(T167,U167)</f>
        <v>1</v>
      </c>
      <c r="W167" s="24">
        <v>1</v>
      </c>
      <c r="X167" s="24">
        <v>0</v>
      </c>
      <c r="Y167" s="24">
        <v>1</v>
      </c>
    </row>
    <row r="168" spans="1:25" ht="14" x14ac:dyDescent="0.2">
      <c r="A168" s="202" t="s">
        <v>465</v>
      </c>
      <c r="B168" s="24" t="s">
        <v>891</v>
      </c>
      <c r="C168" s="224" t="s">
        <v>824</v>
      </c>
      <c r="D168" s="195" t="s">
        <v>148</v>
      </c>
      <c r="E168" s="195" t="s">
        <v>374</v>
      </c>
      <c r="F168" s="195" t="s">
        <v>580</v>
      </c>
      <c r="G168" s="24">
        <v>1704</v>
      </c>
      <c r="H168" s="24">
        <v>1704</v>
      </c>
      <c r="I168" s="24">
        <v>1704</v>
      </c>
      <c r="J168" s="24">
        <v>1704</v>
      </c>
      <c r="K168" s="24">
        <v>389</v>
      </c>
      <c r="L168" s="24">
        <v>372</v>
      </c>
      <c r="M168" s="87"/>
      <c r="N168" s="87"/>
      <c r="O168" s="237"/>
      <c r="P168" s="237"/>
      <c r="Q168" s="237">
        <f>L168/K168</f>
        <v>0.95629820051413883</v>
      </c>
      <c r="R168" s="237">
        <f>L168/J168</f>
        <v>0.21830985915492956</v>
      </c>
      <c r="S168" s="234">
        <f>K168/J168</f>
        <v>0.22828638497652581</v>
      </c>
      <c r="T168" s="87">
        <v>1</v>
      </c>
      <c r="U168" s="87">
        <v>0</v>
      </c>
      <c r="V168" s="87">
        <v>1</v>
      </c>
      <c r="W168" s="87">
        <v>1</v>
      </c>
      <c r="X168" s="87">
        <v>0</v>
      </c>
      <c r="Y168" s="87">
        <v>1</v>
      </c>
    </row>
    <row r="169" spans="1:25" ht="14" x14ac:dyDescent="0.2">
      <c r="A169" s="202" t="s">
        <v>465</v>
      </c>
      <c r="B169" s="24" t="s">
        <v>865</v>
      </c>
      <c r="C169" s="224" t="s">
        <v>824</v>
      </c>
      <c r="D169" s="195" t="s">
        <v>148</v>
      </c>
      <c r="E169" s="195" t="s">
        <v>374</v>
      </c>
      <c r="F169" s="195" t="s">
        <v>580</v>
      </c>
      <c r="G169" s="238">
        <v>1598</v>
      </c>
      <c r="H169" s="238">
        <v>1598</v>
      </c>
      <c r="I169" s="238">
        <v>1598</v>
      </c>
      <c r="J169" s="238">
        <v>1598</v>
      </c>
      <c r="K169" s="238">
        <v>375</v>
      </c>
      <c r="L169" s="238">
        <v>359</v>
      </c>
      <c r="M169" s="87"/>
      <c r="N169" s="87"/>
      <c r="O169" s="237"/>
      <c r="P169" s="237"/>
      <c r="Q169" s="237">
        <f>L169/K169</f>
        <v>0.95733333333333337</v>
      </c>
      <c r="R169" s="237">
        <f>L169/J169</f>
        <v>0.22465581977471841</v>
      </c>
      <c r="S169" s="234">
        <f>K169/J169</f>
        <v>0.23466833541927409</v>
      </c>
      <c r="T169" s="87">
        <v>1</v>
      </c>
      <c r="U169" s="87">
        <v>0</v>
      </c>
      <c r="V169" s="87">
        <v>1</v>
      </c>
      <c r="W169" s="87">
        <v>1</v>
      </c>
      <c r="X169" s="87">
        <v>0</v>
      </c>
      <c r="Y169" s="87">
        <v>1</v>
      </c>
    </row>
    <row r="170" spans="1:25" x14ac:dyDescent="0.15">
      <c r="A170" s="2" t="s">
        <v>16</v>
      </c>
      <c r="B170" s="1" t="s">
        <v>604</v>
      </c>
      <c r="C170" s="1" t="s">
        <v>403</v>
      </c>
      <c r="D170" s="88" t="s">
        <v>96</v>
      </c>
      <c r="E170" s="44" t="s">
        <v>293</v>
      </c>
      <c r="F170" s="44" t="s">
        <v>580</v>
      </c>
      <c r="G170" s="24">
        <v>1985.9</v>
      </c>
      <c r="H170" s="24">
        <v>1800</v>
      </c>
      <c r="I170" s="24">
        <v>1985.9</v>
      </c>
      <c r="J170" s="24">
        <v>1985.9</v>
      </c>
      <c r="K170" s="26">
        <v>357.36</v>
      </c>
      <c r="L170" s="26">
        <v>342.19</v>
      </c>
      <c r="M170" s="26">
        <v>467.4</v>
      </c>
      <c r="N170" s="26">
        <f>J170-M170</f>
        <v>1518.5</v>
      </c>
      <c r="O170" s="232">
        <f>M170/L170</f>
        <v>1.3659078289838977</v>
      </c>
      <c r="P170" s="234">
        <f>M170/K170</f>
        <v>1.3079247817327064</v>
      </c>
      <c r="Q170" s="233">
        <f>L170/K170</f>
        <v>0.95754980971569281</v>
      </c>
      <c r="R170" s="233">
        <f>L170/J170</f>
        <v>0.17230978397703811</v>
      </c>
      <c r="S170" s="234">
        <f>K170/J170</f>
        <v>0.17994863789717508</v>
      </c>
      <c r="T170" s="26">
        <v>0</v>
      </c>
      <c r="U170" s="24">
        <v>1</v>
      </c>
      <c r="V170" s="24">
        <v>1</v>
      </c>
      <c r="W170" s="26">
        <v>1</v>
      </c>
      <c r="X170" s="26">
        <v>1</v>
      </c>
      <c r="Y170" s="24">
        <v>1</v>
      </c>
    </row>
    <row r="171" spans="1:25" ht="14" x14ac:dyDescent="0.2">
      <c r="A171" s="202" t="s">
        <v>465</v>
      </c>
      <c r="B171" s="24" t="s">
        <v>846</v>
      </c>
      <c r="C171" s="224" t="s">
        <v>824</v>
      </c>
      <c r="D171" s="195" t="s">
        <v>148</v>
      </c>
      <c r="E171" s="195" t="s">
        <v>374</v>
      </c>
      <c r="F171" s="195" t="s">
        <v>580</v>
      </c>
      <c r="G171" s="238">
        <v>1312</v>
      </c>
      <c r="H171" s="238">
        <v>1312</v>
      </c>
      <c r="I171" s="238">
        <v>1312</v>
      </c>
      <c r="J171" s="238">
        <v>1312</v>
      </c>
      <c r="K171" s="238">
        <v>307</v>
      </c>
      <c r="L171" s="238">
        <v>294</v>
      </c>
      <c r="M171" s="87"/>
      <c r="N171" s="87"/>
      <c r="O171" s="237"/>
      <c r="P171" s="237"/>
      <c r="Q171" s="237">
        <f>L171/K171</f>
        <v>0.95765472312703581</v>
      </c>
      <c r="R171" s="237">
        <f>L171/J171</f>
        <v>0.22408536585365854</v>
      </c>
      <c r="S171" s="234">
        <f>K171/J171</f>
        <v>0.2339939024390244</v>
      </c>
      <c r="T171" s="87">
        <v>1</v>
      </c>
      <c r="U171" s="87">
        <v>0</v>
      </c>
      <c r="V171" s="87">
        <v>1</v>
      </c>
      <c r="W171" s="87">
        <v>1</v>
      </c>
      <c r="X171" s="87">
        <v>0</v>
      </c>
      <c r="Y171" s="87">
        <v>1</v>
      </c>
    </row>
    <row r="172" spans="1:25" ht="14" x14ac:dyDescent="0.2">
      <c r="A172" s="191" t="s">
        <v>19</v>
      </c>
      <c r="B172" s="202" t="s">
        <v>593</v>
      </c>
      <c r="C172" s="87" t="s">
        <v>403</v>
      </c>
      <c r="D172" s="195" t="s">
        <v>82</v>
      </c>
      <c r="E172" s="195" t="s">
        <v>374</v>
      </c>
      <c r="F172" s="195" t="s">
        <v>580</v>
      </c>
      <c r="G172" s="190">
        <v>1284.8</v>
      </c>
      <c r="H172" s="190"/>
      <c r="I172" s="190">
        <v>1284.8</v>
      </c>
      <c r="J172" s="190">
        <v>1284.8</v>
      </c>
      <c r="K172" s="190">
        <v>305.86</v>
      </c>
      <c r="L172" s="190">
        <v>292.95999999999998</v>
      </c>
      <c r="M172" s="87">
        <v>398.86</v>
      </c>
      <c r="N172" s="87">
        <f>J172-M172</f>
        <v>885.93999999999994</v>
      </c>
      <c r="O172" s="237">
        <f>M172/L172</f>
        <v>1.3614827962861826</v>
      </c>
      <c r="P172" s="237">
        <f>M172/K172</f>
        <v>1.3040606813574838</v>
      </c>
      <c r="Q172" s="237">
        <f>L172/K172</f>
        <v>0.95782384097299411</v>
      </c>
      <c r="R172" s="237">
        <f>L172/J172</f>
        <v>0.22801992528019924</v>
      </c>
      <c r="S172" s="234">
        <f>K172/J172</f>
        <v>0.23806039850560401</v>
      </c>
      <c r="T172" s="87">
        <v>0</v>
      </c>
      <c r="U172" s="87">
        <v>1</v>
      </c>
      <c r="V172" s="87">
        <f>SUM(T172:U172)</f>
        <v>1</v>
      </c>
      <c r="W172" s="87">
        <v>1</v>
      </c>
      <c r="X172" s="87">
        <v>0</v>
      </c>
      <c r="Y172" s="198">
        <v>1</v>
      </c>
    </row>
    <row r="173" spans="1:25" x14ac:dyDescent="0.15">
      <c r="A173" s="90" t="s">
        <v>16</v>
      </c>
      <c r="B173" s="90" t="s">
        <v>814</v>
      </c>
      <c r="C173" s="24" t="s">
        <v>824</v>
      </c>
      <c r="D173" s="88" t="s">
        <v>148</v>
      </c>
      <c r="E173" s="30" t="s">
        <v>374</v>
      </c>
      <c r="F173" s="44" t="s">
        <v>580</v>
      </c>
      <c r="G173" s="24">
        <v>1408</v>
      </c>
      <c r="H173" s="24">
        <v>1408</v>
      </c>
      <c r="I173" s="24">
        <v>1408</v>
      </c>
      <c r="J173" s="24">
        <v>1408</v>
      </c>
      <c r="K173" s="24">
        <v>285</v>
      </c>
      <c r="L173" s="24">
        <v>273</v>
      </c>
      <c r="Q173" s="234">
        <f>L173/K173</f>
        <v>0.95789473684210524</v>
      </c>
      <c r="R173" s="234">
        <f>L173/J173</f>
        <v>0.19389204545454544</v>
      </c>
      <c r="S173" s="234">
        <f>K173/J173</f>
        <v>0.20241477272727273</v>
      </c>
      <c r="T173" s="24">
        <v>1</v>
      </c>
      <c r="U173" s="24">
        <v>0</v>
      </c>
      <c r="V173" s="26">
        <f>SUM(T173,U173)</f>
        <v>1</v>
      </c>
      <c r="W173" s="24">
        <v>1</v>
      </c>
      <c r="X173" s="24">
        <v>0</v>
      </c>
      <c r="Y173" s="24">
        <v>1</v>
      </c>
    </row>
    <row r="174" spans="1:25" ht="14" x14ac:dyDescent="0.2">
      <c r="A174" s="202" t="s">
        <v>465</v>
      </c>
      <c r="B174" s="24" t="s">
        <v>895</v>
      </c>
      <c r="C174" s="224" t="s">
        <v>824</v>
      </c>
      <c r="D174" s="195" t="s">
        <v>148</v>
      </c>
      <c r="E174" s="195" t="s">
        <v>494</v>
      </c>
      <c r="F174" s="195" t="s">
        <v>580</v>
      </c>
      <c r="G174" s="24">
        <v>1185</v>
      </c>
      <c r="H174" s="24">
        <v>1185</v>
      </c>
      <c r="I174" s="24">
        <v>1185</v>
      </c>
      <c r="J174" s="24">
        <v>1185</v>
      </c>
      <c r="K174" s="24">
        <v>285</v>
      </c>
      <c r="L174" s="24">
        <v>273</v>
      </c>
      <c r="M174" s="87"/>
      <c r="N174" s="87"/>
      <c r="O174" s="237"/>
      <c r="P174" s="237"/>
      <c r="Q174" s="237">
        <f>L174/K174</f>
        <v>0.95789473684210524</v>
      </c>
      <c r="R174" s="237">
        <f>L174/J174</f>
        <v>0.23037974683544304</v>
      </c>
      <c r="S174" s="234">
        <f>K174/J174</f>
        <v>0.24050632911392406</v>
      </c>
      <c r="T174" s="87">
        <v>1</v>
      </c>
      <c r="U174" s="87">
        <v>0</v>
      </c>
      <c r="V174" s="87">
        <v>1</v>
      </c>
      <c r="W174" s="87">
        <v>1</v>
      </c>
      <c r="X174" s="87">
        <v>0</v>
      </c>
      <c r="Y174" s="87">
        <v>1</v>
      </c>
    </row>
    <row r="175" spans="1:25" x14ac:dyDescent="0.15">
      <c r="A175" s="2" t="s">
        <v>16</v>
      </c>
      <c r="B175" s="90" t="s">
        <v>58</v>
      </c>
      <c r="C175" s="1" t="s">
        <v>403</v>
      </c>
      <c r="D175" s="88" t="s">
        <v>965</v>
      </c>
      <c r="E175" s="44" t="s">
        <v>203</v>
      </c>
      <c r="F175" s="44" t="s">
        <v>581</v>
      </c>
      <c r="G175" s="26">
        <v>2949</v>
      </c>
      <c r="H175" s="26">
        <v>2900</v>
      </c>
      <c r="I175" s="26">
        <v>2949</v>
      </c>
      <c r="J175" s="26">
        <v>2949</v>
      </c>
      <c r="K175" s="26">
        <v>508.6</v>
      </c>
      <c r="L175" s="26">
        <v>487.4</v>
      </c>
      <c r="M175" s="26">
        <v>645.79999999999995</v>
      </c>
      <c r="N175" s="26">
        <f>J175-M175</f>
        <v>2303.1999999999998</v>
      </c>
      <c r="O175" s="232">
        <f>M175/L175</f>
        <v>1.3249897414854328</v>
      </c>
      <c r="P175" s="234">
        <f>M175/K175</f>
        <v>1.269760125835627</v>
      </c>
      <c r="Q175" s="233">
        <f>L175/K175</f>
        <v>0.95831694848603999</v>
      </c>
      <c r="R175" s="233">
        <f>L175/J175</f>
        <v>0.16527636486944727</v>
      </c>
      <c r="S175" s="234">
        <f>K175/J175</f>
        <v>0.17246524245506953</v>
      </c>
      <c r="T175" s="26">
        <v>1</v>
      </c>
      <c r="U175" s="24">
        <v>0</v>
      </c>
      <c r="V175" s="26">
        <f>SUM(T175,U175)</f>
        <v>1</v>
      </c>
      <c r="W175" s="26">
        <v>1</v>
      </c>
      <c r="X175" s="26">
        <v>0</v>
      </c>
      <c r="Y175" s="24">
        <v>1</v>
      </c>
    </row>
    <row r="176" spans="1:25" ht="14" x14ac:dyDescent="0.2">
      <c r="A176" s="202" t="s">
        <v>465</v>
      </c>
      <c r="B176" s="24" t="s">
        <v>847</v>
      </c>
      <c r="C176" s="224" t="s">
        <v>824</v>
      </c>
      <c r="D176" s="195" t="s">
        <v>148</v>
      </c>
      <c r="E176" s="195" t="s">
        <v>494</v>
      </c>
      <c r="F176" s="195" t="s">
        <v>580</v>
      </c>
      <c r="G176" s="238">
        <v>1170</v>
      </c>
      <c r="H176" s="238">
        <v>1170</v>
      </c>
      <c r="I176" s="238">
        <v>1170</v>
      </c>
      <c r="J176" s="238">
        <v>1170</v>
      </c>
      <c r="K176" s="238">
        <v>288</v>
      </c>
      <c r="L176" s="238">
        <v>276</v>
      </c>
      <c r="M176" s="87"/>
      <c r="N176" s="87"/>
      <c r="O176" s="237"/>
      <c r="P176" s="237"/>
      <c r="Q176" s="237">
        <f>L176/K176</f>
        <v>0.95833333333333337</v>
      </c>
      <c r="R176" s="237">
        <f>L176/J176</f>
        <v>0.23589743589743589</v>
      </c>
      <c r="S176" s="234">
        <f>K176/J176</f>
        <v>0.24615384615384617</v>
      </c>
      <c r="T176" s="87">
        <v>1</v>
      </c>
      <c r="U176" s="87">
        <v>0</v>
      </c>
      <c r="V176" s="87">
        <v>1</v>
      </c>
      <c r="W176" s="87">
        <v>1</v>
      </c>
      <c r="X176" s="87">
        <v>0</v>
      </c>
      <c r="Y176" s="87">
        <v>1</v>
      </c>
    </row>
    <row r="177" spans="1:25" ht="14" x14ac:dyDescent="0.2">
      <c r="A177" s="202" t="s">
        <v>465</v>
      </c>
      <c r="B177" s="87" t="s">
        <v>282</v>
      </c>
      <c r="C177" s="191" t="s">
        <v>403</v>
      </c>
      <c r="D177" s="195" t="s">
        <v>96</v>
      </c>
      <c r="E177" s="195" t="s">
        <v>494</v>
      </c>
      <c r="F177" s="195" t="s">
        <v>580</v>
      </c>
      <c r="G177" s="190">
        <v>872.2</v>
      </c>
      <c r="H177" s="190">
        <v>800</v>
      </c>
      <c r="I177" s="190">
        <v>872.2</v>
      </c>
      <c r="J177" s="190">
        <v>872.2</v>
      </c>
      <c r="K177" s="190">
        <v>213.9</v>
      </c>
      <c r="L177" s="190">
        <v>205</v>
      </c>
      <c r="M177" s="87">
        <v>272.2</v>
      </c>
      <c r="N177" s="197">
        <v>600</v>
      </c>
      <c r="O177" s="236">
        <f>M177/L177</f>
        <v>1.3278048780487803</v>
      </c>
      <c r="P177" s="237">
        <f>M177/K177</f>
        <v>1.2725572697522205</v>
      </c>
      <c r="Q177" s="237">
        <f>L177/K177</f>
        <v>0.95839177185600744</v>
      </c>
      <c r="R177" s="237">
        <f>L177/J177</f>
        <v>0.23503783535886263</v>
      </c>
      <c r="S177" s="234">
        <f>K177/J177</f>
        <v>0.24524191699151571</v>
      </c>
      <c r="T177" s="198">
        <v>1</v>
      </c>
      <c r="U177" s="198">
        <v>0</v>
      </c>
      <c r="V177" s="198">
        <f>SUM(T177:U177)</f>
        <v>1</v>
      </c>
      <c r="W177" s="198">
        <v>1</v>
      </c>
      <c r="X177" s="199">
        <v>0</v>
      </c>
      <c r="Y177" s="198">
        <v>1</v>
      </c>
    </row>
    <row r="178" spans="1:25" ht="14" x14ac:dyDescent="0.2">
      <c r="A178" s="202" t="s">
        <v>465</v>
      </c>
      <c r="B178" s="24" t="s">
        <v>885</v>
      </c>
      <c r="C178" s="224" t="s">
        <v>824</v>
      </c>
      <c r="D178" s="195" t="s">
        <v>148</v>
      </c>
      <c r="E178" s="195" t="s">
        <v>374</v>
      </c>
      <c r="F178" s="195" t="s">
        <v>580</v>
      </c>
      <c r="G178" s="24">
        <v>1714</v>
      </c>
      <c r="H178" s="24">
        <v>1714</v>
      </c>
      <c r="I178" s="24">
        <v>1714</v>
      </c>
      <c r="J178" s="24">
        <v>1714</v>
      </c>
      <c r="K178" s="24">
        <v>385</v>
      </c>
      <c r="L178" s="24">
        <v>369</v>
      </c>
      <c r="M178" s="87"/>
      <c r="N178" s="87"/>
      <c r="O178" s="237"/>
      <c r="P178" s="237"/>
      <c r="Q178" s="237">
        <f>L178/K178</f>
        <v>0.95844155844155843</v>
      </c>
      <c r="R178" s="237">
        <f>L178/J178</f>
        <v>0.21528588098016335</v>
      </c>
      <c r="S178" s="234">
        <f>K178/J178</f>
        <v>0.22462077012835471</v>
      </c>
      <c r="T178" s="87">
        <v>1</v>
      </c>
      <c r="U178" s="87">
        <v>0</v>
      </c>
      <c r="V178" s="87">
        <v>1</v>
      </c>
      <c r="W178" s="87">
        <v>1</v>
      </c>
      <c r="X178" s="87">
        <v>0</v>
      </c>
      <c r="Y178" s="87">
        <v>1</v>
      </c>
    </row>
    <row r="179" spans="1:25" x14ac:dyDescent="0.15">
      <c r="A179" s="2" t="s">
        <v>16</v>
      </c>
      <c r="B179" s="1" t="s">
        <v>607</v>
      </c>
      <c r="C179" s="26" t="s">
        <v>403</v>
      </c>
      <c r="D179" s="88" t="s">
        <v>148</v>
      </c>
      <c r="E179" s="30" t="s">
        <v>374</v>
      </c>
      <c r="F179" s="44" t="s">
        <v>580</v>
      </c>
      <c r="G179" s="24">
        <v>1439.3</v>
      </c>
      <c r="I179" s="24">
        <v>1439.3</v>
      </c>
      <c r="J179" s="24">
        <v>1439.3</v>
      </c>
      <c r="K179" s="26">
        <v>281.7</v>
      </c>
      <c r="L179" s="26">
        <v>270</v>
      </c>
      <c r="M179" s="26">
        <v>341.2</v>
      </c>
      <c r="N179" s="26">
        <f>J179-M179</f>
        <v>1098.0999999999999</v>
      </c>
      <c r="O179" s="232">
        <f>M179/L179</f>
        <v>1.2637037037037036</v>
      </c>
      <c r="P179" s="234">
        <f>M179/K179</f>
        <v>1.2112176073837415</v>
      </c>
      <c r="Q179" s="233">
        <f>L179/K179</f>
        <v>0.95846645367412142</v>
      </c>
      <c r="R179" s="233">
        <f>L179/J179</f>
        <v>0.18759119016188425</v>
      </c>
      <c r="S179" s="234">
        <f>K179/J179</f>
        <v>0.1957201417355659</v>
      </c>
      <c r="T179" s="26">
        <v>0</v>
      </c>
      <c r="U179" s="24">
        <v>1</v>
      </c>
      <c r="V179" s="26">
        <f>SUM(T179,U179)</f>
        <v>1</v>
      </c>
      <c r="W179" s="26">
        <v>1</v>
      </c>
      <c r="X179" s="26">
        <v>0</v>
      </c>
      <c r="Y179" s="24">
        <v>1</v>
      </c>
    </row>
    <row r="180" spans="1:25" x14ac:dyDescent="0.15">
      <c r="A180" s="2" t="s">
        <v>16</v>
      </c>
      <c r="B180" s="90" t="s">
        <v>252</v>
      </c>
      <c r="C180" s="1" t="s">
        <v>403</v>
      </c>
      <c r="D180" s="88" t="s">
        <v>82</v>
      </c>
      <c r="E180" s="44" t="s">
        <v>374</v>
      </c>
      <c r="F180" s="44" t="s">
        <v>580</v>
      </c>
      <c r="G180" s="39">
        <v>1193.83</v>
      </c>
      <c r="H180" s="26">
        <v>1100</v>
      </c>
      <c r="I180" s="39">
        <v>1193.83</v>
      </c>
      <c r="J180" s="39">
        <f>275.53+236.33+480.72+201.25</f>
        <v>1193.83</v>
      </c>
      <c r="K180" s="39">
        <v>200.03200000000001</v>
      </c>
      <c r="L180" s="39">
        <v>191.74</v>
      </c>
      <c r="M180" s="39">
        <v>263.52999999999997</v>
      </c>
      <c r="N180" s="39">
        <f>J180-M180</f>
        <v>930.3</v>
      </c>
      <c r="O180" s="234">
        <f>M180/L180</f>
        <v>1.3744132679670384</v>
      </c>
      <c r="P180" s="234">
        <f>M180/K180</f>
        <v>1.3174392097264436</v>
      </c>
      <c r="Q180" s="234">
        <f>L180/K180</f>
        <v>0.9585466325387938</v>
      </c>
      <c r="R180" s="233">
        <f>L180/J180</f>
        <v>0.16060913195346072</v>
      </c>
      <c r="S180" s="234">
        <f>K180/J180</f>
        <v>0.16755484449209687</v>
      </c>
      <c r="T180" s="26">
        <v>0</v>
      </c>
      <c r="U180" s="24">
        <v>1</v>
      </c>
      <c r="V180" s="26">
        <f>SUM(T180,U180)</f>
        <v>1</v>
      </c>
      <c r="W180" s="26">
        <v>1</v>
      </c>
      <c r="X180" s="26">
        <v>1</v>
      </c>
      <c r="Y180" s="24">
        <v>1</v>
      </c>
    </row>
    <row r="181" spans="1:25" ht="14" x14ac:dyDescent="0.2">
      <c r="A181" s="202" t="s">
        <v>465</v>
      </c>
      <c r="B181" s="24" t="s">
        <v>886</v>
      </c>
      <c r="C181" s="224" t="s">
        <v>824</v>
      </c>
      <c r="D181" s="195" t="s">
        <v>148</v>
      </c>
      <c r="E181" s="195" t="s">
        <v>374</v>
      </c>
      <c r="F181" s="195" t="s">
        <v>580</v>
      </c>
      <c r="G181" s="24">
        <v>2100</v>
      </c>
      <c r="H181" s="24">
        <v>2100</v>
      </c>
      <c r="I181" s="24">
        <v>2100</v>
      </c>
      <c r="J181" s="24">
        <v>2100</v>
      </c>
      <c r="K181" s="24">
        <v>483</v>
      </c>
      <c r="L181" s="24">
        <v>463</v>
      </c>
      <c r="M181" s="87"/>
      <c r="N181" s="87"/>
      <c r="O181" s="237"/>
      <c r="P181" s="237"/>
      <c r="Q181" s="237">
        <f>L181/K181</f>
        <v>0.95859213250517594</v>
      </c>
      <c r="R181" s="237">
        <f>L181/J181</f>
        <v>0.22047619047619046</v>
      </c>
      <c r="S181" s="234">
        <f>K181/J181</f>
        <v>0.23</v>
      </c>
      <c r="T181" s="87">
        <v>1</v>
      </c>
      <c r="U181" s="87">
        <v>0</v>
      </c>
      <c r="V181" s="87">
        <v>1</v>
      </c>
      <c r="W181" s="87">
        <v>1</v>
      </c>
      <c r="X181" s="87">
        <v>0</v>
      </c>
      <c r="Y181" s="87">
        <v>1</v>
      </c>
    </row>
    <row r="182" spans="1:25" ht="14" x14ac:dyDescent="0.2">
      <c r="A182" s="202" t="s">
        <v>465</v>
      </c>
      <c r="B182" s="24" t="s">
        <v>896</v>
      </c>
      <c r="C182" s="224" t="s">
        <v>824</v>
      </c>
      <c r="D182" s="195" t="s">
        <v>148</v>
      </c>
      <c r="E182" s="195" t="s">
        <v>374</v>
      </c>
      <c r="F182" s="195" t="s">
        <v>580</v>
      </c>
      <c r="G182" s="24">
        <v>1750</v>
      </c>
      <c r="H182" s="24">
        <v>1750</v>
      </c>
      <c r="I182" s="24">
        <v>1750</v>
      </c>
      <c r="J182" s="24">
        <v>1750</v>
      </c>
      <c r="K182" s="24">
        <v>387</v>
      </c>
      <c r="L182" s="24">
        <v>371</v>
      </c>
      <c r="M182" s="87"/>
      <c r="N182" s="87"/>
      <c r="O182" s="237"/>
      <c r="P182" s="237"/>
      <c r="Q182" s="237">
        <f>L182/K182</f>
        <v>0.95865633074935397</v>
      </c>
      <c r="R182" s="237">
        <f>L182/J182</f>
        <v>0.21199999999999999</v>
      </c>
      <c r="S182" s="234">
        <f>K182/J182</f>
        <v>0.22114285714285714</v>
      </c>
      <c r="T182" s="87">
        <v>1</v>
      </c>
      <c r="U182" s="87">
        <v>0</v>
      </c>
      <c r="V182" s="87">
        <v>1</v>
      </c>
      <c r="W182" s="87">
        <v>1</v>
      </c>
      <c r="X182" s="87">
        <v>0</v>
      </c>
      <c r="Y182" s="87">
        <v>1</v>
      </c>
    </row>
    <row r="183" spans="1:25" ht="14" x14ac:dyDescent="0.2">
      <c r="A183" s="202" t="s">
        <v>465</v>
      </c>
      <c r="B183" s="24" t="s">
        <v>897</v>
      </c>
      <c r="C183" s="224" t="s">
        <v>824</v>
      </c>
      <c r="D183" s="195" t="s">
        <v>148</v>
      </c>
      <c r="E183" s="195" t="s">
        <v>494</v>
      </c>
      <c r="F183" s="195" t="s">
        <v>580</v>
      </c>
      <c r="G183" s="24">
        <v>1031</v>
      </c>
      <c r="H183" s="24">
        <v>1031</v>
      </c>
      <c r="I183" s="24">
        <v>1031</v>
      </c>
      <c r="J183" s="24">
        <v>1031</v>
      </c>
      <c r="K183" s="24">
        <v>244</v>
      </c>
      <c r="L183" s="24">
        <v>234</v>
      </c>
      <c r="M183" s="87"/>
      <c r="N183" s="87"/>
      <c r="O183" s="237"/>
      <c r="P183" s="237"/>
      <c r="Q183" s="237">
        <f>L183/K183</f>
        <v>0.95901639344262291</v>
      </c>
      <c r="R183" s="237">
        <f>L183/J183</f>
        <v>0.22696411251212414</v>
      </c>
      <c r="S183" s="234">
        <f>K183/J183</f>
        <v>0.23666343355965083</v>
      </c>
      <c r="T183" s="87">
        <v>1</v>
      </c>
      <c r="U183" s="87">
        <v>0</v>
      </c>
      <c r="V183" s="87">
        <v>1</v>
      </c>
      <c r="W183" s="87">
        <v>1</v>
      </c>
      <c r="X183" s="87">
        <v>0</v>
      </c>
      <c r="Y183" s="87">
        <v>1</v>
      </c>
    </row>
    <row r="184" spans="1:25" x14ac:dyDescent="0.15">
      <c r="A184" s="2" t="s">
        <v>16</v>
      </c>
      <c r="B184" s="1" t="s">
        <v>605</v>
      </c>
      <c r="C184" s="1" t="s">
        <v>403</v>
      </c>
      <c r="D184" s="88" t="s">
        <v>82</v>
      </c>
      <c r="E184" s="30" t="s">
        <v>374</v>
      </c>
      <c r="F184" s="44" t="s">
        <v>580</v>
      </c>
      <c r="G184" s="24">
        <v>1348</v>
      </c>
      <c r="I184" s="24">
        <v>1348</v>
      </c>
      <c r="J184" s="24">
        <f>N184+M184</f>
        <v>1348</v>
      </c>
      <c r="K184" s="26">
        <v>293.10000000000002</v>
      </c>
      <c r="L184" s="26">
        <v>281.10000000000002</v>
      </c>
      <c r="M184" s="26">
        <v>371</v>
      </c>
      <c r="N184" s="26">
        <v>977</v>
      </c>
      <c r="O184" s="232">
        <f>M184/L184</f>
        <v>1.319815012451085</v>
      </c>
      <c r="P184" s="234">
        <f>M184/K184</f>
        <v>1.2657795974070283</v>
      </c>
      <c r="Q184" s="233">
        <f>L184/K184</f>
        <v>0.95905834186284544</v>
      </c>
      <c r="R184" s="233">
        <f>L184/J184</f>
        <v>0.20853115727002969</v>
      </c>
      <c r="S184" s="234">
        <f>K184/J184</f>
        <v>0.217433234421365</v>
      </c>
      <c r="T184" s="26">
        <v>0</v>
      </c>
      <c r="U184" s="24">
        <v>1</v>
      </c>
      <c r="V184" s="26">
        <f>SUM(T184,U184)</f>
        <v>1</v>
      </c>
      <c r="W184" s="26">
        <v>1</v>
      </c>
      <c r="X184" s="26">
        <v>0</v>
      </c>
      <c r="Y184" s="24">
        <v>1</v>
      </c>
    </row>
    <row r="185" spans="1:25" ht="14" x14ac:dyDescent="0.2">
      <c r="A185" s="202" t="s">
        <v>465</v>
      </c>
      <c r="B185" s="87" t="s">
        <v>306</v>
      </c>
      <c r="C185" s="191" t="s">
        <v>403</v>
      </c>
      <c r="D185" s="195" t="s">
        <v>148</v>
      </c>
      <c r="E185" s="195" t="s">
        <v>494</v>
      </c>
      <c r="F185" s="195" t="s">
        <v>580</v>
      </c>
      <c r="G185" s="190">
        <v>1098.0999999999999</v>
      </c>
      <c r="H185" s="190">
        <v>1000</v>
      </c>
      <c r="I185" s="190">
        <v>1098.0999999999999</v>
      </c>
      <c r="J185" s="190">
        <v>1098.0999999999999</v>
      </c>
      <c r="K185" s="190">
        <v>312.52</v>
      </c>
      <c r="L185" s="190">
        <v>299.73</v>
      </c>
      <c r="M185" s="87">
        <v>392.11</v>
      </c>
      <c r="N185" s="197">
        <v>733.4</v>
      </c>
      <c r="O185" s="236">
        <f>M185/L185</f>
        <v>1.308210722984019</v>
      </c>
      <c r="P185" s="237">
        <f>M185/K185</f>
        <v>1.2546717010111355</v>
      </c>
      <c r="Q185" s="237">
        <f>L185/K185</f>
        <v>0.95907461922436976</v>
      </c>
      <c r="R185" s="237">
        <f>L185/J185</f>
        <v>0.27295328294326571</v>
      </c>
      <c r="S185" s="234">
        <f>K185/J185</f>
        <v>0.28460067389126675</v>
      </c>
      <c r="T185" s="198">
        <v>0</v>
      </c>
      <c r="U185" s="198">
        <v>1</v>
      </c>
      <c r="V185" s="198">
        <f>SUM(T185:U185)</f>
        <v>1</v>
      </c>
      <c r="W185" s="198">
        <v>1</v>
      </c>
      <c r="X185" s="199">
        <v>0</v>
      </c>
      <c r="Y185" s="198">
        <v>1</v>
      </c>
    </row>
    <row r="186" spans="1:25" ht="14" x14ac:dyDescent="0.2">
      <c r="A186" s="202" t="s">
        <v>465</v>
      </c>
      <c r="B186" s="24" t="s">
        <v>882</v>
      </c>
      <c r="C186" s="224" t="s">
        <v>824</v>
      </c>
      <c r="D186" s="195" t="s">
        <v>148</v>
      </c>
      <c r="E186" s="195" t="s">
        <v>374</v>
      </c>
      <c r="F186" s="195" t="s">
        <v>580</v>
      </c>
      <c r="G186" s="238">
        <v>1643</v>
      </c>
      <c r="H186" s="238">
        <v>1643</v>
      </c>
      <c r="I186" s="238">
        <v>1643</v>
      </c>
      <c r="J186" s="238">
        <v>1643</v>
      </c>
      <c r="K186" s="238">
        <v>392</v>
      </c>
      <c r="L186" s="238">
        <v>376</v>
      </c>
      <c r="M186" s="87"/>
      <c r="N186" s="87"/>
      <c r="O186" s="237"/>
      <c r="P186" s="237"/>
      <c r="Q186" s="237">
        <f>L186/K186</f>
        <v>0.95918367346938771</v>
      </c>
      <c r="R186" s="237">
        <f>L186/J186</f>
        <v>0.2288496652465003</v>
      </c>
      <c r="S186" s="234">
        <f>K186/J186</f>
        <v>0.23858794887401097</v>
      </c>
      <c r="T186" s="87">
        <v>1</v>
      </c>
      <c r="U186" s="87">
        <v>0</v>
      </c>
      <c r="V186" s="87">
        <v>1</v>
      </c>
      <c r="W186" s="87">
        <v>1</v>
      </c>
      <c r="X186" s="87">
        <v>0</v>
      </c>
      <c r="Y186" s="87">
        <v>1</v>
      </c>
    </row>
    <row r="187" spans="1:25" ht="14" x14ac:dyDescent="0.2">
      <c r="A187" s="202" t="s">
        <v>465</v>
      </c>
      <c r="B187" s="24" t="s">
        <v>879</v>
      </c>
      <c r="C187" s="224" t="s">
        <v>824</v>
      </c>
      <c r="D187" s="195" t="s">
        <v>148</v>
      </c>
      <c r="E187" s="195" t="s">
        <v>374</v>
      </c>
      <c r="F187" s="195" t="s">
        <v>580</v>
      </c>
      <c r="G187" s="238">
        <v>1550</v>
      </c>
      <c r="H187" s="238">
        <v>1550</v>
      </c>
      <c r="I187" s="238">
        <v>1550</v>
      </c>
      <c r="J187" s="238">
        <v>1550</v>
      </c>
      <c r="K187" s="238">
        <v>370</v>
      </c>
      <c r="L187" s="238">
        <v>355</v>
      </c>
      <c r="M187" s="87"/>
      <c r="N187" s="87"/>
      <c r="O187" s="237"/>
      <c r="P187" s="237"/>
      <c r="Q187" s="237">
        <f>L187/K187</f>
        <v>0.95945945945945943</v>
      </c>
      <c r="R187" s="237">
        <f>L187/J187</f>
        <v>0.22903225806451613</v>
      </c>
      <c r="S187" s="234">
        <f>K187/J187</f>
        <v>0.23870967741935484</v>
      </c>
      <c r="T187" s="87">
        <v>1</v>
      </c>
      <c r="U187" s="87">
        <v>0</v>
      </c>
      <c r="V187" s="87">
        <v>1</v>
      </c>
      <c r="W187" s="87">
        <v>1</v>
      </c>
      <c r="X187" s="87">
        <v>0</v>
      </c>
      <c r="Y187" s="87">
        <v>1</v>
      </c>
    </row>
    <row r="188" spans="1:25" ht="14" x14ac:dyDescent="0.2">
      <c r="A188" s="202" t="s">
        <v>465</v>
      </c>
      <c r="B188" s="24" t="s">
        <v>853</v>
      </c>
      <c r="C188" s="224" t="s">
        <v>824</v>
      </c>
      <c r="D188" s="195" t="s">
        <v>148</v>
      </c>
      <c r="E188" s="195" t="s">
        <v>374</v>
      </c>
      <c r="F188" s="195" t="s">
        <v>580</v>
      </c>
      <c r="G188" s="238">
        <v>1274</v>
      </c>
      <c r="H188" s="238">
        <v>1274</v>
      </c>
      <c r="I188" s="238">
        <v>1274</v>
      </c>
      <c r="J188" s="238">
        <v>1274</v>
      </c>
      <c r="K188" s="238">
        <v>296</v>
      </c>
      <c r="L188" s="238">
        <v>284</v>
      </c>
      <c r="M188" s="87"/>
      <c r="N188" s="87"/>
      <c r="O188" s="237"/>
      <c r="P188" s="237"/>
      <c r="Q188" s="237">
        <f>L188/K188</f>
        <v>0.95945945945945943</v>
      </c>
      <c r="R188" s="237">
        <f>L188/J188</f>
        <v>0.22291993720565148</v>
      </c>
      <c r="S188" s="234">
        <f>K188/J188</f>
        <v>0.23233908948194662</v>
      </c>
      <c r="T188" s="87">
        <v>1</v>
      </c>
      <c r="U188" s="87">
        <v>0</v>
      </c>
      <c r="V188" s="87">
        <v>1</v>
      </c>
      <c r="W188" s="87">
        <v>1</v>
      </c>
      <c r="X188" s="87">
        <v>0</v>
      </c>
      <c r="Y188" s="87">
        <v>1</v>
      </c>
    </row>
    <row r="189" spans="1:25" ht="14" x14ac:dyDescent="0.2">
      <c r="A189" s="202" t="s">
        <v>465</v>
      </c>
      <c r="B189" s="24" t="s">
        <v>857</v>
      </c>
      <c r="C189" s="224" t="s">
        <v>824</v>
      </c>
      <c r="D189" s="195" t="s">
        <v>148</v>
      </c>
      <c r="E189" s="225" t="s">
        <v>494</v>
      </c>
      <c r="F189" s="195" t="s">
        <v>580</v>
      </c>
      <c r="G189" s="238">
        <v>1022</v>
      </c>
      <c r="H189" s="238">
        <v>1022</v>
      </c>
      <c r="I189" s="238">
        <v>1022</v>
      </c>
      <c r="J189" s="238">
        <v>1022</v>
      </c>
      <c r="K189" s="238">
        <v>247</v>
      </c>
      <c r="L189" s="238">
        <v>237</v>
      </c>
      <c r="M189" s="87"/>
      <c r="N189" s="87"/>
      <c r="O189" s="237"/>
      <c r="P189" s="237"/>
      <c r="Q189" s="237">
        <f>L189/K189</f>
        <v>0.95951417004048578</v>
      </c>
      <c r="R189" s="237">
        <f>L189/J189</f>
        <v>0.2318982387475538</v>
      </c>
      <c r="S189" s="234">
        <f>K189/J189</f>
        <v>0.24168297455968688</v>
      </c>
      <c r="T189" s="87">
        <v>1</v>
      </c>
      <c r="U189" s="87">
        <v>0</v>
      </c>
      <c r="V189" s="87">
        <v>1</v>
      </c>
      <c r="W189" s="87">
        <v>1</v>
      </c>
      <c r="X189" s="87">
        <v>0</v>
      </c>
      <c r="Y189" s="87">
        <v>1</v>
      </c>
    </row>
    <row r="190" spans="1:25" ht="14" x14ac:dyDescent="0.2">
      <c r="A190" s="202" t="s">
        <v>465</v>
      </c>
      <c r="B190" s="24" t="s">
        <v>848</v>
      </c>
      <c r="C190" s="224" t="s">
        <v>824</v>
      </c>
      <c r="D190" s="195" t="s">
        <v>148</v>
      </c>
      <c r="E190" s="195" t="s">
        <v>374</v>
      </c>
      <c r="F190" s="195" t="s">
        <v>580</v>
      </c>
      <c r="G190" s="238">
        <v>1244</v>
      </c>
      <c r="H190" s="238">
        <v>1244</v>
      </c>
      <c r="I190" s="238">
        <v>1244</v>
      </c>
      <c r="J190" s="238">
        <v>1244</v>
      </c>
      <c r="K190" s="238">
        <v>302</v>
      </c>
      <c r="L190" s="238">
        <v>290</v>
      </c>
      <c r="M190" s="87"/>
      <c r="N190" s="87"/>
      <c r="O190" s="237"/>
      <c r="P190" s="237"/>
      <c r="Q190" s="237">
        <f>L190/K190</f>
        <v>0.96026490066225167</v>
      </c>
      <c r="R190" s="237">
        <f>L190/J190</f>
        <v>0.23311897106109325</v>
      </c>
      <c r="S190" s="234">
        <f>K190/J190</f>
        <v>0.2427652733118971</v>
      </c>
      <c r="T190" s="87">
        <v>1</v>
      </c>
      <c r="U190" s="87">
        <v>0</v>
      </c>
      <c r="V190" s="87">
        <v>1</v>
      </c>
      <c r="W190" s="87">
        <v>1</v>
      </c>
      <c r="X190" s="87">
        <v>0</v>
      </c>
      <c r="Y190" s="87">
        <v>1</v>
      </c>
    </row>
    <row r="191" spans="1:25" x14ac:dyDescent="0.15">
      <c r="A191" s="90" t="s">
        <v>16</v>
      </c>
      <c r="B191" s="1" t="s">
        <v>617</v>
      </c>
      <c r="C191" s="26" t="s">
        <v>403</v>
      </c>
      <c r="D191" s="88" t="s">
        <v>82</v>
      </c>
      <c r="E191" s="44" t="s">
        <v>293</v>
      </c>
      <c r="F191" s="44" t="s">
        <v>580</v>
      </c>
      <c r="G191" s="24">
        <v>2030</v>
      </c>
      <c r="I191" s="24">
        <v>2030</v>
      </c>
      <c r="J191" s="24">
        <v>2030</v>
      </c>
      <c r="K191" s="24">
        <v>364</v>
      </c>
      <c r="L191" s="24">
        <v>349.6</v>
      </c>
      <c r="Q191" s="234">
        <f>L191/K191</f>
        <v>0.96043956043956047</v>
      </c>
      <c r="R191" s="234">
        <f>L191/J191</f>
        <v>0.17221674876847293</v>
      </c>
      <c r="S191" s="234">
        <f>K191/J191</f>
        <v>0.1793103448275862</v>
      </c>
      <c r="T191" s="24">
        <v>1</v>
      </c>
      <c r="U191" s="24">
        <v>0</v>
      </c>
      <c r="V191" s="26">
        <f>SUM(T191,U191)</f>
        <v>1</v>
      </c>
      <c r="W191" s="24">
        <v>1</v>
      </c>
      <c r="X191" s="24">
        <v>0</v>
      </c>
      <c r="Y191" s="24">
        <v>1</v>
      </c>
    </row>
    <row r="192" spans="1:25" ht="14" x14ac:dyDescent="0.2">
      <c r="A192" s="202" t="s">
        <v>465</v>
      </c>
      <c r="B192" s="24" t="s">
        <v>876</v>
      </c>
      <c r="C192" s="224" t="s">
        <v>824</v>
      </c>
      <c r="D192" s="195" t="s">
        <v>148</v>
      </c>
      <c r="E192" s="195" t="s">
        <v>374</v>
      </c>
      <c r="F192" s="195" t="s">
        <v>580</v>
      </c>
      <c r="G192" s="238">
        <v>1668</v>
      </c>
      <c r="H192" s="238">
        <v>1668</v>
      </c>
      <c r="I192" s="238">
        <v>1668</v>
      </c>
      <c r="J192" s="238">
        <v>1668</v>
      </c>
      <c r="K192" s="238">
        <v>408</v>
      </c>
      <c r="L192" s="238">
        <v>392</v>
      </c>
      <c r="M192" s="87"/>
      <c r="N192" s="87"/>
      <c r="O192" s="237"/>
      <c r="P192" s="237"/>
      <c r="Q192" s="237">
        <f>L192/K192</f>
        <v>0.96078431372549022</v>
      </c>
      <c r="R192" s="237">
        <f>L192/J192</f>
        <v>0.23501199040767387</v>
      </c>
      <c r="S192" s="234">
        <f>K192/J192</f>
        <v>0.2446043165467626</v>
      </c>
      <c r="T192" s="87">
        <v>1</v>
      </c>
      <c r="U192" s="87">
        <v>0</v>
      </c>
      <c r="V192" s="87">
        <v>1</v>
      </c>
      <c r="W192" s="87">
        <v>1</v>
      </c>
      <c r="X192" s="87">
        <v>0</v>
      </c>
      <c r="Y192" s="87">
        <v>1</v>
      </c>
    </row>
    <row r="193" spans="1:31" x14ac:dyDescent="0.15">
      <c r="A193" s="2" t="s">
        <v>16</v>
      </c>
      <c r="B193" s="90" t="s">
        <v>63</v>
      </c>
      <c r="C193" s="1" t="s">
        <v>403</v>
      </c>
      <c r="D193" s="88" t="s">
        <v>82</v>
      </c>
      <c r="E193" s="44" t="s">
        <v>494</v>
      </c>
      <c r="F193" s="44" t="s">
        <v>580</v>
      </c>
      <c r="G193" s="26">
        <v>633</v>
      </c>
      <c r="H193" s="26">
        <v>633</v>
      </c>
      <c r="I193" s="26">
        <v>633</v>
      </c>
      <c r="J193" s="26">
        <v>633</v>
      </c>
      <c r="K193" s="26">
        <v>138.19999999999999</v>
      </c>
      <c r="L193" s="26">
        <v>132.80000000000001</v>
      </c>
      <c r="M193" s="26">
        <v>185</v>
      </c>
      <c r="N193" s="26">
        <f>J193-M193</f>
        <v>448</v>
      </c>
      <c r="O193" s="232">
        <f>M193/L193</f>
        <v>1.3930722891566263</v>
      </c>
      <c r="P193" s="234">
        <f>M193/K193</f>
        <v>1.3386396526772795</v>
      </c>
      <c r="Q193" s="233">
        <f>L193/K193</f>
        <v>0.96092619392185252</v>
      </c>
      <c r="R193" s="233">
        <f>L193/J193</f>
        <v>0.20979462875197474</v>
      </c>
      <c r="S193" s="234">
        <f>K193/J193</f>
        <v>0.21832543443917848</v>
      </c>
      <c r="T193" s="26">
        <v>1</v>
      </c>
      <c r="U193" s="24">
        <v>0</v>
      </c>
      <c r="V193" s="26">
        <f>SUM(T193,U193)</f>
        <v>1</v>
      </c>
      <c r="W193" s="26">
        <v>1</v>
      </c>
      <c r="X193" s="26">
        <v>1</v>
      </c>
      <c r="Y193" s="24">
        <v>1</v>
      </c>
    </row>
    <row r="194" spans="1:31" ht="14" x14ac:dyDescent="0.2">
      <c r="A194" s="202" t="s">
        <v>465</v>
      </c>
      <c r="B194" s="24" t="s">
        <v>850</v>
      </c>
      <c r="C194" s="224" t="s">
        <v>824</v>
      </c>
      <c r="D194" s="195" t="s">
        <v>148</v>
      </c>
      <c r="E194" s="195" t="s">
        <v>374</v>
      </c>
      <c r="F194" s="195" t="s">
        <v>580</v>
      </c>
      <c r="G194" s="238">
        <v>1240</v>
      </c>
      <c r="H194" s="238">
        <v>1240</v>
      </c>
      <c r="I194" s="238">
        <v>1240</v>
      </c>
      <c r="J194" s="238">
        <v>1240</v>
      </c>
      <c r="K194" s="238">
        <v>285</v>
      </c>
      <c r="L194" s="238">
        <v>274</v>
      </c>
      <c r="M194" s="87"/>
      <c r="N194" s="87"/>
      <c r="O194" s="237"/>
      <c r="P194" s="237"/>
      <c r="Q194" s="237">
        <f>L194/K194</f>
        <v>0.96140350877192982</v>
      </c>
      <c r="R194" s="237">
        <f>L194/J194</f>
        <v>0.22096774193548388</v>
      </c>
      <c r="S194" s="234">
        <f>K194/J194</f>
        <v>0.22983870967741934</v>
      </c>
      <c r="T194" s="87">
        <v>1</v>
      </c>
      <c r="U194" s="87">
        <v>0</v>
      </c>
      <c r="V194" s="87">
        <v>1</v>
      </c>
      <c r="W194" s="87">
        <v>1</v>
      </c>
      <c r="X194" s="87">
        <v>0</v>
      </c>
      <c r="Y194" s="87">
        <v>1</v>
      </c>
    </row>
    <row r="195" spans="1:31" x14ac:dyDescent="0.15">
      <c r="A195" s="235" t="s">
        <v>16</v>
      </c>
      <c r="B195" s="235" t="s">
        <v>521</v>
      </c>
      <c r="C195" s="1" t="s">
        <v>401</v>
      </c>
      <c r="D195" s="3" t="s">
        <v>82</v>
      </c>
      <c r="E195" s="32" t="s">
        <v>494</v>
      </c>
      <c r="F195" s="44" t="s">
        <v>580</v>
      </c>
      <c r="G195" s="1">
        <v>716</v>
      </c>
      <c r="H195" s="1">
        <v>716</v>
      </c>
      <c r="I195" s="1">
        <v>716</v>
      </c>
      <c r="J195" s="1">
        <v>716</v>
      </c>
      <c r="K195" s="1">
        <v>156</v>
      </c>
      <c r="L195" s="1">
        <v>150</v>
      </c>
      <c r="M195" s="6">
        <v>211.33333333333334</v>
      </c>
      <c r="N195" s="24">
        <v>505</v>
      </c>
      <c r="O195" s="232">
        <f>M195/L195</f>
        <v>1.4088888888888889</v>
      </c>
      <c r="P195" s="234">
        <f>M195/K195</f>
        <v>1.3547008547008548</v>
      </c>
      <c r="Q195" s="233">
        <f>L195/K195</f>
        <v>0.96153846153846156</v>
      </c>
      <c r="R195" s="233">
        <f>L195/J195</f>
        <v>0.20949720670391062</v>
      </c>
      <c r="S195" s="234">
        <f>K195/J195</f>
        <v>0.21787709497206703</v>
      </c>
      <c r="T195" s="24">
        <v>1</v>
      </c>
      <c r="U195" s="24">
        <v>0</v>
      </c>
      <c r="V195" s="26">
        <f>SUM(T195,U195)</f>
        <v>1</v>
      </c>
      <c r="W195" s="26">
        <v>1</v>
      </c>
      <c r="X195" s="24">
        <v>1</v>
      </c>
      <c r="Y195" s="26">
        <v>1</v>
      </c>
    </row>
    <row r="196" spans="1:31" ht="14" x14ac:dyDescent="0.2">
      <c r="A196" s="202" t="s">
        <v>465</v>
      </c>
      <c r="B196" s="87" t="s">
        <v>426</v>
      </c>
      <c r="C196" s="87" t="s">
        <v>458</v>
      </c>
      <c r="D196" s="192" t="s">
        <v>82</v>
      </c>
      <c r="E196" s="195" t="s">
        <v>374</v>
      </c>
      <c r="F196" s="195" t="s">
        <v>580</v>
      </c>
      <c r="G196" s="190">
        <v>1620</v>
      </c>
      <c r="H196" s="190">
        <v>1620</v>
      </c>
      <c r="I196" s="190">
        <v>1620</v>
      </c>
      <c r="J196" s="190">
        <v>1620</v>
      </c>
      <c r="K196" s="190">
        <v>390</v>
      </c>
      <c r="L196" s="190">
        <v>375</v>
      </c>
      <c r="M196" s="190">
        <v>504</v>
      </c>
      <c r="N196" s="87">
        <f>H196-M196</f>
        <v>1116</v>
      </c>
      <c r="O196" s="236">
        <f>M196/L196</f>
        <v>1.3440000000000001</v>
      </c>
      <c r="P196" s="237">
        <f>M196/K196</f>
        <v>1.2923076923076924</v>
      </c>
      <c r="Q196" s="237">
        <f>L196/K196</f>
        <v>0.96153846153846156</v>
      </c>
      <c r="R196" s="237">
        <f>L196/J196</f>
        <v>0.23148148148148148</v>
      </c>
      <c r="S196" s="234">
        <f>K196/J196</f>
        <v>0.24074074074074073</v>
      </c>
      <c r="T196" s="198">
        <v>1</v>
      </c>
      <c r="U196" s="198">
        <v>0</v>
      </c>
      <c r="V196" s="198">
        <f>SUM(T196:U196)</f>
        <v>1</v>
      </c>
      <c r="W196" s="198">
        <v>1</v>
      </c>
      <c r="X196" s="199">
        <v>0</v>
      </c>
      <c r="Y196" s="198">
        <v>1</v>
      </c>
    </row>
    <row r="197" spans="1:31" ht="14" x14ac:dyDescent="0.2">
      <c r="A197" s="202" t="s">
        <v>465</v>
      </c>
      <c r="B197" s="87" t="s">
        <v>289</v>
      </c>
      <c r="C197" s="191" t="s">
        <v>403</v>
      </c>
      <c r="D197" s="195" t="s">
        <v>148</v>
      </c>
      <c r="E197" s="195" t="s">
        <v>494</v>
      </c>
      <c r="F197" s="195" t="s">
        <v>580</v>
      </c>
      <c r="G197" s="190">
        <v>899.05</v>
      </c>
      <c r="H197" s="190">
        <v>1000</v>
      </c>
      <c r="I197" s="190">
        <v>899.05</v>
      </c>
      <c r="J197" s="203">
        <f>M197+N197</f>
        <v>899.05</v>
      </c>
      <c r="K197" s="190">
        <v>228.37</v>
      </c>
      <c r="L197" s="190">
        <v>219.7</v>
      </c>
      <c r="M197" s="87">
        <v>291.58</v>
      </c>
      <c r="N197" s="197">
        <f>275.79+331.68</f>
        <v>607.47</v>
      </c>
      <c r="O197" s="236">
        <f>M197/L197</f>
        <v>1.3271734182976787</v>
      </c>
      <c r="P197" s="237">
        <f>M197/K197</f>
        <v>1.2767876691334237</v>
      </c>
      <c r="Q197" s="237">
        <f>L197/K197</f>
        <v>0.96203529360248707</v>
      </c>
      <c r="R197" s="237">
        <f>L197/J197</f>
        <v>0.24436905622601635</v>
      </c>
      <c r="S197" s="234">
        <f>K197/J197</f>
        <v>0.25401256882264617</v>
      </c>
      <c r="T197" s="198">
        <v>0</v>
      </c>
      <c r="U197" s="198">
        <v>1</v>
      </c>
      <c r="V197" s="198">
        <f>SUM(T197:U197)</f>
        <v>1</v>
      </c>
      <c r="W197" s="198">
        <v>1</v>
      </c>
      <c r="X197" s="199">
        <v>1</v>
      </c>
      <c r="Y197" s="204">
        <v>1</v>
      </c>
    </row>
    <row r="198" spans="1:31" ht="14" x14ac:dyDescent="0.2">
      <c r="A198" s="202" t="s">
        <v>465</v>
      </c>
      <c r="B198" s="24" t="s">
        <v>894</v>
      </c>
      <c r="C198" s="224" t="s">
        <v>824</v>
      </c>
      <c r="D198" s="195" t="s">
        <v>148</v>
      </c>
      <c r="E198" s="195" t="s">
        <v>494</v>
      </c>
      <c r="F198" s="195" t="s">
        <v>580</v>
      </c>
      <c r="G198" s="24">
        <v>1111</v>
      </c>
      <c r="H198" s="24">
        <v>1111</v>
      </c>
      <c r="I198" s="24">
        <v>1111</v>
      </c>
      <c r="J198" s="24">
        <v>1111</v>
      </c>
      <c r="K198" s="24">
        <v>264</v>
      </c>
      <c r="L198" s="24">
        <v>254</v>
      </c>
      <c r="M198" s="87"/>
      <c r="N198" s="87"/>
      <c r="O198" s="237"/>
      <c r="P198" s="237"/>
      <c r="Q198" s="237">
        <f>L198/K198</f>
        <v>0.96212121212121215</v>
      </c>
      <c r="R198" s="237">
        <f>L198/J198</f>
        <v>0.22862286228622863</v>
      </c>
      <c r="S198" s="234">
        <f>K198/J198</f>
        <v>0.23762376237623761</v>
      </c>
      <c r="T198" s="87">
        <v>1</v>
      </c>
      <c r="U198" s="87">
        <v>0</v>
      </c>
      <c r="V198" s="87">
        <v>1</v>
      </c>
      <c r="W198" s="87">
        <v>1</v>
      </c>
      <c r="X198" s="87">
        <v>0</v>
      </c>
      <c r="Y198" s="87">
        <v>1</v>
      </c>
    </row>
    <row r="199" spans="1:31" x14ac:dyDescent="0.15">
      <c r="A199" s="24" t="s">
        <v>77</v>
      </c>
      <c r="B199" s="90" t="s">
        <v>618</v>
      </c>
      <c r="C199" s="24" t="s">
        <v>403</v>
      </c>
      <c r="D199" s="29" t="s">
        <v>96</v>
      </c>
      <c r="E199" s="44" t="s">
        <v>374</v>
      </c>
      <c r="F199" s="29" t="s">
        <v>580</v>
      </c>
      <c r="G199" s="24">
        <v>1814.51</v>
      </c>
      <c r="H199" s="26">
        <v>2000</v>
      </c>
      <c r="I199" s="24">
        <v>1814.51</v>
      </c>
      <c r="J199" s="24">
        <f>M199+N199</f>
        <v>1814.51</v>
      </c>
      <c r="K199" s="27">
        <v>451.5</v>
      </c>
      <c r="L199" s="27">
        <v>434.4</v>
      </c>
      <c r="M199" s="27">
        <v>576.01</v>
      </c>
      <c r="N199" s="27">
        <v>1238.5</v>
      </c>
      <c r="O199" s="234">
        <f>M199/L199</f>
        <v>1.3259898710865563</v>
      </c>
      <c r="P199" s="234">
        <f>M199/K199</f>
        <v>1.2757696566998893</v>
      </c>
      <c r="Q199" s="234">
        <f>L199/K199</f>
        <v>0.96212624584717599</v>
      </c>
      <c r="R199" s="234">
        <f>L199/J199</f>
        <v>0.2394034753184055</v>
      </c>
      <c r="S199" s="234">
        <f>K199/J199</f>
        <v>0.24882750715069082</v>
      </c>
      <c r="T199" s="26">
        <v>0</v>
      </c>
      <c r="U199" s="24">
        <v>1</v>
      </c>
      <c r="V199" s="24">
        <v>1</v>
      </c>
      <c r="W199" s="26">
        <v>1</v>
      </c>
      <c r="X199" s="26">
        <v>0</v>
      </c>
      <c r="Y199" s="26">
        <v>1</v>
      </c>
    </row>
    <row r="200" spans="1:31" ht="14" x14ac:dyDescent="0.2">
      <c r="A200" s="202" t="s">
        <v>465</v>
      </c>
      <c r="B200" s="24" t="s">
        <v>863</v>
      </c>
      <c r="C200" s="224" t="s">
        <v>824</v>
      </c>
      <c r="D200" s="195" t="s">
        <v>148</v>
      </c>
      <c r="E200" s="225" t="s">
        <v>494</v>
      </c>
      <c r="F200" s="195" t="s">
        <v>580</v>
      </c>
      <c r="G200" s="238">
        <v>1110</v>
      </c>
      <c r="H200" s="238">
        <v>1110</v>
      </c>
      <c r="I200" s="238">
        <v>1110</v>
      </c>
      <c r="J200" s="238">
        <v>1110</v>
      </c>
      <c r="K200" s="238">
        <v>265</v>
      </c>
      <c r="L200" s="238">
        <v>255</v>
      </c>
      <c r="M200" s="87"/>
      <c r="N200" s="87"/>
      <c r="O200" s="237"/>
      <c r="P200" s="237"/>
      <c r="Q200" s="237">
        <f>L200/K200</f>
        <v>0.96226415094339623</v>
      </c>
      <c r="R200" s="237">
        <f>L200/J200</f>
        <v>0.22972972972972974</v>
      </c>
      <c r="S200" s="234">
        <f>K200/J200</f>
        <v>0.23873873873873874</v>
      </c>
      <c r="T200" s="87">
        <v>1</v>
      </c>
      <c r="U200" s="87">
        <v>0</v>
      </c>
      <c r="V200" s="87">
        <v>1</v>
      </c>
      <c r="W200" s="87">
        <v>1</v>
      </c>
      <c r="X200" s="87">
        <v>0</v>
      </c>
      <c r="Y200" s="87">
        <v>1</v>
      </c>
    </row>
    <row r="201" spans="1:31" x14ac:dyDescent="0.15">
      <c r="A201" s="24" t="s">
        <v>77</v>
      </c>
      <c r="B201" s="24" t="s">
        <v>100</v>
      </c>
      <c r="C201" s="24" t="s">
        <v>403</v>
      </c>
      <c r="D201" s="29" t="s">
        <v>82</v>
      </c>
      <c r="E201" s="44" t="s">
        <v>374</v>
      </c>
      <c r="F201" s="44" t="s">
        <v>580</v>
      </c>
      <c r="G201" s="24">
        <v>1299.96</v>
      </c>
      <c r="H201" s="44"/>
      <c r="I201" s="24">
        <v>1299.96</v>
      </c>
      <c r="J201" s="24">
        <v>1299.96</v>
      </c>
      <c r="K201" s="24">
        <v>303.32</v>
      </c>
      <c r="L201" s="24">
        <v>291.94</v>
      </c>
      <c r="M201" s="24">
        <v>400.16</v>
      </c>
      <c r="N201" s="24">
        <f>J201-M201</f>
        <v>899.8</v>
      </c>
      <c r="O201" s="234">
        <f>M201/L201</f>
        <v>1.3706926080701516</v>
      </c>
      <c r="P201" s="234">
        <f>M201/K201</f>
        <v>1.3192667809574048</v>
      </c>
      <c r="Q201" s="234">
        <f>L201/K201</f>
        <v>0.96248186733482788</v>
      </c>
      <c r="R201" s="234">
        <f>L201/J201</f>
        <v>0.22457614080433244</v>
      </c>
      <c r="S201" s="234">
        <f>K201/J201</f>
        <v>0.23333025631557894</v>
      </c>
      <c r="T201" s="26">
        <v>0</v>
      </c>
      <c r="U201" s="24">
        <v>1</v>
      </c>
      <c r="V201" s="24">
        <v>1</v>
      </c>
      <c r="W201" s="26">
        <v>1</v>
      </c>
      <c r="X201" s="26">
        <v>0</v>
      </c>
      <c r="Y201" s="26">
        <v>1</v>
      </c>
    </row>
    <row r="202" spans="1:31" ht="14" x14ac:dyDescent="0.2">
      <c r="A202" s="202" t="s">
        <v>465</v>
      </c>
      <c r="B202" s="24" t="s">
        <v>881</v>
      </c>
      <c r="C202" s="224" t="s">
        <v>824</v>
      </c>
      <c r="D202" s="195" t="s">
        <v>148</v>
      </c>
      <c r="E202" s="195" t="s">
        <v>374</v>
      </c>
      <c r="F202" s="195" t="s">
        <v>580</v>
      </c>
      <c r="G202" s="238">
        <v>1835</v>
      </c>
      <c r="H202" s="238">
        <v>1835</v>
      </c>
      <c r="I202" s="238">
        <v>1835</v>
      </c>
      <c r="J202" s="238">
        <v>1835</v>
      </c>
      <c r="K202" s="238">
        <v>400</v>
      </c>
      <c r="L202" s="238">
        <v>385</v>
      </c>
      <c r="M202" s="87"/>
      <c r="N202" s="87"/>
      <c r="O202" s="237"/>
      <c r="P202" s="237"/>
      <c r="Q202" s="237">
        <f>L202/K202</f>
        <v>0.96250000000000002</v>
      </c>
      <c r="R202" s="237">
        <f>L202/J202</f>
        <v>0.2098092643051771</v>
      </c>
      <c r="S202" s="234">
        <f>K202/J202</f>
        <v>0.21798365122615804</v>
      </c>
      <c r="T202" s="87">
        <v>1</v>
      </c>
      <c r="U202" s="87">
        <v>0</v>
      </c>
      <c r="V202" s="87">
        <v>1</v>
      </c>
      <c r="W202" s="87">
        <v>1</v>
      </c>
      <c r="X202" s="87">
        <v>0</v>
      </c>
      <c r="Y202" s="87">
        <v>1</v>
      </c>
    </row>
    <row r="203" spans="1:31" x14ac:dyDescent="0.15">
      <c r="A203" s="2" t="s">
        <v>16</v>
      </c>
      <c r="B203" s="90" t="s">
        <v>254</v>
      </c>
      <c r="C203" s="1" t="s">
        <v>403</v>
      </c>
      <c r="D203" s="88" t="s">
        <v>82</v>
      </c>
      <c r="E203" s="44" t="s">
        <v>374</v>
      </c>
      <c r="F203" s="44" t="s">
        <v>580</v>
      </c>
      <c r="G203" s="39">
        <v>1176.5999999999999</v>
      </c>
      <c r="H203" s="26">
        <v>1200</v>
      </c>
      <c r="I203" s="39">
        <v>1176.5999999999999</v>
      </c>
      <c r="J203" s="39">
        <v>1176.5999999999999</v>
      </c>
      <c r="K203" s="39">
        <v>268.64</v>
      </c>
      <c r="L203" s="39">
        <v>258.58999999999997</v>
      </c>
      <c r="M203" s="39">
        <v>350.59</v>
      </c>
      <c r="N203" s="39">
        <f>436.54+118.99+260.92</f>
        <v>816.45</v>
      </c>
      <c r="O203" s="234">
        <f>M203/L203</f>
        <v>1.3557755520321746</v>
      </c>
      <c r="P203" s="234">
        <f>M203/K203</f>
        <v>1.3050550923168553</v>
      </c>
      <c r="Q203" s="234">
        <f>L203/K203</f>
        <v>0.96258933889219767</v>
      </c>
      <c r="R203" s="233">
        <f>L203/J203</f>
        <v>0.21977732449430562</v>
      </c>
      <c r="S203" s="234">
        <f>K203/J203</f>
        <v>0.2283188849226585</v>
      </c>
      <c r="T203" s="26">
        <v>0</v>
      </c>
      <c r="U203" s="24">
        <v>1</v>
      </c>
      <c r="V203" s="26">
        <f>SUM(T203,U203)</f>
        <v>1</v>
      </c>
      <c r="W203" s="26">
        <v>1</v>
      </c>
      <c r="X203" s="26">
        <v>1</v>
      </c>
      <c r="Y203" s="24">
        <v>1</v>
      </c>
    </row>
    <row r="204" spans="1:31" ht="14" x14ac:dyDescent="0.2">
      <c r="A204" s="202" t="s">
        <v>465</v>
      </c>
      <c r="B204" s="202" t="s">
        <v>460</v>
      </c>
      <c r="C204" s="202" t="s">
        <v>403</v>
      </c>
      <c r="D204" s="195" t="s">
        <v>82</v>
      </c>
      <c r="E204" s="195" t="s">
        <v>203</v>
      </c>
      <c r="F204" s="195" t="s">
        <v>581</v>
      </c>
      <c r="G204" s="190">
        <v>4340</v>
      </c>
      <c r="H204" s="190">
        <v>4340</v>
      </c>
      <c r="I204" s="190">
        <v>4340</v>
      </c>
      <c r="J204" s="190">
        <v>4340</v>
      </c>
      <c r="K204" s="190">
        <v>913</v>
      </c>
      <c r="L204" s="190">
        <v>879</v>
      </c>
      <c r="M204" s="190">
        <v>1247.5</v>
      </c>
      <c r="N204" s="190">
        <f>J204-M204</f>
        <v>3092.5</v>
      </c>
      <c r="O204" s="239">
        <f>M204/L204</f>
        <v>1.4192263936291241</v>
      </c>
      <c r="P204" s="239">
        <f>M204/K204</f>
        <v>1.3663745892661556</v>
      </c>
      <c r="Q204" s="239">
        <f>L204/K204</f>
        <v>0.96276013143483019</v>
      </c>
      <c r="R204" s="239">
        <f>L204/J204</f>
        <v>0.20253456221198157</v>
      </c>
      <c r="S204" s="234">
        <f>K204/J204</f>
        <v>0.21036866359447004</v>
      </c>
      <c r="T204" s="199">
        <v>1</v>
      </c>
      <c r="U204" s="199">
        <v>0</v>
      </c>
      <c r="V204" s="199">
        <v>1</v>
      </c>
      <c r="W204" s="199">
        <v>0</v>
      </c>
      <c r="X204" s="199">
        <v>1</v>
      </c>
      <c r="Y204" s="198">
        <v>1</v>
      </c>
    </row>
    <row r="205" spans="1:31" x14ac:dyDescent="0.15">
      <c r="A205" s="90" t="s">
        <v>16</v>
      </c>
      <c r="B205" s="1" t="s">
        <v>615</v>
      </c>
      <c r="C205" s="26" t="s">
        <v>403</v>
      </c>
      <c r="D205" s="88" t="s">
        <v>148</v>
      </c>
      <c r="E205" s="44" t="s">
        <v>374</v>
      </c>
      <c r="F205" s="44" t="s">
        <v>580</v>
      </c>
      <c r="G205" s="24">
        <v>1168</v>
      </c>
      <c r="I205" s="24">
        <v>1168</v>
      </c>
      <c r="J205" s="24">
        <v>1168</v>
      </c>
      <c r="K205" s="24">
        <v>246.77</v>
      </c>
      <c r="L205" s="24">
        <v>237.59</v>
      </c>
      <c r="M205" s="24">
        <v>323.43</v>
      </c>
      <c r="N205" s="24">
        <f>J205-M205</f>
        <v>844.56999999999994</v>
      </c>
      <c r="O205" s="234">
        <f>M205/L205</f>
        <v>1.3612946672839765</v>
      </c>
      <c r="P205" s="234">
        <f>M205/K205</f>
        <v>1.3106536450946225</v>
      </c>
      <c r="Q205" s="234">
        <f>L205/K205</f>
        <v>0.9627993678323945</v>
      </c>
      <c r="R205" s="233">
        <f>L205/J205</f>
        <v>0.20341609589041096</v>
      </c>
      <c r="S205" s="234">
        <f>K205/J205</f>
        <v>0.21127568493150686</v>
      </c>
      <c r="T205" s="26">
        <v>0</v>
      </c>
      <c r="U205" s="24">
        <v>1</v>
      </c>
      <c r="V205" s="26">
        <f>SUM(T205,U205)</f>
        <v>1</v>
      </c>
      <c r="W205" s="26">
        <v>1</v>
      </c>
      <c r="X205" s="26">
        <v>0</v>
      </c>
      <c r="Y205" s="24">
        <v>1</v>
      </c>
    </row>
    <row r="206" spans="1:31" x14ac:dyDescent="0.15">
      <c r="A206" s="90" t="s">
        <v>16</v>
      </c>
      <c r="B206" s="24" t="s">
        <v>820</v>
      </c>
      <c r="C206" s="24" t="s">
        <v>824</v>
      </c>
      <c r="D206" s="138" t="s">
        <v>148</v>
      </c>
      <c r="E206" s="30" t="s">
        <v>374</v>
      </c>
      <c r="F206" s="44" t="s">
        <v>580</v>
      </c>
      <c r="G206" s="24">
        <v>1416</v>
      </c>
      <c r="H206" s="24">
        <v>1416</v>
      </c>
      <c r="I206" s="24">
        <v>1416</v>
      </c>
      <c r="J206" s="24">
        <v>1416</v>
      </c>
      <c r="K206" s="24">
        <v>296</v>
      </c>
      <c r="L206" s="24">
        <v>285</v>
      </c>
      <c r="Q206" s="234">
        <f>L206/K206</f>
        <v>0.96283783783783783</v>
      </c>
      <c r="R206" s="234">
        <f>L206/J206</f>
        <v>0.20127118644067796</v>
      </c>
      <c r="S206" s="234">
        <f>K206/J206</f>
        <v>0.20903954802259886</v>
      </c>
      <c r="T206" s="24">
        <v>1</v>
      </c>
      <c r="U206" s="24">
        <v>0</v>
      </c>
      <c r="V206" s="26">
        <f>SUM(T206,U206)</f>
        <v>1</v>
      </c>
      <c r="W206" s="24">
        <v>1</v>
      </c>
      <c r="X206" s="24">
        <v>0</v>
      </c>
      <c r="Y206" s="24">
        <v>1</v>
      </c>
      <c r="AE206" s="26"/>
    </row>
    <row r="207" spans="1:31" ht="14" x14ac:dyDescent="0.2">
      <c r="A207" s="202" t="s">
        <v>465</v>
      </c>
      <c r="B207" s="24" t="s">
        <v>866</v>
      </c>
      <c r="C207" s="224" t="s">
        <v>824</v>
      </c>
      <c r="D207" s="195" t="s">
        <v>148</v>
      </c>
      <c r="E207" s="195" t="s">
        <v>374</v>
      </c>
      <c r="F207" s="195" t="s">
        <v>580</v>
      </c>
      <c r="G207" s="238">
        <v>1565</v>
      </c>
      <c r="H207" s="238">
        <v>1565</v>
      </c>
      <c r="I207" s="238">
        <v>1565</v>
      </c>
      <c r="J207" s="238">
        <v>1565</v>
      </c>
      <c r="K207" s="238">
        <v>357</v>
      </c>
      <c r="L207" s="238">
        <v>344</v>
      </c>
      <c r="M207" s="87"/>
      <c r="N207" s="87"/>
      <c r="O207" s="237"/>
      <c r="P207" s="237"/>
      <c r="Q207" s="237">
        <f>L207/K207</f>
        <v>0.96358543417366949</v>
      </c>
      <c r="R207" s="237">
        <f>L207/J207</f>
        <v>0.21980830670926518</v>
      </c>
      <c r="S207" s="234">
        <f>K207/J207</f>
        <v>0.22811501597444089</v>
      </c>
      <c r="T207" s="87">
        <v>1</v>
      </c>
      <c r="U207" s="87">
        <v>0</v>
      </c>
      <c r="V207" s="87">
        <v>1</v>
      </c>
      <c r="W207" s="87">
        <v>1</v>
      </c>
      <c r="X207" s="87">
        <v>0</v>
      </c>
      <c r="Y207" s="87">
        <v>1</v>
      </c>
      <c r="AE207" s="26"/>
    </row>
    <row r="208" spans="1:31" ht="14" x14ac:dyDescent="0.2">
      <c r="A208" s="202" t="s">
        <v>465</v>
      </c>
      <c r="B208" s="24" t="s">
        <v>842</v>
      </c>
      <c r="C208" s="224" t="s">
        <v>824</v>
      </c>
      <c r="D208" s="195" t="s">
        <v>148</v>
      </c>
      <c r="E208" s="195" t="s">
        <v>374</v>
      </c>
      <c r="F208" s="195" t="s">
        <v>580</v>
      </c>
      <c r="G208" s="238">
        <v>2435</v>
      </c>
      <c r="H208" s="238">
        <v>2435</v>
      </c>
      <c r="I208" s="238">
        <v>2435</v>
      </c>
      <c r="J208" s="238">
        <v>2435</v>
      </c>
      <c r="K208" s="238">
        <v>550</v>
      </c>
      <c r="L208" s="238">
        <v>530</v>
      </c>
      <c r="M208" s="87"/>
      <c r="N208" s="87"/>
      <c r="O208" s="237"/>
      <c r="P208" s="237"/>
      <c r="Q208" s="237">
        <f>L208/K208</f>
        <v>0.96363636363636362</v>
      </c>
      <c r="R208" s="237">
        <f>L208/J208</f>
        <v>0.21765913757700206</v>
      </c>
      <c r="S208" s="234">
        <f>K208/J208</f>
        <v>0.22587268993839835</v>
      </c>
      <c r="T208" s="87">
        <v>1</v>
      </c>
      <c r="U208" s="87">
        <v>0</v>
      </c>
      <c r="V208" s="87">
        <v>1</v>
      </c>
      <c r="W208" s="87">
        <v>1</v>
      </c>
      <c r="X208" s="87">
        <v>0</v>
      </c>
      <c r="Y208" s="87">
        <v>1</v>
      </c>
      <c r="AE208" s="26"/>
    </row>
    <row r="209" spans="1:31" ht="14" x14ac:dyDescent="0.2">
      <c r="A209" s="202" t="s">
        <v>465</v>
      </c>
      <c r="B209" s="24" t="s">
        <v>860</v>
      </c>
      <c r="C209" s="224" t="s">
        <v>824</v>
      </c>
      <c r="D209" s="195" t="s">
        <v>148</v>
      </c>
      <c r="E209" s="195" t="s">
        <v>494</v>
      </c>
      <c r="F209" s="195" t="s">
        <v>580</v>
      </c>
      <c r="G209" s="238">
        <v>1029</v>
      </c>
      <c r="H209" s="238">
        <v>1029</v>
      </c>
      <c r="I209" s="238">
        <v>1029</v>
      </c>
      <c r="J209" s="238">
        <v>1029</v>
      </c>
      <c r="K209" s="238">
        <v>250</v>
      </c>
      <c r="L209" s="238">
        <v>241</v>
      </c>
      <c r="M209" s="87"/>
      <c r="N209" s="87"/>
      <c r="O209" s="237"/>
      <c r="P209" s="237"/>
      <c r="Q209" s="237">
        <f>L209/K209</f>
        <v>0.96399999999999997</v>
      </c>
      <c r="R209" s="237">
        <f>L209/J209</f>
        <v>0.23420796890184645</v>
      </c>
      <c r="S209" s="234">
        <f>K209/J209</f>
        <v>0.24295432458697766</v>
      </c>
      <c r="T209" s="87">
        <v>1</v>
      </c>
      <c r="U209" s="87">
        <v>0</v>
      </c>
      <c r="V209" s="87">
        <v>1</v>
      </c>
      <c r="W209" s="87">
        <v>1</v>
      </c>
      <c r="X209" s="87">
        <v>0</v>
      </c>
      <c r="Y209" s="87">
        <v>1</v>
      </c>
      <c r="AE209" s="26"/>
    </row>
    <row r="210" spans="1:31" ht="14" x14ac:dyDescent="0.2">
      <c r="A210" s="202" t="s">
        <v>465</v>
      </c>
      <c r="B210" s="87" t="s">
        <v>433</v>
      </c>
      <c r="C210" s="87" t="s">
        <v>458</v>
      </c>
      <c r="D210" s="192" t="s">
        <v>82</v>
      </c>
      <c r="E210" s="195" t="s">
        <v>374</v>
      </c>
      <c r="F210" s="195" t="s">
        <v>580</v>
      </c>
      <c r="G210" s="190">
        <v>1520</v>
      </c>
      <c r="H210" s="190">
        <v>1520</v>
      </c>
      <c r="I210" s="190">
        <v>1520</v>
      </c>
      <c r="J210" s="190">
        <v>1520</v>
      </c>
      <c r="K210" s="190">
        <v>335</v>
      </c>
      <c r="L210" s="190">
        <v>323</v>
      </c>
      <c r="M210" s="190"/>
      <c r="N210" s="87"/>
      <c r="O210" s="236"/>
      <c r="P210" s="237"/>
      <c r="Q210" s="237">
        <f>L210/K210</f>
        <v>0.9641791044776119</v>
      </c>
      <c r="R210" s="237">
        <f>L210/J210</f>
        <v>0.21249999999999999</v>
      </c>
      <c r="S210" s="234">
        <f>K210/J210</f>
        <v>0.22039473684210525</v>
      </c>
      <c r="T210" s="198">
        <v>1</v>
      </c>
      <c r="U210" s="198">
        <v>0</v>
      </c>
      <c r="V210" s="198">
        <f>SUM(T210:U210)</f>
        <v>1</v>
      </c>
      <c r="W210" s="198">
        <v>1</v>
      </c>
      <c r="X210" s="199">
        <v>0</v>
      </c>
      <c r="Y210" s="198">
        <v>1</v>
      </c>
      <c r="AE210" s="26"/>
    </row>
    <row r="211" spans="1:31" ht="13" customHeight="1" x14ac:dyDescent="0.2">
      <c r="A211" s="191" t="s">
        <v>19</v>
      </c>
      <c r="B211" s="87" t="s">
        <v>600</v>
      </c>
      <c r="C211" s="191" t="s">
        <v>403</v>
      </c>
      <c r="D211" s="195" t="s">
        <v>82</v>
      </c>
      <c r="E211" s="195" t="s">
        <v>293</v>
      </c>
      <c r="F211" s="195" t="s">
        <v>580</v>
      </c>
      <c r="G211" s="190">
        <v>2516.1099999999997</v>
      </c>
      <c r="H211" s="190">
        <v>2460</v>
      </c>
      <c r="I211" s="190">
        <v>2516.1099999999997</v>
      </c>
      <c r="J211" s="190">
        <f>M211+N211</f>
        <v>2516.1099999999997</v>
      </c>
      <c r="K211" s="190">
        <v>679.35</v>
      </c>
      <c r="L211" s="190">
        <v>655.37</v>
      </c>
      <c r="M211" s="87">
        <v>921.04</v>
      </c>
      <c r="N211" s="87">
        <f>523.79+496.77+236.84+337.67</f>
        <v>1595.07</v>
      </c>
      <c r="O211" s="236">
        <f>M211/L211</f>
        <v>1.4053740635061109</v>
      </c>
      <c r="P211" s="237">
        <f>M211/K211</f>
        <v>1.355766541547067</v>
      </c>
      <c r="Q211" s="237">
        <f>L211/K211</f>
        <v>0.96470155295503057</v>
      </c>
      <c r="R211" s="237">
        <f>L211/J211</f>
        <v>0.26046953432083658</v>
      </c>
      <c r="S211" s="234">
        <f>K211/J211</f>
        <v>0.27000011923167117</v>
      </c>
      <c r="T211" s="198">
        <v>0</v>
      </c>
      <c r="U211" s="198">
        <v>1</v>
      </c>
      <c r="V211" s="87">
        <v>1</v>
      </c>
      <c r="W211" s="198">
        <v>1</v>
      </c>
      <c r="X211" s="198">
        <v>0</v>
      </c>
      <c r="Y211" s="198">
        <v>1</v>
      </c>
      <c r="AE211" s="26"/>
    </row>
    <row r="212" spans="1:31" ht="13" customHeight="1" x14ac:dyDescent="0.2">
      <c r="A212" s="202" t="s">
        <v>465</v>
      </c>
      <c r="B212" s="24" t="s">
        <v>892</v>
      </c>
      <c r="C212" s="224" t="s">
        <v>824</v>
      </c>
      <c r="D212" s="195" t="s">
        <v>148</v>
      </c>
      <c r="E212" s="195" t="s">
        <v>494</v>
      </c>
      <c r="F212" s="195" t="s">
        <v>580</v>
      </c>
      <c r="G212" s="24">
        <v>1090</v>
      </c>
      <c r="H212" s="24">
        <v>1090</v>
      </c>
      <c r="I212" s="24">
        <v>1090</v>
      </c>
      <c r="J212" s="24">
        <v>1090</v>
      </c>
      <c r="K212" s="24">
        <v>257</v>
      </c>
      <c r="L212" s="24">
        <v>248</v>
      </c>
      <c r="M212" s="87"/>
      <c r="N212" s="87"/>
      <c r="O212" s="237"/>
      <c r="P212" s="237"/>
      <c r="Q212" s="237">
        <f>L212/K212</f>
        <v>0.96498054474708173</v>
      </c>
      <c r="R212" s="237">
        <f>L212/J212</f>
        <v>0.22752293577981653</v>
      </c>
      <c r="S212" s="234">
        <f>K212/J212</f>
        <v>0.23577981651376148</v>
      </c>
      <c r="T212" s="87">
        <v>1</v>
      </c>
      <c r="U212" s="87">
        <v>0</v>
      </c>
      <c r="V212" s="87">
        <v>1</v>
      </c>
      <c r="W212" s="87">
        <v>1</v>
      </c>
      <c r="X212" s="87">
        <v>0</v>
      </c>
      <c r="Y212" s="87">
        <v>1</v>
      </c>
    </row>
    <row r="213" spans="1:31" ht="14" x14ac:dyDescent="0.2">
      <c r="A213" s="202" t="s">
        <v>465</v>
      </c>
      <c r="B213" s="24" t="s">
        <v>893</v>
      </c>
      <c r="C213" s="224" t="s">
        <v>824</v>
      </c>
      <c r="D213" s="195" t="s">
        <v>148</v>
      </c>
      <c r="E213" s="195" t="s">
        <v>374</v>
      </c>
      <c r="F213" s="195" t="s">
        <v>580</v>
      </c>
      <c r="G213" s="24">
        <v>1274</v>
      </c>
      <c r="H213" s="24">
        <v>1274</v>
      </c>
      <c r="I213" s="24">
        <v>1274</v>
      </c>
      <c r="J213" s="24">
        <v>1274</v>
      </c>
      <c r="K213" s="24">
        <v>287</v>
      </c>
      <c r="L213" s="24">
        <v>277</v>
      </c>
      <c r="M213" s="87"/>
      <c r="N213" s="87"/>
      <c r="O213" s="237"/>
      <c r="P213" s="237"/>
      <c r="Q213" s="237">
        <f>L213/K213</f>
        <v>0.96515679442508706</v>
      </c>
      <c r="R213" s="237">
        <f>L213/J213</f>
        <v>0.21742543171114601</v>
      </c>
      <c r="S213" s="234">
        <f>K213/J213</f>
        <v>0.22527472527472528</v>
      </c>
      <c r="T213" s="87">
        <v>1</v>
      </c>
      <c r="U213" s="87">
        <v>0</v>
      </c>
      <c r="V213" s="87">
        <v>1</v>
      </c>
      <c r="W213" s="87">
        <v>1</v>
      </c>
      <c r="X213" s="87">
        <v>0</v>
      </c>
      <c r="Y213" s="87">
        <v>1</v>
      </c>
      <c r="AE213" s="26"/>
    </row>
    <row r="214" spans="1:31" x14ac:dyDescent="0.15">
      <c r="A214" s="90" t="s">
        <v>16</v>
      </c>
      <c r="B214" s="24" t="s">
        <v>815</v>
      </c>
      <c r="C214" s="24" t="s">
        <v>824</v>
      </c>
      <c r="D214" s="138" t="s">
        <v>148</v>
      </c>
      <c r="E214" s="44" t="s">
        <v>374</v>
      </c>
      <c r="F214" s="44" t="s">
        <v>580</v>
      </c>
      <c r="G214" s="24">
        <v>1651</v>
      </c>
      <c r="H214" s="24">
        <v>1651</v>
      </c>
      <c r="I214" s="24">
        <v>1651</v>
      </c>
      <c r="J214" s="24">
        <v>1651</v>
      </c>
      <c r="K214" s="24">
        <v>316</v>
      </c>
      <c r="L214" s="24">
        <v>305</v>
      </c>
      <c r="Q214" s="234">
        <f>L214/K214</f>
        <v>0.96518987341772156</v>
      </c>
      <c r="R214" s="234">
        <f>L214/J214</f>
        <v>0.18473652331920049</v>
      </c>
      <c r="S214" s="234">
        <f>K214/J214</f>
        <v>0.19139915202907329</v>
      </c>
      <c r="T214" s="24">
        <v>1</v>
      </c>
      <c r="U214" s="24">
        <v>0</v>
      </c>
      <c r="V214" s="26">
        <f>SUM(T214,U214)</f>
        <v>1</v>
      </c>
      <c r="W214" s="24">
        <v>1</v>
      </c>
      <c r="X214" s="24">
        <v>0</v>
      </c>
      <c r="Y214" s="24">
        <v>1</v>
      </c>
      <c r="AE214" s="26"/>
    </row>
    <row r="215" spans="1:31" ht="14" customHeight="1" x14ac:dyDescent="0.2">
      <c r="A215" s="202" t="s">
        <v>465</v>
      </c>
      <c r="B215" s="24" t="s">
        <v>883</v>
      </c>
      <c r="C215" s="224" t="s">
        <v>824</v>
      </c>
      <c r="D215" s="195" t="s">
        <v>148</v>
      </c>
      <c r="E215" s="195" t="s">
        <v>374</v>
      </c>
      <c r="F215" s="195" t="s">
        <v>580</v>
      </c>
      <c r="G215" s="238">
        <v>1670</v>
      </c>
      <c r="H215" s="238">
        <v>1670</v>
      </c>
      <c r="I215" s="238">
        <v>1670</v>
      </c>
      <c r="J215" s="238">
        <v>1670</v>
      </c>
      <c r="K215" s="238">
        <v>405</v>
      </c>
      <c r="L215" s="238">
        <v>391</v>
      </c>
      <c r="M215" s="87"/>
      <c r="N215" s="87"/>
      <c r="O215" s="237"/>
      <c r="P215" s="237"/>
      <c r="Q215" s="237">
        <f>L215/K215</f>
        <v>0.96543209876543212</v>
      </c>
      <c r="R215" s="237">
        <f>L215/J215</f>
        <v>0.2341317365269461</v>
      </c>
      <c r="S215" s="234">
        <f>K215/J215</f>
        <v>0.24251497005988024</v>
      </c>
      <c r="T215" s="87">
        <v>1</v>
      </c>
      <c r="U215" s="87">
        <v>0</v>
      </c>
      <c r="V215" s="87">
        <v>1</v>
      </c>
      <c r="W215" s="87">
        <v>1</v>
      </c>
      <c r="X215" s="87">
        <v>0</v>
      </c>
      <c r="Y215" s="87">
        <v>1</v>
      </c>
      <c r="AE215" s="26"/>
    </row>
    <row r="216" spans="1:31" x14ac:dyDescent="0.15">
      <c r="A216" s="90" t="s">
        <v>16</v>
      </c>
      <c r="B216" s="1" t="s">
        <v>616</v>
      </c>
      <c r="C216" s="26" t="s">
        <v>403</v>
      </c>
      <c r="D216" s="88" t="s">
        <v>82</v>
      </c>
      <c r="E216" s="44" t="s">
        <v>293</v>
      </c>
      <c r="F216" s="44" t="s">
        <v>580</v>
      </c>
      <c r="G216" s="24">
        <v>2298</v>
      </c>
      <c r="I216" s="24">
        <v>2298</v>
      </c>
      <c r="J216" s="24">
        <v>2298</v>
      </c>
      <c r="K216" s="24">
        <v>369.7</v>
      </c>
      <c r="L216" s="24">
        <v>357</v>
      </c>
      <c r="Q216" s="234">
        <f>L216/K216</f>
        <v>0.96564782255883153</v>
      </c>
      <c r="R216" s="234">
        <f>L216/J216</f>
        <v>0.15535248041775457</v>
      </c>
      <c r="S216" s="234">
        <f>K216/J216</f>
        <v>0.16087902523933856</v>
      </c>
      <c r="T216" s="24">
        <v>1</v>
      </c>
      <c r="U216" s="24">
        <v>0</v>
      </c>
      <c r="V216" s="26">
        <f>SUM(T216,U216)</f>
        <v>1</v>
      </c>
      <c r="W216" s="24">
        <v>1</v>
      </c>
      <c r="X216" s="24">
        <v>0</v>
      </c>
      <c r="Y216" s="24">
        <v>1</v>
      </c>
      <c r="AE216" s="26"/>
    </row>
    <row r="217" spans="1:31" x14ac:dyDescent="0.15">
      <c r="A217" s="2" t="s">
        <v>16</v>
      </c>
      <c r="B217" s="91" t="s">
        <v>825</v>
      </c>
      <c r="C217" s="91" t="s">
        <v>403</v>
      </c>
      <c r="D217" s="88" t="s">
        <v>82</v>
      </c>
      <c r="E217" s="44" t="s">
        <v>494</v>
      </c>
      <c r="F217" s="44" t="s">
        <v>580</v>
      </c>
      <c r="G217" s="92">
        <v>660.93000000000006</v>
      </c>
      <c r="H217" s="92">
        <v>670</v>
      </c>
      <c r="I217" s="91">
        <v>660.93000000000006</v>
      </c>
      <c r="J217" s="91">
        <f>M217+N217</f>
        <v>660.93000000000006</v>
      </c>
      <c r="K217" s="91">
        <v>149.1</v>
      </c>
      <c r="L217" s="91">
        <v>144</v>
      </c>
      <c r="M217" s="91">
        <v>198.5</v>
      </c>
      <c r="N217" s="91">
        <f>131.05+113.75+57.64+87.69+72.3</f>
        <v>462.43</v>
      </c>
      <c r="O217" s="232">
        <f>M217/L217</f>
        <v>1.3784722222222223</v>
      </c>
      <c r="P217" s="234">
        <f>M217/K217</f>
        <v>1.3313212608987257</v>
      </c>
      <c r="Q217" s="233">
        <f>L217/K217</f>
        <v>0.96579476861167002</v>
      </c>
      <c r="R217" s="233">
        <f>L217/J217</f>
        <v>0.21787481276383275</v>
      </c>
      <c r="S217" s="234">
        <f>K217/J217</f>
        <v>0.22559121238255184</v>
      </c>
      <c r="T217" s="91">
        <v>1</v>
      </c>
      <c r="U217" s="91">
        <v>0</v>
      </c>
      <c r="V217" s="91">
        <v>1</v>
      </c>
      <c r="W217" s="24">
        <v>1</v>
      </c>
      <c r="X217" s="91">
        <v>0</v>
      </c>
      <c r="Y217" s="24">
        <v>1</v>
      </c>
      <c r="AE217" s="26"/>
    </row>
    <row r="218" spans="1:31" ht="14" x14ac:dyDescent="0.2">
      <c r="A218" s="202" t="s">
        <v>465</v>
      </c>
      <c r="B218" s="87" t="s">
        <v>75</v>
      </c>
      <c r="C218" s="191" t="s">
        <v>403</v>
      </c>
      <c r="D218" s="195" t="s">
        <v>82</v>
      </c>
      <c r="E218" s="195" t="s">
        <v>374</v>
      </c>
      <c r="F218" s="195" t="s">
        <v>580</v>
      </c>
      <c r="G218" s="190">
        <v>2106.6</v>
      </c>
      <c r="H218" s="190">
        <v>2300</v>
      </c>
      <c r="I218" s="190">
        <v>2106.6</v>
      </c>
      <c r="J218" s="190">
        <v>2106.6</v>
      </c>
      <c r="K218" s="190">
        <v>428.11</v>
      </c>
      <c r="L218" s="190">
        <v>413.78</v>
      </c>
      <c r="M218" s="87">
        <v>553.4</v>
      </c>
      <c r="N218" s="197">
        <f>J218-M218</f>
        <v>1553.1999999999998</v>
      </c>
      <c r="O218" s="236">
        <f>M218/L218</f>
        <v>1.3374256851466964</v>
      </c>
      <c r="P218" s="237">
        <f>M218/K218</f>
        <v>1.2926584289084579</v>
      </c>
      <c r="Q218" s="237">
        <f>L218/K218</f>
        <v>0.9665272943869565</v>
      </c>
      <c r="R218" s="237">
        <f>L218/J218</f>
        <v>0.19642077280926612</v>
      </c>
      <c r="S218" s="234">
        <f>K218/J218</f>
        <v>0.20322320326592616</v>
      </c>
      <c r="T218" s="198">
        <v>0</v>
      </c>
      <c r="U218" s="198">
        <v>1</v>
      </c>
      <c r="V218" s="198">
        <f>SUM(T218:U218)</f>
        <v>1</v>
      </c>
      <c r="W218" s="198">
        <v>1</v>
      </c>
      <c r="X218" s="199">
        <v>1</v>
      </c>
      <c r="Y218" s="198">
        <v>1</v>
      </c>
      <c r="AE218" s="26"/>
    </row>
    <row r="219" spans="1:31" x14ac:dyDescent="0.15">
      <c r="A219" s="2" t="s">
        <v>16</v>
      </c>
      <c r="B219" s="90" t="s">
        <v>50</v>
      </c>
      <c r="C219" s="1" t="s">
        <v>403</v>
      </c>
      <c r="D219" s="88" t="s">
        <v>82</v>
      </c>
      <c r="E219" s="44" t="s">
        <v>203</v>
      </c>
      <c r="F219" s="44" t="s">
        <v>581</v>
      </c>
      <c r="G219" s="26">
        <v>2873</v>
      </c>
      <c r="H219" s="26">
        <v>3048</v>
      </c>
      <c r="I219" s="26">
        <v>2873</v>
      </c>
      <c r="J219" s="26">
        <v>2873</v>
      </c>
      <c r="K219" s="26">
        <v>546</v>
      </c>
      <c r="L219" s="26">
        <v>528</v>
      </c>
      <c r="M219" s="26">
        <v>715</v>
      </c>
      <c r="N219" s="26">
        <f>J219-M219</f>
        <v>2158</v>
      </c>
      <c r="O219" s="232">
        <f>M219/L219</f>
        <v>1.3541666666666667</v>
      </c>
      <c r="P219" s="234">
        <f>M219/K219</f>
        <v>1.3095238095238095</v>
      </c>
      <c r="Q219" s="233">
        <f>L219/K219</f>
        <v>0.96703296703296704</v>
      </c>
      <c r="R219" s="233">
        <f>L219/J219</f>
        <v>0.18378002088409329</v>
      </c>
      <c r="S219" s="234">
        <f>K219/J219</f>
        <v>0.19004524886877827</v>
      </c>
      <c r="T219" s="26">
        <v>0</v>
      </c>
      <c r="U219" s="24">
        <v>1</v>
      </c>
      <c r="V219" s="26">
        <f>SUM(T219,U219)</f>
        <v>1</v>
      </c>
      <c r="W219" s="26">
        <v>1</v>
      </c>
      <c r="X219" s="26">
        <v>0</v>
      </c>
      <c r="Y219" s="24">
        <v>1</v>
      </c>
      <c r="AE219" s="26"/>
    </row>
    <row r="220" spans="1:31" ht="14" x14ac:dyDescent="0.2">
      <c r="A220" s="202" t="s">
        <v>465</v>
      </c>
      <c r="B220" s="24" t="s">
        <v>899</v>
      </c>
      <c r="C220" s="224" t="s">
        <v>824</v>
      </c>
      <c r="D220" s="195" t="s">
        <v>148</v>
      </c>
      <c r="E220" s="195" t="s">
        <v>374</v>
      </c>
      <c r="F220" s="195" t="s">
        <v>580</v>
      </c>
      <c r="G220" s="24">
        <v>2060</v>
      </c>
      <c r="H220" s="24">
        <v>2060</v>
      </c>
      <c r="I220" s="24">
        <v>2060</v>
      </c>
      <c r="J220" s="24">
        <v>2060</v>
      </c>
      <c r="K220" s="24">
        <v>456</v>
      </c>
      <c r="L220" s="24">
        <v>441</v>
      </c>
      <c r="M220" s="87"/>
      <c r="N220" s="87"/>
      <c r="O220" s="237"/>
      <c r="P220" s="237"/>
      <c r="Q220" s="237">
        <f>L220/K220</f>
        <v>0.96710526315789469</v>
      </c>
      <c r="R220" s="237">
        <f>L220/J220</f>
        <v>0.21407766990291263</v>
      </c>
      <c r="S220" s="234">
        <f>K220/J220</f>
        <v>0.22135922330097088</v>
      </c>
      <c r="T220" s="87">
        <v>1</v>
      </c>
      <c r="U220" s="87">
        <v>0</v>
      </c>
      <c r="V220" s="87">
        <v>1</v>
      </c>
      <c r="W220" s="87">
        <v>1</v>
      </c>
      <c r="X220" s="87">
        <v>0</v>
      </c>
      <c r="Y220" s="87">
        <v>1</v>
      </c>
      <c r="AE220" s="26"/>
    </row>
    <row r="221" spans="1:31" ht="14" x14ac:dyDescent="0.2">
      <c r="A221" s="202" t="s">
        <v>465</v>
      </c>
      <c r="B221" s="24" t="s">
        <v>858</v>
      </c>
      <c r="C221" s="224" t="s">
        <v>824</v>
      </c>
      <c r="D221" s="195" t="s">
        <v>148</v>
      </c>
      <c r="E221" s="225" t="s">
        <v>494</v>
      </c>
      <c r="F221" s="195" t="s">
        <v>580</v>
      </c>
      <c r="G221" s="238">
        <v>1062</v>
      </c>
      <c r="H221" s="238">
        <v>1062</v>
      </c>
      <c r="I221" s="238">
        <v>1062</v>
      </c>
      <c r="J221" s="238">
        <v>1062</v>
      </c>
      <c r="K221" s="238">
        <v>275</v>
      </c>
      <c r="L221" s="238">
        <v>266</v>
      </c>
      <c r="M221" s="87"/>
      <c r="N221" s="87"/>
      <c r="O221" s="237"/>
      <c r="P221" s="237"/>
      <c r="Q221" s="237">
        <f>L221/K221</f>
        <v>0.96727272727272728</v>
      </c>
      <c r="R221" s="237">
        <f>L221/J221</f>
        <v>0.2504708097928437</v>
      </c>
      <c r="S221" s="234">
        <f>K221/J221</f>
        <v>0.25894538606403011</v>
      </c>
      <c r="T221" s="87">
        <v>1</v>
      </c>
      <c r="U221" s="87">
        <v>0</v>
      </c>
      <c r="V221" s="87">
        <v>1</v>
      </c>
      <c r="W221" s="87">
        <v>1</v>
      </c>
      <c r="X221" s="87">
        <v>0</v>
      </c>
      <c r="Y221" s="87">
        <v>1</v>
      </c>
      <c r="AE221" s="26"/>
    </row>
    <row r="222" spans="1:31" ht="13" customHeight="1" x14ac:dyDescent="0.15">
      <c r="A222" s="235" t="s">
        <v>16</v>
      </c>
      <c r="B222" s="235" t="s">
        <v>520</v>
      </c>
      <c r="C222" s="1" t="s">
        <v>401</v>
      </c>
      <c r="D222" s="3" t="s">
        <v>82</v>
      </c>
      <c r="E222" s="32" t="s">
        <v>494</v>
      </c>
      <c r="F222" s="44" t="s">
        <v>580</v>
      </c>
      <c r="G222" s="1">
        <v>770</v>
      </c>
      <c r="H222" s="1">
        <v>770</v>
      </c>
      <c r="I222" s="1">
        <v>770</v>
      </c>
      <c r="J222" s="1">
        <v>770</v>
      </c>
      <c r="K222" s="1">
        <v>153</v>
      </c>
      <c r="L222" s="1">
        <v>148</v>
      </c>
      <c r="M222" s="6">
        <v>203.33333333333334</v>
      </c>
      <c r="N222" s="24">
        <v>566</v>
      </c>
      <c r="O222" s="232">
        <f>M222/L222</f>
        <v>1.3738738738738738</v>
      </c>
      <c r="P222" s="234">
        <f>M222/K222</f>
        <v>1.3289760348583879</v>
      </c>
      <c r="Q222" s="233">
        <f>L222/K222</f>
        <v>0.9673202614379085</v>
      </c>
      <c r="R222" s="233">
        <f>L222/J222</f>
        <v>0.19220779220779222</v>
      </c>
      <c r="S222" s="234">
        <f>K222/J222</f>
        <v>0.19870129870129871</v>
      </c>
      <c r="T222" s="26">
        <v>1</v>
      </c>
      <c r="U222" s="26">
        <v>0</v>
      </c>
      <c r="V222" s="26">
        <f>SUM(T222,U222)</f>
        <v>1</v>
      </c>
      <c r="W222" s="26">
        <v>1</v>
      </c>
      <c r="X222" s="24">
        <v>0</v>
      </c>
      <c r="Y222" s="26">
        <v>1</v>
      </c>
      <c r="AE222" s="26"/>
    </row>
    <row r="223" spans="1:31" ht="13" customHeight="1" x14ac:dyDescent="0.2">
      <c r="A223" s="202" t="s">
        <v>465</v>
      </c>
      <c r="B223" s="87" t="s">
        <v>290</v>
      </c>
      <c r="C223" s="191" t="s">
        <v>403</v>
      </c>
      <c r="D223" s="195" t="s">
        <v>82</v>
      </c>
      <c r="E223" s="195" t="s">
        <v>374</v>
      </c>
      <c r="F223" s="195" t="s">
        <v>580</v>
      </c>
      <c r="G223" s="190">
        <v>1369.3</v>
      </c>
      <c r="H223" s="190">
        <v>1100</v>
      </c>
      <c r="I223" s="190">
        <v>1369.3</v>
      </c>
      <c r="J223" s="203">
        <f>M223+N223</f>
        <v>1369.3</v>
      </c>
      <c r="K223" s="190">
        <v>330.03</v>
      </c>
      <c r="L223" s="190">
        <v>319.3</v>
      </c>
      <c r="M223" s="87">
        <v>431.7</v>
      </c>
      <c r="N223" s="197">
        <f>251.94+296.32+389.34</f>
        <v>937.59999999999991</v>
      </c>
      <c r="O223" s="236">
        <f>M223/L223</f>
        <v>1.3520200438459129</v>
      </c>
      <c r="P223" s="237">
        <f>M223/K223</f>
        <v>1.3080629033724207</v>
      </c>
      <c r="Q223" s="237">
        <f>L223/K223</f>
        <v>0.9674878041390178</v>
      </c>
      <c r="R223" s="237">
        <f>L223/J223</f>
        <v>0.2331848389688162</v>
      </c>
      <c r="S223" s="234">
        <f>K223/J223</f>
        <v>0.24102095961440151</v>
      </c>
      <c r="T223" s="198">
        <v>0</v>
      </c>
      <c r="U223" s="198">
        <v>1</v>
      </c>
      <c r="V223" s="198">
        <f>SUM(T223:U223)</f>
        <v>1</v>
      </c>
      <c r="W223" s="198">
        <v>1</v>
      </c>
      <c r="X223" s="199">
        <v>1</v>
      </c>
      <c r="Y223" s="198">
        <v>1</v>
      </c>
      <c r="AE223" s="26"/>
    </row>
    <row r="224" spans="1:31" x14ac:dyDescent="0.15">
      <c r="A224" s="90" t="s">
        <v>16</v>
      </c>
      <c r="B224" s="24" t="s">
        <v>823</v>
      </c>
      <c r="C224" s="24" t="s">
        <v>824</v>
      </c>
      <c r="D224" s="138" t="s">
        <v>148</v>
      </c>
      <c r="E224" s="44" t="s">
        <v>374</v>
      </c>
      <c r="F224" s="44" t="s">
        <v>580</v>
      </c>
      <c r="G224" s="24">
        <v>1780</v>
      </c>
      <c r="H224" s="24">
        <v>1780</v>
      </c>
      <c r="I224" s="24">
        <v>1780</v>
      </c>
      <c r="J224" s="24">
        <v>1780</v>
      </c>
      <c r="K224" s="24">
        <v>341</v>
      </c>
      <c r="L224" s="24">
        <v>330</v>
      </c>
      <c r="Q224" s="234">
        <f>L224/K224</f>
        <v>0.967741935483871</v>
      </c>
      <c r="R224" s="234">
        <f>L224/J224</f>
        <v>0.1853932584269663</v>
      </c>
      <c r="S224" s="234">
        <f>K224/J224</f>
        <v>0.19157303370786516</v>
      </c>
      <c r="T224" s="24">
        <v>1</v>
      </c>
      <c r="U224" s="24">
        <v>0</v>
      </c>
      <c r="V224" s="26">
        <f>SUM(T224,U224)</f>
        <v>1</v>
      </c>
      <c r="W224" s="24">
        <v>1</v>
      </c>
      <c r="X224" s="24">
        <v>0</v>
      </c>
      <c r="Y224" s="24">
        <v>1</v>
      </c>
      <c r="AE224" s="26"/>
    </row>
    <row r="225" spans="1:31" x14ac:dyDescent="0.15">
      <c r="A225" s="24" t="s">
        <v>77</v>
      </c>
      <c r="B225" s="90" t="s">
        <v>381</v>
      </c>
      <c r="C225" s="24" t="s">
        <v>403</v>
      </c>
      <c r="D225" s="44" t="s">
        <v>148</v>
      </c>
      <c r="E225" s="44" t="s">
        <v>494</v>
      </c>
      <c r="F225" s="44" t="s">
        <v>580</v>
      </c>
      <c r="G225" s="27">
        <v>786.1</v>
      </c>
      <c r="H225" s="26">
        <v>800</v>
      </c>
      <c r="I225" s="27">
        <v>786.1</v>
      </c>
      <c r="J225" s="27">
        <f>M225+N225</f>
        <v>786.1</v>
      </c>
      <c r="K225" s="27">
        <v>199.02</v>
      </c>
      <c r="L225" s="27">
        <v>192.7</v>
      </c>
      <c r="M225" s="27">
        <v>253.1</v>
      </c>
      <c r="N225" s="27">
        <v>533</v>
      </c>
      <c r="O225" s="234">
        <f>M225/L225</f>
        <v>1.3134405812143228</v>
      </c>
      <c r="P225" s="234">
        <f>M225/K225</f>
        <v>1.2717314842729373</v>
      </c>
      <c r="Q225" s="234">
        <f>L225/K225</f>
        <v>0.96824439754798497</v>
      </c>
      <c r="R225" s="234">
        <f>L225/J225</f>
        <v>0.24513420684391296</v>
      </c>
      <c r="S225" s="234">
        <f>K225/J225</f>
        <v>0.25317389645083321</v>
      </c>
      <c r="T225" s="26">
        <v>0</v>
      </c>
      <c r="U225" s="24">
        <v>1</v>
      </c>
      <c r="V225" s="24">
        <f>SUM(T225:U225)</f>
        <v>1</v>
      </c>
      <c r="W225" s="26">
        <v>1</v>
      </c>
      <c r="X225" s="26">
        <v>0</v>
      </c>
      <c r="Y225" s="26">
        <v>1</v>
      </c>
      <c r="AE225" s="26"/>
    </row>
    <row r="226" spans="1:31" ht="14" x14ac:dyDescent="0.2">
      <c r="A226" s="202" t="s">
        <v>465</v>
      </c>
      <c r="B226" s="24" t="s">
        <v>845</v>
      </c>
      <c r="C226" s="224" t="s">
        <v>824</v>
      </c>
      <c r="D226" s="195" t="s">
        <v>148</v>
      </c>
      <c r="E226" s="225" t="s">
        <v>494</v>
      </c>
      <c r="F226" s="195" t="s">
        <v>580</v>
      </c>
      <c r="G226" s="238">
        <v>1059</v>
      </c>
      <c r="H226" s="238">
        <v>1059</v>
      </c>
      <c r="I226" s="238">
        <v>1059</v>
      </c>
      <c r="J226" s="238">
        <v>1059</v>
      </c>
      <c r="K226" s="238">
        <v>255</v>
      </c>
      <c r="L226" s="238">
        <v>247</v>
      </c>
      <c r="M226" s="87"/>
      <c r="N226" s="87"/>
      <c r="O226" s="237"/>
      <c r="P226" s="237"/>
      <c r="Q226" s="237">
        <f>L226/K226</f>
        <v>0.96862745098039216</v>
      </c>
      <c r="R226" s="237">
        <f>L226/J226</f>
        <v>0.23323890462700661</v>
      </c>
      <c r="S226" s="234">
        <f>K226/J226</f>
        <v>0.24079320113314448</v>
      </c>
      <c r="T226" s="87">
        <v>1</v>
      </c>
      <c r="U226" s="87">
        <v>0</v>
      </c>
      <c r="V226" s="87">
        <v>1</v>
      </c>
      <c r="W226" s="87">
        <v>1</v>
      </c>
      <c r="X226" s="87">
        <v>0</v>
      </c>
      <c r="Y226" s="87">
        <v>1</v>
      </c>
      <c r="AE226" s="26"/>
    </row>
    <row r="227" spans="1:31" ht="14" x14ac:dyDescent="0.2">
      <c r="A227" s="191" t="s">
        <v>19</v>
      </c>
      <c r="B227" s="87" t="s">
        <v>360</v>
      </c>
      <c r="C227" s="191" t="s">
        <v>403</v>
      </c>
      <c r="D227" s="195" t="s">
        <v>82</v>
      </c>
      <c r="E227" s="195" t="s">
        <v>494</v>
      </c>
      <c r="F227" s="195" t="s">
        <v>580</v>
      </c>
      <c r="G227" s="190">
        <v>906.8</v>
      </c>
      <c r="H227" s="190"/>
      <c r="I227" s="190">
        <v>906.8</v>
      </c>
      <c r="J227" s="190">
        <v>906.8</v>
      </c>
      <c r="K227" s="190">
        <v>260.02999999999997</v>
      </c>
      <c r="L227" s="190">
        <v>252</v>
      </c>
      <c r="M227" s="87">
        <v>319.86</v>
      </c>
      <c r="N227" s="87">
        <f>J227-M227</f>
        <v>586.93999999999994</v>
      </c>
      <c r="O227" s="236">
        <f>M227/L227</f>
        <v>1.2692857142857144</v>
      </c>
      <c r="P227" s="237">
        <f>M227/K227</f>
        <v>1.2300888359035498</v>
      </c>
      <c r="Q227" s="237">
        <f>L227/K227</f>
        <v>0.96911894781371388</v>
      </c>
      <c r="R227" s="237">
        <f>L227/J227</f>
        <v>0.27790030877812089</v>
      </c>
      <c r="S227" s="234">
        <f>K227/J227</f>
        <v>0.28675562417291572</v>
      </c>
      <c r="T227" s="198">
        <v>1</v>
      </c>
      <c r="U227" s="198">
        <v>0</v>
      </c>
      <c r="V227" s="87">
        <v>1</v>
      </c>
      <c r="W227" s="198">
        <v>1</v>
      </c>
      <c r="X227" s="199">
        <v>0</v>
      </c>
      <c r="Y227" s="198">
        <v>1</v>
      </c>
      <c r="AE227" s="26"/>
    </row>
    <row r="228" spans="1:31" ht="14" x14ac:dyDescent="0.2">
      <c r="A228" s="202" t="s">
        <v>465</v>
      </c>
      <c r="B228" s="24" t="s">
        <v>888</v>
      </c>
      <c r="C228" s="224" t="s">
        <v>824</v>
      </c>
      <c r="D228" s="195" t="s">
        <v>148</v>
      </c>
      <c r="E228" s="195" t="s">
        <v>374</v>
      </c>
      <c r="F228" s="195" t="s">
        <v>580</v>
      </c>
      <c r="G228" s="24">
        <v>2150</v>
      </c>
      <c r="H228" s="24">
        <v>2150</v>
      </c>
      <c r="I228" s="24">
        <v>2150</v>
      </c>
      <c r="J228" s="24">
        <v>2150</v>
      </c>
      <c r="K228" s="24">
        <v>456</v>
      </c>
      <c r="L228" s="24">
        <v>442</v>
      </c>
      <c r="M228" s="87"/>
      <c r="N228" s="87"/>
      <c r="O228" s="237"/>
      <c r="P228" s="237"/>
      <c r="Q228" s="237">
        <f>L228/K228</f>
        <v>0.9692982456140351</v>
      </c>
      <c r="R228" s="237">
        <f>L228/J228</f>
        <v>0.20558139534883721</v>
      </c>
      <c r="S228" s="234">
        <f>K228/J228</f>
        <v>0.21209302325581394</v>
      </c>
      <c r="T228" s="87">
        <v>1</v>
      </c>
      <c r="U228" s="87">
        <v>0</v>
      </c>
      <c r="V228" s="87">
        <v>1</v>
      </c>
      <c r="W228" s="87">
        <v>1</v>
      </c>
      <c r="X228" s="87">
        <v>0</v>
      </c>
      <c r="Y228" s="87">
        <v>1</v>
      </c>
      <c r="AE228" s="26"/>
    </row>
    <row r="229" spans="1:31" ht="14" x14ac:dyDescent="0.2">
      <c r="A229" s="202" t="s">
        <v>465</v>
      </c>
      <c r="B229" s="87" t="s">
        <v>422</v>
      </c>
      <c r="C229" s="87" t="s">
        <v>458</v>
      </c>
      <c r="D229" s="195" t="s">
        <v>82</v>
      </c>
      <c r="E229" s="195" t="s">
        <v>494</v>
      </c>
      <c r="F229" s="195" t="s">
        <v>580</v>
      </c>
      <c r="G229" s="190">
        <v>1070</v>
      </c>
      <c r="H229" s="190">
        <v>1070</v>
      </c>
      <c r="I229" s="190">
        <v>1070</v>
      </c>
      <c r="J229" s="190">
        <v>1070</v>
      </c>
      <c r="K229" s="190">
        <v>265</v>
      </c>
      <c r="L229" s="98">
        <v>257</v>
      </c>
      <c r="M229" s="191">
        <v>344</v>
      </c>
      <c r="N229" s="87"/>
      <c r="O229" s="236">
        <f>M229/L229</f>
        <v>1.33852140077821</v>
      </c>
      <c r="P229" s="237">
        <f>M229/K229</f>
        <v>1.2981132075471697</v>
      </c>
      <c r="Q229" s="237">
        <f>L229/K229</f>
        <v>0.96981132075471699</v>
      </c>
      <c r="R229" s="237">
        <f>L229/J229</f>
        <v>0.24018691588785046</v>
      </c>
      <c r="S229" s="234">
        <f>K229/J229</f>
        <v>0.24766355140186916</v>
      </c>
      <c r="T229" s="198">
        <v>1</v>
      </c>
      <c r="U229" s="198">
        <v>0</v>
      </c>
      <c r="V229" s="198">
        <f>SUM(T229:U229)</f>
        <v>1</v>
      </c>
      <c r="W229" s="198">
        <v>1</v>
      </c>
      <c r="X229" s="199">
        <v>0</v>
      </c>
      <c r="Y229" s="198">
        <v>1</v>
      </c>
      <c r="AE229" s="26"/>
    </row>
    <row r="230" spans="1:31" ht="14" x14ac:dyDescent="0.2">
      <c r="A230" s="202" t="s">
        <v>465</v>
      </c>
      <c r="B230" s="87" t="s">
        <v>157</v>
      </c>
      <c r="C230" s="191" t="s">
        <v>403</v>
      </c>
      <c r="D230" s="195" t="s">
        <v>82</v>
      </c>
      <c r="E230" s="195" t="s">
        <v>203</v>
      </c>
      <c r="F230" s="195" t="s">
        <v>581</v>
      </c>
      <c r="G230" s="190">
        <v>6408.96</v>
      </c>
      <c r="H230" s="190"/>
      <c r="I230" s="190">
        <v>6408.96</v>
      </c>
      <c r="J230" s="190">
        <f>M230+N230</f>
        <v>6408.96</v>
      </c>
      <c r="K230" s="190">
        <v>1408.5</v>
      </c>
      <c r="L230" s="190">
        <v>1366.3</v>
      </c>
      <c r="M230" s="87">
        <v>1852.2</v>
      </c>
      <c r="N230" s="87">
        <f>1548.06+1296.3+1712.4</f>
        <v>4556.76</v>
      </c>
      <c r="O230" s="236">
        <f>M230/L230</f>
        <v>1.3556319988289542</v>
      </c>
      <c r="P230" s="237">
        <f>M230/K230</f>
        <v>1.3150159744408947</v>
      </c>
      <c r="Q230" s="237">
        <f>L230/K230</f>
        <v>0.97003904863329782</v>
      </c>
      <c r="R230" s="237">
        <f>L230/J230</f>
        <v>0.21318591471939285</v>
      </c>
      <c r="S230" s="234">
        <f>K230/J230</f>
        <v>0.2197704463750749</v>
      </c>
      <c r="T230" s="198">
        <v>0</v>
      </c>
      <c r="U230" s="198">
        <v>1</v>
      </c>
      <c r="V230" s="87">
        <v>1</v>
      </c>
      <c r="W230" s="198">
        <v>1</v>
      </c>
      <c r="X230" s="199">
        <v>1</v>
      </c>
      <c r="Y230" s="198">
        <v>1</v>
      </c>
      <c r="AE230" s="26"/>
    </row>
    <row r="231" spans="1:31" ht="14" x14ac:dyDescent="0.2">
      <c r="A231" s="202" t="s">
        <v>465</v>
      </c>
      <c r="B231" s="24" t="s">
        <v>889</v>
      </c>
      <c r="C231" s="224" t="s">
        <v>824</v>
      </c>
      <c r="D231" s="195" t="s">
        <v>148</v>
      </c>
      <c r="E231" s="195" t="s">
        <v>374</v>
      </c>
      <c r="F231" s="195" t="s">
        <v>580</v>
      </c>
      <c r="G231" s="24">
        <v>1895</v>
      </c>
      <c r="H231" s="24">
        <v>1895</v>
      </c>
      <c r="I231" s="24">
        <v>1895</v>
      </c>
      <c r="J231" s="24">
        <v>1895</v>
      </c>
      <c r="K231" s="24">
        <v>443</v>
      </c>
      <c r="L231" s="24">
        <v>430</v>
      </c>
      <c r="M231" s="87"/>
      <c r="N231" s="87"/>
      <c r="O231" s="237"/>
      <c r="P231" s="237"/>
      <c r="Q231" s="237">
        <f>L231/K231</f>
        <v>0.97065462753950338</v>
      </c>
      <c r="R231" s="237">
        <f>L231/J231</f>
        <v>0.22691292875989447</v>
      </c>
      <c r="S231" s="234">
        <f>K231/J231</f>
        <v>0.23377308707124012</v>
      </c>
      <c r="T231" s="87">
        <v>1</v>
      </c>
      <c r="U231" s="87">
        <v>0</v>
      </c>
      <c r="V231" s="87">
        <v>1</v>
      </c>
      <c r="W231" s="87">
        <v>1</v>
      </c>
      <c r="X231" s="87">
        <v>0</v>
      </c>
      <c r="Y231" s="87">
        <v>1</v>
      </c>
      <c r="AE231" s="26"/>
    </row>
    <row r="232" spans="1:31" ht="14" x14ac:dyDescent="0.2">
      <c r="A232" s="202" t="s">
        <v>465</v>
      </c>
      <c r="B232" s="24" t="s">
        <v>875</v>
      </c>
      <c r="C232" s="224" t="s">
        <v>824</v>
      </c>
      <c r="D232" s="195" t="s">
        <v>148</v>
      </c>
      <c r="E232" s="195" t="s">
        <v>374</v>
      </c>
      <c r="F232" s="195" t="s">
        <v>580</v>
      </c>
      <c r="G232" s="238">
        <v>1490</v>
      </c>
      <c r="H232" s="238">
        <v>1490</v>
      </c>
      <c r="I232" s="238">
        <v>1490</v>
      </c>
      <c r="J232" s="238">
        <v>1490</v>
      </c>
      <c r="K232" s="238">
        <v>358</v>
      </c>
      <c r="L232" s="238">
        <v>348</v>
      </c>
      <c r="M232" s="87"/>
      <c r="N232" s="87"/>
      <c r="O232" s="237"/>
      <c r="P232" s="237"/>
      <c r="Q232" s="237">
        <f>L232/K232</f>
        <v>0.97206703910614523</v>
      </c>
      <c r="R232" s="237">
        <f>L232/J232</f>
        <v>0.23355704697986576</v>
      </c>
      <c r="S232" s="234">
        <f>K232/J232</f>
        <v>0.24026845637583893</v>
      </c>
      <c r="T232" s="87">
        <v>1</v>
      </c>
      <c r="U232" s="87">
        <v>0</v>
      </c>
      <c r="V232" s="87">
        <v>1</v>
      </c>
      <c r="W232" s="87">
        <v>1</v>
      </c>
      <c r="X232" s="87">
        <v>0</v>
      </c>
      <c r="Y232" s="87">
        <v>1</v>
      </c>
      <c r="AE232" s="26"/>
    </row>
    <row r="233" spans="1:31" ht="14" x14ac:dyDescent="0.2">
      <c r="A233" s="202" t="s">
        <v>465</v>
      </c>
      <c r="B233" s="87" t="s">
        <v>425</v>
      </c>
      <c r="C233" s="87" t="s">
        <v>458</v>
      </c>
      <c r="D233" s="192" t="s">
        <v>82</v>
      </c>
      <c r="E233" s="195" t="s">
        <v>293</v>
      </c>
      <c r="F233" s="195" t="s">
        <v>580</v>
      </c>
      <c r="G233" s="190">
        <v>2690</v>
      </c>
      <c r="H233" s="190">
        <v>2690</v>
      </c>
      <c r="I233" s="190">
        <v>2690</v>
      </c>
      <c r="J233" s="190">
        <v>2690</v>
      </c>
      <c r="K233" s="190">
        <v>620</v>
      </c>
      <c r="L233" s="190">
        <v>603</v>
      </c>
      <c r="M233" s="87">
        <v>767</v>
      </c>
      <c r="N233" s="87">
        <f>H233-M233</f>
        <v>1923</v>
      </c>
      <c r="O233" s="236">
        <f>M233/L233</f>
        <v>1.2719734660033168</v>
      </c>
      <c r="P233" s="237">
        <f>M233/K233</f>
        <v>1.2370967741935484</v>
      </c>
      <c r="Q233" s="237">
        <f>L233/K233</f>
        <v>0.97258064516129028</v>
      </c>
      <c r="R233" s="237">
        <f>L233/J233</f>
        <v>0.22416356877323421</v>
      </c>
      <c r="S233" s="234">
        <f>K233/J233</f>
        <v>0.23048327137546468</v>
      </c>
      <c r="T233" s="198">
        <v>1</v>
      </c>
      <c r="U233" s="198">
        <v>0</v>
      </c>
      <c r="V233" s="198">
        <f>SUM(T233:U233)</f>
        <v>1</v>
      </c>
      <c r="W233" s="198">
        <v>1</v>
      </c>
      <c r="X233" s="199">
        <v>0</v>
      </c>
      <c r="Y233" s="198">
        <v>1</v>
      </c>
    </row>
    <row r="234" spans="1:31" ht="13" customHeight="1" x14ac:dyDescent="0.15">
      <c r="A234" s="90" t="s">
        <v>16</v>
      </c>
      <c r="B234" s="1" t="s">
        <v>666</v>
      </c>
      <c r="C234" s="24" t="s">
        <v>403</v>
      </c>
      <c r="D234" s="88" t="s">
        <v>82</v>
      </c>
      <c r="E234" s="44" t="s">
        <v>374</v>
      </c>
      <c r="F234" s="44" t="s">
        <v>580</v>
      </c>
      <c r="G234" s="24">
        <v>1207.3</v>
      </c>
      <c r="I234" s="24">
        <v>1207.3</v>
      </c>
      <c r="J234" s="24">
        <v>1207.3</v>
      </c>
      <c r="K234" s="26">
        <v>229.34</v>
      </c>
      <c r="L234" s="26">
        <v>223.06</v>
      </c>
      <c r="M234" s="26">
        <v>301.64</v>
      </c>
      <c r="N234" s="26">
        <f>J234-M234</f>
        <v>905.66</v>
      </c>
      <c r="O234" s="232">
        <f>M234/L234</f>
        <v>1.3522818972473774</v>
      </c>
      <c r="P234" s="234">
        <f>M234/K234</f>
        <v>1.3152524635911746</v>
      </c>
      <c r="Q234" s="233">
        <f>L234/K234</f>
        <v>0.97261707508502659</v>
      </c>
      <c r="R234" s="233">
        <f>L234/J234</f>
        <v>0.18475938043568294</v>
      </c>
      <c r="S234" s="234">
        <f>K234/J234</f>
        <v>0.18996107015654767</v>
      </c>
      <c r="T234" s="26">
        <v>0</v>
      </c>
      <c r="U234" s="24">
        <v>1</v>
      </c>
      <c r="V234" s="26">
        <v>1</v>
      </c>
      <c r="W234" s="26">
        <v>1</v>
      </c>
      <c r="X234" s="26">
        <v>0</v>
      </c>
      <c r="Y234" s="24">
        <v>1</v>
      </c>
    </row>
    <row r="235" spans="1:31" ht="14" x14ac:dyDescent="0.2">
      <c r="A235" s="202" t="s">
        <v>465</v>
      </c>
      <c r="B235" s="24" t="s">
        <v>854</v>
      </c>
      <c r="C235" s="224" t="s">
        <v>824</v>
      </c>
      <c r="D235" s="195" t="s">
        <v>148</v>
      </c>
      <c r="E235" s="195" t="s">
        <v>374</v>
      </c>
      <c r="F235" s="195" t="s">
        <v>580</v>
      </c>
      <c r="G235" s="238">
        <v>1340</v>
      </c>
      <c r="H235" s="238">
        <v>1340</v>
      </c>
      <c r="I235" s="238">
        <v>1340</v>
      </c>
      <c r="J235" s="238">
        <v>1340</v>
      </c>
      <c r="K235" s="238">
        <v>304</v>
      </c>
      <c r="L235" s="238">
        <v>296</v>
      </c>
      <c r="M235" s="87"/>
      <c r="N235" s="87"/>
      <c r="O235" s="237"/>
      <c r="P235" s="237"/>
      <c r="Q235" s="237">
        <f>L235/K235</f>
        <v>0.97368421052631582</v>
      </c>
      <c r="R235" s="237">
        <f>L235/J235</f>
        <v>0.22089552238805971</v>
      </c>
      <c r="S235" s="234">
        <f>K235/J235</f>
        <v>0.22686567164179106</v>
      </c>
      <c r="T235" s="87">
        <v>1</v>
      </c>
      <c r="U235" s="87">
        <v>0</v>
      </c>
      <c r="V235" s="87">
        <v>1</v>
      </c>
      <c r="W235" s="87">
        <v>1</v>
      </c>
      <c r="X235" s="87">
        <v>0</v>
      </c>
      <c r="Y235" s="87">
        <v>1</v>
      </c>
    </row>
    <row r="236" spans="1:31" ht="14" x14ac:dyDescent="0.2">
      <c r="A236" s="202" t="s">
        <v>465</v>
      </c>
      <c r="B236" s="87" t="s">
        <v>416</v>
      </c>
      <c r="C236" s="87" t="s">
        <v>458</v>
      </c>
      <c r="D236" s="195" t="s">
        <v>82</v>
      </c>
      <c r="E236" s="195" t="s">
        <v>374</v>
      </c>
      <c r="F236" s="195" t="s">
        <v>580</v>
      </c>
      <c r="G236" s="190">
        <v>1250</v>
      </c>
      <c r="H236" s="190">
        <v>1250</v>
      </c>
      <c r="I236" s="190">
        <v>1250</v>
      </c>
      <c r="J236" s="190">
        <v>1250</v>
      </c>
      <c r="K236" s="190">
        <v>305</v>
      </c>
      <c r="L236" s="190">
        <v>297</v>
      </c>
      <c r="M236" s="191">
        <v>384</v>
      </c>
      <c r="N236" s="87"/>
      <c r="O236" s="236">
        <f>M236/L236</f>
        <v>1.292929292929293</v>
      </c>
      <c r="P236" s="237">
        <f>M236/K236</f>
        <v>1.2590163934426231</v>
      </c>
      <c r="Q236" s="237">
        <f>L236/K236</f>
        <v>0.97377049180327868</v>
      </c>
      <c r="R236" s="237">
        <f>L236/J236</f>
        <v>0.23760000000000001</v>
      </c>
      <c r="S236" s="234">
        <f>K236/J236</f>
        <v>0.24399999999999999</v>
      </c>
      <c r="T236" s="198">
        <v>1</v>
      </c>
      <c r="U236" s="198">
        <v>0</v>
      </c>
      <c r="V236" s="198">
        <f>SUM(T236:U236)</f>
        <v>1</v>
      </c>
      <c r="W236" s="198">
        <v>1</v>
      </c>
      <c r="X236" s="199">
        <v>0</v>
      </c>
      <c r="Y236" s="198">
        <v>1</v>
      </c>
    </row>
    <row r="237" spans="1:31" ht="14" x14ac:dyDescent="0.2">
      <c r="A237" s="202" t="s">
        <v>465</v>
      </c>
      <c r="B237" s="24" t="s">
        <v>880</v>
      </c>
      <c r="C237" s="224" t="s">
        <v>824</v>
      </c>
      <c r="D237" s="195" t="s">
        <v>148</v>
      </c>
      <c r="E237" s="195" t="s">
        <v>374</v>
      </c>
      <c r="F237" s="195" t="s">
        <v>580</v>
      </c>
      <c r="G237" s="238">
        <v>1695</v>
      </c>
      <c r="H237" s="238">
        <v>1695</v>
      </c>
      <c r="I237" s="238">
        <v>1695</v>
      </c>
      <c r="J237" s="238">
        <v>1695</v>
      </c>
      <c r="K237" s="238">
        <v>385</v>
      </c>
      <c r="L237" s="238">
        <v>375</v>
      </c>
      <c r="M237" s="87"/>
      <c r="N237" s="87"/>
      <c r="O237" s="237"/>
      <c r="P237" s="237"/>
      <c r="Q237" s="237">
        <f>L237/K237</f>
        <v>0.97402597402597402</v>
      </c>
      <c r="R237" s="237">
        <f>L237/J237</f>
        <v>0.22123893805309736</v>
      </c>
      <c r="S237" s="234">
        <f>K237/J237</f>
        <v>0.22713864306784662</v>
      </c>
      <c r="T237" s="87">
        <v>1</v>
      </c>
      <c r="U237" s="87">
        <v>0</v>
      </c>
      <c r="V237" s="87">
        <v>1</v>
      </c>
      <c r="W237" s="87">
        <v>1</v>
      </c>
      <c r="X237" s="87">
        <v>0</v>
      </c>
      <c r="Y237" s="87">
        <v>1</v>
      </c>
    </row>
    <row r="238" spans="1:31" ht="14" x14ac:dyDescent="0.2">
      <c r="A238" s="202" t="s">
        <v>465</v>
      </c>
      <c r="B238" s="87" t="s">
        <v>423</v>
      </c>
      <c r="C238" s="87" t="s">
        <v>458</v>
      </c>
      <c r="D238" s="192" t="s">
        <v>82</v>
      </c>
      <c r="E238" s="195" t="s">
        <v>494</v>
      </c>
      <c r="F238" s="195" t="s">
        <v>580</v>
      </c>
      <c r="G238" s="190">
        <v>1150</v>
      </c>
      <c r="H238" s="190">
        <v>1150</v>
      </c>
      <c r="I238" s="190">
        <v>1150</v>
      </c>
      <c r="J238" s="190">
        <v>1150</v>
      </c>
      <c r="K238" s="190">
        <v>275</v>
      </c>
      <c r="L238" s="190">
        <v>268</v>
      </c>
      <c r="M238" s="87"/>
      <c r="N238" s="87"/>
      <c r="O238" s="236"/>
      <c r="P238" s="237"/>
      <c r="Q238" s="237">
        <f>L238/K238</f>
        <v>0.97454545454545449</v>
      </c>
      <c r="R238" s="237">
        <f>L238/J238</f>
        <v>0.23304347826086957</v>
      </c>
      <c r="S238" s="234">
        <f>K238/J238</f>
        <v>0.2391304347826087</v>
      </c>
      <c r="T238" s="198">
        <v>1</v>
      </c>
      <c r="U238" s="198">
        <v>0</v>
      </c>
      <c r="V238" s="198">
        <f>SUM(T238:U238)</f>
        <v>1</v>
      </c>
      <c r="W238" s="198">
        <v>1</v>
      </c>
      <c r="X238" s="199">
        <v>0</v>
      </c>
      <c r="Y238" s="198">
        <v>1</v>
      </c>
    </row>
    <row r="239" spans="1:31" x14ac:dyDescent="0.15">
      <c r="A239" s="90" t="s">
        <v>16</v>
      </c>
      <c r="B239" s="24" t="s">
        <v>817</v>
      </c>
      <c r="C239" s="24" t="s">
        <v>824</v>
      </c>
      <c r="D239" s="138" t="s">
        <v>148</v>
      </c>
      <c r="E239" s="30" t="s">
        <v>374</v>
      </c>
      <c r="F239" s="44" t="s">
        <v>580</v>
      </c>
      <c r="G239" s="24">
        <v>1495</v>
      </c>
      <c r="H239" s="24">
        <v>1495</v>
      </c>
      <c r="I239" s="24">
        <v>1495</v>
      </c>
      <c r="J239" s="24">
        <v>1495</v>
      </c>
      <c r="K239" s="24">
        <v>296</v>
      </c>
      <c r="L239" s="24">
        <v>289</v>
      </c>
      <c r="Q239" s="234">
        <f>L239/K239</f>
        <v>0.97635135135135132</v>
      </c>
      <c r="R239" s="234">
        <f>L239/J239</f>
        <v>0.19331103678929765</v>
      </c>
      <c r="S239" s="234">
        <f>K239/J239</f>
        <v>0.1979933110367893</v>
      </c>
      <c r="T239" s="24">
        <v>1</v>
      </c>
      <c r="U239" s="24">
        <v>0</v>
      </c>
      <c r="V239" s="26">
        <f>SUM(T239,U239)</f>
        <v>1</v>
      </c>
      <c r="W239" s="24">
        <v>1</v>
      </c>
      <c r="X239" s="24">
        <v>0</v>
      </c>
      <c r="Y239" s="24">
        <v>1</v>
      </c>
    </row>
    <row r="240" spans="1:31" ht="14" x14ac:dyDescent="0.2">
      <c r="A240" s="202" t="s">
        <v>465</v>
      </c>
      <c r="B240" s="24" t="s">
        <v>872</v>
      </c>
      <c r="C240" s="224" t="s">
        <v>824</v>
      </c>
      <c r="D240" s="195" t="s">
        <v>148</v>
      </c>
      <c r="E240" s="195" t="s">
        <v>374</v>
      </c>
      <c r="F240" s="195" t="s">
        <v>580</v>
      </c>
      <c r="G240" s="238">
        <v>1684</v>
      </c>
      <c r="H240" s="238">
        <v>1684</v>
      </c>
      <c r="I240" s="238">
        <v>1684</v>
      </c>
      <c r="J240" s="238">
        <v>1684</v>
      </c>
      <c r="K240" s="238">
        <v>384</v>
      </c>
      <c r="L240" s="238">
        <v>375</v>
      </c>
      <c r="M240" s="87"/>
      <c r="N240" s="87"/>
      <c r="O240" s="237"/>
      <c r="P240" s="237"/>
      <c r="Q240" s="237">
        <f>L240/K240</f>
        <v>0.9765625</v>
      </c>
      <c r="R240" s="237">
        <f>L240/J240</f>
        <v>0.22268408551068883</v>
      </c>
      <c r="S240" s="234">
        <f>K240/J240</f>
        <v>0.22802850356294538</v>
      </c>
      <c r="T240" s="87">
        <v>1</v>
      </c>
      <c r="U240" s="87">
        <v>0</v>
      </c>
      <c r="V240" s="87">
        <v>1</v>
      </c>
      <c r="W240" s="87">
        <v>1</v>
      </c>
      <c r="X240" s="87">
        <v>0</v>
      </c>
      <c r="Y240" s="87">
        <v>1</v>
      </c>
    </row>
    <row r="241" spans="1:25" x14ac:dyDescent="0.15">
      <c r="A241" s="90" t="s">
        <v>16</v>
      </c>
      <c r="B241" s="24" t="s">
        <v>811</v>
      </c>
      <c r="C241" s="24" t="s">
        <v>824</v>
      </c>
      <c r="D241" s="88" t="s">
        <v>148</v>
      </c>
      <c r="E241" s="44" t="s">
        <v>374</v>
      </c>
      <c r="F241" s="44" t="s">
        <v>580</v>
      </c>
      <c r="G241" s="24">
        <v>1774</v>
      </c>
      <c r="H241" s="24">
        <v>1774</v>
      </c>
      <c r="I241" s="24">
        <v>1774</v>
      </c>
      <c r="J241" s="24">
        <v>1774</v>
      </c>
      <c r="K241" s="24">
        <v>340</v>
      </c>
      <c r="L241" s="24">
        <v>333</v>
      </c>
      <c r="Q241" s="234">
        <f>L241/K241</f>
        <v>0.97941176470588232</v>
      </c>
      <c r="R241" s="234">
        <f>L241/J241</f>
        <v>0.18771138669673054</v>
      </c>
      <c r="S241" s="234">
        <f>K241/J241</f>
        <v>0.19165727170236754</v>
      </c>
      <c r="T241" s="24">
        <v>1</v>
      </c>
      <c r="U241" s="24">
        <v>0</v>
      </c>
      <c r="V241" s="26">
        <f>SUM(T241,U241)</f>
        <v>1</v>
      </c>
      <c r="W241" s="24">
        <v>1</v>
      </c>
      <c r="X241" s="24">
        <v>0</v>
      </c>
      <c r="Y241" s="24">
        <v>1</v>
      </c>
    </row>
    <row r="242" spans="1:25" ht="14" x14ac:dyDescent="0.2">
      <c r="A242" s="202" t="s">
        <v>465</v>
      </c>
      <c r="B242" s="24" t="s">
        <v>862</v>
      </c>
      <c r="C242" s="224" t="s">
        <v>824</v>
      </c>
      <c r="D242" s="195" t="s">
        <v>148</v>
      </c>
      <c r="E242" s="195" t="s">
        <v>374</v>
      </c>
      <c r="F242" s="195" t="s">
        <v>580</v>
      </c>
      <c r="G242" s="238">
        <v>1280</v>
      </c>
      <c r="H242" s="238">
        <v>1280</v>
      </c>
      <c r="I242" s="238">
        <v>1280</v>
      </c>
      <c r="J242" s="238">
        <v>1280</v>
      </c>
      <c r="K242" s="238">
        <v>290</v>
      </c>
      <c r="L242" s="238">
        <v>285</v>
      </c>
      <c r="M242" s="87"/>
      <c r="N242" s="87"/>
      <c r="O242" s="237"/>
      <c r="P242" s="237"/>
      <c r="Q242" s="237">
        <f>L242/K242</f>
        <v>0.98275862068965514</v>
      </c>
      <c r="R242" s="237">
        <f>L242/J242</f>
        <v>0.22265625</v>
      </c>
      <c r="S242" s="234">
        <f>K242/J242</f>
        <v>0.2265625</v>
      </c>
      <c r="T242" s="87">
        <v>1</v>
      </c>
      <c r="U242" s="87">
        <v>0</v>
      </c>
      <c r="V242" s="87">
        <v>1</v>
      </c>
      <c r="W242" s="87">
        <v>1</v>
      </c>
      <c r="X242" s="87">
        <v>0</v>
      </c>
      <c r="Y242" s="87">
        <v>1</v>
      </c>
    </row>
    <row r="243" spans="1:25" x14ac:dyDescent="0.15">
      <c r="A243" s="26" t="s">
        <v>46</v>
      </c>
      <c r="B243" s="90" t="s">
        <v>471</v>
      </c>
      <c r="C243" s="91" t="s">
        <v>458</v>
      </c>
      <c r="D243" s="90" t="s">
        <v>82</v>
      </c>
      <c r="E243" s="93" t="s">
        <v>494</v>
      </c>
      <c r="F243" s="44" t="s">
        <v>580</v>
      </c>
      <c r="G243" s="88">
        <v>1065</v>
      </c>
      <c r="H243" s="88">
        <v>1065</v>
      </c>
      <c r="I243" s="88">
        <v>1065</v>
      </c>
      <c r="J243" s="88">
        <v>1065</v>
      </c>
      <c r="K243" s="26">
        <v>289</v>
      </c>
      <c r="L243" s="26">
        <v>210.97</v>
      </c>
      <c r="M243" s="26"/>
      <c r="N243" s="26"/>
      <c r="O243" s="232"/>
      <c r="P243" s="233"/>
      <c r="Q243" s="233"/>
      <c r="R243" s="233">
        <f>L243/J243</f>
        <v>0.19809389671361502</v>
      </c>
      <c r="S243" s="234">
        <f>K243/J243</f>
        <v>0.27136150234741785</v>
      </c>
      <c r="T243" s="26">
        <v>1</v>
      </c>
      <c r="U243" s="26">
        <v>0</v>
      </c>
      <c r="V243" s="26">
        <f>SUM(T243,U243)</f>
        <v>1</v>
      </c>
      <c r="W243" s="26">
        <v>1</v>
      </c>
      <c r="X243" s="26">
        <v>0</v>
      </c>
      <c r="Y243" s="26">
        <v>1</v>
      </c>
    </row>
    <row r="244" spans="1:25" x14ac:dyDescent="0.15">
      <c r="A244" s="26" t="s">
        <v>46</v>
      </c>
      <c r="B244" s="90" t="s">
        <v>468</v>
      </c>
      <c r="C244" s="91" t="s">
        <v>458</v>
      </c>
      <c r="D244" s="90" t="s">
        <v>82</v>
      </c>
      <c r="E244" s="93" t="s">
        <v>494</v>
      </c>
      <c r="F244" s="44" t="s">
        <v>580</v>
      </c>
      <c r="G244" s="88">
        <v>1050</v>
      </c>
      <c r="H244" s="88">
        <v>1050</v>
      </c>
      <c r="I244" s="88">
        <v>1050</v>
      </c>
      <c r="J244" s="88">
        <v>1050</v>
      </c>
      <c r="K244" s="26">
        <v>280</v>
      </c>
      <c r="L244" s="26">
        <v>204.39999999999998</v>
      </c>
      <c r="M244" s="26"/>
      <c r="N244" s="26"/>
      <c r="O244" s="232"/>
      <c r="P244" s="233"/>
      <c r="Q244" s="233"/>
      <c r="R244" s="233">
        <f>L244/J244</f>
        <v>0.19466666666666665</v>
      </c>
      <c r="S244" s="234">
        <f>K244/J244</f>
        <v>0.26666666666666666</v>
      </c>
      <c r="T244" s="26">
        <v>1</v>
      </c>
      <c r="U244" s="26">
        <v>0</v>
      </c>
      <c r="V244" s="26">
        <f>SUM(T244,U244)</f>
        <v>1</v>
      </c>
      <c r="W244" s="26">
        <v>1</v>
      </c>
      <c r="X244" s="26">
        <v>0</v>
      </c>
      <c r="Y244" s="26">
        <v>1</v>
      </c>
    </row>
  </sheetData>
  <sortState xmlns:xlrd2="http://schemas.microsoft.com/office/spreadsheetml/2017/richdata2" ref="A2:Y245">
    <sortCondition ref="Y1:Y2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7AB0-6E5F-2742-8EA1-8D147E00A1AA}">
  <dimension ref="A1:AE978"/>
  <sheetViews>
    <sheetView zoomScale="117" workbookViewId="0">
      <pane ySplit="1" topLeftCell="A41" activePane="bottomLeft" state="frozen"/>
      <selection activeCell="B1" sqref="B1"/>
      <selection pane="bottomLeft" activeCell="A69" sqref="A69"/>
    </sheetView>
  </sheetViews>
  <sheetFormatPr baseColWidth="10" defaultColWidth="11.1640625" defaultRowHeight="15" customHeight="1" x14ac:dyDescent="0.2"/>
  <cols>
    <col min="1" max="1" width="11.6640625" style="145" customWidth="1"/>
    <col min="2" max="2" width="20.1640625" style="265" bestFit="1" customWidth="1"/>
    <col min="3" max="3" width="10.5" style="145" customWidth="1"/>
    <col min="4" max="6" width="11.6640625" style="145" customWidth="1"/>
    <col min="7" max="7" width="11.6640625" style="146" customWidth="1"/>
    <col min="8" max="19" width="10.83203125" style="146" customWidth="1"/>
    <col min="20" max="20" width="10.83203125" style="247" customWidth="1"/>
    <col min="21" max="21" width="11.33203125" style="145" customWidth="1"/>
    <col min="22" max="22" width="11" style="145" customWidth="1"/>
    <col min="23" max="24" width="11.33203125" style="145" customWidth="1"/>
    <col min="25" max="26" width="11" style="145" customWidth="1"/>
    <col min="27" max="35" width="10.5" style="145" customWidth="1"/>
    <col min="36" max="16384" width="11.1640625" style="145"/>
  </cols>
  <sheetData>
    <row r="1" spans="1:31" ht="15.75" customHeight="1" x14ac:dyDescent="0.2">
      <c r="A1" s="145" t="s">
        <v>402</v>
      </c>
      <c r="B1" s="265" t="s">
        <v>0</v>
      </c>
      <c r="C1" s="145" t="s">
        <v>911</v>
      </c>
      <c r="D1" s="145" t="s">
        <v>784</v>
      </c>
      <c r="E1" s="145" t="s">
        <v>400</v>
      </c>
      <c r="F1" s="145" t="s">
        <v>786</v>
      </c>
      <c r="G1" s="146" t="s">
        <v>954</v>
      </c>
      <c r="H1" s="146" t="s">
        <v>955</v>
      </c>
      <c r="I1" s="146" t="s">
        <v>956</v>
      </c>
      <c r="J1" s="146" t="s">
        <v>957</v>
      </c>
      <c r="K1" s="146" t="s">
        <v>958</v>
      </c>
      <c r="L1" s="146" t="s">
        <v>959</v>
      </c>
      <c r="M1" s="146" t="s">
        <v>960</v>
      </c>
      <c r="N1" s="146" t="s">
        <v>739</v>
      </c>
      <c r="O1" s="146" t="s">
        <v>961</v>
      </c>
      <c r="P1" s="146" t="s">
        <v>962</v>
      </c>
      <c r="Q1" s="146" t="s">
        <v>963</v>
      </c>
      <c r="R1" s="146" t="s">
        <v>964</v>
      </c>
      <c r="S1" s="146" t="s">
        <v>38</v>
      </c>
      <c r="T1" s="245" t="s">
        <v>930</v>
      </c>
      <c r="U1" s="146" t="s">
        <v>931</v>
      </c>
      <c r="V1" s="146" t="s">
        <v>932</v>
      </c>
      <c r="W1" s="146" t="s">
        <v>933</v>
      </c>
      <c r="X1" s="146" t="s">
        <v>934</v>
      </c>
      <c r="Y1" s="146" t="s">
        <v>935</v>
      </c>
      <c r="Z1" s="146" t="s">
        <v>949</v>
      </c>
      <c r="AA1" s="146" t="s">
        <v>944</v>
      </c>
      <c r="AB1" s="146" t="s">
        <v>945</v>
      </c>
      <c r="AC1" s="146" t="s">
        <v>946</v>
      </c>
      <c r="AD1" s="146" t="s">
        <v>947</v>
      </c>
      <c r="AE1" s="146" t="s">
        <v>948</v>
      </c>
    </row>
    <row r="2" spans="1:31" ht="15.75" customHeight="1" x14ac:dyDescent="0.2">
      <c r="A2" s="267" t="s">
        <v>466</v>
      </c>
      <c r="B2" s="266" t="s">
        <v>46</v>
      </c>
      <c r="C2" s="145" t="s">
        <v>912</v>
      </c>
      <c r="D2" s="145" t="s">
        <v>827</v>
      </c>
      <c r="E2" s="145" t="s">
        <v>458</v>
      </c>
      <c r="F2" s="145" t="s">
        <v>458</v>
      </c>
      <c r="G2" s="264">
        <v>1020</v>
      </c>
      <c r="I2" s="264">
        <v>270</v>
      </c>
      <c r="K2" s="146">
        <v>24</v>
      </c>
      <c r="M2" s="146">
        <f>285.9+682.5</f>
        <v>968.4</v>
      </c>
      <c r="O2" s="146">
        <v>285.89999999999998</v>
      </c>
      <c r="P2" s="264">
        <v>217</v>
      </c>
      <c r="Q2" s="146">
        <v>27</v>
      </c>
      <c r="S2" s="146">
        <v>-100.46</v>
      </c>
      <c r="T2" s="244">
        <f>(M2-G2)*100/G2</f>
        <v>-5.0588235294117663</v>
      </c>
      <c r="U2" s="146"/>
      <c r="V2" s="249">
        <f>(O2-I2)*100/I2</f>
        <v>5.8888888888888804</v>
      </c>
      <c r="W2" s="146"/>
      <c r="X2" s="148">
        <f>(Q2-K2)*100/K2</f>
        <v>12.5</v>
      </c>
      <c r="Y2" s="146"/>
      <c r="Z2" s="148">
        <f>ABS(T2)</f>
        <v>5.0588235294117663</v>
      </c>
      <c r="AA2" s="258"/>
      <c r="AB2" s="258">
        <f>ABS(V2)</f>
        <v>5.8888888888888804</v>
      </c>
      <c r="AC2" s="258"/>
      <c r="AD2" s="258">
        <f>ABS(X2)</f>
        <v>12.5</v>
      </c>
      <c r="AE2" s="258"/>
    </row>
    <row r="3" spans="1:31" ht="15.75" customHeight="1" x14ac:dyDescent="0.2">
      <c r="A3" s="267" t="s">
        <v>471</v>
      </c>
      <c r="B3" s="266" t="s">
        <v>46</v>
      </c>
      <c r="C3" s="145" t="s">
        <v>910</v>
      </c>
      <c r="D3" s="145" t="s">
        <v>827</v>
      </c>
      <c r="E3" s="145" t="s">
        <v>458</v>
      </c>
      <c r="F3" s="145" t="s">
        <v>458</v>
      </c>
      <c r="G3" s="264">
        <v>1065</v>
      </c>
      <c r="I3" s="264">
        <v>289</v>
      </c>
      <c r="K3" s="146">
        <v>30</v>
      </c>
      <c r="M3" s="146">
        <f>308.5+695.6</f>
        <v>1004.1</v>
      </c>
      <c r="O3" s="146">
        <v>309</v>
      </c>
      <c r="P3" s="264"/>
      <c r="Q3" s="146">
        <v>23.95</v>
      </c>
      <c r="S3" s="146">
        <v>-59.33</v>
      </c>
      <c r="T3" s="244">
        <f>(M3-G3)*100/G3</f>
        <v>-5.7183098591549282</v>
      </c>
      <c r="U3" s="146"/>
      <c r="V3" s="249">
        <f>(O3-I3)*100/I3</f>
        <v>6.9204152249134951</v>
      </c>
      <c r="W3" s="146"/>
      <c r="X3" s="148">
        <f>(Q3-K3)*100/K3</f>
        <v>-20.166666666666671</v>
      </c>
      <c r="Y3" s="146"/>
      <c r="Z3" s="148">
        <f>ABS(T3)</f>
        <v>5.7183098591549282</v>
      </c>
      <c r="AA3" s="258"/>
      <c r="AB3" s="258">
        <f>ABS(V3)</f>
        <v>6.9204152249134951</v>
      </c>
      <c r="AC3" s="258"/>
      <c r="AD3" s="258">
        <f>ABS(X3)</f>
        <v>20.166666666666671</v>
      </c>
      <c r="AE3" s="258"/>
    </row>
    <row r="4" spans="1:31" ht="15.75" customHeight="1" x14ac:dyDescent="0.2">
      <c r="A4" s="267" t="s">
        <v>473</v>
      </c>
      <c r="B4" s="266" t="s">
        <v>46</v>
      </c>
      <c r="C4" s="145" t="s">
        <v>910</v>
      </c>
      <c r="D4" s="145" t="s">
        <v>827</v>
      </c>
      <c r="E4" s="145" t="s">
        <v>458</v>
      </c>
      <c r="F4" s="145" t="s">
        <v>458</v>
      </c>
      <c r="G4" s="264">
        <v>1100</v>
      </c>
      <c r="I4" s="264">
        <v>270</v>
      </c>
      <c r="K4" s="146">
        <v>30</v>
      </c>
      <c r="M4" s="146">
        <f>240.8+787.5</f>
        <v>1028.3</v>
      </c>
      <c r="O4" s="146">
        <v>240.8</v>
      </c>
      <c r="P4" s="264">
        <v>207</v>
      </c>
      <c r="Q4" s="146">
        <v>22</v>
      </c>
      <c r="S4" s="146">
        <v>-9.1999999999999993</v>
      </c>
      <c r="T4" s="244">
        <f>(M4-G4)*100/G4</f>
        <v>-6.5181818181818221</v>
      </c>
      <c r="U4" s="146"/>
      <c r="V4" s="249">
        <f>(O4-I4)*100/I4</f>
        <v>-10.814814814814811</v>
      </c>
      <c r="W4" s="146"/>
      <c r="X4" s="148">
        <f>(Q4-K4)*100/K4</f>
        <v>-26.666666666666668</v>
      </c>
      <c r="Y4" s="146"/>
      <c r="Z4" s="148">
        <f>ABS(T4)</f>
        <v>6.5181818181818221</v>
      </c>
      <c r="AA4" s="258"/>
      <c r="AB4" s="258">
        <f>ABS(V4)</f>
        <v>10.814814814814811</v>
      </c>
      <c r="AC4" s="258"/>
      <c r="AD4" s="258">
        <f>ABS(X4)</f>
        <v>26.666666666666668</v>
      </c>
      <c r="AE4" s="258"/>
    </row>
    <row r="5" spans="1:31" ht="15.75" customHeight="1" x14ac:dyDescent="0.2">
      <c r="A5" s="267" t="s">
        <v>467</v>
      </c>
      <c r="B5" s="266" t="s">
        <v>46</v>
      </c>
      <c r="C5" s="145" t="s">
        <v>912</v>
      </c>
      <c r="D5" s="145" t="s">
        <v>827</v>
      </c>
      <c r="E5" s="145" t="s">
        <v>458</v>
      </c>
      <c r="F5" s="145" t="s">
        <v>458</v>
      </c>
      <c r="G5" s="264">
        <v>1000</v>
      </c>
      <c r="I5" s="264">
        <v>300</v>
      </c>
      <c r="K5" s="146">
        <v>30</v>
      </c>
      <c r="M5" s="146">
        <v>1007</v>
      </c>
      <c r="O5" s="264">
        <v>283</v>
      </c>
      <c r="P5" s="264">
        <v>229</v>
      </c>
      <c r="Q5" s="146">
        <v>17</v>
      </c>
      <c r="S5" s="146">
        <v>-94.215999999999994</v>
      </c>
      <c r="T5" s="244">
        <f>(M5-G5)*100/G5</f>
        <v>0.7</v>
      </c>
      <c r="U5" s="146"/>
      <c r="V5" s="249">
        <f>(O5-I5)*100/I5</f>
        <v>-5.666666666666667</v>
      </c>
      <c r="W5" s="146"/>
      <c r="X5" s="148">
        <f>(Q5-K5)*100/K5</f>
        <v>-43.333333333333336</v>
      </c>
      <c r="Y5" s="146"/>
      <c r="Z5" s="148">
        <f>ABS(T5)</f>
        <v>0.7</v>
      </c>
      <c r="AA5" s="258"/>
      <c r="AB5" s="258">
        <f>ABS(V5)</f>
        <v>5.666666666666667</v>
      </c>
      <c r="AC5" s="258"/>
      <c r="AD5" s="258">
        <f>ABS(X5)</f>
        <v>43.333333333333336</v>
      </c>
      <c r="AE5" s="258"/>
    </row>
    <row r="6" spans="1:31" ht="15.75" customHeight="1" x14ac:dyDescent="0.2">
      <c r="A6" s="267" t="s">
        <v>468</v>
      </c>
      <c r="B6" s="266" t="s">
        <v>46</v>
      </c>
      <c r="C6" s="145" t="s">
        <v>910</v>
      </c>
      <c r="D6" s="145" t="s">
        <v>827</v>
      </c>
      <c r="E6" s="145" t="s">
        <v>458</v>
      </c>
      <c r="F6" s="145" t="s">
        <v>458</v>
      </c>
      <c r="G6" s="264">
        <v>1050</v>
      </c>
      <c r="I6" s="264">
        <v>280</v>
      </c>
      <c r="K6" s="146">
        <v>30</v>
      </c>
      <c r="O6" s="146">
        <v>243</v>
      </c>
      <c r="P6" s="264"/>
      <c r="Q6" s="146">
        <v>26</v>
      </c>
      <c r="S6" s="146">
        <v>16.663</v>
      </c>
      <c r="T6" s="244"/>
      <c r="U6" s="146"/>
      <c r="V6" s="249">
        <f>(O6-I6)*100/I6</f>
        <v>-13.214285714285714</v>
      </c>
      <c r="W6" s="146"/>
      <c r="X6" s="148">
        <f>(Q6-K6)*100/K6</f>
        <v>-13.333333333333334</v>
      </c>
      <c r="Y6" s="146"/>
      <c r="Z6" s="148"/>
      <c r="AA6" s="258"/>
      <c r="AB6" s="258">
        <f>ABS(V6)</f>
        <v>13.214285714285714</v>
      </c>
      <c r="AC6" s="258"/>
      <c r="AD6" s="258">
        <f>ABS(X6)</f>
        <v>13.333333333333334</v>
      </c>
      <c r="AE6" s="258"/>
    </row>
    <row r="7" spans="1:31" ht="15.75" customHeight="1" x14ac:dyDescent="0.2">
      <c r="A7" s="267" t="s">
        <v>470</v>
      </c>
      <c r="B7" s="266" t="s">
        <v>46</v>
      </c>
      <c r="C7" s="145" t="s">
        <v>912</v>
      </c>
      <c r="D7" s="145" t="s">
        <v>827</v>
      </c>
      <c r="E7" s="145" t="s">
        <v>458</v>
      </c>
      <c r="F7" s="145" t="s">
        <v>458</v>
      </c>
      <c r="G7" s="264">
        <v>960</v>
      </c>
      <c r="I7" s="264">
        <v>250</v>
      </c>
      <c r="M7" s="146">
        <f>462.36+379.81</f>
        <v>842.17000000000007</v>
      </c>
      <c r="P7" s="264">
        <v>193</v>
      </c>
      <c r="Q7" s="146">
        <v>16</v>
      </c>
      <c r="S7" s="146">
        <v>47.725999999999999</v>
      </c>
      <c r="T7" s="244">
        <f>(M7-G7)*100/G7</f>
        <v>-12.273958333333326</v>
      </c>
      <c r="U7" s="146"/>
      <c r="V7" s="148"/>
      <c r="W7" s="146"/>
      <c r="X7" s="148"/>
      <c r="Y7" s="146"/>
      <c r="Z7" s="148">
        <f>ABS(T7)</f>
        <v>12.273958333333326</v>
      </c>
      <c r="AA7" s="258"/>
      <c r="AB7" s="258"/>
      <c r="AC7" s="258"/>
      <c r="AD7" s="258"/>
      <c r="AE7" s="258"/>
    </row>
    <row r="8" spans="1:31" ht="15.75" customHeight="1" x14ac:dyDescent="0.2">
      <c r="A8" s="267" t="s">
        <v>474</v>
      </c>
      <c r="B8" s="266" t="s">
        <v>46</v>
      </c>
      <c r="C8" s="145" t="s">
        <v>912</v>
      </c>
      <c r="D8" s="145" t="s">
        <v>827</v>
      </c>
      <c r="E8" s="145" t="s">
        <v>458</v>
      </c>
      <c r="F8" s="145" t="s">
        <v>458</v>
      </c>
      <c r="G8" s="264">
        <v>970</v>
      </c>
      <c r="I8" s="264">
        <v>270</v>
      </c>
      <c r="K8" s="146">
        <v>50</v>
      </c>
      <c r="M8" s="146">
        <v>1028</v>
      </c>
      <c r="O8" s="146">
        <v>267</v>
      </c>
      <c r="P8" s="264">
        <v>200</v>
      </c>
      <c r="S8" s="146">
        <v>113.26</v>
      </c>
      <c r="T8" s="244">
        <f>(M8-G8)*100/G8</f>
        <v>5.9793814432989691</v>
      </c>
      <c r="U8" s="146"/>
      <c r="V8" s="249">
        <f>(O8-I8)*100/I8</f>
        <v>-1.1111111111111112</v>
      </c>
      <c r="W8" s="146"/>
      <c r="X8" s="148"/>
      <c r="Y8" s="146"/>
      <c r="Z8" s="148">
        <f>ABS(T8)</f>
        <v>5.9793814432989691</v>
      </c>
      <c r="AA8" s="258"/>
      <c r="AB8" s="258">
        <f>ABS(V8)</f>
        <v>1.1111111111111112</v>
      </c>
      <c r="AC8" s="258"/>
      <c r="AD8" s="258"/>
      <c r="AE8" s="258"/>
    </row>
    <row r="9" spans="1:31" ht="15.75" customHeight="1" x14ac:dyDescent="0.2">
      <c r="A9" s="272" t="s">
        <v>492</v>
      </c>
      <c r="B9" s="266" t="s">
        <v>46</v>
      </c>
      <c r="C9" s="145" t="s">
        <v>910</v>
      </c>
      <c r="D9" s="145" t="s">
        <v>785</v>
      </c>
      <c r="E9" s="145" t="s">
        <v>953</v>
      </c>
      <c r="F9" s="260" t="s">
        <v>791</v>
      </c>
      <c r="G9" s="261">
        <v>1430</v>
      </c>
      <c r="H9" s="262">
        <v>439</v>
      </c>
      <c r="I9" s="262">
        <v>337</v>
      </c>
      <c r="J9" s="262">
        <v>282</v>
      </c>
      <c r="K9" s="262">
        <v>30</v>
      </c>
      <c r="M9" s="262"/>
      <c r="P9" s="146">
        <v>269.89999999999998</v>
      </c>
      <c r="Q9" s="146">
        <v>25.57</v>
      </c>
      <c r="S9" s="146">
        <v>163.54</v>
      </c>
      <c r="T9" s="244"/>
      <c r="U9" s="148"/>
      <c r="V9" s="148"/>
      <c r="W9" s="148">
        <f>(P9-J9)*100/J9</f>
        <v>-4.2907801418439799</v>
      </c>
      <c r="X9" s="148">
        <f>(Q9-K9)*100/K9</f>
        <v>-14.766666666666667</v>
      </c>
      <c r="Y9" s="148"/>
      <c r="Z9" s="148"/>
      <c r="AA9" s="258"/>
      <c r="AB9" s="258"/>
      <c r="AC9" s="258">
        <f>ABS(W9)</f>
        <v>4.2907801418439799</v>
      </c>
      <c r="AD9" s="258">
        <f>ABS(X9)</f>
        <v>14.766666666666667</v>
      </c>
      <c r="AE9" s="258"/>
    </row>
    <row r="10" spans="1:31" ht="15.75" customHeight="1" x14ac:dyDescent="0.2">
      <c r="A10" s="145" t="s">
        <v>751</v>
      </c>
      <c r="B10" s="266" t="s">
        <v>46</v>
      </c>
      <c r="C10" s="145" t="s">
        <v>910</v>
      </c>
      <c r="D10" s="145" t="s">
        <v>785</v>
      </c>
      <c r="E10" s="145" t="s">
        <v>952</v>
      </c>
      <c r="F10" s="145" t="s">
        <v>787</v>
      </c>
      <c r="I10" s="146">
        <v>445</v>
      </c>
      <c r="J10" s="146">
        <v>419</v>
      </c>
      <c r="O10" s="146">
        <v>442</v>
      </c>
      <c r="P10" s="146">
        <v>417.4</v>
      </c>
      <c r="Q10" s="146">
        <v>50</v>
      </c>
      <c r="R10" s="146">
        <v>27.3</v>
      </c>
      <c r="T10" s="245"/>
      <c r="U10" s="148"/>
      <c r="V10" s="249">
        <f>(O10-I10)*100/I10</f>
        <v>-0.6741573033707865</v>
      </c>
      <c r="W10" s="148">
        <f>(P10-J10)*100/J10</f>
        <v>-0.38186157517900304</v>
      </c>
      <c r="X10" s="146"/>
      <c r="Y10" s="148"/>
      <c r="Z10" s="148"/>
      <c r="AA10" s="258"/>
      <c r="AB10" s="258">
        <f>ABS(V10)</f>
        <v>0.6741573033707865</v>
      </c>
      <c r="AC10" s="258">
        <f>ABS(W10)</f>
        <v>0.38186157517900304</v>
      </c>
      <c r="AD10" s="258"/>
      <c r="AE10" s="258"/>
    </row>
    <row r="11" spans="1:31" ht="15.75" customHeight="1" x14ac:dyDescent="0.2">
      <c r="A11" s="145" t="s">
        <v>755</v>
      </c>
      <c r="B11" s="266" t="s">
        <v>46</v>
      </c>
      <c r="C11" s="145" t="s">
        <v>910</v>
      </c>
      <c r="D11" s="145" t="s">
        <v>785</v>
      </c>
      <c r="E11" s="145" t="s">
        <v>952</v>
      </c>
      <c r="F11" s="145" t="s">
        <v>787</v>
      </c>
      <c r="H11" s="146">
        <v>1313</v>
      </c>
      <c r="J11" s="146">
        <v>1247</v>
      </c>
      <c r="K11" s="146">
        <v>138</v>
      </c>
      <c r="N11" s="146">
        <v>1315.8</v>
      </c>
      <c r="P11" s="146">
        <v>1240</v>
      </c>
      <c r="Q11" s="146">
        <v>137.30000000000001</v>
      </c>
      <c r="R11" s="146">
        <v>64</v>
      </c>
      <c r="T11" s="245"/>
      <c r="U11" s="148">
        <f t="shared" ref="U11:U22" si="0">(N11-H11)*100/H11</f>
        <v>0.21325209444020979</v>
      </c>
      <c r="V11" s="148"/>
      <c r="W11" s="148">
        <f>(P11-J11)*100/J11</f>
        <v>-0.5613472333600642</v>
      </c>
      <c r="X11" s="148">
        <f>(Q11-K11)*100/K11</f>
        <v>-0.50724637681158602</v>
      </c>
      <c r="Y11" s="148"/>
      <c r="Z11" s="148"/>
      <c r="AA11" s="258">
        <f t="shared" ref="AA11:AA22" si="1">ABS(U11)</f>
        <v>0.21325209444020979</v>
      </c>
      <c r="AB11" s="258"/>
      <c r="AC11" s="258">
        <f>ABS(W11)</f>
        <v>0.5613472333600642</v>
      </c>
      <c r="AD11" s="258">
        <f>ABS(X11)</f>
        <v>0.50724637681158602</v>
      </c>
      <c r="AE11" s="258"/>
    </row>
    <row r="12" spans="1:31" ht="15.75" customHeight="1" x14ac:dyDescent="0.2">
      <c r="A12" s="145" t="s">
        <v>756</v>
      </c>
      <c r="B12" s="266" t="s">
        <v>46</v>
      </c>
      <c r="C12" s="145" t="s">
        <v>910</v>
      </c>
      <c r="D12" s="145" t="s">
        <v>785</v>
      </c>
      <c r="E12" s="145" t="s">
        <v>952</v>
      </c>
      <c r="F12" s="145" t="s">
        <v>787</v>
      </c>
      <c r="H12" s="146">
        <v>522</v>
      </c>
      <c r="J12" s="146">
        <v>435</v>
      </c>
      <c r="N12" s="146">
        <v>529.70000000000005</v>
      </c>
      <c r="P12" s="146">
        <v>446.2</v>
      </c>
      <c r="Q12" s="146">
        <v>44.6</v>
      </c>
      <c r="R12" s="146">
        <v>26.5</v>
      </c>
      <c r="T12" s="245"/>
      <c r="U12" s="148">
        <f t="shared" si="0"/>
        <v>1.4750957854406217</v>
      </c>
      <c r="V12" s="148"/>
      <c r="W12" s="148">
        <f t="shared" ref="W12:W20" si="2">(P12-J12)*100/J12</f>
        <v>2.5747126436781582</v>
      </c>
      <c r="X12" s="146"/>
      <c r="Y12" s="148"/>
      <c r="Z12" s="148"/>
      <c r="AA12" s="258">
        <f t="shared" si="1"/>
        <v>1.4750957854406217</v>
      </c>
      <c r="AB12" s="258"/>
      <c r="AC12" s="258">
        <f t="shared" ref="AC12:AC20" si="3">ABS(W12)</f>
        <v>2.5747126436781582</v>
      </c>
      <c r="AD12" s="258"/>
      <c r="AE12" s="258"/>
    </row>
    <row r="13" spans="1:31" ht="15.75" customHeight="1" x14ac:dyDescent="0.2">
      <c r="A13" s="145" t="s">
        <v>757</v>
      </c>
      <c r="B13" s="266" t="s">
        <v>46</v>
      </c>
      <c r="C13" s="145" t="s">
        <v>910</v>
      </c>
      <c r="D13" s="145" t="s">
        <v>785</v>
      </c>
      <c r="E13" s="145" t="s">
        <v>952</v>
      </c>
      <c r="F13" s="145" t="s">
        <v>787</v>
      </c>
      <c r="H13" s="146">
        <v>636</v>
      </c>
      <c r="J13" s="146">
        <v>485</v>
      </c>
      <c r="N13" s="146">
        <v>612.1</v>
      </c>
      <c r="O13" s="146">
        <v>559.70000000000005</v>
      </c>
      <c r="P13" s="146">
        <v>472.5</v>
      </c>
      <c r="Q13" s="146">
        <v>46.4</v>
      </c>
      <c r="R13" s="146">
        <v>25.8</v>
      </c>
      <c r="T13" s="245"/>
      <c r="U13" s="148">
        <f t="shared" si="0"/>
        <v>-3.7578616352201224</v>
      </c>
      <c r="V13" s="148"/>
      <c r="W13" s="148">
        <f t="shared" si="2"/>
        <v>-2.5773195876288661</v>
      </c>
      <c r="X13" s="146"/>
      <c r="Y13" s="148"/>
      <c r="Z13" s="148"/>
      <c r="AA13" s="258">
        <f t="shared" si="1"/>
        <v>3.7578616352201224</v>
      </c>
      <c r="AB13" s="258"/>
      <c r="AC13" s="258">
        <f t="shared" si="3"/>
        <v>2.5773195876288661</v>
      </c>
      <c r="AD13" s="258"/>
      <c r="AE13" s="258"/>
    </row>
    <row r="14" spans="1:31" ht="15.75" customHeight="1" x14ac:dyDescent="0.2">
      <c r="A14" s="145" t="s">
        <v>758</v>
      </c>
      <c r="B14" s="266" t="s">
        <v>46</v>
      </c>
      <c r="C14" s="145" t="s">
        <v>910</v>
      </c>
      <c r="D14" s="145" t="s">
        <v>785</v>
      </c>
      <c r="E14" s="145" t="s">
        <v>952</v>
      </c>
      <c r="F14" s="145" t="s">
        <v>787</v>
      </c>
      <c r="H14" s="146">
        <v>575</v>
      </c>
      <c r="J14" s="146">
        <v>452</v>
      </c>
      <c r="N14" s="146">
        <v>579.5</v>
      </c>
      <c r="O14" s="146">
        <v>539.29999999999995</v>
      </c>
      <c r="P14" s="146">
        <v>454.4</v>
      </c>
      <c r="Q14" s="146">
        <v>42.1</v>
      </c>
      <c r="R14" s="146">
        <v>21.6</v>
      </c>
      <c r="T14" s="245"/>
      <c r="U14" s="148">
        <f t="shared" si="0"/>
        <v>0.78260869565217395</v>
      </c>
      <c r="V14" s="148"/>
      <c r="W14" s="148">
        <f t="shared" si="2"/>
        <v>0.53097345132742857</v>
      </c>
      <c r="X14" s="146"/>
      <c r="Y14" s="148"/>
      <c r="Z14" s="148"/>
      <c r="AA14" s="258">
        <f t="shared" si="1"/>
        <v>0.78260869565217395</v>
      </c>
      <c r="AB14" s="258"/>
      <c r="AC14" s="258">
        <f t="shared" si="3"/>
        <v>0.53097345132742857</v>
      </c>
      <c r="AD14" s="258"/>
      <c r="AE14" s="258"/>
    </row>
    <row r="15" spans="1:31" ht="15.75" customHeight="1" x14ac:dyDescent="0.2">
      <c r="A15" s="145" t="s">
        <v>766</v>
      </c>
      <c r="B15" s="266" t="s">
        <v>46</v>
      </c>
      <c r="C15" s="145" t="s">
        <v>910</v>
      </c>
      <c r="D15" s="145" t="s">
        <v>785</v>
      </c>
      <c r="E15" s="145" t="s">
        <v>952</v>
      </c>
      <c r="F15" s="145" t="s">
        <v>788</v>
      </c>
      <c r="H15" s="146">
        <v>632</v>
      </c>
      <c r="J15" s="146">
        <v>475</v>
      </c>
      <c r="K15" s="146">
        <v>46</v>
      </c>
      <c r="N15" s="146">
        <v>630.4</v>
      </c>
      <c r="O15" s="146">
        <v>575.79999999999995</v>
      </c>
      <c r="P15" s="146">
        <v>473.2</v>
      </c>
      <c r="Q15" s="146">
        <v>43.4</v>
      </c>
      <c r="R15" s="146">
        <v>23.3</v>
      </c>
      <c r="T15" s="245"/>
      <c r="U15" s="148">
        <f t="shared" si="0"/>
        <v>-0.25316455696202894</v>
      </c>
      <c r="V15" s="148"/>
      <c r="W15" s="148">
        <f t="shared" si="2"/>
        <v>-0.37894736842105503</v>
      </c>
      <c r="X15" s="148">
        <f>(Q15-K15)*100/K15</f>
        <v>-5.6521739130434812</v>
      </c>
      <c r="Y15" s="148"/>
      <c r="Z15" s="148"/>
      <c r="AA15" s="258">
        <f t="shared" si="1"/>
        <v>0.25316455696202894</v>
      </c>
      <c r="AB15" s="258"/>
      <c r="AC15" s="258">
        <f t="shared" si="3"/>
        <v>0.37894736842105503</v>
      </c>
      <c r="AD15" s="258">
        <f>ABS(X15)</f>
        <v>5.6521739130434812</v>
      </c>
      <c r="AE15" s="258"/>
    </row>
    <row r="16" spans="1:31" ht="15.75" customHeight="1" x14ac:dyDescent="0.2">
      <c r="A16" s="149" t="s">
        <v>771</v>
      </c>
      <c r="B16" s="266" t="s">
        <v>46</v>
      </c>
      <c r="C16" s="145" t="s">
        <v>910</v>
      </c>
      <c r="D16" s="145" t="s">
        <v>785</v>
      </c>
      <c r="E16" s="145" t="s">
        <v>952</v>
      </c>
      <c r="F16" s="145" t="s">
        <v>791</v>
      </c>
      <c r="H16" s="146">
        <v>261</v>
      </c>
      <c r="I16" s="146">
        <v>242</v>
      </c>
      <c r="J16" s="146">
        <v>187</v>
      </c>
      <c r="K16" s="146">
        <v>22</v>
      </c>
      <c r="L16" s="146">
        <v>12</v>
      </c>
      <c r="N16" s="146">
        <v>256</v>
      </c>
      <c r="O16" s="146">
        <v>237</v>
      </c>
      <c r="P16" s="146">
        <v>181.9</v>
      </c>
      <c r="Q16" s="146">
        <v>18.3</v>
      </c>
      <c r="R16" s="146">
        <v>10.199999999999999</v>
      </c>
      <c r="T16" s="245"/>
      <c r="U16" s="148">
        <f t="shared" si="0"/>
        <v>-1.9157088122605364</v>
      </c>
      <c r="V16" s="249">
        <f>(O16-I16)*100/I16</f>
        <v>-2.0661157024793386</v>
      </c>
      <c r="W16" s="148">
        <f t="shared" si="2"/>
        <v>-2.7272727272727244</v>
      </c>
      <c r="X16" s="148">
        <f>(Q16-K16)*100/K16</f>
        <v>-16.818181818181817</v>
      </c>
      <c r="Y16" s="148">
        <f>(R16-L16)*100/L16</f>
        <v>-15.000000000000005</v>
      </c>
      <c r="Z16" s="148"/>
      <c r="AA16" s="258">
        <f t="shared" si="1"/>
        <v>1.9157088122605364</v>
      </c>
      <c r="AB16" s="258">
        <f>ABS(V16)</f>
        <v>2.0661157024793386</v>
      </c>
      <c r="AC16" s="258">
        <f t="shared" si="3"/>
        <v>2.7272727272727244</v>
      </c>
      <c r="AD16" s="258">
        <f>ABS(X16)</f>
        <v>16.818181818181817</v>
      </c>
      <c r="AE16" s="258">
        <f>ABS(Y16)</f>
        <v>15.000000000000005</v>
      </c>
    </row>
    <row r="17" spans="1:31" ht="15.75" customHeight="1" x14ac:dyDescent="0.2">
      <c r="A17" s="149" t="s">
        <v>772</v>
      </c>
      <c r="B17" s="266" t="s">
        <v>46</v>
      </c>
      <c r="C17" s="145" t="s">
        <v>910</v>
      </c>
      <c r="D17" s="145" t="s">
        <v>785</v>
      </c>
      <c r="E17" s="145" t="s">
        <v>952</v>
      </c>
      <c r="F17" s="145" t="s">
        <v>791</v>
      </c>
      <c r="H17" s="146">
        <v>590</v>
      </c>
      <c r="J17" s="146">
        <v>443</v>
      </c>
      <c r="K17" s="146">
        <v>44</v>
      </c>
      <c r="L17" s="146">
        <v>22</v>
      </c>
      <c r="N17" s="146">
        <v>594.70000000000005</v>
      </c>
      <c r="O17" s="146">
        <v>533.70000000000005</v>
      </c>
      <c r="P17" s="146">
        <v>422.1</v>
      </c>
      <c r="Q17" s="146">
        <v>47.1</v>
      </c>
      <c r="R17" s="146">
        <v>18.3</v>
      </c>
      <c r="T17" s="245"/>
      <c r="U17" s="148">
        <f t="shared" si="0"/>
        <v>0.79661016949153318</v>
      </c>
      <c r="V17" s="148"/>
      <c r="W17" s="148">
        <f t="shared" si="2"/>
        <v>-4.7178329571106046</v>
      </c>
      <c r="X17" s="148">
        <f>(Q17-K17)*100/K17</f>
        <v>7.0454545454545476</v>
      </c>
      <c r="Y17" s="148">
        <f>(R17-L17)*100/L17</f>
        <v>-16.818181818181817</v>
      </c>
      <c r="Z17" s="148"/>
      <c r="AA17" s="258">
        <f t="shared" si="1"/>
        <v>0.79661016949153318</v>
      </c>
      <c r="AB17" s="258"/>
      <c r="AC17" s="258">
        <f t="shared" si="3"/>
        <v>4.7178329571106046</v>
      </c>
      <c r="AD17" s="258">
        <f>ABS(X17)</f>
        <v>7.0454545454545476</v>
      </c>
      <c r="AE17" s="258">
        <f>ABS(Y17)</f>
        <v>16.818181818181817</v>
      </c>
    </row>
    <row r="18" spans="1:31" ht="15.75" customHeight="1" x14ac:dyDescent="0.2">
      <c r="A18" s="145" t="s">
        <v>777</v>
      </c>
      <c r="B18" s="266" t="s">
        <v>46</v>
      </c>
      <c r="C18" s="145" t="s">
        <v>910</v>
      </c>
      <c r="D18" s="145" t="s">
        <v>785</v>
      </c>
      <c r="E18" s="145" t="s">
        <v>952</v>
      </c>
      <c r="F18" s="145" t="s">
        <v>792</v>
      </c>
      <c r="H18" s="146">
        <v>593</v>
      </c>
      <c r="I18" s="146">
        <v>544</v>
      </c>
      <c r="J18" s="146">
        <v>457</v>
      </c>
      <c r="L18" s="146">
        <v>30</v>
      </c>
      <c r="N18" s="146">
        <v>607.70000000000005</v>
      </c>
      <c r="O18" s="146">
        <v>543.20000000000005</v>
      </c>
      <c r="P18" s="146">
        <v>465.6</v>
      </c>
      <c r="Q18" s="146">
        <v>42.1</v>
      </c>
      <c r="R18" s="146">
        <v>28.9</v>
      </c>
      <c r="T18" s="245"/>
      <c r="U18" s="148">
        <f t="shared" si="0"/>
        <v>2.4789207419898895</v>
      </c>
      <c r="V18" s="249">
        <f>(O18-I18)*100/I18</f>
        <v>-0.14705882352940342</v>
      </c>
      <c r="W18" s="148">
        <f t="shared" si="2"/>
        <v>1.8818380743982543</v>
      </c>
      <c r="X18" s="148"/>
      <c r="Y18" s="148">
        <f>(R18-L18)*100/L18</f>
        <v>-3.6666666666666714</v>
      </c>
      <c r="Z18" s="148"/>
      <c r="AA18" s="258">
        <f t="shared" si="1"/>
        <v>2.4789207419898895</v>
      </c>
      <c r="AB18" s="258">
        <f>ABS(V18)</f>
        <v>0.14705882352940342</v>
      </c>
      <c r="AC18" s="258">
        <f t="shared" si="3"/>
        <v>1.8818380743982543</v>
      </c>
      <c r="AD18" s="258"/>
      <c r="AE18" s="258">
        <f>ABS(Y18)</f>
        <v>3.6666666666666714</v>
      </c>
    </row>
    <row r="19" spans="1:31" ht="15.75" customHeight="1" x14ac:dyDescent="0.2">
      <c r="A19" s="145" t="s">
        <v>781</v>
      </c>
      <c r="B19" s="266" t="s">
        <v>46</v>
      </c>
      <c r="C19" s="145" t="s">
        <v>910</v>
      </c>
      <c r="D19" s="145" t="s">
        <v>785</v>
      </c>
      <c r="E19" s="145" t="s">
        <v>952</v>
      </c>
      <c r="F19" s="145" t="s">
        <v>787</v>
      </c>
      <c r="H19" s="146">
        <v>195</v>
      </c>
      <c r="J19" s="146">
        <v>161</v>
      </c>
      <c r="N19" s="146">
        <v>194.7</v>
      </c>
      <c r="P19" s="146">
        <v>165.4</v>
      </c>
      <c r="Q19" s="146">
        <v>17.100000000000001</v>
      </c>
      <c r="R19" s="146">
        <v>9.5</v>
      </c>
      <c r="T19" s="245"/>
      <c r="U19" s="148">
        <f t="shared" si="0"/>
        <v>-0.15384615384615968</v>
      </c>
      <c r="V19" s="148"/>
      <c r="W19" s="148">
        <f t="shared" si="2"/>
        <v>2.7329192546583885</v>
      </c>
      <c r="X19" s="148"/>
      <c r="Y19" s="148"/>
      <c r="Z19" s="148"/>
      <c r="AA19" s="258">
        <f t="shared" si="1"/>
        <v>0.15384615384615968</v>
      </c>
      <c r="AB19" s="258"/>
      <c r="AC19" s="258">
        <f t="shared" si="3"/>
        <v>2.7329192546583885</v>
      </c>
      <c r="AD19" s="258"/>
      <c r="AE19" s="258"/>
    </row>
    <row r="20" spans="1:31" ht="15.75" customHeight="1" x14ac:dyDescent="0.2">
      <c r="A20" s="145" t="s">
        <v>780</v>
      </c>
      <c r="B20" s="266" t="s">
        <v>46</v>
      </c>
      <c r="C20" s="145" t="s">
        <v>910</v>
      </c>
      <c r="D20" s="145" t="s">
        <v>785</v>
      </c>
      <c r="E20" s="145" t="s">
        <v>952</v>
      </c>
      <c r="F20" s="145" t="s">
        <v>788</v>
      </c>
      <c r="H20" s="146">
        <v>304</v>
      </c>
      <c r="J20" s="146">
        <v>241</v>
      </c>
      <c r="K20" s="146">
        <v>26</v>
      </c>
      <c r="N20" s="146">
        <v>296.7</v>
      </c>
      <c r="P20" s="146">
        <v>228.3</v>
      </c>
      <c r="Q20" s="146">
        <v>25.3</v>
      </c>
      <c r="R20" s="146">
        <v>15.3</v>
      </c>
      <c r="T20" s="245"/>
      <c r="U20" s="148">
        <f t="shared" si="0"/>
        <v>-2.4013157894736881</v>
      </c>
      <c r="V20" s="148"/>
      <c r="W20" s="148">
        <f t="shared" si="2"/>
        <v>-5.2697095435684602</v>
      </c>
      <c r="X20" s="148">
        <f>(Q20-K20)*100/K20</f>
        <v>-2.6923076923076894</v>
      </c>
      <c r="Y20" s="148"/>
      <c r="Z20" s="148"/>
      <c r="AA20" s="258">
        <f t="shared" si="1"/>
        <v>2.4013157894736881</v>
      </c>
      <c r="AB20" s="258"/>
      <c r="AC20" s="258">
        <f t="shared" si="3"/>
        <v>5.2697095435684602</v>
      </c>
      <c r="AD20" s="258">
        <f>ABS(X20)</f>
        <v>2.6923076923076894</v>
      </c>
      <c r="AE20" s="258"/>
    </row>
    <row r="21" spans="1:31" ht="15.75" customHeight="1" x14ac:dyDescent="0.2">
      <c r="A21" s="145" t="s">
        <v>747</v>
      </c>
      <c r="B21" s="266" t="s">
        <v>46</v>
      </c>
      <c r="C21" s="145" t="s">
        <v>910</v>
      </c>
      <c r="D21" s="145" t="s">
        <v>785</v>
      </c>
      <c r="E21" s="145" t="s">
        <v>952</v>
      </c>
      <c r="F21" s="145" t="s">
        <v>788</v>
      </c>
      <c r="H21" s="146">
        <v>644</v>
      </c>
      <c r="K21" s="146">
        <v>50</v>
      </c>
      <c r="N21" s="146">
        <v>658.5</v>
      </c>
      <c r="O21" s="146">
        <v>611.70000000000005</v>
      </c>
      <c r="P21" s="146">
        <v>527.4</v>
      </c>
      <c r="Q21" s="146">
        <v>45.6</v>
      </c>
      <c r="R21" s="146">
        <v>28.7</v>
      </c>
      <c r="T21" s="245"/>
      <c r="U21" s="148">
        <f t="shared" si="0"/>
        <v>2.2515527950310559</v>
      </c>
      <c r="V21" s="148"/>
      <c r="W21" s="148"/>
      <c r="X21" s="148">
        <f>(Q21-K21)*100/K21</f>
        <v>-8.7999999999999972</v>
      </c>
      <c r="Y21" s="148"/>
      <c r="Z21" s="148"/>
      <c r="AA21" s="258">
        <f t="shared" si="1"/>
        <v>2.2515527950310559</v>
      </c>
      <c r="AB21" s="258"/>
      <c r="AC21" s="258"/>
      <c r="AD21" s="258">
        <f>ABS(X21)</f>
        <v>8.7999999999999972</v>
      </c>
      <c r="AE21" s="258"/>
    </row>
    <row r="22" spans="1:31" ht="15.75" customHeight="1" x14ac:dyDescent="0.2">
      <c r="A22" s="145" t="s">
        <v>743</v>
      </c>
      <c r="B22" s="266" t="s">
        <v>46</v>
      </c>
      <c r="C22" s="145" t="s">
        <v>910</v>
      </c>
      <c r="D22" s="145" t="s">
        <v>785</v>
      </c>
      <c r="E22" s="145" t="s">
        <v>952</v>
      </c>
      <c r="F22" s="145" t="s">
        <v>788</v>
      </c>
      <c r="H22" s="146">
        <v>571</v>
      </c>
      <c r="J22" s="146">
        <v>424</v>
      </c>
      <c r="K22" s="146">
        <v>42</v>
      </c>
      <c r="N22" s="146">
        <v>577</v>
      </c>
      <c r="O22" s="146">
        <v>531.9</v>
      </c>
      <c r="P22" s="146">
        <v>421.8</v>
      </c>
      <c r="Q22" s="146">
        <v>42.4</v>
      </c>
      <c r="R22" s="146">
        <v>20</v>
      </c>
      <c r="T22" s="245"/>
      <c r="U22" s="148">
        <f t="shared" si="0"/>
        <v>1.0507880910683012</v>
      </c>
      <c r="V22" s="148"/>
      <c r="W22" s="148">
        <f>(P22-J22)*100/J22</f>
        <v>-0.51886792452829922</v>
      </c>
      <c r="X22" s="148">
        <f>(Q22-K22)*100/K22</f>
        <v>0.952380952380949</v>
      </c>
      <c r="Y22" s="148"/>
      <c r="Z22" s="148"/>
      <c r="AA22" s="258">
        <f t="shared" si="1"/>
        <v>1.0507880910683012</v>
      </c>
      <c r="AB22" s="258"/>
      <c r="AC22" s="258">
        <f>ABS(W22)</f>
        <v>0.51886792452829922</v>
      </c>
      <c r="AD22" s="258">
        <f>ABS(X22)</f>
        <v>0.952380952380949</v>
      </c>
      <c r="AE22" s="258"/>
    </row>
    <row r="23" spans="1:31" ht="15.75" customHeight="1" x14ac:dyDescent="0.2">
      <c r="A23" s="145" t="s">
        <v>204</v>
      </c>
      <c r="B23" s="266" t="s">
        <v>46</v>
      </c>
      <c r="C23" s="145" t="s">
        <v>910</v>
      </c>
      <c r="D23" s="145" t="s">
        <v>827</v>
      </c>
      <c r="E23" s="145" t="s">
        <v>29</v>
      </c>
      <c r="F23" s="145" t="s">
        <v>907</v>
      </c>
      <c r="G23" s="146">
        <v>1235</v>
      </c>
      <c r="M23" s="146">
        <v>1262.8</v>
      </c>
      <c r="T23" s="244">
        <f>(M23-G23)*100/G23</f>
        <v>2.2510121457489842</v>
      </c>
      <c r="U23" s="148"/>
      <c r="V23" s="148"/>
      <c r="W23" s="148"/>
      <c r="X23" s="148"/>
      <c r="Y23" s="148"/>
      <c r="Z23" s="148">
        <f>ABS(T23)</f>
        <v>2.2510121457489842</v>
      </c>
      <c r="AA23" s="258"/>
      <c r="AB23" s="258"/>
      <c r="AC23" s="258"/>
      <c r="AD23" s="258"/>
      <c r="AE23" s="258"/>
    </row>
    <row r="24" spans="1:31" ht="15.75" customHeight="1" x14ac:dyDescent="0.2">
      <c r="A24" s="145" t="s">
        <v>594</v>
      </c>
      <c r="B24" s="266" t="s">
        <v>46</v>
      </c>
      <c r="C24" s="145" t="s">
        <v>910</v>
      </c>
      <c r="D24" s="243" t="s">
        <v>827</v>
      </c>
      <c r="E24" s="145" t="s">
        <v>29</v>
      </c>
      <c r="F24" s="145" t="s">
        <v>907</v>
      </c>
      <c r="G24" s="146">
        <v>890</v>
      </c>
      <c r="M24" s="146">
        <v>870</v>
      </c>
      <c r="T24" s="244">
        <f>(M24-G24)*100/G24</f>
        <v>-2.2471910112359552</v>
      </c>
      <c r="U24" s="148"/>
      <c r="V24" s="148"/>
      <c r="W24" s="148"/>
      <c r="X24" s="148"/>
      <c r="Y24" s="148"/>
      <c r="Z24" s="148">
        <f>ABS(T24)</f>
        <v>2.2471910112359552</v>
      </c>
      <c r="AA24" s="258"/>
      <c r="AB24" s="258"/>
      <c r="AC24" s="258"/>
      <c r="AD24" s="258"/>
      <c r="AE24" s="258"/>
    </row>
    <row r="25" spans="1:31" ht="15.75" customHeight="1" x14ac:dyDescent="0.2">
      <c r="A25" s="145" t="s">
        <v>58</v>
      </c>
      <c r="B25" s="266" t="s">
        <v>16</v>
      </c>
      <c r="C25" s="145" t="s">
        <v>910</v>
      </c>
      <c r="D25" s="145" t="s">
        <v>827</v>
      </c>
      <c r="E25" s="145" t="s">
        <v>951</v>
      </c>
      <c r="F25" s="145" t="s">
        <v>110</v>
      </c>
      <c r="G25" s="270">
        <v>2900</v>
      </c>
      <c r="H25" s="146">
        <v>560</v>
      </c>
      <c r="M25" s="146">
        <v>2949</v>
      </c>
      <c r="N25" s="146">
        <v>520.70000000000005</v>
      </c>
      <c r="O25" s="146">
        <v>508.8</v>
      </c>
      <c r="P25" s="146">
        <v>487</v>
      </c>
      <c r="S25" s="146">
        <v>5.1280000000000001</v>
      </c>
      <c r="T25" s="244">
        <f>(M25-G25)*100/G25</f>
        <v>1.6896551724137931</v>
      </c>
      <c r="U25" s="148">
        <f>(N25-H25)*100/H25</f>
        <v>-7.0178571428571344</v>
      </c>
      <c r="V25" s="146"/>
      <c r="W25" s="148"/>
      <c r="X25" s="148"/>
      <c r="Y25" s="146"/>
      <c r="Z25" s="148">
        <f>ABS(T25)</f>
        <v>1.6896551724137931</v>
      </c>
      <c r="AA25" s="258">
        <f>ABS(U25)</f>
        <v>7.0178571428571344</v>
      </c>
      <c r="AB25" s="258"/>
      <c r="AC25" s="258"/>
      <c r="AD25" s="258"/>
      <c r="AE25" s="258"/>
    </row>
    <row r="26" spans="1:31" ht="15.75" customHeight="1" x14ac:dyDescent="0.2">
      <c r="A26" s="145" t="s">
        <v>63</v>
      </c>
      <c r="B26" s="266" t="s">
        <v>16</v>
      </c>
      <c r="C26" s="145" t="s">
        <v>910</v>
      </c>
      <c r="D26" s="145" t="s">
        <v>827</v>
      </c>
      <c r="E26" s="145" t="s">
        <v>951</v>
      </c>
      <c r="F26" s="145" t="s">
        <v>110</v>
      </c>
      <c r="G26" s="146">
        <v>633</v>
      </c>
      <c r="M26" s="264">
        <f>118.07+58.11+44.78+78.45+92.81+254.16</f>
        <v>646.38</v>
      </c>
      <c r="O26" s="264">
        <v>138.19999999999999</v>
      </c>
      <c r="P26" s="264">
        <v>132.80000000000001</v>
      </c>
      <c r="Q26" s="146">
        <v>24.55</v>
      </c>
      <c r="S26" s="146">
        <v>-7.9000000000000001E-2</v>
      </c>
      <c r="T26" s="244">
        <f>(M26-G26)*100/G26</f>
        <v>2.1137440758293833</v>
      </c>
      <c r="U26" s="146"/>
      <c r="V26" s="146"/>
      <c r="W26" s="148"/>
      <c r="X26" s="148"/>
      <c r="Y26" s="146"/>
      <c r="Z26" s="148">
        <f>ABS(T26)</f>
        <v>2.1137440758293833</v>
      </c>
      <c r="AA26" s="258"/>
      <c r="AB26" s="258"/>
      <c r="AC26" s="258"/>
      <c r="AD26" s="258"/>
      <c r="AE26" s="258"/>
    </row>
    <row r="27" spans="1:31" ht="15.75" customHeight="1" x14ac:dyDescent="0.2">
      <c r="A27" s="145" t="s">
        <v>825</v>
      </c>
      <c r="B27" s="266" t="s">
        <v>16</v>
      </c>
      <c r="C27" s="145" t="s">
        <v>910</v>
      </c>
      <c r="D27" s="145" t="s">
        <v>827</v>
      </c>
      <c r="E27" s="145" t="s">
        <v>951</v>
      </c>
      <c r="F27" s="145" t="s">
        <v>110</v>
      </c>
      <c r="G27" s="262">
        <v>670</v>
      </c>
      <c r="M27" s="262">
        <v>660.93000000000006</v>
      </c>
      <c r="T27" s="244">
        <f>(M27-G27)*100/G27</f>
        <v>-1.3537313432835727</v>
      </c>
      <c r="U27" s="148"/>
      <c r="V27" s="148"/>
      <c r="W27" s="148"/>
      <c r="X27" s="148"/>
      <c r="Y27" s="148"/>
      <c r="Z27" s="148">
        <f>ABS(T27)</f>
        <v>1.3537313432835727</v>
      </c>
      <c r="AA27" s="258"/>
      <c r="AB27" s="258"/>
      <c r="AC27" s="258"/>
      <c r="AD27" s="258"/>
      <c r="AE27" s="258"/>
    </row>
    <row r="28" spans="1:31" ht="15.75" customHeight="1" x14ac:dyDescent="0.2">
      <c r="A28" s="269" t="s">
        <v>714</v>
      </c>
      <c r="B28" s="266" t="s">
        <v>16</v>
      </c>
      <c r="C28" s="145" t="s">
        <v>910</v>
      </c>
      <c r="D28" s="145" t="s">
        <v>827</v>
      </c>
      <c r="E28" s="145" t="s">
        <v>458</v>
      </c>
      <c r="F28" s="145" t="s">
        <v>458</v>
      </c>
      <c r="G28" s="146">
        <v>1940</v>
      </c>
      <c r="J28" s="146">
        <v>332</v>
      </c>
      <c r="K28" s="146">
        <v>56</v>
      </c>
      <c r="M28" s="264"/>
      <c r="O28" s="264">
        <v>334.2</v>
      </c>
      <c r="P28" s="264">
        <v>328.4</v>
      </c>
      <c r="Q28" s="146">
        <v>58.1</v>
      </c>
      <c r="S28" s="146">
        <v>-5.9420000000000002</v>
      </c>
      <c r="T28" s="245"/>
      <c r="U28" s="146"/>
      <c r="V28" s="146"/>
      <c r="W28" s="148">
        <f t="shared" ref="W28:X30" si="4">(P28-J28)*100/J28</f>
        <v>-1.0843373493975972</v>
      </c>
      <c r="X28" s="148">
        <f t="shared" si="4"/>
        <v>3.7500000000000027</v>
      </c>
      <c r="Y28" s="146"/>
      <c r="Z28" s="148"/>
      <c r="AA28" s="258"/>
      <c r="AB28" s="258"/>
      <c r="AC28" s="258">
        <f t="shared" ref="AC28:AD30" si="5">ABS(W28)</f>
        <v>1.0843373493975972</v>
      </c>
      <c r="AD28" s="258">
        <f t="shared" si="5"/>
        <v>3.7500000000000027</v>
      </c>
      <c r="AE28" s="258"/>
    </row>
    <row r="29" spans="1:31" ht="15.75" customHeight="1" x14ac:dyDescent="0.2">
      <c r="A29" s="269" t="s">
        <v>715</v>
      </c>
      <c r="B29" s="266" t="s">
        <v>16</v>
      </c>
      <c r="C29" s="145" t="s">
        <v>910</v>
      </c>
      <c r="D29" s="145" t="s">
        <v>827</v>
      </c>
      <c r="E29" s="145" t="s">
        <v>458</v>
      </c>
      <c r="F29" s="145" t="s">
        <v>458</v>
      </c>
      <c r="G29" s="146">
        <v>1890</v>
      </c>
      <c r="I29" s="146">
        <v>349</v>
      </c>
      <c r="J29" s="146">
        <v>325</v>
      </c>
      <c r="K29" s="146">
        <v>67</v>
      </c>
      <c r="M29" s="146">
        <v>1823.2</v>
      </c>
      <c r="O29" s="146">
        <v>326.39999999999998</v>
      </c>
      <c r="P29" s="146">
        <v>312</v>
      </c>
      <c r="Q29" s="146">
        <v>59.7</v>
      </c>
      <c r="S29" s="146">
        <v>-102.16</v>
      </c>
      <c r="T29" s="244">
        <f>(M29-G29)*100/G29</f>
        <v>-3.5343915343915322</v>
      </c>
      <c r="U29" s="146"/>
      <c r="V29" s="249">
        <f>(O29-I29)*100/I29</f>
        <v>-6.4756446991404077</v>
      </c>
      <c r="W29" s="148">
        <f t="shared" si="4"/>
        <v>-4</v>
      </c>
      <c r="X29" s="148">
        <f t="shared" si="4"/>
        <v>-10.895522388059698</v>
      </c>
      <c r="Y29" s="146"/>
      <c r="Z29" s="148">
        <f>ABS(T29)</f>
        <v>3.5343915343915322</v>
      </c>
      <c r="AA29" s="258"/>
      <c r="AB29" s="258">
        <f>ABS(V29)</f>
        <v>6.4756446991404077</v>
      </c>
      <c r="AC29" s="258">
        <f t="shared" si="5"/>
        <v>4</v>
      </c>
      <c r="AD29" s="258">
        <f t="shared" si="5"/>
        <v>10.895522388059698</v>
      </c>
      <c r="AE29" s="258"/>
    </row>
    <row r="30" spans="1:31" ht="15.75" customHeight="1" x14ac:dyDescent="0.2">
      <c r="A30" s="260" t="s">
        <v>18</v>
      </c>
      <c r="B30" s="266" t="s">
        <v>16</v>
      </c>
      <c r="C30" s="145" t="s">
        <v>910</v>
      </c>
      <c r="D30" s="145" t="s">
        <v>785</v>
      </c>
      <c r="E30" s="145" t="s">
        <v>953</v>
      </c>
      <c r="F30" s="260" t="s">
        <v>791</v>
      </c>
      <c r="G30" s="263">
        <v>1780</v>
      </c>
      <c r="H30" s="264"/>
      <c r="I30" s="264"/>
      <c r="J30" s="262">
        <v>290</v>
      </c>
      <c r="K30" s="262">
        <v>55</v>
      </c>
      <c r="M30" s="262"/>
      <c r="P30" s="146">
        <v>285</v>
      </c>
      <c r="Q30" s="146">
        <v>54.3</v>
      </c>
      <c r="S30" s="146">
        <v>-92.573999999999998</v>
      </c>
      <c r="T30" s="244"/>
      <c r="U30" s="148"/>
      <c r="V30" s="148"/>
      <c r="W30" s="148">
        <f t="shared" si="4"/>
        <v>-1.7241379310344827</v>
      </c>
      <c r="X30" s="148">
        <f t="shared" si="4"/>
        <v>-1.2727272727272778</v>
      </c>
      <c r="Y30" s="148"/>
      <c r="Z30" s="148"/>
      <c r="AA30" s="258"/>
      <c r="AB30" s="258"/>
      <c r="AC30" s="258">
        <f t="shared" si="5"/>
        <v>1.7241379310344827</v>
      </c>
      <c r="AD30" s="258">
        <f t="shared" si="5"/>
        <v>1.2727272727272778</v>
      </c>
      <c r="AE30" s="258"/>
    </row>
    <row r="31" spans="1:31" ht="15.75" customHeight="1" x14ac:dyDescent="0.2">
      <c r="A31" s="272" t="s">
        <v>520</v>
      </c>
      <c r="B31" s="266" t="s">
        <v>16</v>
      </c>
      <c r="C31" s="145" t="s">
        <v>910</v>
      </c>
      <c r="D31" s="145" t="s">
        <v>785</v>
      </c>
      <c r="E31" s="145" t="s">
        <v>953</v>
      </c>
      <c r="F31" s="260" t="s">
        <v>791</v>
      </c>
      <c r="G31" s="261">
        <v>770</v>
      </c>
      <c r="H31" s="262">
        <v>204</v>
      </c>
      <c r="I31" s="262">
        <v>153</v>
      </c>
      <c r="J31" s="262">
        <v>148</v>
      </c>
      <c r="K31" s="262">
        <v>29</v>
      </c>
      <c r="M31" s="262"/>
      <c r="O31" s="146">
        <v>135.4</v>
      </c>
      <c r="P31" s="146">
        <v>131.6</v>
      </c>
      <c r="S31" s="146">
        <v>1.7749999999999999</v>
      </c>
      <c r="T31" s="244"/>
      <c r="U31" s="148"/>
      <c r="V31" s="249">
        <f>(O31-I31)*100/I31</f>
        <v>-11.503267973856206</v>
      </c>
      <c r="W31" s="148">
        <f>(P31-J31)*100/J31</f>
        <v>-11.081081081081084</v>
      </c>
      <c r="X31" s="148"/>
      <c r="Y31" s="148"/>
      <c r="Z31" s="148"/>
      <c r="AA31" s="258"/>
      <c r="AB31" s="258">
        <f>ABS(V31)</f>
        <v>11.503267973856206</v>
      </c>
      <c r="AC31" s="258">
        <f>ABS(W31)</f>
        <v>11.081081081081084</v>
      </c>
      <c r="AD31" s="258"/>
      <c r="AE31" s="258"/>
    </row>
    <row r="32" spans="1:31" ht="15.75" customHeight="1" x14ac:dyDescent="0.2">
      <c r="A32" s="272" t="s">
        <v>521</v>
      </c>
      <c r="B32" s="266" t="s">
        <v>16</v>
      </c>
      <c r="C32" s="145" t="s">
        <v>910</v>
      </c>
      <c r="D32" s="145" t="s">
        <v>785</v>
      </c>
      <c r="E32" s="145" t="s">
        <v>953</v>
      </c>
      <c r="F32" s="260" t="s">
        <v>791</v>
      </c>
      <c r="G32" s="261">
        <v>716</v>
      </c>
      <c r="H32" s="262">
        <v>211</v>
      </c>
      <c r="I32" s="262">
        <v>156</v>
      </c>
      <c r="J32" s="262">
        <v>150</v>
      </c>
      <c r="K32" s="262">
        <v>23</v>
      </c>
      <c r="M32" s="262"/>
      <c r="P32" s="146">
        <v>139.80000000000001</v>
      </c>
      <c r="Q32" s="146">
        <v>23.3</v>
      </c>
      <c r="S32" s="146">
        <v>34.460999999999999</v>
      </c>
      <c r="T32" s="244"/>
      <c r="U32" s="148"/>
      <c r="V32" s="148"/>
      <c r="W32" s="148">
        <f t="shared" ref="W32:W42" si="6">(P32-J32)*100/J32</f>
        <v>-6.7999999999999927</v>
      </c>
      <c r="X32" s="148">
        <f t="shared" ref="X32:X42" si="7">(Q32-K32)*100/K32</f>
        <v>1.3043478260869596</v>
      </c>
      <c r="Y32" s="148"/>
      <c r="Z32" s="148"/>
      <c r="AA32" s="258"/>
      <c r="AB32" s="258"/>
      <c r="AC32" s="258">
        <f t="shared" ref="AC32:AC42" si="8">ABS(W32)</f>
        <v>6.7999999999999927</v>
      </c>
      <c r="AD32" s="258">
        <f t="shared" ref="AD32:AD42" si="9">ABS(X32)</f>
        <v>1.3043478260869596</v>
      </c>
      <c r="AE32" s="258"/>
    </row>
    <row r="33" spans="1:31" ht="15.75" customHeight="1" x14ac:dyDescent="0.2">
      <c r="A33" s="145" t="s">
        <v>918</v>
      </c>
      <c r="B33" s="265" t="s">
        <v>16</v>
      </c>
      <c r="C33" s="145" t="s">
        <v>910</v>
      </c>
      <c r="D33" s="145" t="s">
        <v>785</v>
      </c>
      <c r="E33" s="145" t="s">
        <v>952</v>
      </c>
      <c r="F33" s="145" t="s">
        <v>791</v>
      </c>
      <c r="H33" s="146">
        <v>387</v>
      </c>
      <c r="I33" s="146">
        <v>377</v>
      </c>
      <c r="J33" s="146">
        <v>362</v>
      </c>
      <c r="K33" s="146">
        <v>63</v>
      </c>
      <c r="L33" s="146">
        <v>35</v>
      </c>
      <c r="N33" s="146">
        <v>388.7</v>
      </c>
      <c r="O33" s="146">
        <v>379.6</v>
      </c>
      <c r="P33" s="146">
        <v>363.8</v>
      </c>
      <c r="Q33" s="146">
        <v>69.8</v>
      </c>
      <c r="R33" s="146">
        <v>30</v>
      </c>
      <c r="T33" s="245"/>
      <c r="U33" s="148">
        <f>(N33-H33)*100/H33</f>
        <v>0.43927648578811074</v>
      </c>
      <c r="V33" s="249">
        <f>(O33-I33)*100/I33</f>
        <v>0.68965517241379914</v>
      </c>
      <c r="W33" s="148">
        <f t="shared" si="6"/>
        <v>0.4972375690607766</v>
      </c>
      <c r="X33" s="148">
        <f t="shared" si="7"/>
        <v>10.793650793650791</v>
      </c>
      <c r="Y33" s="148">
        <f t="shared" ref="Y33:Y42" si="10">(R33-L33)*100/L33</f>
        <v>-14.285714285714286</v>
      </c>
      <c r="Z33" s="148"/>
      <c r="AA33" s="258">
        <f>ABS(U33)</f>
        <v>0.43927648578811074</v>
      </c>
      <c r="AB33" s="258">
        <f>ABS(V33)</f>
        <v>0.68965517241379914</v>
      </c>
      <c r="AC33" s="258">
        <f t="shared" si="8"/>
        <v>0.4972375690607766</v>
      </c>
      <c r="AD33" s="258">
        <f t="shared" si="9"/>
        <v>10.793650793650791</v>
      </c>
      <c r="AE33" s="258">
        <f t="shared" ref="AE33:AE42" si="11">ABS(Y33)</f>
        <v>14.285714285714286</v>
      </c>
    </row>
    <row r="34" spans="1:31" ht="15.75" customHeight="1" x14ac:dyDescent="0.2">
      <c r="A34" s="145" t="s">
        <v>919</v>
      </c>
      <c r="B34" s="265" t="s">
        <v>16</v>
      </c>
      <c r="C34" s="145" t="s">
        <v>910</v>
      </c>
      <c r="D34" s="145" t="s">
        <v>785</v>
      </c>
      <c r="E34" s="145" t="s">
        <v>952</v>
      </c>
      <c r="F34" s="145" t="s">
        <v>791</v>
      </c>
      <c r="I34" s="146">
        <v>424</v>
      </c>
      <c r="J34" s="146">
        <v>405</v>
      </c>
      <c r="K34" s="146">
        <v>80</v>
      </c>
      <c r="L34" s="146">
        <v>38</v>
      </c>
      <c r="O34" s="146">
        <v>396</v>
      </c>
      <c r="P34" s="146">
        <v>380</v>
      </c>
      <c r="Q34" s="146">
        <v>72</v>
      </c>
      <c r="R34" s="146">
        <v>34.94</v>
      </c>
      <c r="S34" s="146">
        <v>-0.42199999999999999</v>
      </c>
      <c r="T34" s="245"/>
      <c r="U34" s="148"/>
      <c r="V34" s="249">
        <f>(O34-I34)*100/I34</f>
        <v>-6.6037735849056602</v>
      </c>
      <c r="W34" s="148">
        <f t="shared" si="6"/>
        <v>-6.1728395061728394</v>
      </c>
      <c r="X34" s="148">
        <f t="shared" si="7"/>
        <v>-10</v>
      </c>
      <c r="Y34" s="148">
        <f t="shared" si="10"/>
        <v>-8.0526315789473752</v>
      </c>
      <c r="Z34" s="148"/>
      <c r="AA34" s="258"/>
      <c r="AB34" s="258">
        <f>ABS(V34)</f>
        <v>6.6037735849056602</v>
      </c>
      <c r="AC34" s="258">
        <f t="shared" si="8"/>
        <v>6.1728395061728394</v>
      </c>
      <c r="AD34" s="258">
        <f t="shared" si="9"/>
        <v>10</v>
      </c>
      <c r="AE34" s="258">
        <f t="shared" si="11"/>
        <v>8.0526315789473752</v>
      </c>
    </row>
    <row r="35" spans="1:31" ht="15.75" customHeight="1" x14ac:dyDescent="0.2">
      <c r="A35" s="145" t="s">
        <v>923</v>
      </c>
      <c r="B35" s="265" t="s">
        <v>16</v>
      </c>
      <c r="C35" s="145" t="s">
        <v>910</v>
      </c>
      <c r="D35" s="145" t="s">
        <v>785</v>
      </c>
      <c r="E35" s="145" t="s">
        <v>952</v>
      </c>
      <c r="F35" s="145" t="s">
        <v>791</v>
      </c>
      <c r="H35" s="146">
        <v>461</v>
      </c>
      <c r="J35" s="146">
        <v>455</v>
      </c>
      <c r="K35" s="146">
        <v>88</v>
      </c>
      <c r="L35" s="146">
        <v>41</v>
      </c>
      <c r="N35" s="146">
        <v>490</v>
      </c>
      <c r="P35" s="146">
        <v>473.2</v>
      </c>
      <c r="Q35" s="146">
        <v>85.55</v>
      </c>
      <c r="R35" s="146">
        <v>40.94</v>
      </c>
      <c r="T35" s="245"/>
      <c r="U35" s="148">
        <f t="shared" ref="U35:U42" si="12">(N35-H35)*100/H35</f>
        <v>6.2906724511930587</v>
      </c>
      <c r="V35" s="148"/>
      <c r="W35" s="148">
        <f t="shared" si="6"/>
        <v>3.9999999999999973</v>
      </c>
      <c r="X35" s="148">
        <f t="shared" si="7"/>
        <v>-2.7840909090909123</v>
      </c>
      <c r="Y35" s="148">
        <f t="shared" si="10"/>
        <v>-0.14634146341463969</v>
      </c>
      <c r="Z35" s="148"/>
      <c r="AA35" s="258">
        <f t="shared" ref="AA35:AA42" si="13">ABS(U35)</f>
        <v>6.2906724511930587</v>
      </c>
      <c r="AB35" s="258"/>
      <c r="AC35" s="258">
        <f t="shared" si="8"/>
        <v>3.9999999999999973</v>
      </c>
      <c r="AD35" s="258">
        <f t="shared" si="9"/>
        <v>2.7840909090909123</v>
      </c>
      <c r="AE35" s="258">
        <f t="shared" si="11"/>
        <v>0.14634146341463969</v>
      </c>
    </row>
    <row r="36" spans="1:31" ht="15.75" customHeight="1" x14ac:dyDescent="0.2">
      <c r="A36" s="145" t="s">
        <v>921</v>
      </c>
      <c r="B36" s="265" t="s">
        <v>16</v>
      </c>
      <c r="C36" s="145" t="s">
        <v>912</v>
      </c>
      <c r="D36" s="145" t="s">
        <v>785</v>
      </c>
      <c r="E36" s="145" t="s">
        <v>952</v>
      </c>
      <c r="F36" s="145" t="s">
        <v>922</v>
      </c>
      <c r="H36" s="146">
        <v>305</v>
      </c>
      <c r="I36" s="146">
        <v>297</v>
      </c>
      <c r="J36" s="146">
        <v>259</v>
      </c>
      <c r="K36" s="146">
        <v>53</v>
      </c>
      <c r="L36" s="146">
        <v>27</v>
      </c>
      <c r="N36" s="146">
        <v>300.64</v>
      </c>
      <c r="O36" s="146">
        <v>293.45999999999998</v>
      </c>
      <c r="P36" s="146">
        <v>282.57</v>
      </c>
      <c r="Q36" s="146">
        <v>51.64</v>
      </c>
      <c r="R36" s="146">
        <v>25.86</v>
      </c>
      <c r="S36" s="146">
        <v>-0.104</v>
      </c>
      <c r="T36" s="245"/>
      <c r="U36" s="148">
        <f t="shared" si="12"/>
        <v>-1.4295081967213159</v>
      </c>
      <c r="V36" s="249">
        <f>(O36-I36)*100/I36</f>
        <v>-1.1919191919191987</v>
      </c>
      <c r="W36" s="148">
        <f t="shared" si="6"/>
        <v>9.1003861003860962</v>
      </c>
      <c r="X36" s="148">
        <f t="shared" si="7"/>
        <v>-2.5660377358490556</v>
      </c>
      <c r="Y36" s="148">
        <f t="shared" si="10"/>
        <v>-4.2222222222222241</v>
      </c>
      <c r="Z36" s="148"/>
      <c r="AA36" s="258">
        <f t="shared" si="13"/>
        <v>1.4295081967213159</v>
      </c>
      <c r="AB36" s="258">
        <f>ABS(V36)</f>
        <v>1.1919191919191987</v>
      </c>
      <c r="AC36" s="258">
        <f t="shared" si="8"/>
        <v>9.1003861003860962</v>
      </c>
      <c r="AD36" s="258">
        <f t="shared" si="9"/>
        <v>2.5660377358490556</v>
      </c>
      <c r="AE36" s="258">
        <f t="shared" si="11"/>
        <v>4.2222222222222241</v>
      </c>
    </row>
    <row r="37" spans="1:31" ht="15.75" customHeight="1" x14ac:dyDescent="0.2">
      <c r="A37" s="145" t="s">
        <v>926</v>
      </c>
      <c r="B37" s="265" t="s">
        <v>16</v>
      </c>
      <c r="C37" s="145" t="s">
        <v>912</v>
      </c>
      <c r="D37" s="145" t="s">
        <v>785</v>
      </c>
      <c r="E37" s="145" t="s">
        <v>952</v>
      </c>
      <c r="F37" s="145" t="s">
        <v>922</v>
      </c>
      <c r="H37" s="146">
        <v>293</v>
      </c>
      <c r="J37" s="146">
        <v>271</v>
      </c>
      <c r="K37" s="146">
        <v>52</v>
      </c>
      <c r="L37" s="146">
        <v>25</v>
      </c>
      <c r="N37" s="146">
        <v>288.45999999999998</v>
      </c>
      <c r="O37" s="146">
        <v>280.58999999999997</v>
      </c>
      <c r="P37" s="146">
        <v>268.63</v>
      </c>
      <c r="Q37" s="146">
        <v>49.2</v>
      </c>
      <c r="R37" s="146">
        <v>22.998999999999999</v>
      </c>
      <c r="T37" s="245"/>
      <c r="U37" s="148">
        <f t="shared" si="12"/>
        <v>-1.5494880546075156</v>
      </c>
      <c r="V37" s="148"/>
      <c r="W37" s="148">
        <f t="shared" si="6"/>
        <v>-0.87453874538745557</v>
      </c>
      <c r="X37" s="148">
        <f t="shared" si="7"/>
        <v>-5.3846153846153788</v>
      </c>
      <c r="Y37" s="148">
        <f t="shared" si="10"/>
        <v>-8.0040000000000049</v>
      </c>
      <c r="Z37" s="148"/>
      <c r="AA37" s="258">
        <f t="shared" si="13"/>
        <v>1.5494880546075156</v>
      </c>
      <c r="AB37" s="258"/>
      <c r="AC37" s="258">
        <f t="shared" si="8"/>
        <v>0.87453874538745557</v>
      </c>
      <c r="AD37" s="258">
        <f t="shared" si="9"/>
        <v>5.3846153846153788</v>
      </c>
      <c r="AE37" s="258">
        <f t="shared" si="11"/>
        <v>8.0040000000000049</v>
      </c>
    </row>
    <row r="38" spans="1:31" ht="15.75" customHeight="1" x14ac:dyDescent="0.2">
      <c r="A38" s="145" t="s">
        <v>927</v>
      </c>
      <c r="B38" s="265" t="s">
        <v>16</v>
      </c>
      <c r="C38" s="145" t="s">
        <v>912</v>
      </c>
      <c r="D38" s="145" t="s">
        <v>785</v>
      </c>
      <c r="E38" s="145" t="s">
        <v>952</v>
      </c>
      <c r="F38" s="145" t="s">
        <v>922</v>
      </c>
      <c r="H38" s="146">
        <v>425</v>
      </c>
      <c r="I38" s="146">
        <v>415</v>
      </c>
      <c r="J38" s="146">
        <v>395</v>
      </c>
      <c r="K38" s="146">
        <v>72</v>
      </c>
      <c r="L38" s="146">
        <v>32</v>
      </c>
      <c r="N38" s="146">
        <v>429</v>
      </c>
      <c r="O38" s="146">
        <v>415.8</v>
      </c>
      <c r="P38" s="146">
        <v>400.3</v>
      </c>
      <c r="Q38" s="146">
        <v>68.3</v>
      </c>
      <c r="R38" s="146">
        <v>33.1</v>
      </c>
      <c r="T38" s="245"/>
      <c r="U38" s="148">
        <f t="shared" si="12"/>
        <v>0.94117647058823528</v>
      </c>
      <c r="V38" s="249">
        <f>(O38-I38)*100/I38</f>
        <v>0.19277108433735213</v>
      </c>
      <c r="W38" s="148">
        <f t="shared" si="6"/>
        <v>1.3417721518987371</v>
      </c>
      <c r="X38" s="148">
        <f t="shared" si="7"/>
        <v>-5.1388888888888928</v>
      </c>
      <c r="Y38" s="148">
        <f t="shared" si="10"/>
        <v>3.4375000000000044</v>
      </c>
      <c r="Z38" s="148"/>
      <c r="AA38" s="258">
        <f t="shared" si="13"/>
        <v>0.94117647058823528</v>
      </c>
      <c r="AB38" s="258">
        <f>ABS(V38)</f>
        <v>0.19277108433735213</v>
      </c>
      <c r="AC38" s="258">
        <f t="shared" si="8"/>
        <v>1.3417721518987371</v>
      </c>
      <c r="AD38" s="258">
        <f t="shared" si="9"/>
        <v>5.1388888888888928</v>
      </c>
      <c r="AE38" s="258">
        <f t="shared" si="11"/>
        <v>3.4375000000000044</v>
      </c>
    </row>
    <row r="39" spans="1:31" ht="15.75" customHeight="1" x14ac:dyDescent="0.2">
      <c r="A39" s="145" t="s">
        <v>924</v>
      </c>
      <c r="B39" s="265" t="s">
        <v>16</v>
      </c>
      <c r="C39" s="145" t="s">
        <v>912</v>
      </c>
      <c r="D39" s="145" t="s">
        <v>785</v>
      </c>
      <c r="E39" s="145" t="s">
        <v>952</v>
      </c>
      <c r="F39" s="145" t="s">
        <v>789</v>
      </c>
      <c r="H39" s="146">
        <v>524</v>
      </c>
      <c r="J39" s="146">
        <v>481</v>
      </c>
      <c r="K39" s="146">
        <v>94</v>
      </c>
      <c r="L39" s="146">
        <v>41</v>
      </c>
      <c r="N39" s="146">
        <v>568.1</v>
      </c>
      <c r="O39" s="146">
        <v>545.1</v>
      </c>
      <c r="P39" s="146">
        <v>530.49</v>
      </c>
      <c r="Q39" s="146">
        <v>96.93</v>
      </c>
      <c r="R39" s="146">
        <v>46.57</v>
      </c>
      <c r="T39" s="245"/>
      <c r="U39" s="148">
        <f t="shared" si="12"/>
        <v>8.4160305343511492</v>
      </c>
      <c r="V39" s="148"/>
      <c r="W39" s="148">
        <f t="shared" si="6"/>
        <v>10.28898128898129</v>
      </c>
      <c r="X39" s="148">
        <f t="shared" si="7"/>
        <v>3.1170212765957519</v>
      </c>
      <c r="Y39" s="148">
        <f t="shared" si="10"/>
        <v>13.585365853658537</v>
      </c>
      <c r="Z39" s="148"/>
      <c r="AA39" s="258">
        <f t="shared" si="13"/>
        <v>8.4160305343511492</v>
      </c>
      <c r="AB39" s="258"/>
      <c r="AC39" s="258">
        <f t="shared" si="8"/>
        <v>10.28898128898129</v>
      </c>
      <c r="AD39" s="258">
        <f t="shared" si="9"/>
        <v>3.1170212765957519</v>
      </c>
      <c r="AE39" s="258">
        <f t="shared" si="11"/>
        <v>13.585365853658537</v>
      </c>
    </row>
    <row r="40" spans="1:31" ht="15.75" customHeight="1" x14ac:dyDescent="0.2">
      <c r="A40" s="145" t="s">
        <v>925</v>
      </c>
      <c r="B40" s="265" t="s">
        <v>16</v>
      </c>
      <c r="C40" s="145" t="s">
        <v>912</v>
      </c>
      <c r="D40" s="145" t="s">
        <v>785</v>
      </c>
      <c r="E40" s="145" t="s">
        <v>952</v>
      </c>
      <c r="F40" s="145" t="s">
        <v>788</v>
      </c>
      <c r="H40" s="146">
        <v>500</v>
      </c>
      <c r="I40" s="146">
        <v>485</v>
      </c>
      <c r="J40" s="146">
        <v>467</v>
      </c>
      <c r="K40" s="146">
        <v>89</v>
      </c>
      <c r="L40" s="146">
        <v>43</v>
      </c>
      <c r="N40" s="146">
        <v>500.3</v>
      </c>
      <c r="O40" s="146">
        <v>482.44</v>
      </c>
      <c r="P40" s="146">
        <v>468.95499999999998</v>
      </c>
      <c r="Q40" s="146">
        <v>83.15</v>
      </c>
      <c r="R40" s="146">
        <v>40.159999999999997</v>
      </c>
      <c r="T40" s="245"/>
      <c r="U40" s="148">
        <f t="shared" si="12"/>
        <v>6.0000000000002274E-2</v>
      </c>
      <c r="V40" s="249">
        <f>(O40-I40)*100/I40</f>
        <v>-0.52783505154639221</v>
      </c>
      <c r="W40" s="148">
        <f t="shared" si="6"/>
        <v>0.41862955032119575</v>
      </c>
      <c r="X40" s="148">
        <f t="shared" si="7"/>
        <v>-6.5730337078651617</v>
      </c>
      <c r="Y40" s="148">
        <f t="shared" si="10"/>
        <v>-6.6046511627907059</v>
      </c>
      <c r="Z40" s="148"/>
      <c r="AA40" s="258">
        <f t="shared" si="13"/>
        <v>6.0000000000002274E-2</v>
      </c>
      <c r="AB40" s="258">
        <f>ABS(V40)</f>
        <v>0.52783505154639221</v>
      </c>
      <c r="AC40" s="258">
        <f t="shared" si="8"/>
        <v>0.41862955032119575</v>
      </c>
      <c r="AD40" s="258">
        <f t="shared" si="9"/>
        <v>6.5730337078651617</v>
      </c>
      <c r="AE40" s="258">
        <f t="shared" si="11"/>
        <v>6.6046511627907059</v>
      </c>
    </row>
    <row r="41" spans="1:31" ht="15.75" customHeight="1" x14ac:dyDescent="0.2">
      <c r="A41" s="145" t="s">
        <v>920</v>
      </c>
      <c r="B41" s="265" t="s">
        <v>16</v>
      </c>
      <c r="C41" s="145" t="s">
        <v>910</v>
      </c>
      <c r="D41" s="145" t="s">
        <v>785</v>
      </c>
      <c r="E41" s="145" t="s">
        <v>952</v>
      </c>
      <c r="F41" s="145" t="s">
        <v>791</v>
      </c>
      <c r="H41" s="146">
        <v>475</v>
      </c>
      <c r="I41" s="146">
        <v>464</v>
      </c>
      <c r="J41" s="146">
        <v>444</v>
      </c>
      <c r="K41" s="146">
        <v>79</v>
      </c>
      <c r="L41" s="146">
        <v>41</v>
      </c>
      <c r="N41" s="146">
        <v>475.04</v>
      </c>
      <c r="O41" s="146">
        <v>456.7</v>
      </c>
      <c r="P41" s="146">
        <v>445.4</v>
      </c>
      <c r="Q41" s="146">
        <v>81.3</v>
      </c>
      <c r="R41" s="146">
        <v>40.21</v>
      </c>
      <c r="S41" s="146">
        <v>-88.073999999999998</v>
      </c>
      <c r="T41" s="245"/>
      <c r="U41" s="148">
        <f t="shared" si="12"/>
        <v>8.4210526315832562E-3</v>
      </c>
      <c r="V41" s="249">
        <f>(O41-I41)*100/I41</f>
        <v>-1.573275862068968</v>
      </c>
      <c r="W41" s="148">
        <f t="shared" si="6"/>
        <v>0.31531531531531021</v>
      </c>
      <c r="X41" s="148">
        <f t="shared" si="7"/>
        <v>2.9113924050632876</v>
      </c>
      <c r="Y41" s="148">
        <f t="shared" si="10"/>
        <v>-1.9268292682926809</v>
      </c>
      <c r="Z41" s="148"/>
      <c r="AA41" s="258">
        <f t="shared" si="13"/>
        <v>8.4210526315832562E-3</v>
      </c>
      <c r="AB41" s="258">
        <f>ABS(V41)</f>
        <v>1.573275862068968</v>
      </c>
      <c r="AC41" s="258">
        <f t="shared" si="8"/>
        <v>0.31531531531531021</v>
      </c>
      <c r="AD41" s="258">
        <f t="shared" si="9"/>
        <v>2.9113924050632876</v>
      </c>
      <c r="AE41" s="258">
        <f t="shared" si="11"/>
        <v>1.9268292682926809</v>
      </c>
    </row>
    <row r="42" spans="1:31" ht="15.75" customHeight="1" x14ac:dyDescent="0.2">
      <c r="A42" s="145" t="s">
        <v>243</v>
      </c>
      <c r="B42" s="265" t="s">
        <v>16</v>
      </c>
      <c r="C42" s="145" t="s">
        <v>910</v>
      </c>
      <c r="D42" s="145" t="s">
        <v>785</v>
      </c>
      <c r="E42" s="145" t="s">
        <v>952</v>
      </c>
      <c r="F42" s="145" t="s">
        <v>791</v>
      </c>
      <c r="H42" s="146">
        <v>300</v>
      </c>
      <c r="I42" s="146">
        <v>273</v>
      </c>
      <c r="J42" s="146">
        <v>256</v>
      </c>
      <c r="K42" s="146">
        <v>49.5</v>
      </c>
      <c r="L42" s="146">
        <v>25</v>
      </c>
      <c r="N42" s="146">
        <v>287.8</v>
      </c>
      <c r="O42" s="146">
        <v>259.39999999999998</v>
      </c>
      <c r="P42" s="146">
        <v>243.1</v>
      </c>
      <c r="Q42" s="146">
        <v>44.75</v>
      </c>
      <c r="R42" s="146">
        <v>24</v>
      </c>
      <c r="S42" s="146">
        <v>-1.6930000000000001</v>
      </c>
      <c r="T42" s="245"/>
      <c r="U42" s="148">
        <f t="shared" si="12"/>
        <v>-4.0666666666666629</v>
      </c>
      <c r="V42" s="249">
        <f>(O42-I42)*100/I42</f>
        <v>-4.9816849816849897</v>
      </c>
      <c r="W42" s="148">
        <f t="shared" si="6"/>
        <v>-5.0390625000000018</v>
      </c>
      <c r="X42" s="148">
        <f t="shared" si="7"/>
        <v>-9.5959595959595951</v>
      </c>
      <c r="Y42" s="148">
        <f t="shared" si="10"/>
        <v>-4</v>
      </c>
      <c r="Z42" s="148"/>
      <c r="AA42" s="258">
        <f t="shared" si="13"/>
        <v>4.0666666666666629</v>
      </c>
      <c r="AB42" s="258">
        <f>ABS(V42)</f>
        <v>4.9816849816849897</v>
      </c>
      <c r="AC42" s="258">
        <f t="shared" si="8"/>
        <v>5.0390625000000018</v>
      </c>
      <c r="AD42" s="258">
        <f t="shared" si="9"/>
        <v>9.5959595959595951</v>
      </c>
      <c r="AE42" s="258">
        <f t="shared" si="11"/>
        <v>4</v>
      </c>
    </row>
    <row r="43" spans="1:31" ht="15.75" customHeight="1" x14ac:dyDescent="0.2">
      <c r="A43" s="145" t="s">
        <v>50</v>
      </c>
      <c r="B43" s="265" t="s">
        <v>16</v>
      </c>
      <c r="C43" s="145" t="s">
        <v>912</v>
      </c>
      <c r="D43" s="145" t="s">
        <v>827</v>
      </c>
      <c r="E43" s="145" t="s">
        <v>29</v>
      </c>
      <c r="F43" s="145" t="s">
        <v>907</v>
      </c>
      <c r="G43" s="264">
        <v>3048</v>
      </c>
      <c r="H43" s="145"/>
      <c r="M43" s="243">
        <v>2873</v>
      </c>
      <c r="T43" s="244">
        <f>(M43-G43)*100/G43</f>
        <v>-5.741469816272966</v>
      </c>
      <c r="U43" s="146"/>
      <c r="V43" s="146"/>
      <c r="W43" s="146"/>
      <c r="X43" s="146"/>
      <c r="Y43" s="146"/>
      <c r="Z43" s="148">
        <f>ABS(T43)</f>
        <v>5.741469816272966</v>
      </c>
      <c r="AA43" s="258"/>
      <c r="AB43" s="258"/>
      <c r="AC43" s="258"/>
      <c r="AD43" s="258"/>
      <c r="AE43" s="258"/>
    </row>
    <row r="44" spans="1:31" ht="15.75" customHeight="1" x14ac:dyDescent="0.2">
      <c r="A44" s="145" t="s">
        <v>913</v>
      </c>
      <c r="B44" s="265" t="s">
        <v>16</v>
      </c>
      <c r="C44" s="145" t="s">
        <v>910</v>
      </c>
      <c r="D44" s="145" t="s">
        <v>785</v>
      </c>
      <c r="E44" s="145" t="s">
        <v>29</v>
      </c>
      <c r="F44" s="145" t="s">
        <v>907</v>
      </c>
      <c r="H44" s="146">
        <v>515</v>
      </c>
      <c r="N44" s="146">
        <v>504</v>
      </c>
      <c r="T44" s="245"/>
      <c r="U44" s="148">
        <f>(N44-H44)*100/H44</f>
        <v>-2.1359223300970873</v>
      </c>
      <c r="V44" s="146"/>
      <c r="W44" s="146"/>
      <c r="X44" s="146"/>
      <c r="Y44" s="146"/>
      <c r="Z44" s="148"/>
      <c r="AA44" s="258">
        <f>ABS(U44)</f>
        <v>2.1359223300970873</v>
      </c>
      <c r="AB44" s="258"/>
      <c r="AC44" s="258"/>
      <c r="AD44" s="258"/>
      <c r="AE44" s="258"/>
    </row>
    <row r="45" spans="1:31" ht="15.75" customHeight="1" x14ac:dyDescent="0.2">
      <c r="A45" s="145" t="s">
        <v>914</v>
      </c>
      <c r="B45" s="265" t="s">
        <v>16</v>
      </c>
      <c r="C45" s="145" t="s">
        <v>910</v>
      </c>
      <c r="D45" s="145" t="s">
        <v>785</v>
      </c>
      <c r="E45" s="145" t="s">
        <v>29</v>
      </c>
      <c r="F45" s="145" t="s">
        <v>907</v>
      </c>
      <c r="H45" s="146">
        <v>465</v>
      </c>
      <c r="I45" s="146">
        <v>452</v>
      </c>
      <c r="J45" s="146">
        <v>440</v>
      </c>
      <c r="K45" s="146">
        <v>70</v>
      </c>
      <c r="N45" s="146">
        <v>443</v>
      </c>
      <c r="O45" s="146">
        <v>431</v>
      </c>
      <c r="P45" s="146">
        <v>415</v>
      </c>
      <c r="Q45" s="146">
        <v>71.5</v>
      </c>
      <c r="S45" s="146">
        <v>-87.775999999999996</v>
      </c>
      <c r="T45" s="245"/>
      <c r="U45" s="148">
        <f>(N45-H45)*100/H45</f>
        <v>-4.731182795698925</v>
      </c>
      <c r="V45" s="249">
        <f>(O45-I45)*100/I45</f>
        <v>-4.6460176991150446</v>
      </c>
      <c r="W45" s="148">
        <f>(P45-J45)*100/J45</f>
        <v>-5.6818181818181817</v>
      </c>
      <c r="X45" s="148">
        <f>(Q45-K45)*100/K45</f>
        <v>2.1428571428571428</v>
      </c>
      <c r="Y45" s="146"/>
      <c r="Z45" s="148"/>
      <c r="AA45" s="258">
        <f>ABS(U45)</f>
        <v>4.731182795698925</v>
      </c>
      <c r="AB45" s="258">
        <f>ABS(V45)</f>
        <v>4.6460176991150446</v>
      </c>
      <c r="AC45" s="258">
        <f>ABS(W45)</f>
        <v>5.6818181818181817</v>
      </c>
      <c r="AD45" s="258">
        <f>ABS(X45)</f>
        <v>2.1428571428571428</v>
      </c>
      <c r="AE45" s="258"/>
    </row>
    <row r="46" spans="1:31" ht="15.75" customHeight="1" x14ac:dyDescent="0.2">
      <c r="A46" s="243" t="s">
        <v>416</v>
      </c>
      <c r="B46" s="266" t="s">
        <v>19</v>
      </c>
      <c r="C46" s="145" t="s">
        <v>912</v>
      </c>
      <c r="D46" s="145" t="s">
        <v>827</v>
      </c>
      <c r="E46" s="145" t="s">
        <v>458</v>
      </c>
      <c r="F46" s="145" t="s">
        <v>458</v>
      </c>
      <c r="G46" s="146">
        <v>1250</v>
      </c>
      <c r="I46" s="264">
        <v>305</v>
      </c>
      <c r="J46" s="264"/>
      <c r="K46" s="146">
        <v>55</v>
      </c>
      <c r="O46" s="146">
        <v>288</v>
      </c>
      <c r="T46" s="245"/>
      <c r="U46" s="146"/>
      <c r="V46" s="249">
        <f t="shared" ref="V46:V56" si="14">(O46-I46)*100/I46</f>
        <v>-5.5737704918032787</v>
      </c>
      <c r="W46" s="146"/>
      <c r="X46" s="146"/>
      <c r="Y46" s="146"/>
      <c r="Z46" s="148"/>
      <c r="AA46" s="258"/>
      <c r="AB46" s="258">
        <f t="shared" ref="AB46:AB56" si="15">ABS(V46)</f>
        <v>5.5737704918032787</v>
      </c>
      <c r="AC46" s="258"/>
      <c r="AD46" s="258"/>
      <c r="AE46" s="258"/>
    </row>
    <row r="47" spans="1:31" ht="15.75" customHeight="1" x14ac:dyDescent="0.2">
      <c r="A47" s="243" t="s">
        <v>421</v>
      </c>
      <c r="B47" s="266" t="s">
        <v>19</v>
      </c>
      <c r="C47" s="145" t="s">
        <v>910</v>
      </c>
      <c r="D47" s="145" t="s">
        <v>827</v>
      </c>
      <c r="E47" s="145" t="s">
        <v>458</v>
      </c>
      <c r="F47" s="145" t="s">
        <v>458</v>
      </c>
      <c r="G47" s="264">
        <v>825</v>
      </c>
      <c r="I47" s="264">
        <v>205</v>
      </c>
      <c r="J47" s="262"/>
      <c r="K47" s="146">
        <v>37</v>
      </c>
      <c r="O47" s="146">
        <v>206.19</v>
      </c>
      <c r="Q47" s="146">
        <v>32</v>
      </c>
      <c r="S47" s="146">
        <v>-87.808999999999997</v>
      </c>
      <c r="T47" s="245"/>
      <c r="U47" s="146"/>
      <c r="V47" s="249">
        <f t="shared" si="14"/>
        <v>0.58048780487804763</v>
      </c>
      <c r="W47" s="146"/>
      <c r="X47" s="148">
        <f t="shared" ref="X47:X53" si="16">(Q47-K47)*100/K47</f>
        <v>-13.513513513513514</v>
      </c>
      <c r="Y47" s="146"/>
      <c r="Z47" s="148"/>
      <c r="AA47" s="258"/>
      <c r="AB47" s="258">
        <f t="shared" si="15"/>
        <v>0.58048780487804763</v>
      </c>
      <c r="AC47" s="258"/>
      <c r="AD47" s="258">
        <f t="shared" ref="AD47:AD53" si="17">ABS(X47)</f>
        <v>13.513513513513514</v>
      </c>
      <c r="AE47" s="258"/>
    </row>
    <row r="48" spans="1:31" ht="15.75" customHeight="1" x14ac:dyDescent="0.2">
      <c r="A48" s="243" t="s">
        <v>422</v>
      </c>
      <c r="B48" s="266" t="s">
        <v>19</v>
      </c>
      <c r="C48" s="145" t="s">
        <v>910</v>
      </c>
      <c r="D48" s="145" t="s">
        <v>827</v>
      </c>
      <c r="E48" s="145" t="s">
        <v>458</v>
      </c>
      <c r="F48" s="145" t="s">
        <v>458</v>
      </c>
      <c r="G48" s="264">
        <v>1070</v>
      </c>
      <c r="I48" s="264">
        <v>265</v>
      </c>
      <c r="J48" s="262"/>
      <c r="K48" s="146">
        <v>45</v>
      </c>
      <c r="O48" s="146">
        <v>276</v>
      </c>
      <c r="Q48" s="146">
        <v>47</v>
      </c>
      <c r="S48" s="146">
        <v>-80.322999999999993</v>
      </c>
      <c r="T48" s="245"/>
      <c r="U48" s="146"/>
      <c r="V48" s="249">
        <f t="shared" si="14"/>
        <v>4.1509433962264151</v>
      </c>
      <c r="W48" s="146"/>
      <c r="X48" s="148">
        <f t="shared" si="16"/>
        <v>4.4444444444444446</v>
      </c>
      <c r="Y48" s="146"/>
      <c r="Z48" s="148"/>
      <c r="AA48" s="258"/>
      <c r="AB48" s="258">
        <f t="shared" si="15"/>
        <v>4.1509433962264151</v>
      </c>
      <c r="AC48" s="258"/>
      <c r="AD48" s="258">
        <f t="shared" si="17"/>
        <v>4.4444444444444446</v>
      </c>
      <c r="AE48" s="258"/>
    </row>
    <row r="49" spans="1:31" ht="15.75" customHeight="1" x14ac:dyDescent="0.2">
      <c r="A49" s="243" t="s">
        <v>423</v>
      </c>
      <c r="B49" s="266" t="s">
        <v>19</v>
      </c>
      <c r="C49" s="145" t="s">
        <v>910</v>
      </c>
      <c r="D49" s="145" t="s">
        <v>827</v>
      </c>
      <c r="E49" s="145" t="s">
        <v>458</v>
      </c>
      <c r="F49" s="145" t="s">
        <v>458</v>
      </c>
      <c r="G49" s="264">
        <v>1150</v>
      </c>
      <c r="I49" s="264">
        <v>275</v>
      </c>
      <c r="J49" s="264"/>
      <c r="K49" s="146">
        <v>47</v>
      </c>
      <c r="O49" s="146">
        <v>277.39999999999998</v>
      </c>
      <c r="Q49" s="146">
        <v>45.76</v>
      </c>
      <c r="T49" s="245"/>
      <c r="U49" s="146"/>
      <c r="V49" s="249">
        <f t="shared" si="14"/>
        <v>0.87272727272726447</v>
      </c>
      <c r="W49" s="146"/>
      <c r="X49" s="148">
        <f t="shared" si="16"/>
        <v>-2.6382978723404298</v>
      </c>
      <c r="Y49" s="146"/>
      <c r="Z49" s="148"/>
      <c r="AA49" s="258"/>
      <c r="AB49" s="258">
        <f t="shared" si="15"/>
        <v>0.87272727272726447</v>
      </c>
      <c r="AC49" s="258"/>
      <c r="AD49" s="258">
        <f t="shared" si="17"/>
        <v>2.6382978723404298</v>
      </c>
      <c r="AE49" s="258"/>
    </row>
    <row r="50" spans="1:31" ht="15.75" customHeight="1" x14ac:dyDescent="0.2">
      <c r="A50" s="243" t="s">
        <v>424</v>
      </c>
      <c r="B50" s="266" t="s">
        <v>19</v>
      </c>
      <c r="C50" s="145" t="s">
        <v>910</v>
      </c>
      <c r="D50" s="145" t="s">
        <v>827</v>
      </c>
      <c r="E50" s="145" t="s">
        <v>458</v>
      </c>
      <c r="F50" s="145" t="s">
        <v>458</v>
      </c>
      <c r="G50" s="264">
        <v>1800</v>
      </c>
      <c r="I50" s="264">
        <v>425</v>
      </c>
      <c r="J50" s="264"/>
      <c r="K50" s="146">
        <v>72</v>
      </c>
      <c r="O50" s="146">
        <v>413.2</v>
      </c>
      <c r="Q50" s="146">
        <v>60.8</v>
      </c>
      <c r="T50" s="245"/>
      <c r="U50" s="146"/>
      <c r="V50" s="249">
        <f t="shared" si="14"/>
        <v>-2.7764705882352967</v>
      </c>
      <c r="W50" s="146"/>
      <c r="X50" s="148">
        <f t="shared" si="16"/>
        <v>-15.555555555555559</v>
      </c>
      <c r="Y50" s="146"/>
      <c r="Z50" s="148"/>
      <c r="AA50" s="258"/>
      <c r="AB50" s="258">
        <f t="shared" si="15"/>
        <v>2.7764705882352967</v>
      </c>
      <c r="AC50" s="258"/>
      <c r="AD50" s="258">
        <f t="shared" si="17"/>
        <v>15.555555555555559</v>
      </c>
      <c r="AE50" s="258"/>
    </row>
    <row r="51" spans="1:31" ht="15.75" customHeight="1" x14ac:dyDescent="0.2">
      <c r="A51" s="243" t="s">
        <v>426</v>
      </c>
      <c r="B51" s="266" t="s">
        <v>19</v>
      </c>
      <c r="C51" s="145" t="s">
        <v>910</v>
      </c>
      <c r="D51" s="145" t="s">
        <v>827</v>
      </c>
      <c r="E51" s="145" t="s">
        <v>458</v>
      </c>
      <c r="F51" s="145" t="s">
        <v>458</v>
      </c>
      <c r="G51" s="268">
        <v>1620</v>
      </c>
      <c r="I51" s="264">
        <v>390</v>
      </c>
      <c r="J51" s="264">
        <v>375</v>
      </c>
      <c r="K51" s="146">
        <v>68</v>
      </c>
      <c r="M51" s="146">
        <f>P51+871.608+228.42</f>
        <v>1464.828</v>
      </c>
      <c r="O51" s="146">
        <v>381.1</v>
      </c>
      <c r="P51" s="146">
        <v>364.8</v>
      </c>
      <c r="Q51" s="146">
        <v>62.49</v>
      </c>
      <c r="S51" s="146">
        <v>149.62</v>
      </c>
      <c r="T51" s="244">
        <f>(M51-G51)*100/G51</f>
        <v>-9.5785185185185195</v>
      </c>
      <c r="U51" s="146"/>
      <c r="V51" s="249">
        <f t="shared" si="14"/>
        <v>-2.2820512820512762</v>
      </c>
      <c r="W51" s="148">
        <f>(P51-J51)*100/J51</f>
        <v>-2.7199999999999971</v>
      </c>
      <c r="X51" s="148">
        <f t="shared" si="16"/>
        <v>-8.1029411764705852</v>
      </c>
      <c r="Y51" s="146"/>
      <c r="Z51" s="148">
        <f>ABS(T51)</f>
        <v>9.5785185185185195</v>
      </c>
      <c r="AA51" s="258"/>
      <c r="AB51" s="258">
        <f t="shared" si="15"/>
        <v>2.2820512820512762</v>
      </c>
      <c r="AC51" s="258">
        <f>ABS(W51)</f>
        <v>2.7199999999999971</v>
      </c>
      <c r="AD51" s="258">
        <f t="shared" si="17"/>
        <v>8.1029411764705852</v>
      </c>
      <c r="AE51" s="258"/>
    </row>
    <row r="52" spans="1:31" ht="15.75" customHeight="1" x14ac:dyDescent="0.2">
      <c r="A52" s="243" t="s">
        <v>427</v>
      </c>
      <c r="B52" s="266" t="s">
        <v>19</v>
      </c>
      <c r="C52" s="145" t="s">
        <v>910</v>
      </c>
      <c r="D52" s="145" t="s">
        <v>827</v>
      </c>
      <c r="E52" s="145" t="s">
        <v>458</v>
      </c>
      <c r="F52" s="145" t="s">
        <v>458</v>
      </c>
      <c r="G52" s="264">
        <v>1650</v>
      </c>
      <c r="I52" s="264">
        <v>395</v>
      </c>
      <c r="J52" s="264">
        <v>375</v>
      </c>
      <c r="K52" s="146">
        <v>70</v>
      </c>
      <c r="M52" s="146">
        <f>871.02+670.766</f>
        <v>1541.7860000000001</v>
      </c>
      <c r="O52" s="146">
        <v>402.4</v>
      </c>
      <c r="P52" s="146">
        <v>377.7</v>
      </c>
      <c r="Q52" s="146">
        <v>67.86</v>
      </c>
      <c r="S52" s="146">
        <v>169.8</v>
      </c>
      <c r="T52" s="244">
        <f>(M52-G52)*100/G52</f>
        <v>-6.5584242424242385</v>
      </c>
      <c r="U52" s="146"/>
      <c r="V52" s="249">
        <f t="shared" si="14"/>
        <v>1.8734177215189816</v>
      </c>
      <c r="W52" s="148">
        <f>(P52-J52)*100/J52</f>
        <v>0.71999999999999698</v>
      </c>
      <c r="X52" s="148">
        <f t="shared" si="16"/>
        <v>-3.0571428571428578</v>
      </c>
      <c r="Y52" s="146"/>
      <c r="Z52" s="148">
        <f>ABS(T52)</f>
        <v>6.5584242424242385</v>
      </c>
      <c r="AA52" s="258"/>
      <c r="AB52" s="258">
        <f t="shared" si="15"/>
        <v>1.8734177215189816</v>
      </c>
      <c r="AC52" s="258">
        <f>ABS(W52)</f>
        <v>0.71999999999999698</v>
      </c>
      <c r="AD52" s="258">
        <f t="shared" si="17"/>
        <v>3.0571428571428578</v>
      </c>
      <c r="AE52" s="258"/>
    </row>
    <row r="53" spans="1:31" ht="15.75" customHeight="1" x14ac:dyDescent="0.2">
      <c r="A53" s="243" t="s">
        <v>459</v>
      </c>
      <c r="B53" s="266" t="s">
        <v>19</v>
      </c>
      <c r="C53" s="145" t="s">
        <v>910</v>
      </c>
      <c r="D53" s="145" t="s">
        <v>827</v>
      </c>
      <c r="E53" s="145" t="s">
        <v>458</v>
      </c>
      <c r="F53" s="145" t="s">
        <v>458</v>
      </c>
      <c r="G53" s="264">
        <v>1640</v>
      </c>
      <c r="I53" s="268">
        <v>275</v>
      </c>
      <c r="J53" s="268">
        <v>258</v>
      </c>
      <c r="K53" s="248">
        <v>65</v>
      </c>
      <c r="O53" s="146">
        <v>301.89999999999998</v>
      </c>
      <c r="P53" s="146">
        <v>290.8</v>
      </c>
      <c r="Q53" s="146">
        <v>52.53</v>
      </c>
      <c r="S53" s="146">
        <v>-30.280999999999999</v>
      </c>
      <c r="T53" s="245"/>
      <c r="U53" s="146"/>
      <c r="V53" s="249">
        <f t="shared" si="14"/>
        <v>9.7818181818181742</v>
      </c>
      <c r="W53" s="148">
        <f>(P53-J53)*100/J53</f>
        <v>12.713178294573646</v>
      </c>
      <c r="X53" s="148">
        <f t="shared" si="16"/>
        <v>-19.184615384615384</v>
      </c>
      <c r="Y53" s="146"/>
      <c r="Z53" s="148"/>
      <c r="AA53" s="258"/>
      <c r="AB53" s="258">
        <f t="shared" si="15"/>
        <v>9.7818181818181742</v>
      </c>
      <c r="AC53" s="258">
        <f>ABS(W53)</f>
        <v>12.713178294573646</v>
      </c>
      <c r="AD53" s="258">
        <f t="shared" si="17"/>
        <v>19.184615384615384</v>
      </c>
      <c r="AE53" s="258"/>
    </row>
    <row r="54" spans="1:31" ht="15.75" customHeight="1" x14ac:dyDescent="0.2">
      <c r="A54" s="243" t="s">
        <v>425</v>
      </c>
      <c r="B54" s="266" t="s">
        <v>19</v>
      </c>
      <c r="C54" s="145" t="s">
        <v>912</v>
      </c>
      <c r="D54" s="145" t="s">
        <v>827</v>
      </c>
      <c r="E54" s="145" t="s">
        <v>458</v>
      </c>
      <c r="F54" s="145" t="s">
        <v>458</v>
      </c>
      <c r="G54" s="264">
        <v>2690</v>
      </c>
      <c r="I54" s="264">
        <v>620</v>
      </c>
      <c r="J54" s="264"/>
      <c r="K54" s="146">
        <v>115</v>
      </c>
      <c r="M54" s="146">
        <f>593.13+1669.75+312.94</f>
        <v>2575.8200000000002</v>
      </c>
      <c r="O54" s="146">
        <v>593.1</v>
      </c>
      <c r="P54" s="146">
        <v>574.5</v>
      </c>
      <c r="S54" s="146">
        <v>11.382999999999999</v>
      </c>
      <c r="T54" s="244">
        <f>(M54-G54)*100/G54</f>
        <v>-4.244609665427503</v>
      </c>
      <c r="U54" s="146"/>
      <c r="V54" s="249">
        <f t="shared" si="14"/>
        <v>-4.3387096774193514</v>
      </c>
      <c r="W54" s="146"/>
      <c r="X54" s="146"/>
      <c r="Y54" s="146"/>
      <c r="Z54" s="148">
        <f>ABS(T54)</f>
        <v>4.244609665427503</v>
      </c>
      <c r="AA54" s="258"/>
      <c r="AB54" s="258">
        <f t="shared" si="15"/>
        <v>4.3387096774193514</v>
      </c>
      <c r="AC54" s="258"/>
      <c r="AD54" s="258"/>
      <c r="AE54" s="258"/>
    </row>
    <row r="55" spans="1:31" ht="15.75" customHeight="1" x14ac:dyDescent="0.2">
      <c r="A55" s="243" t="s">
        <v>433</v>
      </c>
      <c r="B55" s="266" t="s">
        <v>19</v>
      </c>
      <c r="C55" s="145" t="s">
        <v>910</v>
      </c>
      <c r="D55" s="145" t="s">
        <v>827</v>
      </c>
      <c r="E55" s="145" t="s">
        <v>458</v>
      </c>
      <c r="F55" s="145" t="s">
        <v>458</v>
      </c>
      <c r="G55" s="264">
        <v>1520</v>
      </c>
      <c r="I55" s="264">
        <v>335</v>
      </c>
      <c r="J55" s="264"/>
      <c r="M55" s="146">
        <f>443.72+540.08+448.39</f>
        <v>1432.19</v>
      </c>
      <c r="O55" s="146">
        <v>330.3</v>
      </c>
      <c r="S55" s="146">
        <v>147.54</v>
      </c>
      <c r="T55" s="244">
        <f>(M55-G55)*100/G55</f>
        <v>-5.7769736842105228</v>
      </c>
      <c r="U55" s="146"/>
      <c r="V55" s="249">
        <f t="shared" si="14"/>
        <v>-1.4029850746268622</v>
      </c>
      <c r="W55" s="146"/>
      <c r="X55" s="146"/>
      <c r="Y55" s="146"/>
      <c r="Z55" s="148">
        <f>ABS(T55)</f>
        <v>5.7769736842105228</v>
      </c>
      <c r="AA55" s="258"/>
      <c r="AB55" s="258">
        <f t="shared" si="15"/>
        <v>1.4029850746268622</v>
      </c>
      <c r="AC55" s="258"/>
      <c r="AD55" s="258"/>
      <c r="AE55" s="258"/>
    </row>
    <row r="56" spans="1:31" ht="15.75" customHeight="1" x14ac:dyDescent="0.2">
      <c r="A56" s="243" t="s">
        <v>435</v>
      </c>
      <c r="B56" s="266" t="s">
        <v>19</v>
      </c>
      <c r="C56" s="145" t="s">
        <v>910</v>
      </c>
      <c r="D56" s="145" t="s">
        <v>827</v>
      </c>
      <c r="E56" s="145" t="s">
        <v>458</v>
      </c>
      <c r="F56" s="145" t="s">
        <v>458</v>
      </c>
      <c r="G56" s="264">
        <v>1150</v>
      </c>
      <c r="I56" s="264">
        <v>270</v>
      </c>
      <c r="J56" s="264">
        <v>258</v>
      </c>
      <c r="K56" s="146">
        <v>47</v>
      </c>
      <c r="M56" s="146">
        <v>1148.4000000000001</v>
      </c>
      <c r="O56" s="146">
        <v>266.39999999999998</v>
      </c>
      <c r="P56" s="146">
        <v>254.74</v>
      </c>
      <c r="Q56" s="146">
        <v>34.85</v>
      </c>
      <c r="S56" s="146">
        <v>-179.453</v>
      </c>
      <c r="T56" s="244">
        <f>(M56-G56)*100/G56</f>
        <v>-0.13913043478260079</v>
      </c>
      <c r="U56" s="146"/>
      <c r="V56" s="249">
        <f t="shared" si="14"/>
        <v>-1.3333333333333417</v>
      </c>
      <c r="W56" s="148">
        <f t="shared" ref="W56:X60" si="18">(P56-J56)*100/J56</f>
        <v>-1.2635658914728647</v>
      </c>
      <c r="X56" s="148">
        <f t="shared" si="18"/>
        <v>-25.851063829787229</v>
      </c>
      <c r="Y56" s="146"/>
      <c r="Z56" s="148">
        <f>ABS(T56)</f>
        <v>0.13913043478260079</v>
      </c>
      <c r="AA56" s="258"/>
      <c r="AB56" s="258">
        <f t="shared" si="15"/>
        <v>1.3333333333333417</v>
      </c>
      <c r="AC56" s="258">
        <f t="shared" ref="AC56:AD60" si="19">ABS(W56)</f>
        <v>1.2635658914728647</v>
      </c>
      <c r="AD56" s="258">
        <f t="shared" si="19"/>
        <v>25.851063829787229</v>
      </c>
      <c r="AE56" s="258"/>
    </row>
    <row r="57" spans="1:31" ht="15.75" customHeight="1" x14ac:dyDescent="0.2">
      <c r="A57" s="145" t="s">
        <v>917</v>
      </c>
      <c r="B57" s="266" t="s">
        <v>19</v>
      </c>
      <c r="C57" s="145" t="s">
        <v>910</v>
      </c>
      <c r="D57" s="145" t="s">
        <v>785</v>
      </c>
      <c r="E57" s="145" t="s">
        <v>953</v>
      </c>
      <c r="F57" s="260" t="s">
        <v>788</v>
      </c>
      <c r="H57" s="270"/>
      <c r="J57" s="146">
        <v>430</v>
      </c>
      <c r="K57" s="146">
        <v>80</v>
      </c>
      <c r="P57" s="146">
        <v>408</v>
      </c>
      <c r="Q57" s="146">
        <v>76.2</v>
      </c>
      <c r="S57" s="146">
        <v>-89.055999999999997</v>
      </c>
      <c r="T57" s="244"/>
      <c r="U57" s="148"/>
      <c r="V57" s="146"/>
      <c r="W57" s="148">
        <f t="shared" si="18"/>
        <v>-5.1162790697674421</v>
      </c>
      <c r="X57" s="148">
        <f t="shared" si="18"/>
        <v>-4.7499999999999964</v>
      </c>
      <c r="Y57" s="146"/>
      <c r="Z57" s="148"/>
      <c r="AA57" s="258"/>
      <c r="AB57" s="258"/>
      <c r="AC57" s="258">
        <f t="shared" si="19"/>
        <v>5.1162790697674421</v>
      </c>
      <c r="AD57" s="258">
        <f t="shared" si="19"/>
        <v>4.7499999999999964</v>
      </c>
      <c r="AE57" s="258"/>
    </row>
    <row r="58" spans="1:31" ht="15.75" customHeight="1" x14ac:dyDescent="0.2">
      <c r="A58" s="145" t="s">
        <v>485</v>
      </c>
      <c r="B58" s="266" t="s">
        <v>19</v>
      </c>
      <c r="C58" s="145" t="s">
        <v>910</v>
      </c>
      <c r="D58" s="145" t="s">
        <v>785</v>
      </c>
      <c r="E58" s="145" t="s">
        <v>953</v>
      </c>
      <c r="F58" s="260" t="s">
        <v>791</v>
      </c>
      <c r="G58" s="263">
        <v>1495</v>
      </c>
      <c r="H58" s="264"/>
      <c r="I58" s="264"/>
      <c r="J58" s="262">
        <v>308</v>
      </c>
      <c r="K58" s="262">
        <v>58</v>
      </c>
      <c r="M58" s="262"/>
      <c r="N58" s="146">
        <v>285.60000000000002</v>
      </c>
      <c r="P58" s="146">
        <v>274.89999999999998</v>
      </c>
      <c r="Q58" s="146">
        <v>52.45</v>
      </c>
      <c r="S58" s="146">
        <v>-22.49</v>
      </c>
      <c r="T58" s="244"/>
      <c r="U58" s="148"/>
      <c r="V58" s="146"/>
      <c r="W58" s="148">
        <f t="shared" si="18"/>
        <v>-10.746753246753254</v>
      </c>
      <c r="X58" s="148">
        <f t="shared" si="18"/>
        <v>-9.5689655172413755</v>
      </c>
      <c r="Y58" s="146"/>
      <c r="Z58" s="148"/>
      <c r="AA58" s="258"/>
      <c r="AB58" s="258"/>
      <c r="AC58" s="258">
        <f t="shared" si="19"/>
        <v>10.746753246753254</v>
      </c>
      <c r="AD58" s="258">
        <f t="shared" si="19"/>
        <v>9.5689655172413755</v>
      </c>
      <c r="AE58" s="258"/>
    </row>
    <row r="59" spans="1:31" ht="15.75" customHeight="1" x14ac:dyDescent="0.2">
      <c r="A59" s="259" t="s">
        <v>481</v>
      </c>
      <c r="B59" s="266" t="s">
        <v>19</v>
      </c>
      <c r="C59" s="145" t="s">
        <v>910</v>
      </c>
      <c r="D59" s="145" t="s">
        <v>785</v>
      </c>
      <c r="E59" s="145" t="s">
        <v>953</v>
      </c>
      <c r="F59" s="260" t="s">
        <v>791</v>
      </c>
      <c r="G59" s="263">
        <v>1420</v>
      </c>
      <c r="H59" s="264"/>
      <c r="I59" s="264"/>
      <c r="J59" s="262">
        <v>313</v>
      </c>
      <c r="K59" s="262">
        <v>59</v>
      </c>
      <c r="M59" s="262"/>
      <c r="N59" s="146">
        <v>319.8</v>
      </c>
      <c r="P59" s="146">
        <v>309.2</v>
      </c>
      <c r="Q59" s="146">
        <v>54.3</v>
      </c>
      <c r="S59" s="146">
        <v>-5.4260000000000002</v>
      </c>
      <c r="T59" s="244"/>
      <c r="U59" s="148"/>
      <c r="V59" s="148"/>
      <c r="W59" s="148">
        <f t="shared" si="18"/>
        <v>-1.214057507987224</v>
      </c>
      <c r="X59" s="148">
        <f t="shared" si="18"/>
        <v>-7.9661016949152588</v>
      </c>
      <c r="Y59" s="148"/>
      <c r="Z59" s="148"/>
      <c r="AA59" s="258"/>
      <c r="AB59" s="258"/>
      <c r="AC59" s="258">
        <f t="shared" si="19"/>
        <v>1.214057507987224</v>
      </c>
      <c r="AD59" s="258">
        <f t="shared" si="19"/>
        <v>7.9661016949152588</v>
      </c>
      <c r="AE59" s="258"/>
    </row>
    <row r="60" spans="1:31" ht="15.75" customHeight="1" x14ac:dyDescent="0.2">
      <c r="A60" s="259" t="s">
        <v>483</v>
      </c>
      <c r="B60" s="266" t="s">
        <v>19</v>
      </c>
      <c r="C60" s="145" t="s">
        <v>910</v>
      </c>
      <c r="D60" s="145" t="s">
        <v>785</v>
      </c>
      <c r="E60" s="145" t="s">
        <v>953</v>
      </c>
      <c r="F60" s="260" t="s">
        <v>791</v>
      </c>
      <c r="G60" s="263">
        <v>1465</v>
      </c>
      <c r="H60" s="264"/>
      <c r="I60" s="264"/>
      <c r="J60" s="262">
        <v>335</v>
      </c>
      <c r="K60" s="262">
        <v>59</v>
      </c>
      <c r="M60" s="262"/>
      <c r="N60" s="146">
        <v>308</v>
      </c>
      <c r="P60" s="146">
        <v>302.25</v>
      </c>
      <c r="Q60" s="146">
        <v>57.16</v>
      </c>
      <c r="S60" s="146">
        <v>176.35499999999999</v>
      </c>
      <c r="T60" s="244"/>
      <c r="U60" s="148"/>
      <c r="V60" s="148"/>
      <c r="W60" s="148">
        <f t="shared" si="18"/>
        <v>-9.7761194029850742</v>
      </c>
      <c r="X60" s="148">
        <f t="shared" si="18"/>
        <v>-3.1186440677966161</v>
      </c>
      <c r="Y60" s="148"/>
      <c r="Z60" s="148"/>
      <c r="AA60" s="258"/>
      <c r="AB60" s="258"/>
      <c r="AC60" s="258">
        <f t="shared" si="19"/>
        <v>9.7761194029850742</v>
      </c>
      <c r="AD60" s="258">
        <f t="shared" si="19"/>
        <v>3.1186440677966161</v>
      </c>
      <c r="AE60" s="258"/>
    </row>
    <row r="61" spans="1:31" ht="15.75" customHeight="1" x14ac:dyDescent="0.2">
      <c r="A61" s="145" t="s">
        <v>752</v>
      </c>
      <c r="B61" s="266" t="s">
        <v>19</v>
      </c>
      <c r="C61" s="145" t="s">
        <v>910</v>
      </c>
      <c r="D61" s="145" t="s">
        <v>785</v>
      </c>
      <c r="E61" s="145" t="s">
        <v>952</v>
      </c>
      <c r="F61" s="145" t="s">
        <v>787</v>
      </c>
      <c r="H61" s="146">
        <v>602</v>
      </c>
      <c r="J61" s="146">
        <v>499</v>
      </c>
      <c r="N61" s="146">
        <v>599.9</v>
      </c>
      <c r="P61" s="146">
        <v>524.1</v>
      </c>
      <c r="Q61" s="146">
        <v>49.4</v>
      </c>
      <c r="R61" s="146">
        <v>28.8</v>
      </c>
      <c r="T61" s="245"/>
      <c r="U61" s="148">
        <f t="shared" ref="U61:U66" si="20">(N61-H61)*100/H61</f>
        <v>-0.34883720930232937</v>
      </c>
      <c r="V61" s="148"/>
      <c r="W61" s="148">
        <f>(P61-J61)*100/J61</f>
        <v>5.0300601202404858</v>
      </c>
      <c r="X61" s="146"/>
      <c r="Y61" s="148"/>
      <c r="Z61" s="148"/>
      <c r="AA61" s="258">
        <f t="shared" ref="AA61:AA66" si="21">ABS(U61)</f>
        <v>0.34883720930232937</v>
      </c>
      <c r="AB61" s="258"/>
      <c r="AC61" s="258">
        <f>ABS(W61)</f>
        <v>5.0300601202404858</v>
      </c>
      <c r="AD61" s="258"/>
      <c r="AE61" s="258"/>
    </row>
    <row r="62" spans="1:31" ht="15.75" customHeight="1" x14ac:dyDescent="0.2">
      <c r="A62" s="145" t="s">
        <v>763</v>
      </c>
      <c r="B62" s="266" t="s">
        <v>19</v>
      </c>
      <c r="C62" s="145" t="s">
        <v>910</v>
      </c>
      <c r="D62" s="145" t="s">
        <v>785</v>
      </c>
      <c r="E62" s="145" t="s">
        <v>952</v>
      </c>
      <c r="F62" s="145" t="s">
        <v>787</v>
      </c>
      <c r="H62" s="146">
        <v>970</v>
      </c>
      <c r="J62" s="146">
        <v>920</v>
      </c>
      <c r="N62" s="146">
        <v>988.2</v>
      </c>
      <c r="O62" s="146">
        <v>956.6</v>
      </c>
      <c r="P62" s="146">
        <v>906.3</v>
      </c>
      <c r="Q62" s="146">
        <v>180.2</v>
      </c>
      <c r="R62" s="146">
        <v>76.8</v>
      </c>
      <c r="T62" s="245"/>
      <c r="U62" s="148">
        <f t="shared" si="20"/>
        <v>1.8762886597938191</v>
      </c>
      <c r="V62" s="148"/>
      <c r="W62" s="148">
        <f>(P62-J62)*100/J62</f>
        <v>-1.4891304347826135</v>
      </c>
      <c r="X62" s="148"/>
      <c r="Y62" s="148"/>
      <c r="Z62" s="148"/>
      <c r="AA62" s="258">
        <f t="shared" si="21"/>
        <v>1.8762886597938191</v>
      </c>
      <c r="AB62" s="258"/>
      <c r="AC62" s="258">
        <f>ABS(W62)</f>
        <v>1.4891304347826135</v>
      </c>
      <c r="AD62" s="258"/>
      <c r="AE62" s="258"/>
    </row>
    <row r="63" spans="1:31" ht="15.75" customHeight="1" x14ac:dyDescent="0.2">
      <c r="A63" s="145" t="s">
        <v>745</v>
      </c>
      <c r="B63" s="266" t="s">
        <v>19</v>
      </c>
      <c r="C63" s="145" t="s">
        <v>910</v>
      </c>
      <c r="D63" s="145" t="s">
        <v>785</v>
      </c>
      <c r="E63" s="145" t="s">
        <v>952</v>
      </c>
      <c r="F63" s="145" t="s">
        <v>787</v>
      </c>
      <c r="H63" s="146">
        <v>340</v>
      </c>
      <c r="I63" s="150"/>
      <c r="J63" s="146">
        <v>315</v>
      </c>
      <c r="L63" s="150"/>
      <c r="N63" s="146">
        <v>362.5</v>
      </c>
      <c r="P63" s="146">
        <v>312.7</v>
      </c>
      <c r="Q63" s="146">
        <v>53.2</v>
      </c>
      <c r="R63" s="146">
        <v>23.1</v>
      </c>
      <c r="T63" s="245"/>
      <c r="U63" s="148">
        <f t="shared" si="20"/>
        <v>6.617647058823529</v>
      </c>
      <c r="V63" s="148"/>
      <c r="W63" s="148">
        <f>(P63-J63)*100/J63</f>
        <v>-0.73015873015873378</v>
      </c>
      <c r="X63" s="148"/>
      <c r="Y63" s="148"/>
      <c r="Z63" s="148"/>
      <c r="AA63" s="258">
        <f t="shared" si="21"/>
        <v>6.617647058823529</v>
      </c>
      <c r="AB63" s="258"/>
      <c r="AC63" s="258">
        <f>ABS(W63)</f>
        <v>0.73015873015873378</v>
      </c>
      <c r="AD63" s="258"/>
      <c r="AE63" s="258"/>
    </row>
    <row r="64" spans="1:31" ht="15.75" customHeight="1" x14ac:dyDescent="0.2">
      <c r="A64" s="145" t="s">
        <v>760</v>
      </c>
      <c r="B64" s="266" t="s">
        <v>19</v>
      </c>
      <c r="C64" s="145" t="s">
        <v>910</v>
      </c>
      <c r="D64" s="145" t="s">
        <v>785</v>
      </c>
      <c r="E64" s="145" t="s">
        <v>952</v>
      </c>
      <c r="F64" s="145" t="s">
        <v>787</v>
      </c>
      <c r="H64" s="146">
        <v>1340</v>
      </c>
      <c r="J64" s="146">
        <v>1305</v>
      </c>
      <c r="K64" s="146">
        <v>272</v>
      </c>
      <c r="L64" s="146">
        <v>97</v>
      </c>
      <c r="N64" s="146">
        <v>1341.4</v>
      </c>
      <c r="P64" s="146">
        <v>1291.3</v>
      </c>
      <c r="Q64" s="146">
        <v>257.89999999999998</v>
      </c>
      <c r="R64" s="146">
        <v>97.7</v>
      </c>
      <c r="T64" s="245"/>
      <c r="U64" s="148">
        <f t="shared" si="20"/>
        <v>0.10447761194030529</v>
      </c>
      <c r="V64" s="148"/>
      <c r="W64" s="148">
        <f>(P64-J64)*100/J64</f>
        <v>-1.0498084291187775</v>
      </c>
      <c r="X64" s="148">
        <f>(Q64-K64)*100/K64</f>
        <v>-5.1838235294117734</v>
      </c>
      <c r="Y64" s="148">
        <f>(R64-L64)*100/L64</f>
        <v>0.72164948453608535</v>
      </c>
      <c r="Z64" s="148"/>
      <c r="AA64" s="258">
        <f t="shared" si="21"/>
        <v>0.10447761194030529</v>
      </c>
      <c r="AB64" s="258"/>
      <c r="AC64" s="258">
        <f>ABS(W64)</f>
        <v>1.0498084291187775</v>
      </c>
      <c r="AD64" s="258">
        <f>ABS(X64)</f>
        <v>5.1838235294117734</v>
      </c>
      <c r="AE64" s="258">
        <f>ABS(Y64)</f>
        <v>0.72164948453608535</v>
      </c>
    </row>
    <row r="65" spans="1:31" ht="15.75" customHeight="1" x14ac:dyDescent="0.2">
      <c r="A65" s="145" t="s">
        <v>761</v>
      </c>
      <c r="B65" s="266" t="s">
        <v>19</v>
      </c>
      <c r="C65" s="145" t="s">
        <v>910</v>
      </c>
      <c r="D65" s="145" t="s">
        <v>785</v>
      </c>
      <c r="E65" s="145" t="s">
        <v>952</v>
      </c>
      <c r="F65" s="145" t="s">
        <v>787</v>
      </c>
      <c r="H65" s="146">
        <v>360</v>
      </c>
      <c r="J65" s="146">
        <v>347</v>
      </c>
      <c r="N65" s="146">
        <v>359.6</v>
      </c>
      <c r="P65" s="146">
        <v>345.4</v>
      </c>
      <c r="Q65" s="146">
        <v>51.9</v>
      </c>
      <c r="R65" s="146">
        <v>29.4</v>
      </c>
      <c r="T65" s="245"/>
      <c r="U65" s="148">
        <f t="shared" si="20"/>
        <v>-0.11111111111110479</v>
      </c>
      <c r="V65" s="148"/>
      <c r="W65" s="148">
        <f>(P65-J65)*100/J65</f>
        <v>-0.46109510086455985</v>
      </c>
      <c r="X65" s="148"/>
      <c r="Y65" s="148"/>
      <c r="Z65" s="148"/>
      <c r="AA65" s="258">
        <f t="shared" si="21"/>
        <v>0.11111111111110479</v>
      </c>
      <c r="AB65" s="258"/>
      <c r="AC65" s="258">
        <f>ABS(W65)</f>
        <v>0.46109510086455985</v>
      </c>
      <c r="AD65" s="258"/>
      <c r="AE65" s="258"/>
    </row>
    <row r="66" spans="1:31" ht="15.75" customHeight="1" x14ac:dyDescent="0.2">
      <c r="A66" s="145" t="s">
        <v>768</v>
      </c>
      <c r="B66" s="266" t="s">
        <v>19</v>
      </c>
      <c r="C66" s="145" t="s">
        <v>910</v>
      </c>
      <c r="D66" s="145" t="s">
        <v>785</v>
      </c>
      <c r="E66" s="145" t="s">
        <v>952</v>
      </c>
      <c r="F66" s="145" t="s">
        <v>788</v>
      </c>
      <c r="H66" s="146">
        <v>1140</v>
      </c>
      <c r="K66" s="146">
        <v>230</v>
      </c>
      <c r="N66" s="146">
        <v>1132</v>
      </c>
      <c r="P66" s="146">
        <v>1072.5</v>
      </c>
      <c r="R66" s="146">
        <v>103.2</v>
      </c>
      <c r="T66" s="245"/>
      <c r="U66" s="148">
        <f t="shared" si="20"/>
        <v>-0.70175438596491224</v>
      </c>
      <c r="V66" s="148"/>
      <c r="W66" s="148"/>
      <c r="X66" s="148"/>
      <c r="Y66" s="148"/>
      <c r="Z66" s="148"/>
      <c r="AA66" s="258">
        <f t="shared" si="21"/>
        <v>0.70175438596491224</v>
      </c>
      <c r="AB66" s="258"/>
      <c r="AC66" s="258"/>
      <c r="AD66" s="258"/>
      <c r="AE66" s="258"/>
    </row>
    <row r="67" spans="1:31" ht="15.75" customHeight="1" x14ac:dyDescent="0.2">
      <c r="A67" s="145" t="s">
        <v>779</v>
      </c>
      <c r="B67" s="266" t="s">
        <v>19</v>
      </c>
      <c r="C67" s="145" t="s">
        <v>910</v>
      </c>
      <c r="D67" s="145" t="s">
        <v>785</v>
      </c>
      <c r="E67" s="145" t="s">
        <v>952</v>
      </c>
      <c r="F67" s="145" t="s">
        <v>787</v>
      </c>
      <c r="I67" s="146">
        <v>345</v>
      </c>
      <c r="J67" s="146">
        <v>335</v>
      </c>
      <c r="N67" s="146">
        <v>357.5</v>
      </c>
      <c r="O67" s="146">
        <v>345.2</v>
      </c>
      <c r="P67" s="146">
        <v>330</v>
      </c>
      <c r="Q67" s="146">
        <v>57.48</v>
      </c>
      <c r="R67" s="146">
        <v>22.53</v>
      </c>
      <c r="T67" s="245"/>
      <c r="U67" s="148"/>
      <c r="V67" s="249">
        <f>(O67-I67)*100/I67</f>
        <v>5.7971014492750328E-2</v>
      </c>
      <c r="W67" s="148">
        <f>(P67-J67)*100/J67</f>
        <v>-1.4925373134328359</v>
      </c>
      <c r="X67" s="148"/>
      <c r="Y67" s="148"/>
      <c r="Z67" s="148"/>
      <c r="AA67" s="258"/>
      <c r="AB67" s="258">
        <f>ABS(V67)</f>
        <v>5.7971014492750328E-2</v>
      </c>
      <c r="AC67" s="258">
        <f>ABS(W67)</f>
        <v>1.4925373134328359</v>
      </c>
      <c r="AD67" s="258"/>
      <c r="AE67" s="258"/>
    </row>
    <row r="68" spans="1:31" ht="15.75" customHeight="1" x14ac:dyDescent="0.2">
      <c r="A68" s="145" t="s">
        <v>782</v>
      </c>
      <c r="B68" s="266" t="s">
        <v>19</v>
      </c>
      <c r="C68" s="145" t="s">
        <v>910</v>
      </c>
      <c r="D68" s="145" t="s">
        <v>785</v>
      </c>
      <c r="E68" s="145" t="s">
        <v>952</v>
      </c>
      <c r="F68" s="145" t="s">
        <v>787</v>
      </c>
      <c r="H68" s="146">
        <v>488</v>
      </c>
      <c r="J68" s="146">
        <v>472</v>
      </c>
      <c r="N68" s="146">
        <v>491.6</v>
      </c>
      <c r="O68" s="146">
        <v>481.8</v>
      </c>
      <c r="P68" s="146">
        <v>469.1</v>
      </c>
      <c r="Q68" s="146">
        <v>88.3</v>
      </c>
      <c r="R68" s="146">
        <v>40.299999999999997</v>
      </c>
      <c r="T68" s="245"/>
      <c r="U68" s="148">
        <f>(N68-H68)*100/H68</f>
        <v>0.73770491803279159</v>
      </c>
      <c r="V68" s="148"/>
      <c r="W68" s="148">
        <f>(P68-J68)*100/J68</f>
        <v>-0.61440677966101209</v>
      </c>
      <c r="X68" s="148"/>
      <c r="Y68" s="148"/>
      <c r="Z68" s="148"/>
      <c r="AA68" s="258">
        <f>ABS(U68)</f>
        <v>0.73770491803279159</v>
      </c>
      <c r="AB68" s="258"/>
      <c r="AC68" s="258">
        <f>ABS(W68)</f>
        <v>0.61440677966101209</v>
      </c>
      <c r="AD68" s="258"/>
      <c r="AE68" s="258"/>
    </row>
    <row r="69" spans="1:31" ht="15.75" customHeight="1" x14ac:dyDescent="0.2">
      <c r="A69" s="145" t="s">
        <v>916</v>
      </c>
      <c r="B69" s="266" t="s">
        <v>19</v>
      </c>
      <c r="C69" s="145" t="s">
        <v>910</v>
      </c>
      <c r="D69" s="145" t="s">
        <v>785</v>
      </c>
      <c r="E69" s="145" t="s">
        <v>29</v>
      </c>
      <c r="F69" s="145" t="s">
        <v>907</v>
      </c>
      <c r="H69" s="146">
        <v>1111</v>
      </c>
      <c r="J69" s="146">
        <v>950</v>
      </c>
      <c r="K69" s="146">
        <v>210</v>
      </c>
      <c r="L69" s="146">
        <v>80</v>
      </c>
      <c r="N69" s="146">
        <v>1074</v>
      </c>
      <c r="P69" s="146">
        <v>896</v>
      </c>
      <c r="Q69" s="146">
        <v>229.8</v>
      </c>
      <c r="R69" s="146">
        <v>72</v>
      </c>
      <c r="T69" s="245"/>
      <c r="U69" s="148">
        <f>(N69-H69)*100/H69</f>
        <v>-3.3303330333033303</v>
      </c>
      <c r="V69" s="148"/>
      <c r="W69" s="148">
        <f>(P69-J69)*100/J69</f>
        <v>-5.6842105263157894</v>
      </c>
      <c r="X69" s="148">
        <f>(Q69-K69)*100/K69</f>
        <v>9.4285714285714342</v>
      </c>
      <c r="Y69" s="148">
        <f>(R69-L69)*100/L69</f>
        <v>-10</v>
      </c>
      <c r="Z69" s="148"/>
      <c r="AA69" s="258">
        <f>ABS(U69)</f>
        <v>3.3303330333033303</v>
      </c>
      <c r="AB69" s="258"/>
      <c r="AC69" s="258">
        <f>ABS(W69)</f>
        <v>5.6842105263157894</v>
      </c>
      <c r="AD69" s="258">
        <f>ABS(X69)</f>
        <v>9.4285714285714342</v>
      </c>
      <c r="AE69" s="258">
        <f>ABS(Y69)</f>
        <v>10</v>
      </c>
    </row>
    <row r="70" spans="1:31" ht="15.75" customHeight="1" x14ac:dyDescent="0.2">
      <c r="A70" s="145" t="s">
        <v>104</v>
      </c>
      <c r="B70" s="271" t="s">
        <v>77</v>
      </c>
      <c r="C70" s="145" t="s">
        <v>912</v>
      </c>
      <c r="D70" s="145" t="s">
        <v>827</v>
      </c>
      <c r="E70" s="145" t="s">
        <v>951</v>
      </c>
      <c r="F70" s="145" t="s">
        <v>110</v>
      </c>
      <c r="G70" s="146">
        <v>4876.8</v>
      </c>
      <c r="H70" s="146">
        <v>1335</v>
      </c>
      <c r="J70" s="146">
        <v>1120</v>
      </c>
      <c r="K70" s="146">
        <v>125</v>
      </c>
      <c r="M70" s="146">
        <f>1547.67+2997.7+403.3</f>
        <v>4948.67</v>
      </c>
      <c r="N70" s="146">
        <v>1399.7</v>
      </c>
      <c r="O70" s="146">
        <v>1234.9000000000001</v>
      </c>
      <c r="P70" s="146">
        <v>1154.8</v>
      </c>
      <c r="Q70" s="146">
        <v>130.46</v>
      </c>
      <c r="R70" s="146">
        <v>62.84</v>
      </c>
      <c r="T70" s="244">
        <f>(M70-G70)*100/G70</f>
        <v>1.4737122703412051</v>
      </c>
      <c r="U70" s="249">
        <f>(N70-H70)*100/H70</f>
        <v>4.8464419475655465</v>
      </c>
      <c r="V70" s="148"/>
      <c r="W70" s="148">
        <f>(P70-J70)*100/J70</f>
        <v>3.1071428571428532</v>
      </c>
      <c r="X70" s="148">
        <f>(Q70-K70)*100/K70</f>
        <v>4.3680000000000065</v>
      </c>
      <c r="Y70" s="148"/>
      <c r="Z70" s="148">
        <f>ABS(T70)</f>
        <v>1.4737122703412051</v>
      </c>
      <c r="AA70" s="258">
        <f>ABS(U70)</f>
        <v>4.8464419475655465</v>
      </c>
      <c r="AB70" s="258"/>
      <c r="AC70" s="258">
        <f>ABS(W70)</f>
        <v>3.1071428571428532</v>
      </c>
      <c r="AD70" s="258">
        <f>ABS(X70)</f>
        <v>4.3680000000000065</v>
      </c>
      <c r="AE70" s="258"/>
    </row>
    <row r="71" spans="1:31" ht="15.75" customHeight="1" x14ac:dyDescent="0.2">
      <c r="A71" s="145" t="s">
        <v>84</v>
      </c>
      <c r="B71" s="271" t="s">
        <v>77</v>
      </c>
      <c r="C71" s="145" t="s">
        <v>912</v>
      </c>
      <c r="D71" s="145" t="s">
        <v>827</v>
      </c>
      <c r="E71" s="145" t="s">
        <v>951</v>
      </c>
      <c r="F71" s="145" t="s">
        <v>111</v>
      </c>
      <c r="G71" s="264">
        <v>4572</v>
      </c>
      <c r="M71" s="264">
        <v>4674</v>
      </c>
      <c r="T71" s="244">
        <f>(M71-G71)*100/G71</f>
        <v>2.2309711286089238</v>
      </c>
      <c r="U71" s="146"/>
      <c r="V71" s="146"/>
      <c r="W71" s="146"/>
      <c r="X71" s="146"/>
      <c r="Y71" s="146"/>
      <c r="Z71" s="148">
        <f>ABS(T71)</f>
        <v>2.2309711286089238</v>
      </c>
      <c r="AA71" s="258"/>
      <c r="AB71" s="258"/>
      <c r="AC71" s="258"/>
      <c r="AD71" s="258"/>
      <c r="AE71" s="258"/>
    </row>
    <row r="72" spans="1:31" ht="15.75" customHeight="1" x14ac:dyDescent="0.2">
      <c r="A72" s="145" t="s">
        <v>120</v>
      </c>
      <c r="B72" s="265" t="s">
        <v>77</v>
      </c>
      <c r="C72" s="145" t="s">
        <v>910</v>
      </c>
      <c r="D72" s="145" t="s">
        <v>785</v>
      </c>
      <c r="E72" s="145" t="s">
        <v>951</v>
      </c>
      <c r="F72" s="145" t="s">
        <v>791</v>
      </c>
      <c r="G72" s="146">
        <v>4978</v>
      </c>
      <c r="H72" s="146">
        <v>1440</v>
      </c>
      <c r="I72" s="146">
        <v>1315</v>
      </c>
      <c r="J72" s="146">
        <v>1250</v>
      </c>
      <c r="K72" s="146">
        <v>138</v>
      </c>
      <c r="L72" s="146">
        <v>65</v>
      </c>
      <c r="M72" s="146">
        <v>4612</v>
      </c>
      <c r="N72" s="146">
        <f>P72+198.1</f>
        <v>1389.5</v>
      </c>
      <c r="O72" s="146">
        <f>P72+59.7</f>
        <v>1251.1000000000001</v>
      </c>
      <c r="P72" s="146">
        <v>1191.4000000000001</v>
      </c>
      <c r="Q72" s="146">
        <v>126</v>
      </c>
      <c r="R72" s="146">
        <v>56</v>
      </c>
      <c r="S72" s="146">
        <v>0.88300000000000001</v>
      </c>
      <c r="T72" s="244">
        <f>(M72-G72)*100/G72</f>
        <v>-7.3523503415026115</v>
      </c>
      <c r="U72" s="148">
        <f>(N72-H72)*100/H72</f>
        <v>-3.5069444444444446</v>
      </c>
      <c r="V72" s="249">
        <f>(O72-I72)*100/I72</f>
        <v>-4.859315589353602</v>
      </c>
      <c r="W72" s="146">
        <f>(P72-J72)*100/J72</f>
        <v>-4.6879999999999926</v>
      </c>
      <c r="X72" s="146">
        <f>(Q72-K72)*100/K72</f>
        <v>-8.695652173913043</v>
      </c>
      <c r="Y72" s="148">
        <f>(R72-L72)*100/L72</f>
        <v>-13.846153846153847</v>
      </c>
      <c r="Z72" s="148">
        <f>ABS(T72)</f>
        <v>7.3523503415026115</v>
      </c>
      <c r="AA72" s="258">
        <f>ABS(U72)</f>
        <v>3.5069444444444446</v>
      </c>
      <c r="AB72" s="258">
        <f>ABS(V72)</f>
        <v>4.859315589353602</v>
      </c>
      <c r="AC72" s="258">
        <f>ABS(W72)</f>
        <v>4.6879999999999926</v>
      </c>
      <c r="AD72" s="258">
        <f>ABS(X72)</f>
        <v>8.695652173913043</v>
      </c>
      <c r="AE72" s="258">
        <f>ABS(Y72)</f>
        <v>13.846153846153847</v>
      </c>
    </row>
    <row r="73" spans="1:31" ht="15.75" customHeight="1" x14ac:dyDescent="0.2">
      <c r="A73" s="145" t="s">
        <v>90</v>
      </c>
      <c r="B73" s="265" t="s">
        <v>77</v>
      </c>
      <c r="C73" s="145" t="s">
        <v>912</v>
      </c>
      <c r="D73" s="145" t="s">
        <v>827</v>
      </c>
      <c r="E73" s="145" t="s">
        <v>951</v>
      </c>
      <c r="F73" s="145" t="s">
        <v>111</v>
      </c>
      <c r="G73" s="146">
        <v>5080</v>
      </c>
      <c r="M73" s="146">
        <f>1388+3936.3</f>
        <v>5324.3</v>
      </c>
      <c r="T73" s="244">
        <f>(M73-G73)*100/G73</f>
        <v>4.8090551181102397</v>
      </c>
      <c r="U73" s="146"/>
      <c r="V73" s="146"/>
      <c r="W73" s="146"/>
      <c r="X73" s="146"/>
      <c r="Y73" s="146"/>
      <c r="Z73" s="148">
        <f>ABS(T73)</f>
        <v>4.8090551181102397</v>
      </c>
      <c r="AA73" s="258"/>
      <c r="AB73" s="258"/>
      <c r="AC73" s="258"/>
      <c r="AD73" s="258"/>
      <c r="AE73" s="258"/>
    </row>
    <row r="74" spans="1:31" ht="15.75" customHeight="1" x14ac:dyDescent="0.2">
      <c r="A74" s="145" t="s">
        <v>942</v>
      </c>
      <c r="B74" s="265" t="s">
        <v>77</v>
      </c>
      <c r="C74" s="145" t="s">
        <v>912</v>
      </c>
      <c r="D74" s="145" t="s">
        <v>827</v>
      </c>
      <c r="E74" s="145" t="s">
        <v>458</v>
      </c>
      <c r="F74" s="145" t="s">
        <v>943</v>
      </c>
      <c r="G74" s="146">
        <v>875</v>
      </c>
      <c r="I74" s="146">
        <v>236</v>
      </c>
      <c r="J74" s="146">
        <v>214</v>
      </c>
      <c r="M74" s="146">
        <f>661+J74</f>
        <v>875</v>
      </c>
      <c r="O74" s="146">
        <v>234</v>
      </c>
      <c r="Q74" s="146">
        <v>32</v>
      </c>
      <c r="R74" s="146">
        <v>20.3</v>
      </c>
      <c r="T74" s="244">
        <f>(M74-G74)*100/G74</f>
        <v>0</v>
      </c>
      <c r="U74" s="146"/>
      <c r="V74" s="249">
        <f>(O74-I74)*100/I74</f>
        <v>-0.84745762711864403</v>
      </c>
      <c r="W74" s="146"/>
      <c r="X74" s="146"/>
      <c r="Y74" s="146"/>
      <c r="Z74" s="258">
        <f>ABS(T74)</f>
        <v>0</v>
      </c>
      <c r="AA74" s="258"/>
      <c r="AB74" s="258">
        <f>ABS(V74)</f>
        <v>0.84745762711864403</v>
      </c>
      <c r="AC74" s="258"/>
      <c r="AD74" s="258"/>
      <c r="AE74" s="258"/>
    </row>
    <row r="75" spans="1:31" ht="15.75" customHeight="1" x14ac:dyDescent="0.2">
      <c r="A75" s="145" t="s">
        <v>748</v>
      </c>
      <c r="B75" s="271" t="s">
        <v>77</v>
      </c>
      <c r="C75" s="145" t="s">
        <v>910</v>
      </c>
      <c r="D75" s="145" t="s">
        <v>785</v>
      </c>
      <c r="E75" s="145" t="s">
        <v>952</v>
      </c>
      <c r="F75" s="145" t="s">
        <v>787</v>
      </c>
      <c r="I75" s="146">
        <v>1270</v>
      </c>
      <c r="J75" s="146">
        <v>1170</v>
      </c>
      <c r="N75" s="146">
        <v>1401.2</v>
      </c>
      <c r="O75" s="146">
        <v>1255.0999999999999</v>
      </c>
      <c r="P75" s="146">
        <v>1212.4000000000001</v>
      </c>
      <c r="Q75" s="146">
        <v>132.1</v>
      </c>
      <c r="R75" s="146">
        <v>62.1</v>
      </c>
      <c r="T75" s="245"/>
      <c r="U75" s="148"/>
      <c r="V75" s="249">
        <f>(O75-I75)*100/I75</f>
        <v>-1.1732283464567002</v>
      </c>
      <c r="W75" s="148">
        <f t="shared" ref="W75:W82" si="22">(P75-J75)*100/J75</f>
        <v>3.6239316239316315</v>
      </c>
      <c r="X75" s="146"/>
      <c r="Y75" s="148"/>
      <c r="Z75" s="148"/>
      <c r="AA75" s="258"/>
      <c r="AB75" s="258">
        <f>ABS(V75)</f>
        <v>1.1732283464567002</v>
      </c>
      <c r="AC75" s="258">
        <f t="shared" ref="AC75:AC82" si="23">ABS(W75)</f>
        <v>3.6239316239316315</v>
      </c>
      <c r="AD75" s="258"/>
      <c r="AE75" s="258"/>
    </row>
    <row r="76" spans="1:31" ht="15.75" customHeight="1" x14ac:dyDescent="0.2">
      <c r="A76" s="145" t="s">
        <v>749</v>
      </c>
      <c r="B76" s="271" t="s">
        <v>77</v>
      </c>
      <c r="C76" s="145" t="s">
        <v>910</v>
      </c>
      <c r="D76" s="145" t="s">
        <v>785</v>
      </c>
      <c r="E76" s="145" t="s">
        <v>952</v>
      </c>
      <c r="F76" s="145" t="s">
        <v>787</v>
      </c>
      <c r="I76" s="146">
        <v>1370</v>
      </c>
      <c r="J76" s="146">
        <v>1291</v>
      </c>
      <c r="N76" s="146">
        <v>1480.1</v>
      </c>
      <c r="O76" s="146">
        <v>1365.3</v>
      </c>
      <c r="P76" s="146">
        <v>1304.5</v>
      </c>
      <c r="Q76" s="146">
        <v>139.5</v>
      </c>
      <c r="R76" s="146">
        <v>75.099999999999994</v>
      </c>
      <c r="T76" s="245"/>
      <c r="U76" s="148"/>
      <c r="V76" s="249">
        <f>(O76-I76)*100/I76</f>
        <v>-0.34306569343066023</v>
      </c>
      <c r="W76" s="148">
        <f t="shared" si="22"/>
        <v>1.0457010069713399</v>
      </c>
      <c r="X76" s="146"/>
      <c r="Y76" s="148"/>
      <c r="Z76" s="148"/>
      <c r="AA76" s="258"/>
      <c r="AB76" s="258">
        <f>ABS(V76)</f>
        <v>0.34306569343066023</v>
      </c>
      <c r="AC76" s="258">
        <f t="shared" si="23"/>
        <v>1.0457010069713399</v>
      </c>
      <c r="AD76" s="258"/>
      <c r="AE76" s="258"/>
    </row>
    <row r="77" spans="1:31" ht="15.75" customHeight="1" x14ac:dyDescent="0.2">
      <c r="A77" s="145" t="s">
        <v>750</v>
      </c>
      <c r="B77" s="271" t="s">
        <v>77</v>
      </c>
      <c r="C77" s="145" t="s">
        <v>910</v>
      </c>
      <c r="D77" s="145" t="s">
        <v>785</v>
      </c>
      <c r="E77" s="145" t="s">
        <v>952</v>
      </c>
      <c r="F77" s="145" t="s">
        <v>787</v>
      </c>
      <c r="I77" s="146">
        <v>390</v>
      </c>
      <c r="J77" s="146">
        <v>370</v>
      </c>
      <c r="N77" s="146">
        <v>431.3</v>
      </c>
      <c r="O77" s="146">
        <v>391.4</v>
      </c>
      <c r="P77" s="146">
        <v>364.4</v>
      </c>
      <c r="Q77" s="146">
        <v>46.4</v>
      </c>
      <c r="R77" s="146">
        <v>23.7</v>
      </c>
      <c r="T77" s="245"/>
      <c r="U77" s="148"/>
      <c r="V77" s="249">
        <f>(O77-I77)*100/I77</f>
        <v>0.35897435897435315</v>
      </c>
      <c r="W77" s="148">
        <f t="shared" si="22"/>
        <v>-1.5135135135135196</v>
      </c>
      <c r="X77" s="146"/>
      <c r="Y77" s="148"/>
      <c r="Z77" s="148"/>
      <c r="AA77" s="258"/>
      <c r="AB77" s="258">
        <f>ABS(V77)</f>
        <v>0.35897435897435315</v>
      </c>
      <c r="AC77" s="258">
        <f t="shared" si="23"/>
        <v>1.5135135135135196</v>
      </c>
      <c r="AD77" s="258"/>
      <c r="AE77" s="258"/>
    </row>
    <row r="78" spans="1:31" ht="15.75" customHeight="1" x14ac:dyDescent="0.2">
      <c r="A78" s="145" t="s">
        <v>753</v>
      </c>
      <c r="B78" s="271" t="s">
        <v>77</v>
      </c>
      <c r="C78" s="145" t="s">
        <v>910</v>
      </c>
      <c r="D78" s="145" t="s">
        <v>785</v>
      </c>
      <c r="E78" s="145" t="s">
        <v>952</v>
      </c>
      <c r="F78" s="145" t="s">
        <v>787</v>
      </c>
      <c r="I78" s="146">
        <v>734</v>
      </c>
      <c r="J78" s="146">
        <v>712</v>
      </c>
      <c r="K78" s="146">
        <v>143</v>
      </c>
      <c r="N78" s="146">
        <v>766.2</v>
      </c>
      <c r="P78" s="146">
        <v>738.5</v>
      </c>
      <c r="Q78" s="146">
        <v>143.9</v>
      </c>
      <c r="R78" s="146">
        <v>60.8</v>
      </c>
      <c r="T78" s="245"/>
      <c r="U78" s="148"/>
      <c r="V78" s="148"/>
      <c r="W78" s="148">
        <f t="shared" si="22"/>
        <v>3.7219101123595504</v>
      </c>
      <c r="X78" s="148">
        <f>(Q78-K78)*100/K78</f>
        <v>0.62937062937063337</v>
      </c>
      <c r="Y78" s="148"/>
      <c r="Z78" s="148"/>
      <c r="AA78" s="258"/>
      <c r="AB78" s="258"/>
      <c r="AC78" s="258">
        <f t="shared" si="23"/>
        <v>3.7219101123595504</v>
      </c>
      <c r="AD78" s="258">
        <f>ABS(X78)</f>
        <v>0.62937062937063337</v>
      </c>
      <c r="AE78" s="258"/>
    </row>
    <row r="79" spans="1:31" ht="15.75" customHeight="1" x14ac:dyDescent="0.2">
      <c r="A79" s="145" t="s">
        <v>754</v>
      </c>
      <c r="B79" s="271" t="s">
        <v>77</v>
      </c>
      <c r="C79" s="145" t="s">
        <v>910</v>
      </c>
      <c r="D79" s="145" t="s">
        <v>785</v>
      </c>
      <c r="E79" s="145" t="s">
        <v>952</v>
      </c>
      <c r="F79" s="145" t="s">
        <v>787</v>
      </c>
      <c r="I79" s="146">
        <v>374</v>
      </c>
      <c r="J79" s="146">
        <v>348</v>
      </c>
      <c r="N79" s="146">
        <v>406.8</v>
      </c>
      <c r="O79" s="146">
        <v>365.2</v>
      </c>
      <c r="P79" s="146">
        <v>344.9</v>
      </c>
      <c r="Q79" s="146">
        <v>45.4</v>
      </c>
      <c r="R79" s="146">
        <v>23.2</v>
      </c>
      <c r="T79" s="245"/>
      <c r="U79" s="148"/>
      <c r="V79" s="249">
        <f>(O79-I79)*100/I79</f>
        <v>-2.3529411764705914</v>
      </c>
      <c r="W79" s="148">
        <f t="shared" si="22"/>
        <v>-0.89080459770115594</v>
      </c>
      <c r="X79" s="146"/>
      <c r="Y79" s="148"/>
      <c r="Z79" s="148"/>
      <c r="AA79" s="258"/>
      <c r="AB79" s="258">
        <f>ABS(V79)</f>
        <v>2.3529411764705914</v>
      </c>
      <c r="AC79" s="258">
        <f t="shared" si="23"/>
        <v>0.89080459770115594</v>
      </c>
      <c r="AD79" s="258"/>
      <c r="AE79" s="258"/>
    </row>
    <row r="80" spans="1:31" ht="15.75" customHeight="1" x14ac:dyDescent="0.2">
      <c r="A80" s="145" t="s">
        <v>764</v>
      </c>
      <c r="B80" s="271" t="s">
        <v>77</v>
      </c>
      <c r="C80" s="145" t="s">
        <v>910</v>
      </c>
      <c r="D80" s="145" t="s">
        <v>785</v>
      </c>
      <c r="E80" s="145" t="s">
        <v>952</v>
      </c>
      <c r="F80" s="145" t="s">
        <v>787</v>
      </c>
      <c r="H80" s="146">
        <v>1490</v>
      </c>
      <c r="J80" s="146">
        <v>1310</v>
      </c>
      <c r="N80" s="146">
        <v>1465</v>
      </c>
      <c r="O80" s="146">
        <v>1341.7</v>
      </c>
      <c r="P80" s="146">
        <v>1216.2</v>
      </c>
      <c r="Q80" s="146">
        <v>115.8</v>
      </c>
      <c r="R80" s="146">
        <v>57.1</v>
      </c>
      <c r="T80" s="245"/>
      <c r="U80" s="148">
        <f t="shared" ref="U80:U103" si="24">(N80-H80)*100/H80</f>
        <v>-1.6778523489932886</v>
      </c>
      <c r="V80" s="148"/>
      <c r="W80" s="148">
        <f t="shared" si="22"/>
        <v>-7.1603053435114479</v>
      </c>
      <c r="X80" s="148"/>
      <c r="Y80" s="148"/>
      <c r="Z80" s="148"/>
      <c r="AA80" s="258">
        <f t="shared" ref="AA80:AA103" si="25">ABS(U80)</f>
        <v>1.6778523489932886</v>
      </c>
      <c r="AB80" s="258"/>
      <c r="AC80" s="258">
        <f t="shared" si="23"/>
        <v>7.1603053435114479</v>
      </c>
      <c r="AD80" s="258"/>
      <c r="AE80" s="258"/>
    </row>
    <row r="81" spans="1:31" ht="15.75" customHeight="1" x14ac:dyDescent="0.2">
      <c r="A81" s="145" t="s">
        <v>744</v>
      </c>
      <c r="B81" s="271" t="s">
        <v>77</v>
      </c>
      <c r="C81" s="145" t="s">
        <v>910</v>
      </c>
      <c r="D81" s="145" t="s">
        <v>785</v>
      </c>
      <c r="E81" s="145" t="s">
        <v>952</v>
      </c>
      <c r="F81" s="145" t="s">
        <v>787</v>
      </c>
      <c r="H81" s="150">
        <v>490</v>
      </c>
      <c r="I81" s="150"/>
      <c r="J81" s="150">
        <v>482</v>
      </c>
      <c r="L81" s="150"/>
      <c r="N81" s="146">
        <v>505.1</v>
      </c>
      <c r="P81" s="146">
        <v>489.7</v>
      </c>
      <c r="Q81" s="146">
        <v>33.6</v>
      </c>
      <c r="R81" s="146">
        <v>56.8</v>
      </c>
      <c r="T81" s="245"/>
      <c r="U81" s="148">
        <f t="shared" si="24"/>
        <v>3.081632653061229</v>
      </c>
      <c r="V81" s="148"/>
      <c r="W81" s="148">
        <f t="shared" si="22"/>
        <v>1.5975103734439811</v>
      </c>
      <c r="X81" s="148"/>
      <c r="Y81" s="148"/>
      <c r="Z81" s="148"/>
      <c r="AA81" s="258">
        <f t="shared" si="25"/>
        <v>3.081632653061229</v>
      </c>
      <c r="AB81" s="258"/>
      <c r="AC81" s="258">
        <f t="shared" si="23"/>
        <v>1.5975103734439811</v>
      </c>
      <c r="AD81" s="258"/>
      <c r="AE81" s="258"/>
    </row>
    <row r="82" spans="1:31" ht="15.75" customHeight="1" x14ac:dyDescent="0.2">
      <c r="A82" s="145" t="s">
        <v>762</v>
      </c>
      <c r="B82" s="271" t="s">
        <v>77</v>
      </c>
      <c r="C82" s="145" t="s">
        <v>910</v>
      </c>
      <c r="D82" s="145" t="s">
        <v>785</v>
      </c>
      <c r="E82" s="145" t="s">
        <v>952</v>
      </c>
      <c r="F82" s="145" t="s">
        <v>787</v>
      </c>
      <c r="H82" s="146">
        <v>590</v>
      </c>
      <c r="J82" s="146">
        <v>587</v>
      </c>
      <c r="N82" s="146">
        <v>588.9</v>
      </c>
      <c r="P82" s="146">
        <v>577.20000000000005</v>
      </c>
      <c r="Q82" s="146">
        <v>72.3</v>
      </c>
      <c r="R82" s="146">
        <v>33.700000000000003</v>
      </c>
      <c r="T82" s="245"/>
      <c r="U82" s="148">
        <f t="shared" si="24"/>
        <v>-0.18644067796610556</v>
      </c>
      <c r="V82" s="148"/>
      <c r="W82" s="148">
        <f t="shared" si="22"/>
        <v>-1.6695059625212869</v>
      </c>
      <c r="X82" s="148"/>
      <c r="Y82" s="148"/>
      <c r="Z82" s="148"/>
      <c r="AA82" s="258">
        <f t="shared" si="25"/>
        <v>0.18644067796610556</v>
      </c>
      <c r="AB82" s="258"/>
      <c r="AC82" s="258">
        <f t="shared" si="23"/>
        <v>1.6695059625212869</v>
      </c>
      <c r="AD82" s="258"/>
      <c r="AE82" s="258"/>
    </row>
    <row r="83" spans="1:31" ht="15.75" customHeight="1" x14ac:dyDescent="0.2">
      <c r="A83" s="145" t="s">
        <v>759</v>
      </c>
      <c r="B83" s="271" t="s">
        <v>77</v>
      </c>
      <c r="C83" s="145" t="s">
        <v>910</v>
      </c>
      <c r="D83" s="145" t="s">
        <v>785</v>
      </c>
      <c r="E83" s="145" t="s">
        <v>952</v>
      </c>
      <c r="F83" s="145" t="s">
        <v>787</v>
      </c>
      <c r="H83" s="146">
        <v>1170</v>
      </c>
      <c r="I83" s="146">
        <v>1127</v>
      </c>
      <c r="N83" s="146">
        <v>1211.8</v>
      </c>
      <c r="O83" s="146">
        <v>1113.4000000000001</v>
      </c>
      <c r="P83" s="146">
        <v>1074.5</v>
      </c>
      <c r="Q83" s="146">
        <v>109.6</v>
      </c>
      <c r="R83" s="146">
        <v>54</v>
      </c>
      <c r="T83" s="245"/>
      <c r="U83" s="148">
        <f t="shared" si="24"/>
        <v>3.5726495726495688</v>
      </c>
      <c r="V83" s="249">
        <f>(O83-I83)*100/I83</f>
        <v>-1.2067435669920061</v>
      </c>
      <c r="W83" s="148"/>
      <c r="X83" s="148"/>
      <c r="Y83" s="148"/>
      <c r="Z83" s="148"/>
      <c r="AA83" s="258">
        <f t="shared" si="25"/>
        <v>3.5726495726495688</v>
      </c>
      <c r="AB83" s="258">
        <f>ABS(V83)</f>
        <v>1.2067435669920061</v>
      </c>
      <c r="AC83" s="258"/>
      <c r="AD83" s="258"/>
      <c r="AE83" s="258"/>
    </row>
    <row r="84" spans="1:31" ht="15.75" customHeight="1" x14ac:dyDescent="0.2">
      <c r="A84" s="149" t="s">
        <v>486</v>
      </c>
      <c r="B84" s="271" t="s">
        <v>77</v>
      </c>
      <c r="C84" s="145" t="s">
        <v>910</v>
      </c>
      <c r="D84" s="145" t="s">
        <v>785</v>
      </c>
      <c r="E84" s="145" t="s">
        <v>952</v>
      </c>
      <c r="F84" s="145" t="s">
        <v>787</v>
      </c>
      <c r="H84" s="146">
        <v>1350</v>
      </c>
      <c r="I84" s="146">
        <v>1202</v>
      </c>
      <c r="J84" s="146">
        <v>1180</v>
      </c>
      <c r="N84" s="146">
        <v>1416.5</v>
      </c>
      <c r="O84" s="146">
        <v>1183</v>
      </c>
      <c r="P84" s="146">
        <v>1163</v>
      </c>
      <c r="Q84" s="146">
        <v>96.8</v>
      </c>
      <c r="R84" s="146">
        <v>63.5</v>
      </c>
      <c r="T84" s="245"/>
      <c r="U84" s="148">
        <f t="shared" si="24"/>
        <v>4.9259259259259256</v>
      </c>
      <c r="V84" s="249">
        <f>(O84-I84)*100/I84</f>
        <v>-1.5806988352745424</v>
      </c>
      <c r="W84" s="148">
        <f>(P84-J84)*100/J84</f>
        <v>-1.4406779661016949</v>
      </c>
      <c r="X84" s="148"/>
      <c r="Y84" s="148"/>
      <c r="Z84" s="148"/>
      <c r="AA84" s="258">
        <f t="shared" si="25"/>
        <v>4.9259259259259256</v>
      </c>
      <c r="AB84" s="258">
        <f>ABS(V84)</f>
        <v>1.5806988352745424</v>
      </c>
      <c r="AC84" s="258">
        <f>ABS(W84)</f>
        <v>1.4406779661016949</v>
      </c>
      <c r="AD84" s="258"/>
      <c r="AE84" s="258"/>
    </row>
    <row r="85" spans="1:31" ht="15.75" customHeight="1" x14ac:dyDescent="0.2">
      <c r="A85" s="145" t="s">
        <v>765</v>
      </c>
      <c r="B85" s="271" t="s">
        <v>77</v>
      </c>
      <c r="C85" s="145" t="s">
        <v>910</v>
      </c>
      <c r="D85" s="145" t="s">
        <v>785</v>
      </c>
      <c r="E85" s="145" t="s">
        <v>952</v>
      </c>
      <c r="F85" s="145" t="s">
        <v>788</v>
      </c>
      <c r="H85" s="146">
        <v>1230</v>
      </c>
      <c r="J85" s="146">
        <v>1180</v>
      </c>
      <c r="K85" s="146">
        <v>146</v>
      </c>
      <c r="N85" s="146">
        <v>1275.4000000000001</v>
      </c>
      <c r="P85" s="146">
        <v>1216</v>
      </c>
      <c r="Q85" s="146">
        <v>138.6</v>
      </c>
      <c r="R85" s="146">
        <v>73.3</v>
      </c>
      <c r="T85" s="245"/>
      <c r="U85" s="148">
        <f t="shared" si="24"/>
        <v>3.6910569105691131</v>
      </c>
      <c r="V85" s="148"/>
      <c r="W85" s="148">
        <f>(P85-J85)*100/J85</f>
        <v>3.0508474576271185</v>
      </c>
      <c r="X85" s="148">
        <f t="shared" ref="X85:X103" si="26">(Q85-K85)*100/K85</f>
        <v>-5.0684931506849358</v>
      </c>
      <c r="Y85" s="148"/>
      <c r="Z85" s="148"/>
      <c r="AA85" s="258">
        <f t="shared" si="25"/>
        <v>3.6910569105691131</v>
      </c>
      <c r="AB85" s="258"/>
      <c r="AC85" s="258">
        <f>ABS(W85)</f>
        <v>3.0508474576271185</v>
      </c>
      <c r="AD85" s="258">
        <f t="shared" ref="AD85:AD103" si="27">ABS(X85)</f>
        <v>5.0684931506849358</v>
      </c>
      <c r="AE85" s="258"/>
    </row>
    <row r="86" spans="1:31" ht="15.75" customHeight="1" x14ac:dyDescent="0.2">
      <c r="A86" s="145" t="s">
        <v>767</v>
      </c>
      <c r="B86" s="271" t="s">
        <v>77</v>
      </c>
      <c r="C86" s="145" t="s">
        <v>910</v>
      </c>
      <c r="D86" s="145" t="s">
        <v>785</v>
      </c>
      <c r="E86" s="145" t="s">
        <v>952</v>
      </c>
      <c r="F86" s="145" t="s">
        <v>788</v>
      </c>
      <c r="H86" s="146">
        <v>1360</v>
      </c>
      <c r="J86" s="146">
        <v>1260</v>
      </c>
      <c r="K86" s="146">
        <v>143</v>
      </c>
      <c r="N86" s="146">
        <v>1418.1</v>
      </c>
      <c r="O86" s="146">
        <v>1371.5</v>
      </c>
      <c r="P86" s="146">
        <v>1299.3</v>
      </c>
      <c r="Q86" s="146">
        <v>138.4</v>
      </c>
      <c r="R86" s="146">
        <v>65.099999999999994</v>
      </c>
      <c r="T86" s="245"/>
      <c r="U86" s="148">
        <f t="shared" si="24"/>
        <v>4.272058823529405</v>
      </c>
      <c r="V86" s="148"/>
      <c r="W86" s="148">
        <f>(P86-J86)*100/J86</f>
        <v>3.1190476190476155</v>
      </c>
      <c r="X86" s="148">
        <f t="shared" si="26"/>
        <v>-3.2167832167832127</v>
      </c>
      <c r="Y86" s="148"/>
      <c r="Z86" s="148"/>
      <c r="AA86" s="258">
        <f t="shared" si="25"/>
        <v>4.272058823529405</v>
      </c>
      <c r="AB86" s="258"/>
      <c r="AC86" s="258">
        <f>ABS(W86)</f>
        <v>3.1190476190476155</v>
      </c>
      <c r="AD86" s="258">
        <f t="shared" si="27"/>
        <v>3.2167832167832127</v>
      </c>
      <c r="AE86" s="258"/>
    </row>
    <row r="87" spans="1:31" ht="15.75" customHeight="1" x14ac:dyDescent="0.2">
      <c r="A87" s="145" t="s">
        <v>740</v>
      </c>
      <c r="B87" s="271" t="s">
        <v>77</v>
      </c>
      <c r="C87" s="145" t="s">
        <v>910</v>
      </c>
      <c r="D87" s="145" t="s">
        <v>785</v>
      </c>
      <c r="E87" s="145" t="s">
        <v>952</v>
      </c>
      <c r="F87" s="145" t="s">
        <v>789</v>
      </c>
      <c r="H87" s="146">
        <v>1112</v>
      </c>
      <c r="J87" s="146">
        <v>992</v>
      </c>
      <c r="K87" s="146">
        <v>110</v>
      </c>
      <c r="L87" s="146">
        <v>49</v>
      </c>
      <c r="N87" s="146">
        <v>1120.2</v>
      </c>
      <c r="O87" s="146">
        <v>1061.5</v>
      </c>
      <c r="P87" s="146">
        <v>1002.1</v>
      </c>
      <c r="Q87" s="146">
        <v>104</v>
      </c>
      <c r="R87" s="146">
        <v>45.1</v>
      </c>
      <c r="T87" s="245"/>
      <c r="U87" s="148">
        <f t="shared" si="24"/>
        <v>0.73741007194245012</v>
      </c>
      <c r="V87" s="148"/>
      <c r="W87" s="148">
        <f>(P87-J87)*100/J87</f>
        <v>1.018145161290325</v>
      </c>
      <c r="X87" s="148">
        <f t="shared" si="26"/>
        <v>-5.4545454545454541</v>
      </c>
      <c r="Y87" s="148">
        <f>(R87-L87)*100/L87</f>
        <v>-7.9591836734693855</v>
      </c>
      <c r="Z87" s="148"/>
      <c r="AA87" s="258">
        <f t="shared" si="25"/>
        <v>0.73741007194245012</v>
      </c>
      <c r="AB87" s="258"/>
      <c r="AC87" s="258">
        <f>ABS(W87)</f>
        <v>1.018145161290325</v>
      </c>
      <c r="AD87" s="258">
        <f t="shared" si="27"/>
        <v>5.4545454545454541</v>
      </c>
      <c r="AE87" s="258">
        <f>ABS(Y87)</f>
        <v>7.9591836734693855</v>
      </c>
    </row>
    <row r="88" spans="1:31" ht="15.75" customHeight="1" x14ac:dyDescent="0.2">
      <c r="A88" s="145" t="s">
        <v>769</v>
      </c>
      <c r="B88" s="271" t="s">
        <v>77</v>
      </c>
      <c r="C88" s="145" t="s">
        <v>910</v>
      </c>
      <c r="D88" s="145" t="s">
        <v>785</v>
      </c>
      <c r="E88" s="145" t="s">
        <v>952</v>
      </c>
      <c r="F88" s="145" t="s">
        <v>788</v>
      </c>
      <c r="H88" s="146">
        <v>580</v>
      </c>
      <c r="K88" s="146">
        <v>70</v>
      </c>
      <c r="N88" s="146">
        <v>588.70000000000005</v>
      </c>
      <c r="O88" s="146">
        <v>506</v>
      </c>
      <c r="P88" s="146">
        <v>477.5</v>
      </c>
      <c r="Q88" s="146">
        <v>60.5</v>
      </c>
      <c r="R88" s="146">
        <v>30</v>
      </c>
      <c r="T88" s="245"/>
      <c r="U88" s="148">
        <f t="shared" si="24"/>
        <v>1.5000000000000078</v>
      </c>
      <c r="V88" s="148"/>
      <c r="W88" s="148"/>
      <c r="X88" s="148">
        <f t="shared" si="26"/>
        <v>-13.571428571428571</v>
      </c>
      <c r="Y88" s="148"/>
      <c r="Z88" s="148"/>
      <c r="AA88" s="258">
        <f t="shared" si="25"/>
        <v>1.5000000000000078</v>
      </c>
      <c r="AB88" s="258"/>
      <c r="AC88" s="258"/>
      <c r="AD88" s="258">
        <f t="shared" si="27"/>
        <v>13.571428571428571</v>
      </c>
      <c r="AE88" s="258"/>
    </row>
    <row r="89" spans="1:31" ht="15.75" customHeight="1" x14ac:dyDescent="0.2">
      <c r="A89" s="145" t="s">
        <v>770</v>
      </c>
      <c r="B89" s="271" t="s">
        <v>77</v>
      </c>
      <c r="C89" s="145" t="s">
        <v>910</v>
      </c>
      <c r="D89" s="145" t="s">
        <v>785</v>
      </c>
      <c r="E89" s="145" t="s">
        <v>952</v>
      </c>
      <c r="F89" s="145" t="s">
        <v>788</v>
      </c>
      <c r="H89" s="146">
        <v>550</v>
      </c>
      <c r="K89" s="146">
        <v>65</v>
      </c>
      <c r="N89" s="146">
        <v>542.70000000000005</v>
      </c>
      <c r="O89" s="146">
        <v>511.9</v>
      </c>
      <c r="P89" s="146">
        <v>495.4</v>
      </c>
      <c r="Q89" s="146">
        <v>64.3</v>
      </c>
      <c r="R89" s="146">
        <v>32.299999999999997</v>
      </c>
      <c r="T89" s="245"/>
      <c r="U89" s="148">
        <f t="shared" si="24"/>
        <v>-1.3272727272727189</v>
      </c>
      <c r="V89" s="148"/>
      <c r="W89" s="148"/>
      <c r="X89" s="148">
        <f t="shared" si="26"/>
        <v>-1.0769230769230813</v>
      </c>
      <c r="Y89" s="148"/>
      <c r="Z89" s="148"/>
      <c r="AA89" s="258">
        <f t="shared" si="25"/>
        <v>1.3272727272727189</v>
      </c>
      <c r="AB89" s="258"/>
      <c r="AC89" s="258"/>
      <c r="AD89" s="258">
        <f t="shared" si="27"/>
        <v>1.0769230769230813</v>
      </c>
      <c r="AE89" s="258"/>
    </row>
    <row r="90" spans="1:31" ht="15.75" customHeight="1" x14ac:dyDescent="0.2">
      <c r="A90" s="149" t="s">
        <v>775</v>
      </c>
      <c r="B90" s="271" t="s">
        <v>77</v>
      </c>
      <c r="C90" s="145" t="s">
        <v>910</v>
      </c>
      <c r="D90" s="145" t="s">
        <v>785</v>
      </c>
      <c r="E90" s="145" t="s">
        <v>952</v>
      </c>
      <c r="F90" s="145" t="s">
        <v>790</v>
      </c>
      <c r="H90" s="146">
        <v>830</v>
      </c>
      <c r="J90" s="146">
        <v>715</v>
      </c>
      <c r="K90" s="146">
        <v>90</v>
      </c>
      <c r="N90" s="146">
        <v>860.7</v>
      </c>
      <c r="O90" s="146">
        <v>790.9</v>
      </c>
      <c r="P90" s="146">
        <v>745</v>
      </c>
      <c r="Q90" s="146">
        <v>88.6</v>
      </c>
      <c r="R90" s="146">
        <v>45.9</v>
      </c>
      <c r="T90" s="245"/>
      <c r="U90" s="148">
        <f t="shared" si="24"/>
        <v>3.6987951807228971</v>
      </c>
      <c r="V90" s="148"/>
      <c r="W90" s="148">
        <f t="shared" ref="W90:W97" si="28">(P90-J90)*100/J90</f>
        <v>4.1958041958041958</v>
      </c>
      <c r="X90" s="148">
        <f t="shared" si="26"/>
        <v>-1.5555555555555618</v>
      </c>
      <c r="Y90" s="148"/>
      <c r="Z90" s="148"/>
      <c r="AA90" s="258">
        <f t="shared" si="25"/>
        <v>3.6987951807228971</v>
      </c>
      <c r="AB90" s="258"/>
      <c r="AC90" s="258">
        <f t="shared" ref="AC90:AC97" si="29">ABS(W90)</f>
        <v>4.1958041958041958</v>
      </c>
      <c r="AD90" s="258">
        <f t="shared" si="27"/>
        <v>1.5555555555555618</v>
      </c>
      <c r="AE90" s="258"/>
    </row>
    <row r="91" spans="1:31" ht="15.75" customHeight="1" x14ac:dyDescent="0.2">
      <c r="A91" s="149" t="s">
        <v>776</v>
      </c>
      <c r="B91" s="271" t="s">
        <v>77</v>
      </c>
      <c r="C91" s="145" t="s">
        <v>910</v>
      </c>
      <c r="D91" s="145" t="s">
        <v>785</v>
      </c>
      <c r="E91" s="145" t="s">
        <v>952</v>
      </c>
      <c r="F91" s="145" t="s">
        <v>790</v>
      </c>
      <c r="H91" s="146">
        <v>965</v>
      </c>
      <c r="J91" s="146">
        <v>830</v>
      </c>
      <c r="K91" s="146">
        <v>100</v>
      </c>
      <c r="N91" s="146">
        <v>966.3</v>
      </c>
      <c r="O91" s="146">
        <v>891.5</v>
      </c>
      <c r="P91" s="146">
        <v>828.7</v>
      </c>
      <c r="Q91" s="146">
        <v>93.2</v>
      </c>
      <c r="R91" s="146">
        <v>46.6</v>
      </c>
      <c r="T91" s="245"/>
      <c r="U91" s="148">
        <f t="shared" si="24"/>
        <v>0.13471502590673104</v>
      </c>
      <c r="V91" s="148"/>
      <c r="W91" s="148">
        <f t="shared" si="28"/>
        <v>-0.15662650602409089</v>
      </c>
      <c r="X91" s="148">
        <f t="shared" si="26"/>
        <v>-6.799999999999998</v>
      </c>
      <c r="Y91" s="148"/>
      <c r="Z91" s="148"/>
      <c r="AA91" s="258">
        <f t="shared" si="25"/>
        <v>0.13471502590673104</v>
      </c>
      <c r="AB91" s="258"/>
      <c r="AC91" s="258">
        <f t="shared" si="29"/>
        <v>0.15662650602409089</v>
      </c>
      <c r="AD91" s="258">
        <f t="shared" si="27"/>
        <v>6.799999999999998</v>
      </c>
      <c r="AE91" s="258"/>
    </row>
    <row r="92" spans="1:31" ht="15.75" customHeight="1" x14ac:dyDescent="0.2">
      <c r="A92" s="149" t="s">
        <v>773</v>
      </c>
      <c r="B92" s="271" t="s">
        <v>77</v>
      </c>
      <c r="C92" s="145" t="s">
        <v>910</v>
      </c>
      <c r="D92" s="145" t="s">
        <v>785</v>
      </c>
      <c r="E92" s="145" t="s">
        <v>952</v>
      </c>
      <c r="F92" s="145" t="s">
        <v>791</v>
      </c>
      <c r="H92" s="146">
        <v>764</v>
      </c>
      <c r="J92" s="146">
        <v>650</v>
      </c>
      <c r="K92" s="146">
        <v>74</v>
      </c>
      <c r="L92" s="146">
        <v>38</v>
      </c>
      <c r="N92" s="146">
        <v>774.1</v>
      </c>
      <c r="O92" s="146">
        <v>668.3</v>
      </c>
      <c r="P92" s="146">
        <v>623.79999999999995</v>
      </c>
      <c r="Q92" s="146">
        <v>69.5</v>
      </c>
      <c r="R92" s="146">
        <v>38.799999999999997</v>
      </c>
      <c r="T92" s="245"/>
      <c r="U92" s="148">
        <f t="shared" si="24"/>
        <v>1.3219895287958146</v>
      </c>
      <c r="V92" s="148"/>
      <c r="W92" s="148">
        <f t="shared" si="28"/>
        <v>-4.0307692307692378</v>
      </c>
      <c r="X92" s="148">
        <f t="shared" si="26"/>
        <v>-6.0810810810810807</v>
      </c>
      <c r="Y92" s="148">
        <f>(R92-L92)*100/L92</f>
        <v>2.1052631578947292</v>
      </c>
      <c r="Z92" s="148"/>
      <c r="AA92" s="258">
        <f t="shared" si="25"/>
        <v>1.3219895287958146</v>
      </c>
      <c r="AB92" s="258"/>
      <c r="AC92" s="258">
        <f t="shared" si="29"/>
        <v>4.0307692307692378</v>
      </c>
      <c r="AD92" s="258">
        <f t="shared" si="27"/>
        <v>6.0810810810810807</v>
      </c>
      <c r="AE92" s="258">
        <f>ABS(Y92)</f>
        <v>2.1052631578947292</v>
      </c>
    </row>
    <row r="93" spans="1:31" ht="15.75" customHeight="1" x14ac:dyDescent="0.2">
      <c r="A93" s="149" t="s">
        <v>774</v>
      </c>
      <c r="B93" s="271" t="s">
        <v>77</v>
      </c>
      <c r="C93" s="145" t="s">
        <v>910</v>
      </c>
      <c r="D93" s="145" t="s">
        <v>785</v>
      </c>
      <c r="E93" s="145" t="s">
        <v>952</v>
      </c>
      <c r="F93" s="145" t="s">
        <v>791</v>
      </c>
      <c r="H93" s="146">
        <v>1660</v>
      </c>
      <c r="J93" s="146">
        <v>1450</v>
      </c>
      <c r="K93" s="146">
        <v>132</v>
      </c>
      <c r="L93" s="146">
        <v>58</v>
      </c>
      <c r="N93" s="146">
        <v>1574.5</v>
      </c>
      <c r="O93" s="146">
        <v>1487.1</v>
      </c>
      <c r="P93" s="146">
        <v>1418</v>
      </c>
      <c r="Q93" s="146">
        <v>120.7</v>
      </c>
      <c r="R93" s="146">
        <v>64.5</v>
      </c>
      <c r="T93" s="245"/>
      <c r="U93" s="148">
        <f t="shared" si="24"/>
        <v>-5.1506024096385543</v>
      </c>
      <c r="V93" s="148"/>
      <c r="W93" s="148">
        <f t="shared" si="28"/>
        <v>-2.2068965517241379</v>
      </c>
      <c r="X93" s="148">
        <f t="shared" si="26"/>
        <v>-8.5606060606060588</v>
      </c>
      <c r="Y93" s="148">
        <f>(R93-L93)*100/L93</f>
        <v>11.206896551724139</v>
      </c>
      <c r="Z93" s="148"/>
      <c r="AA93" s="258">
        <f t="shared" si="25"/>
        <v>5.1506024096385543</v>
      </c>
      <c r="AB93" s="258"/>
      <c r="AC93" s="258">
        <f t="shared" si="29"/>
        <v>2.2068965517241379</v>
      </c>
      <c r="AD93" s="258">
        <f t="shared" si="27"/>
        <v>8.5606060606060588</v>
      </c>
      <c r="AE93" s="258">
        <f>ABS(Y93)</f>
        <v>11.206896551724139</v>
      </c>
    </row>
    <row r="94" spans="1:31" ht="15.75" customHeight="1" x14ac:dyDescent="0.2">
      <c r="A94" s="145" t="s">
        <v>941</v>
      </c>
      <c r="B94" s="265" t="s">
        <v>77</v>
      </c>
      <c r="C94" s="145" t="s">
        <v>912</v>
      </c>
      <c r="D94" s="145" t="s">
        <v>785</v>
      </c>
      <c r="E94" s="145" t="s">
        <v>952</v>
      </c>
      <c r="F94" s="145" t="s">
        <v>791</v>
      </c>
      <c r="H94" s="146">
        <v>1393</v>
      </c>
      <c r="I94" s="146">
        <v>1334</v>
      </c>
      <c r="J94" s="146">
        <v>1185</v>
      </c>
      <c r="K94" s="146">
        <v>127</v>
      </c>
      <c r="L94" s="146">
        <v>60</v>
      </c>
      <c r="N94" s="146">
        <f>P94+197</f>
        <v>1318</v>
      </c>
      <c r="O94" s="146">
        <f>N94-46.2</f>
        <v>1271.8</v>
      </c>
      <c r="P94" s="146">
        <v>1121</v>
      </c>
      <c r="Q94" s="146">
        <v>114.5</v>
      </c>
      <c r="R94" s="146">
        <v>70.900000000000006</v>
      </c>
      <c r="T94" s="245"/>
      <c r="U94" s="148">
        <f t="shared" si="24"/>
        <v>-5.3840631730078963</v>
      </c>
      <c r="V94" s="249">
        <f>(O94-I94)*100/I94</f>
        <v>-4.6626686656671694</v>
      </c>
      <c r="W94" s="146">
        <f t="shared" si="28"/>
        <v>-5.4008438818565399</v>
      </c>
      <c r="X94" s="146">
        <f t="shared" si="26"/>
        <v>-9.8425196850393704</v>
      </c>
      <c r="Y94" s="148">
        <f>(R94-L94)*100/L94</f>
        <v>18.166666666666675</v>
      </c>
      <c r="Z94" s="148"/>
      <c r="AA94" s="258">
        <f t="shared" si="25"/>
        <v>5.3840631730078963</v>
      </c>
      <c r="AB94" s="258">
        <f>ABS(V94)</f>
        <v>4.6626686656671694</v>
      </c>
      <c r="AC94" s="258">
        <f t="shared" si="29"/>
        <v>5.4008438818565399</v>
      </c>
      <c r="AD94" s="258">
        <f t="shared" si="27"/>
        <v>9.8425196850393704</v>
      </c>
      <c r="AE94" s="258">
        <f>ABS(Y94)</f>
        <v>18.166666666666675</v>
      </c>
    </row>
    <row r="95" spans="1:31" ht="15.75" customHeight="1" x14ac:dyDescent="0.2">
      <c r="A95" s="145" t="s">
        <v>778</v>
      </c>
      <c r="B95" s="271" t="s">
        <v>77</v>
      </c>
      <c r="C95" s="145" t="s">
        <v>910</v>
      </c>
      <c r="D95" s="145" t="s">
        <v>785</v>
      </c>
      <c r="E95" s="145" t="s">
        <v>952</v>
      </c>
      <c r="F95" s="145" t="s">
        <v>792</v>
      </c>
      <c r="H95" s="146">
        <v>384</v>
      </c>
      <c r="I95" s="150"/>
      <c r="J95" s="146">
        <v>344</v>
      </c>
      <c r="K95" s="146">
        <v>44</v>
      </c>
      <c r="L95" s="146">
        <v>24</v>
      </c>
      <c r="N95" s="146">
        <v>386.7</v>
      </c>
      <c r="O95" s="146">
        <v>361.2</v>
      </c>
      <c r="P95" s="146">
        <v>346.4</v>
      </c>
      <c r="Q95" s="146">
        <v>41.7</v>
      </c>
      <c r="R95" s="146">
        <v>23.2</v>
      </c>
      <c r="T95" s="245"/>
      <c r="U95" s="148">
        <f t="shared" si="24"/>
        <v>0.703124999999997</v>
      </c>
      <c r="V95" s="148"/>
      <c r="W95" s="148">
        <f t="shared" si="28"/>
        <v>0.69767441860464452</v>
      </c>
      <c r="X95" s="148">
        <f t="shared" si="26"/>
        <v>-5.2272727272727204</v>
      </c>
      <c r="Y95" s="148">
        <f>(R95-L95)*100/L95</f>
        <v>-3.3333333333333361</v>
      </c>
      <c r="Z95" s="148"/>
      <c r="AA95" s="258">
        <f t="shared" si="25"/>
        <v>0.703124999999997</v>
      </c>
      <c r="AB95" s="258"/>
      <c r="AC95" s="258">
        <f t="shared" si="29"/>
        <v>0.69767441860464452</v>
      </c>
      <c r="AD95" s="258">
        <f t="shared" si="27"/>
        <v>5.2272727272727204</v>
      </c>
      <c r="AE95" s="258">
        <f>ABS(Y95)</f>
        <v>3.3333333333333361</v>
      </c>
    </row>
    <row r="96" spans="1:31" ht="15.75" customHeight="1" x14ac:dyDescent="0.2">
      <c r="A96" s="145" t="s">
        <v>783</v>
      </c>
      <c r="B96" s="271" t="s">
        <v>77</v>
      </c>
      <c r="C96" s="145" t="s">
        <v>910</v>
      </c>
      <c r="D96" s="145" t="s">
        <v>785</v>
      </c>
      <c r="E96" s="145" t="s">
        <v>952</v>
      </c>
      <c r="F96" s="145" t="s">
        <v>788</v>
      </c>
      <c r="H96" s="146">
        <v>1020</v>
      </c>
      <c r="J96" s="146">
        <v>942</v>
      </c>
      <c r="K96" s="146">
        <v>125</v>
      </c>
      <c r="N96" s="146">
        <v>1019.7</v>
      </c>
      <c r="O96" s="146">
        <v>970.9</v>
      </c>
      <c r="P96" s="146">
        <v>935.8</v>
      </c>
      <c r="Q96" s="146">
        <v>115.7</v>
      </c>
      <c r="R96" s="146">
        <v>56.9</v>
      </c>
      <c r="T96" s="245"/>
      <c r="U96" s="148">
        <f t="shared" si="24"/>
        <v>-2.9411764705877894E-2</v>
      </c>
      <c r="V96" s="148"/>
      <c r="W96" s="148">
        <f t="shared" si="28"/>
        <v>-0.65817409766454837</v>
      </c>
      <c r="X96" s="148">
        <f t="shared" si="26"/>
        <v>-7.4399999999999986</v>
      </c>
      <c r="Y96" s="148"/>
      <c r="Z96" s="148"/>
      <c r="AA96" s="258">
        <f t="shared" si="25"/>
        <v>2.9411764705877894E-2</v>
      </c>
      <c r="AB96" s="258"/>
      <c r="AC96" s="258">
        <f t="shared" si="29"/>
        <v>0.65817409766454837</v>
      </c>
      <c r="AD96" s="258">
        <f t="shared" si="27"/>
        <v>7.4399999999999986</v>
      </c>
      <c r="AE96" s="258"/>
    </row>
    <row r="97" spans="1:31" ht="15.75" customHeight="1" x14ac:dyDescent="0.2">
      <c r="A97" s="149" t="s">
        <v>928</v>
      </c>
      <c r="B97" s="271" t="s">
        <v>77</v>
      </c>
      <c r="C97" s="145" t="s">
        <v>910</v>
      </c>
      <c r="D97" s="145" t="s">
        <v>785</v>
      </c>
      <c r="E97" s="145" t="s">
        <v>952</v>
      </c>
      <c r="F97" s="145" t="s">
        <v>788</v>
      </c>
      <c r="H97" s="146">
        <v>1274</v>
      </c>
      <c r="J97" s="146">
        <v>1194</v>
      </c>
      <c r="K97" s="146">
        <v>136</v>
      </c>
      <c r="N97" s="146">
        <v>1300.5999999999999</v>
      </c>
      <c r="P97" s="146">
        <v>1205</v>
      </c>
      <c r="Q97" s="146">
        <v>120.7</v>
      </c>
      <c r="R97" s="146">
        <v>63</v>
      </c>
      <c r="T97" s="245"/>
      <c r="U97" s="148">
        <f t="shared" si="24"/>
        <v>2.0879120879120809</v>
      </c>
      <c r="V97" s="148"/>
      <c r="W97" s="148">
        <f t="shared" si="28"/>
        <v>0.92127303182579567</v>
      </c>
      <c r="X97" s="148">
        <f t="shared" si="26"/>
        <v>-11.249999999999998</v>
      </c>
      <c r="Y97" s="148"/>
      <c r="Z97" s="148"/>
      <c r="AA97" s="258">
        <f t="shared" si="25"/>
        <v>2.0879120879120809</v>
      </c>
      <c r="AB97" s="258"/>
      <c r="AC97" s="258">
        <f t="shared" si="29"/>
        <v>0.92127303182579567</v>
      </c>
      <c r="AD97" s="258">
        <f t="shared" si="27"/>
        <v>11.249999999999998</v>
      </c>
      <c r="AE97" s="258"/>
    </row>
    <row r="98" spans="1:31" ht="15.75" customHeight="1" x14ac:dyDescent="0.2">
      <c r="A98" s="149" t="s">
        <v>929</v>
      </c>
      <c r="B98" s="271" t="s">
        <v>77</v>
      </c>
      <c r="C98" s="145" t="s">
        <v>910</v>
      </c>
      <c r="D98" s="145" t="s">
        <v>785</v>
      </c>
      <c r="E98" s="145" t="s">
        <v>952</v>
      </c>
      <c r="F98" s="145" t="s">
        <v>788</v>
      </c>
      <c r="H98" s="146">
        <v>1322</v>
      </c>
      <c r="I98" s="145"/>
      <c r="K98" s="146">
        <v>152</v>
      </c>
      <c r="N98" s="146">
        <v>1337.9</v>
      </c>
      <c r="P98" s="146">
        <v>1260</v>
      </c>
      <c r="Q98" s="146">
        <v>130.19999999999999</v>
      </c>
      <c r="R98" s="146">
        <v>64.900000000000006</v>
      </c>
      <c r="T98" s="245"/>
      <c r="U98" s="148">
        <f t="shared" si="24"/>
        <v>1.2027231467473594</v>
      </c>
      <c r="V98" s="148"/>
      <c r="W98" s="148"/>
      <c r="X98" s="148">
        <f t="shared" si="26"/>
        <v>-14.342105263157901</v>
      </c>
      <c r="Y98" s="148"/>
      <c r="Z98" s="148"/>
      <c r="AA98" s="258">
        <f t="shared" si="25"/>
        <v>1.2027231467473594</v>
      </c>
      <c r="AB98" s="258"/>
      <c r="AC98" s="258"/>
      <c r="AD98" s="258">
        <f t="shared" si="27"/>
        <v>14.342105263157901</v>
      </c>
      <c r="AE98" s="258"/>
    </row>
    <row r="99" spans="1:31" ht="15.75" customHeight="1" x14ac:dyDescent="0.2">
      <c r="A99" s="145" t="s">
        <v>121</v>
      </c>
      <c r="B99" s="265" t="s">
        <v>77</v>
      </c>
      <c r="C99" s="145" t="s">
        <v>910</v>
      </c>
      <c r="D99" s="145" t="s">
        <v>785</v>
      </c>
      <c r="E99" s="145" t="s">
        <v>952</v>
      </c>
      <c r="F99" s="145" t="s">
        <v>791</v>
      </c>
      <c r="H99" s="146">
        <v>1235</v>
      </c>
      <c r="I99" s="146">
        <v>1096</v>
      </c>
      <c r="J99" s="146">
        <v>1036</v>
      </c>
      <c r="K99" s="146">
        <v>120</v>
      </c>
      <c r="L99" s="146">
        <v>60</v>
      </c>
      <c r="N99" s="146">
        <v>1383</v>
      </c>
      <c r="O99" s="146">
        <v>1250</v>
      </c>
      <c r="P99" s="146">
        <v>1175</v>
      </c>
      <c r="Q99" s="146">
        <v>105</v>
      </c>
      <c r="R99" s="146">
        <v>58.9</v>
      </c>
      <c r="S99" s="146">
        <v>-0.21</v>
      </c>
      <c r="T99" s="245"/>
      <c r="U99" s="148">
        <f t="shared" si="24"/>
        <v>11.983805668016194</v>
      </c>
      <c r="V99" s="249">
        <f>(O99-I99)*100/I99</f>
        <v>14.051094890510949</v>
      </c>
      <c r="W99" s="146">
        <f>(P99-J99)*100/J99</f>
        <v>13.416988416988417</v>
      </c>
      <c r="X99" s="146">
        <f t="shared" si="26"/>
        <v>-12.5</v>
      </c>
      <c r="Y99" s="148">
        <f>(R99-L99)*100/L99</f>
        <v>-1.8333333333333357</v>
      </c>
      <c r="Z99" s="148"/>
      <c r="AA99" s="258">
        <f t="shared" si="25"/>
        <v>11.983805668016194</v>
      </c>
      <c r="AB99" s="258">
        <f>ABS(V99)</f>
        <v>14.051094890510949</v>
      </c>
      <c r="AC99" s="258">
        <f>ABS(W99)</f>
        <v>13.416988416988417</v>
      </c>
      <c r="AD99" s="258">
        <f t="shared" si="27"/>
        <v>12.5</v>
      </c>
      <c r="AE99" s="258">
        <f>ABS(Y99)</f>
        <v>1.8333333333333357</v>
      </c>
    </row>
    <row r="100" spans="1:31" ht="15.75" customHeight="1" x14ac:dyDescent="0.2">
      <c r="A100" s="145" t="s">
        <v>746</v>
      </c>
      <c r="B100" s="271" t="s">
        <v>77</v>
      </c>
      <c r="C100" s="145" t="s">
        <v>910</v>
      </c>
      <c r="D100" s="145" t="s">
        <v>785</v>
      </c>
      <c r="E100" s="145" t="s">
        <v>952</v>
      </c>
      <c r="F100" s="145" t="s">
        <v>788</v>
      </c>
      <c r="H100" s="150">
        <v>1283.5</v>
      </c>
      <c r="J100" s="150">
        <v>1226</v>
      </c>
      <c r="K100" s="150">
        <v>135</v>
      </c>
      <c r="N100" s="146">
        <v>1263.2</v>
      </c>
      <c r="O100" s="150">
        <v>1245.8</v>
      </c>
      <c r="P100" s="151">
        <v>1203.9000000000001</v>
      </c>
      <c r="Q100" s="151">
        <v>114.6</v>
      </c>
      <c r="R100" s="150">
        <v>64.099999999999994</v>
      </c>
      <c r="S100" s="150"/>
      <c r="T100" s="246"/>
      <c r="U100" s="148">
        <f t="shared" si="24"/>
        <v>-1.5816127775613522</v>
      </c>
      <c r="V100" s="148"/>
      <c r="W100" s="148">
        <f>(P100-J100)*100/J100</f>
        <v>-1.8026101141924884</v>
      </c>
      <c r="X100" s="148">
        <f t="shared" si="26"/>
        <v>-15.111111111111114</v>
      </c>
      <c r="Y100" s="148"/>
      <c r="Z100" s="148"/>
      <c r="AA100" s="258">
        <f t="shared" si="25"/>
        <v>1.5816127775613522</v>
      </c>
      <c r="AB100" s="258"/>
      <c r="AC100" s="258">
        <f>ABS(W100)</f>
        <v>1.8026101141924884</v>
      </c>
      <c r="AD100" s="258">
        <f t="shared" si="27"/>
        <v>15.111111111111114</v>
      </c>
      <c r="AE100" s="258"/>
    </row>
    <row r="101" spans="1:31" ht="15.75" customHeight="1" x14ac:dyDescent="0.2">
      <c r="A101" s="145" t="s">
        <v>741</v>
      </c>
      <c r="B101" s="271" t="s">
        <v>77</v>
      </c>
      <c r="C101" s="145" t="s">
        <v>910</v>
      </c>
      <c r="D101" s="145" t="s">
        <v>785</v>
      </c>
      <c r="E101" s="145" t="s">
        <v>952</v>
      </c>
      <c r="F101" s="145" t="s">
        <v>788</v>
      </c>
      <c r="H101" s="150">
        <v>680</v>
      </c>
      <c r="I101" s="150"/>
      <c r="J101" s="150">
        <v>605</v>
      </c>
      <c r="K101" s="150">
        <v>73</v>
      </c>
      <c r="L101" s="150"/>
      <c r="N101" s="150">
        <v>681.5</v>
      </c>
      <c r="O101" s="150">
        <v>623.1</v>
      </c>
      <c r="P101" s="150">
        <v>604.1</v>
      </c>
      <c r="Q101" s="150">
        <v>70.099999999999994</v>
      </c>
      <c r="R101" s="150">
        <v>35.9</v>
      </c>
      <c r="S101" s="150"/>
      <c r="T101" s="246"/>
      <c r="U101" s="148">
        <f t="shared" si="24"/>
        <v>0.22058823529411764</v>
      </c>
      <c r="V101" s="148"/>
      <c r="W101" s="148">
        <f>(P101-J101)*100/J101</f>
        <v>-0.14876033057850863</v>
      </c>
      <c r="X101" s="148">
        <f t="shared" si="26"/>
        <v>-3.9726027397260353</v>
      </c>
      <c r="Y101" s="148"/>
      <c r="Z101" s="148"/>
      <c r="AA101" s="258">
        <f t="shared" si="25"/>
        <v>0.22058823529411764</v>
      </c>
      <c r="AB101" s="258"/>
      <c r="AC101" s="258">
        <f>ABS(W101)</f>
        <v>0.14876033057850863</v>
      </c>
      <c r="AD101" s="258">
        <f t="shared" si="27"/>
        <v>3.9726027397260353</v>
      </c>
      <c r="AE101" s="258"/>
    </row>
    <row r="102" spans="1:31" ht="15.75" customHeight="1" x14ac:dyDescent="0.2">
      <c r="A102" s="145" t="s">
        <v>742</v>
      </c>
      <c r="B102" s="271" t="s">
        <v>77</v>
      </c>
      <c r="C102" s="145" t="s">
        <v>910</v>
      </c>
      <c r="D102" s="145" t="s">
        <v>785</v>
      </c>
      <c r="E102" s="145" t="s">
        <v>952</v>
      </c>
      <c r="F102" s="145" t="s">
        <v>788</v>
      </c>
      <c r="H102" s="146">
        <v>342</v>
      </c>
      <c r="J102" s="146">
        <v>299</v>
      </c>
      <c r="K102" s="146">
        <v>40</v>
      </c>
      <c r="N102" s="146">
        <v>350.3</v>
      </c>
      <c r="O102" s="146">
        <v>322.89999999999998</v>
      </c>
      <c r="P102" s="146">
        <v>299.89999999999998</v>
      </c>
      <c r="Q102" s="146">
        <v>40.9</v>
      </c>
      <c r="R102" s="146">
        <v>24.6</v>
      </c>
      <c r="T102" s="245"/>
      <c r="U102" s="148">
        <f t="shared" si="24"/>
        <v>2.4269005847953249</v>
      </c>
      <c r="V102" s="148"/>
      <c r="W102" s="148">
        <f>(P102-J102)*100/J102</f>
        <v>0.30100334448159777</v>
      </c>
      <c r="X102" s="148">
        <f t="shared" si="26"/>
        <v>2.2499999999999964</v>
      </c>
      <c r="Y102" s="148"/>
      <c r="Z102" s="148"/>
      <c r="AA102" s="258">
        <f t="shared" si="25"/>
        <v>2.4269005847953249</v>
      </c>
      <c r="AB102" s="258"/>
      <c r="AC102" s="258">
        <f>ABS(W102)</f>
        <v>0.30100334448159777</v>
      </c>
      <c r="AD102" s="258">
        <f t="shared" si="27"/>
        <v>2.2499999999999964</v>
      </c>
      <c r="AE102" s="258"/>
    </row>
    <row r="103" spans="1:31" ht="15.75" customHeight="1" x14ac:dyDescent="0.2">
      <c r="A103" s="145" t="s">
        <v>915</v>
      </c>
      <c r="B103" s="265" t="s">
        <v>77</v>
      </c>
      <c r="C103" s="145" t="s">
        <v>910</v>
      </c>
      <c r="D103" s="145" t="s">
        <v>785</v>
      </c>
      <c r="E103" s="145" t="s">
        <v>29</v>
      </c>
      <c r="F103" s="145" t="s">
        <v>907</v>
      </c>
      <c r="H103" s="146">
        <v>403</v>
      </c>
      <c r="I103" s="146">
        <v>382</v>
      </c>
      <c r="J103" s="146">
        <v>368</v>
      </c>
      <c r="K103" s="146">
        <v>60</v>
      </c>
      <c r="N103" s="146">
        <v>428</v>
      </c>
      <c r="O103" s="146">
        <v>402.2</v>
      </c>
      <c r="P103" s="146">
        <v>383</v>
      </c>
      <c r="Q103" s="146">
        <v>75.27</v>
      </c>
      <c r="S103" s="146">
        <v>-89.004999999999995</v>
      </c>
      <c r="T103" s="245"/>
      <c r="U103" s="148">
        <f t="shared" si="24"/>
        <v>6.2034739454094296</v>
      </c>
      <c r="V103" s="249">
        <f>(O103-I103)*100/I103</f>
        <v>5.2879581151832431</v>
      </c>
      <c r="W103" s="148">
        <f>(P103-J103)*100/J103</f>
        <v>4.0760869565217392</v>
      </c>
      <c r="X103" s="148">
        <f t="shared" si="26"/>
        <v>25.449999999999992</v>
      </c>
      <c r="Y103" s="148"/>
      <c r="Z103" s="148"/>
      <c r="AA103" s="258">
        <f t="shared" si="25"/>
        <v>6.2034739454094296</v>
      </c>
      <c r="AB103" s="258">
        <f>ABS(V103)</f>
        <v>5.2879581151832431</v>
      </c>
      <c r="AC103" s="258">
        <f>ABS(W103)</f>
        <v>4.0760869565217392</v>
      </c>
      <c r="AD103" s="258">
        <f t="shared" si="27"/>
        <v>25.449999999999992</v>
      </c>
      <c r="AE103" s="258"/>
    </row>
    <row r="104" spans="1:31" ht="15.75" customHeight="1" x14ac:dyDescent="0.2">
      <c r="T104" s="245"/>
      <c r="U104" s="146"/>
      <c r="V104" s="146"/>
      <c r="W104" s="146"/>
      <c r="X104" s="146"/>
      <c r="Y104" s="146"/>
      <c r="Z104" s="146"/>
    </row>
    <row r="105" spans="1:31" ht="15.75" customHeight="1" x14ac:dyDescent="0.2">
      <c r="T105" s="245"/>
      <c r="U105" s="146"/>
      <c r="V105" s="146"/>
      <c r="W105" s="146"/>
      <c r="X105" s="146"/>
      <c r="Y105" s="146"/>
      <c r="Z105" s="146"/>
    </row>
    <row r="106" spans="1:31" ht="15.75" customHeight="1" x14ac:dyDescent="0.2">
      <c r="T106" s="245"/>
      <c r="U106" s="146"/>
      <c r="V106" s="146"/>
      <c r="W106" s="146"/>
      <c r="X106" s="146"/>
      <c r="Y106" s="146"/>
      <c r="Z106" s="146"/>
    </row>
    <row r="107" spans="1:31" ht="15.75" customHeight="1" x14ac:dyDescent="0.2">
      <c r="T107" s="245"/>
      <c r="U107" s="146"/>
      <c r="V107" s="146"/>
      <c r="W107" s="146"/>
      <c r="X107" s="146"/>
      <c r="Y107" s="146"/>
      <c r="Z107" s="146"/>
    </row>
    <row r="108" spans="1:31" ht="15.75" customHeight="1" x14ac:dyDescent="0.2">
      <c r="T108" s="245"/>
      <c r="U108" s="146"/>
      <c r="V108" s="146"/>
      <c r="W108" s="146"/>
      <c r="X108" s="146"/>
      <c r="Y108" s="146"/>
      <c r="Z108" s="146"/>
    </row>
    <row r="109" spans="1:31" ht="15.75" customHeight="1" x14ac:dyDescent="0.2">
      <c r="T109" s="245"/>
      <c r="U109" s="146"/>
      <c r="V109" s="146"/>
      <c r="W109" s="146"/>
      <c r="X109" s="146"/>
      <c r="Y109" s="146"/>
      <c r="Z109" s="146"/>
    </row>
    <row r="110" spans="1:31" ht="15.75" customHeight="1" x14ac:dyDescent="0.2">
      <c r="T110" s="245"/>
      <c r="U110" s="146"/>
      <c r="V110" s="146"/>
      <c r="W110" s="146"/>
      <c r="X110" s="146"/>
      <c r="Y110" s="146"/>
      <c r="Z110" s="146"/>
    </row>
    <row r="111" spans="1:31" ht="15.75" customHeight="1" x14ac:dyDescent="0.2">
      <c r="T111" s="245"/>
      <c r="U111" s="146"/>
      <c r="V111" s="146"/>
      <c r="W111" s="146"/>
      <c r="X111" s="146"/>
      <c r="Y111" s="146"/>
      <c r="Z111" s="146"/>
    </row>
    <row r="112" spans="1:31" ht="15.75" customHeight="1" x14ac:dyDescent="0.2">
      <c r="T112" s="245"/>
      <c r="U112" s="146"/>
      <c r="V112" s="146"/>
      <c r="W112" s="146"/>
      <c r="X112" s="146"/>
      <c r="Y112" s="146"/>
      <c r="Z112" s="146"/>
    </row>
    <row r="113" spans="20:26" ht="15.75" customHeight="1" x14ac:dyDescent="0.2">
      <c r="T113" s="245"/>
      <c r="U113" s="146"/>
      <c r="V113" s="146"/>
      <c r="W113" s="146"/>
      <c r="X113" s="146"/>
      <c r="Y113" s="146"/>
      <c r="Z113" s="146"/>
    </row>
    <row r="114" spans="20:26" ht="15.75" customHeight="1" x14ac:dyDescent="0.2">
      <c r="T114" s="245"/>
      <c r="U114" s="146"/>
      <c r="V114" s="146"/>
      <c r="W114" s="146"/>
      <c r="X114" s="146"/>
      <c r="Y114" s="146"/>
      <c r="Z114" s="146"/>
    </row>
    <row r="115" spans="20:26" ht="15.75" customHeight="1" x14ac:dyDescent="0.2">
      <c r="T115" s="245"/>
      <c r="U115" s="146"/>
      <c r="V115" s="146"/>
      <c r="W115" s="146"/>
      <c r="X115" s="146"/>
      <c r="Y115" s="146"/>
      <c r="Z115" s="146"/>
    </row>
    <row r="116" spans="20:26" ht="15.75" customHeight="1" x14ac:dyDescent="0.2">
      <c r="T116" s="245"/>
      <c r="U116" s="146"/>
      <c r="V116" s="146"/>
      <c r="W116" s="146"/>
      <c r="X116" s="146"/>
      <c r="Y116" s="146"/>
      <c r="Z116" s="146"/>
    </row>
    <row r="117" spans="20:26" ht="15.75" customHeight="1" x14ac:dyDescent="0.2">
      <c r="T117" s="245"/>
      <c r="U117" s="146"/>
      <c r="V117" s="146"/>
      <c r="W117" s="146"/>
      <c r="X117" s="146"/>
      <c r="Y117" s="146"/>
      <c r="Z117" s="146"/>
    </row>
    <row r="118" spans="20:26" ht="15.75" customHeight="1" x14ac:dyDescent="0.2">
      <c r="T118" s="245"/>
      <c r="U118" s="146"/>
      <c r="V118" s="146"/>
      <c r="W118" s="146"/>
      <c r="X118" s="146"/>
      <c r="Y118" s="146"/>
      <c r="Z118" s="146"/>
    </row>
    <row r="119" spans="20:26" ht="15.75" customHeight="1" x14ac:dyDescent="0.2">
      <c r="T119" s="245"/>
      <c r="U119" s="146"/>
      <c r="V119" s="146"/>
      <c r="W119" s="146"/>
      <c r="X119" s="146"/>
      <c r="Y119" s="146"/>
      <c r="Z119" s="146"/>
    </row>
    <row r="120" spans="20:26" ht="15.75" customHeight="1" x14ac:dyDescent="0.2">
      <c r="T120" s="245"/>
      <c r="U120" s="146"/>
      <c r="V120" s="146"/>
      <c r="W120" s="146"/>
      <c r="X120" s="146"/>
      <c r="Y120" s="146"/>
      <c r="Z120" s="146"/>
    </row>
    <row r="121" spans="20:26" ht="15.75" customHeight="1" x14ac:dyDescent="0.2">
      <c r="T121" s="245"/>
      <c r="U121" s="146"/>
      <c r="V121" s="146"/>
      <c r="W121" s="146"/>
      <c r="X121" s="146"/>
      <c r="Y121" s="146"/>
      <c r="Z121" s="146"/>
    </row>
    <row r="122" spans="20:26" ht="15.75" customHeight="1" x14ac:dyDescent="0.2">
      <c r="T122" s="245"/>
      <c r="U122" s="146"/>
      <c r="V122" s="146"/>
      <c r="W122" s="146"/>
      <c r="X122" s="146"/>
      <c r="Y122" s="146"/>
      <c r="Z122" s="146"/>
    </row>
    <row r="123" spans="20:26" ht="15.75" customHeight="1" x14ac:dyDescent="0.2">
      <c r="T123" s="245"/>
      <c r="U123" s="146"/>
      <c r="V123" s="146"/>
      <c r="W123" s="146"/>
      <c r="X123" s="146"/>
      <c r="Y123" s="146"/>
      <c r="Z123" s="146"/>
    </row>
    <row r="124" spans="20:26" ht="15.75" customHeight="1" x14ac:dyDescent="0.2">
      <c r="T124" s="245"/>
      <c r="U124" s="146"/>
      <c r="V124" s="146"/>
      <c r="W124" s="146"/>
      <c r="X124" s="146"/>
      <c r="Y124" s="146"/>
      <c r="Z124" s="146"/>
    </row>
    <row r="125" spans="20:26" ht="15.75" customHeight="1" x14ac:dyDescent="0.2">
      <c r="T125" s="245"/>
      <c r="U125" s="146"/>
      <c r="V125" s="146"/>
      <c r="W125" s="146"/>
      <c r="X125" s="146"/>
      <c r="Y125" s="146"/>
      <c r="Z125" s="146"/>
    </row>
    <row r="126" spans="20:26" ht="15.75" customHeight="1" x14ac:dyDescent="0.2">
      <c r="T126" s="245"/>
      <c r="U126" s="146"/>
      <c r="V126" s="146"/>
      <c r="W126" s="146"/>
      <c r="X126" s="146"/>
      <c r="Y126" s="146"/>
      <c r="Z126" s="146"/>
    </row>
    <row r="127" spans="20:26" ht="15.75" customHeight="1" x14ac:dyDescent="0.2">
      <c r="T127" s="245"/>
      <c r="U127" s="146"/>
      <c r="V127" s="146"/>
      <c r="W127" s="146"/>
      <c r="X127" s="146"/>
      <c r="Y127" s="146"/>
      <c r="Z127" s="146"/>
    </row>
    <row r="128" spans="20:26" ht="15.75" customHeight="1" x14ac:dyDescent="0.2">
      <c r="T128" s="245"/>
      <c r="U128" s="146"/>
      <c r="V128" s="146"/>
      <c r="W128" s="146"/>
      <c r="X128" s="146"/>
      <c r="Y128" s="146"/>
      <c r="Z128" s="146"/>
    </row>
    <row r="129" spans="20:26" ht="15.75" customHeight="1" x14ac:dyDescent="0.2">
      <c r="T129" s="245"/>
      <c r="U129" s="146"/>
      <c r="V129" s="146"/>
      <c r="W129" s="146"/>
      <c r="X129" s="146"/>
      <c r="Y129" s="146"/>
      <c r="Z129" s="146"/>
    </row>
    <row r="130" spans="20:26" ht="15.75" customHeight="1" x14ac:dyDescent="0.2">
      <c r="T130" s="245"/>
      <c r="U130" s="146"/>
      <c r="V130" s="146"/>
      <c r="W130" s="146"/>
      <c r="X130" s="146"/>
      <c r="Y130" s="146"/>
      <c r="Z130" s="146"/>
    </row>
    <row r="131" spans="20:26" ht="15.75" customHeight="1" x14ac:dyDescent="0.2">
      <c r="T131" s="245"/>
      <c r="U131" s="146"/>
      <c r="V131" s="146"/>
      <c r="W131" s="146"/>
      <c r="X131" s="146"/>
      <c r="Y131" s="146"/>
      <c r="Z131" s="146"/>
    </row>
    <row r="132" spans="20:26" ht="15.75" customHeight="1" x14ac:dyDescent="0.2">
      <c r="T132" s="245"/>
      <c r="U132" s="146"/>
      <c r="V132" s="146"/>
      <c r="W132" s="146"/>
      <c r="X132" s="146"/>
      <c r="Y132" s="146"/>
      <c r="Z132" s="146"/>
    </row>
    <row r="133" spans="20:26" ht="15.75" customHeight="1" x14ac:dyDescent="0.2">
      <c r="T133" s="245"/>
      <c r="U133" s="146"/>
      <c r="V133" s="146"/>
      <c r="W133" s="146"/>
      <c r="X133" s="146"/>
      <c r="Y133" s="146"/>
      <c r="Z133" s="146"/>
    </row>
    <row r="134" spans="20:26" ht="15.75" customHeight="1" x14ac:dyDescent="0.2">
      <c r="T134" s="245"/>
      <c r="U134" s="146"/>
      <c r="V134" s="146"/>
      <c r="W134" s="146"/>
      <c r="X134" s="146"/>
      <c r="Y134" s="146"/>
      <c r="Z134" s="146"/>
    </row>
    <row r="135" spans="20:26" ht="15.75" customHeight="1" x14ac:dyDescent="0.2">
      <c r="T135" s="245"/>
      <c r="U135" s="146"/>
      <c r="V135" s="146"/>
      <c r="W135" s="146"/>
      <c r="X135" s="146"/>
      <c r="Y135" s="146"/>
      <c r="Z135" s="146"/>
    </row>
    <row r="136" spans="20:26" ht="15.75" customHeight="1" x14ac:dyDescent="0.2">
      <c r="T136" s="245"/>
      <c r="U136" s="146"/>
      <c r="V136" s="146"/>
      <c r="W136" s="146"/>
      <c r="X136" s="146"/>
      <c r="Y136" s="146"/>
      <c r="Z136" s="146"/>
    </row>
    <row r="137" spans="20:26" ht="15.75" customHeight="1" x14ac:dyDescent="0.2">
      <c r="T137" s="245"/>
      <c r="U137" s="146"/>
      <c r="V137" s="146"/>
      <c r="W137" s="146"/>
      <c r="X137" s="146"/>
      <c r="Y137" s="146"/>
      <c r="Z137" s="146"/>
    </row>
    <row r="138" spans="20:26" ht="15.75" customHeight="1" x14ac:dyDescent="0.2">
      <c r="T138" s="245"/>
      <c r="U138" s="146"/>
      <c r="V138" s="146"/>
      <c r="W138" s="146"/>
      <c r="X138" s="146"/>
      <c r="Y138" s="146"/>
      <c r="Z138" s="146"/>
    </row>
    <row r="139" spans="20:26" ht="15.75" customHeight="1" x14ac:dyDescent="0.2">
      <c r="T139" s="245"/>
      <c r="U139" s="146"/>
      <c r="V139" s="146"/>
      <c r="W139" s="146"/>
      <c r="X139" s="146"/>
      <c r="Y139" s="146"/>
      <c r="Z139" s="146"/>
    </row>
    <row r="140" spans="20:26" ht="15.75" customHeight="1" x14ac:dyDescent="0.2">
      <c r="T140" s="245"/>
      <c r="U140" s="146"/>
      <c r="V140" s="146"/>
      <c r="W140" s="146"/>
      <c r="X140" s="146"/>
      <c r="Y140" s="146"/>
      <c r="Z140" s="146"/>
    </row>
    <row r="141" spans="20:26" ht="15.75" customHeight="1" x14ac:dyDescent="0.2">
      <c r="T141" s="245"/>
      <c r="U141" s="146"/>
      <c r="V141" s="146"/>
      <c r="W141" s="146"/>
      <c r="X141" s="146"/>
      <c r="Y141" s="146"/>
      <c r="Z141" s="146"/>
    </row>
    <row r="142" spans="20:26" ht="15.75" customHeight="1" x14ac:dyDescent="0.2">
      <c r="T142" s="245"/>
      <c r="U142" s="146"/>
      <c r="V142" s="146"/>
      <c r="W142" s="146"/>
      <c r="X142" s="146"/>
      <c r="Y142" s="146"/>
      <c r="Z142" s="146"/>
    </row>
    <row r="143" spans="20:26" ht="15.75" customHeight="1" x14ac:dyDescent="0.2">
      <c r="T143" s="245"/>
      <c r="U143" s="146"/>
      <c r="V143" s="146"/>
      <c r="W143" s="146"/>
      <c r="X143" s="146"/>
      <c r="Y143" s="146"/>
      <c r="Z143" s="146"/>
    </row>
    <row r="144" spans="20:26" ht="15.75" customHeight="1" x14ac:dyDescent="0.2">
      <c r="T144" s="245"/>
      <c r="U144" s="146"/>
      <c r="V144" s="146"/>
      <c r="W144" s="146"/>
      <c r="X144" s="146"/>
      <c r="Y144" s="146"/>
      <c r="Z144" s="146"/>
    </row>
    <row r="145" spans="20:26" ht="15.75" customHeight="1" x14ac:dyDescent="0.2">
      <c r="T145" s="245"/>
      <c r="U145" s="146"/>
      <c r="V145" s="146"/>
      <c r="W145" s="146"/>
      <c r="X145" s="146"/>
      <c r="Y145" s="146"/>
      <c r="Z145" s="146"/>
    </row>
    <row r="146" spans="20:26" ht="15.75" customHeight="1" x14ac:dyDescent="0.2">
      <c r="T146" s="245"/>
      <c r="U146" s="146"/>
      <c r="V146" s="146"/>
      <c r="W146" s="146"/>
      <c r="X146" s="146"/>
      <c r="Y146" s="146"/>
      <c r="Z146" s="146"/>
    </row>
    <row r="147" spans="20:26" ht="15.75" customHeight="1" x14ac:dyDescent="0.2">
      <c r="T147" s="245"/>
      <c r="U147" s="146"/>
      <c r="V147" s="146"/>
      <c r="W147" s="146"/>
      <c r="X147" s="146"/>
      <c r="Y147" s="146"/>
      <c r="Z147" s="146"/>
    </row>
    <row r="148" spans="20:26" ht="15.75" customHeight="1" x14ac:dyDescent="0.2">
      <c r="T148" s="245"/>
      <c r="U148" s="146"/>
      <c r="V148" s="146"/>
      <c r="W148" s="146"/>
      <c r="X148" s="146"/>
      <c r="Y148" s="146"/>
      <c r="Z148" s="146"/>
    </row>
    <row r="149" spans="20:26" ht="15.75" customHeight="1" x14ac:dyDescent="0.2">
      <c r="T149" s="245"/>
      <c r="U149" s="146"/>
      <c r="V149" s="146"/>
      <c r="W149" s="146"/>
      <c r="X149" s="146"/>
      <c r="Y149" s="146"/>
      <c r="Z149" s="146"/>
    </row>
    <row r="150" spans="20:26" ht="15.75" customHeight="1" x14ac:dyDescent="0.2">
      <c r="T150" s="245"/>
      <c r="U150" s="146"/>
      <c r="V150" s="146"/>
      <c r="W150" s="146"/>
      <c r="X150" s="146"/>
      <c r="Y150" s="146"/>
      <c r="Z150" s="146"/>
    </row>
    <row r="151" spans="20:26" ht="15.75" customHeight="1" x14ac:dyDescent="0.2">
      <c r="T151" s="245"/>
      <c r="U151" s="146"/>
      <c r="V151" s="146"/>
      <c r="W151" s="146"/>
      <c r="X151" s="146"/>
      <c r="Y151" s="146"/>
      <c r="Z151" s="146"/>
    </row>
    <row r="152" spans="20:26" ht="15.75" customHeight="1" x14ac:dyDescent="0.2">
      <c r="T152" s="245"/>
      <c r="U152" s="146"/>
      <c r="V152" s="146"/>
      <c r="W152" s="146"/>
      <c r="X152" s="146"/>
      <c r="Y152" s="146"/>
      <c r="Z152" s="146"/>
    </row>
    <row r="153" spans="20:26" ht="15.75" customHeight="1" x14ac:dyDescent="0.2">
      <c r="T153" s="245"/>
      <c r="U153" s="146"/>
      <c r="V153" s="146"/>
      <c r="W153" s="146"/>
      <c r="X153" s="146"/>
      <c r="Y153" s="146"/>
      <c r="Z153" s="146"/>
    </row>
    <row r="154" spans="20:26" ht="15.75" customHeight="1" x14ac:dyDescent="0.2">
      <c r="T154" s="245"/>
      <c r="U154" s="146"/>
      <c r="V154" s="146"/>
      <c r="W154" s="146"/>
      <c r="X154" s="146"/>
      <c r="Y154" s="146"/>
      <c r="Z154" s="146"/>
    </row>
    <row r="155" spans="20:26" ht="15.75" customHeight="1" x14ac:dyDescent="0.2">
      <c r="T155" s="245"/>
      <c r="U155" s="146"/>
      <c r="V155" s="146"/>
      <c r="W155" s="146"/>
      <c r="X155" s="146"/>
      <c r="Y155" s="146"/>
      <c r="Z155" s="146"/>
    </row>
    <row r="156" spans="20:26" ht="15.75" customHeight="1" x14ac:dyDescent="0.2">
      <c r="T156" s="245"/>
      <c r="U156" s="146"/>
      <c r="V156" s="146"/>
      <c r="W156" s="146"/>
      <c r="X156" s="146"/>
      <c r="Y156" s="146"/>
      <c r="Z156" s="146"/>
    </row>
    <row r="157" spans="20:26" ht="15.75" customHeight="1" x14ac:dyDescent="0.2">
      <c r="T157" s="245"/>
      <c r="U157" s="146"/>
      <c r="V157" s="146"/>
      <c r="W157" s="146"/>
      <c r="X157" s="146"/>
      <c r="Y157" s="146"/>
      <c r="Z157" s="146"/>
    </row>
    <row r="158" spans="20:26" ht="15.75" customHeight="1" x14ac:dyDescent="0.2">
      <c r="T158" s="245"/>
      <c r="U158" s="146"/>
      <c r="V158" s="146"/>
      <c r="W158" s="146"/>
      <c r="X158" s="146"/>
      <c r="Y158" s="146"/>
      <c r="Z158" s="146"/>
    </row>
    <row r="159" spans="20:26" ht="15.75" customHeight="1" x14ac:dyDescent="0.2">
      <c r="T159" s="245"/>
      <c r="U159" s="146"/>
      <c r="V159" s="146"/>
      <c r="W159" s="146"/>
      <c r="X159" s="146"/>
      <c r="Y159" s="146"/>
      <c r="Z159" s="146"/>
    </row>
    <row r="160" spans="20:26" ht="15.75" customHeight="1" x14ac:dyDescent="0.2">
      <c r="T160" s="245"/>
      <c r="U160" s="146"/>
      <c r="V160" s="146"/>
      <c r="W160" s="146"/>
      <c r="X160" s="146"/>
      <c r="Y160" s="146"/>
      <c r="Z160" s="146"/>
    </row>
    <row r="161" spans="20:26" ht="15.75" customHeight="1" x14ac:dyDescent="0.2">
      <c r="T161" s="245"/>
      <c r="U161" s="146"/>
      <c r="V161" s="146"/>
      <c r="W161" s="146"/>
      <c r="X161" s="146"/>
      <c r="Y161" s="146"/>
      <c r="Z161" s="146"/>
    </row>
    <row r="162" spans="20:26" ht="15.75" customHeight="1" x14ac:dyDescent="0.2">
      <c r="T162" s="245"/>
      <c r="U162" s="146"/>
      <c r="V162" s="146"/>
      <c r="W162" s="146"/>
      <c r="X162" s="146"/>
      <c r="Y162" s="146"/>
      <c r="Z162" s="146"/>
    </row>
    <row r="163" spans="20:26" ht="15.75" customHeight="1" x14ac:dyDescent="0.2">
      <c r="T163" s="245"/>
      <c r="U163" s="146"/>
      <c r="V163" s="146"/>
      <c r="W163" s="146"/>
      <c r="X163" s="146"/>
      <c r="Y163" s="146"/>
      <c r="Z163" s="146"/>
    </row>
    <row r="164" spans="20:26" ht="15.75" customHeight="1" x14ac:dyDescent="0.2">
      <c r="T164" s="245"/>
      <c r="U164" s="146"/>
      <c r="V164" s="146"/>
      <c r="W164" s="146"/>
      <c r="X164" s="146"/>
      <c r="Y164" s="146"/>
      <c r="Z164" s="146"/>
    </row>
    <row r="165" spans="20:26" ht="15.75" customHeight="1" x14ac:dyDescent="0.2">
      <c r="T165" s="245"/>
      <c r="U165" s="146"/>
      <c r="V165" s="146"/>
      <c r="W165" s="146"/>
      <c r="X165" s="146"/>
      <c r="Y165" s="146"/>
      <c r="Z165" s="146"/>
    </row>
    <row r="166" spans="20:26" ht="15.75" customHeight="1" x14ac:dyDescent="0.2">
      <c r="T166" s="245"/>
      <c r="U166" s="146"/>
      <c r="V166" s="146"/>
      <c r="W166" s="146"/>
      <c r="X166" s="146"/>
      <c r="Y166" s="146"/>
      <c r="Z166" s="146"/>
    </row>
    <row r="167" spans="20:26" ht="15.75" customHeight="1" x14ac:dyDescent="0.2">
      <c r="T167" s="245"/>
      <c r="U167" s="146"/>
      <c r="V167" s="146"/>
      <c r="W167" s="146"/>
      <c r="X167" s="146"/>
      <c r="Y167" s="146"/>
      <c r="Z167" s="146"/>
    </row>
    <row r="168" spans="20:26" ht="15.75" customHeight="1" x14ac:dyDescent="0.2">
      <c r="T168" s="245"/>
      <c r="U168" s="146"/>
      <c r="V168" s="146"/>
      <c r="W168" s="146"/>
      <c r="X168" s="146"/>
      <c r="Y168" s="146"/>
      <c r="Z168" s="146"/>
    </row>
    <row r="169" spans="20:26" ht="15.75" customHeight="1" x14ac:dyDescent="0.2">
      <c r="T169" s="245"/>
      <c r="U169" s="146"/>
      <c r="V169" s="146"/>
      <c r="W169" s="146"/>
      <c r="X169" s="146"/>
      <c r="Y169" s="146"/>
      <c r="Z169" s="146"/>
    </row>
    <row r="170" spans="20:26" ht="15.75" customHeight="1" x14ac:dyDescent="0.2">
      <c r="T170" s="245"/>
      <c r="U170" s="146"/>
      <c r="V170" s="146"/>
      <c r="W170" s="146"/>
      <c r="X170" s="146"/>
      <c r="Y170" s="146"/>
      <c r="Z170" s="146"/>
    </row>
    <row r="171" spans="20:26" ht="15.75" customHeight="1" x14ac:dyDescent="0.2">
      <c r="T171" s="245"/>
      <c r="U171" s="146"/>
      <c r="V171" s="146"/>
      <c r="W171" s="146"/>
      <c r="X171" s="146"/>
      <c r="Y171" s="146"/>
      <c r="Z171" s="146"/>
    </row>
    <row r="172" spans="20:26" ht="15.75" customHeight="1" x14ac:dyDescent="0.2">
      <c r="T172" s="245"/>
      <c r="U172" s="146"/>
      <c r="V172" s="146"/>
      <c r="W172" s="146"/>
      <c r="X172" s="146"/>
      <c r="Y172" s="146"/>
      <c r="Z172" s="146"/>
    </row>
    <row r="173" spans="20:26" ht="15.75" customHeight="1" x14ac:dyDescent="0.2">
      <c r="T173" s="245"/>
      <c r="U173" s="146"/>
      <c r="V173" s="146"/>
      <c r="W173" s="146"/>
      <c r="X173" s="146"/>
      <c r="Y173" s="146"/>
      <c r="Z173" s="146"/>
    </row>
    <row r="174" spans="20:26" ht="15.75" customHeight="1" x14ac:dyDescent="0.2">
      <c r="T174" s="245"/>
      <c r="U174" s="146"/>
      <c r="V174" s="146"/>
      <c r="W174" s="146"/>
      <c r="X174" s="146"/>
      <c r="Y174" s="146"/>
      <c r="Z174" s="146"/>
    </row>
    <row r="175" spans="20:26" ht="15.75" customHeight="1" x14ac:dyDescent="0.2">
      <c r="T175" s="245"/>
      <c r="U175" s="146"/>
      <c r="V175" s="146"/>
      <c r="W175" s="146"/>
      <c r="X175" s="146"/>
      <c r="Y175" s="146"/>
      <c r="Z175" s="146"/>
    </row>
    <row r="176" spans="20:26" ht="15.75" customHeight="1" x14ac:dyDescent="0.2">
      <c r="T176" s="245"/>
      <c r="U176" s="146"/>
      <c r="V176" s="146"/>
      <c r="W176" s="146"/>
      <c r="X176" s="146"/>
      <c r="Y176" s="146"/>
      <c r="Z176" s="146"/>
    </row>
    <row r="177" spans="20:26" ht="15.75" customHeight="1" x14ac:dyDescent="0.2">
      <c r="T177" s="245"/>
      <c r="U177" s="146"/>
      <c r="V177" s="146"/>
      <c r="W177" s="146"/>
      <c r="X177" s="146"/>
      <c r="Y177" s="146"/>
      <c r="Z177" s="146"/>
    </row>
    <row r="178" spans="20:26" ht="15.75" customHeight="1" x14ac:dyDescent="0.2">
      <c r="T178" s="245"/>
      <c r="U178" s="146"/>
      <c r="V178" s="146"/>
      <c r="W178" s="146"/>
      <c r="X178" s="146"/>
      <c r="Y178" s="146"/>
      <c r="Z178" s="146"/>
    </row>
    <row r="179" spans="20:26" ht="15.75" customHeight="1" x14ac:dyDescent="0.2">
      <c r="T179" s="245"/>
      <c r="U179" s="146"/>
      <c r="V179" s="146"/>
      <c r="W179" s="146"/>
      <c r="X179" s="146"/>
      <c r="Y179" s="146"/>
      <c r="Z179" s="146"/>
    </row>
    <row r="180" spans="20:26" ht="15.75" customHeight="1" x14ac:dyDescent="0.2">
      <c r="T180" s="245"/>
      <c r="U180" s="146"/>
      <c r="V180" s="146"/>
      <c r="W180" s="146"/>
      <c r="X180" s="146"/>
      <c r="Y180" s="146"/>
      <c r="Z180" s="146"/>
    </row>
    <row r="181" spans="20:26" ht="15.75" customHeight="1" x14ac:dyDescent="0.2">
      <c r="T181" s="245"/>
      <c r="U181" s="146"/>
      <c r="V181" s="146"/>
      <c r="W181" s="146"/>
      <c r="X181" s="146"/>
      <c r="Y181" s="146"/>
      <c r="Z181" s="146"/>
    </row>
    <row r="182" spans="20:26" ht="15.75" customHeight="1" x14ac:dyDescent="0.2">
      <c r="T182" s="245"/>
      <c r="U182" s="146"/>
      <c r="V182" s="146"/>
      <c r="W182" s="146"/>
      <c r="X182" s="146"/>
      <c r="Y182" s="146"/>
      <c r="Z182" s="146"/>
    </row>
    <row r="183" spans="20:26" ht="15.75" customHeight="1" x14ac:dyDescent="0.2">
      <c r="T183" s="245"/>
      <c r="U183" s="146"/>
      <c r="V183" s="146"/>
      <c r="W183" s="146"/>
      <c r="X183" s="146"/>
      <c r="Y183" s="146"/>
      <c r="Z183" s="146"/>
    </row>
    <row r="184" spans="20:26" ht="15.75" customHeight="1" x14ac:dyDescent="0.2">
      <c r="T184" s="245"/>
      <c r="U184" s="146"/>
      <c r="V184" s="146"/>
      <c r="W184" s="146"/>
      <c r="X184" s="146"/>
      <c r="Y184" s="146"/>
      <c r="Z184" s="146"/>
    </row>
    <row r="185" spans="20:26" ht="15.75" customHeight="1" x14ac:dyDescent="0.2">
      <c r="T185" s="245"/>
      <c r="U185" s="146"/>
      <c r="V185" s="146"/>
      <c r="W185" s="146"/>
      <c r="X185" s="146"/>
      <c r="Y185" s="146"/>
      <c r="Z185" s="146"/>
    </row>
    <row r="186" spans="20:26" ht="15.75" customHeight="1" x14ac:dyDescent="0.2">
      <c r="T186" s="245"/>
      <c r="U186" s="146"/>
      <c r="V186" s="146"/>
      <c r="W186" s="146"/>
      <c r="X186" s="146"/>
      <c r="Y186" s="146"/>
      <c r="Z186" s="146"/>
    </row>
    <row r="187" spans="20:26" ht="15.75" customHeight="1" x14ac:dyDescent="0.2">
      <c r="T187" s="245"/>
      <c r="U187" s="146"/>
      <c r="V187" s="146"/>
      <c r="W187" s="146"/>
      <c r="X187" s="146"/>
      <c r="Y187" s="146"/>
      <c r="Z187" s="146"/>
    </row>
    <row r="188" spans="20:26" ht="15.75" customHeight="1" x14ac:dyDescent="0.2">
      <c r="T188" s="245"/>
      <c r="U188" s="146"/>
      <c r="V188" s="146"/>
      <c r="W188" s="146"/>
      <c r="X188" s="146"/>
      <c r="Y188" s="146"/>
      <c r="Z188" s="146"/>
    </row>
    <row r="189" spans="20:26" ht="15.75" customHeight="1" x14ac:dyDescent="0.2">
      <c r="T189" s="245"/>
      <c r="U189" s="146"/>
      <c r="V189" s="146"/>
      <c r="W189" s="146"/>
      <c r="X189" s="146"/>
      <c r="Y189" s="146"/>
      <c r="Z189" s="146"/>
    </row>
    <row r="190" spans="20:26" ht="15.75" customHeight="1" x14ac:dyDescent="0.2">
      <c r="T190" s="245"/>
      <c r="U190" s="146"/>
      <c r="V190" s="146"/>
      <c r="W190" s="146"/>
      <c r="X190" s="146"/>
      <c r="Y190" s="146"/>
      <c r="Z190" s="146"/>
    </row>
    <row r="191" spans="20:26" ht="15.75" customHeight="1" x14ac:dyDescent="0.2">
      <c r="T191" s="245"/>
      <c r="U191" s="146"/>
      <c r="V191" s="146"/>
      <c r="W191" s="146"/>
      <c r="X191" s="146"/>
      <c r="Y191" s="146"/>
      <c r="Z191" s="146"/>
    </row>
    <row r="192" spans="20:26" ht="15.75" customHeight="1" x14ac:dyDescent="0.2">
      <c r="T192" s="245"/>
      <c r="U192" s="146"/>
      <c r="V192" s="146"/>
      <c r="W192" s="146"/>
      <c r="X192" s="146"/>
      <c r="Y192" s="146"/>
      <c r="Z192" s="146"/>
    </row>
    <row r="193" spans="20:26" ht="15.75" customHeight="1" x14ac:dyDescent="0.2">
      <c r="T193" s="245"/>
      <c r="U193" s="146"/>
      <c r="V193" s="146"/>
      <c r="W193" s="146"/>
      <c r="X193" s="146"/>
      <c r="Y193" s="146"/>
      <c r="Z193" s="146"/>
    </row>
    <row r="194" spans="20:26" ht="15.75" customHeight="1" x14ac:dyDescent="0.2">
      <c r="T194" s="245"/>
      <c r="U194" s="146"/>
      <c r="V194" s="146"/>
      <c r="W194" s="146"/>
      <c r="X194" s="146"/>
      <c r="Y194" s="146"/>
      <c r="Z194" s="146"/>
    </row>
    <row r="195" spans="20:26" ht="15.75" customHeight="1" x14ac:dyDescent="0.2">
      <c r="T195" s="245"/>
      <c r="U195" s="146"/>
      <c r="V195" s="146"/>
      <c r="W195" s="146"/>
      <c r="X195" s="146"/>
      <c r="Y195" s="146"/>
      <c r="Z195" s="146"/>
    </row>
    <row r="196" spans="20:26" ht="15.75" customHeight="1" x14ac:dyDescent="0.2">
      <c r="T196" s="245"/>
      <c r="U196" s="146"/>
      <c r="V196" s="146"/>
      <c r="W196" s="146"/>
      <c r="X196" s="146"/>
      <c r="Y196" s="146"/>
      <c r="Z196" s="146"/>
    </row>
    <row r="197" spans="20:26" ht="15.75" customHeight="1" x14ac:dyDescent="0.2">
      <c r="T197" s="245"/>
      <c r="U197" s="146"/>
      <c r="V197" s="146"/>
      <c r="W197" s="146"/>
      <c r="X197" s="146"/>
      <c r="Y197" s="146"/>
      <c r="Z197" s="146"/>
    </row>
    <row r="198" spans="20:26" ht="15.75" customHeight="1" x14ac:dyDescent="0.2">
      <c r="T198" s="245"/>
      <c r="U198" s="146"/>
      <c r="V198" s="146"/>
      <c r="W198" s="146"/>
      <c r="X198" s="146"/>
      <c r="Y198" s="146"/>
      <c r="Z198" s="146"/>
    </row>
    <row r="199" spans="20:26" ht="15.75" customHeight="1" x14ac:dyDescent="0.2">
      <c r="T199" s="245"/>
      <c r="U199" s="146"/>
      <c r="V199" s="146"/>
      <c r="W199" s="146"/>
      <c r="X199" s="146"/>
      <c r="Y199" s="146"/>
      <c r="Z199" s="146"/>
    </row>
    <row r="200" spans="20:26" ht="15.75" customHeight="1" x14ac:dyDescent="0.2">
      <c r="T200" s="245"/>
      <c r="U200" s="146"/>
      <c r="V200" s="146"/>
      <c r="W200" s="146"/>
      <c r="X200" s="146"/>
      <c r="Y200" s="146"/>
      <c r="Z200" s="146"/>
    </row>
    <row r="201" spans="20:26" ht="15.75" customHeight="1" x14ac:dyDescent="0.2">
      <c r="T201" s="245"/>
      <c r="U201" s="146"/>
      <c r="V201" s="146"/>
      <c r="W201" s="146"/>
      <c r="X201" s="146"/>
      <c r="Y201" s="146"/>
      <c r="Z201" s="146"/>
    </row>
    <row r="202" spans="20:26" ht="15.75" customHeight="1" x14ac:dyDescent="0.2">
      <c r="T202" s="245"/>
      <c r="U202" s="146"/>
      <c r="V202" s="146"/>
      <c r="W202" s="146"/>
      <c r="X202" s="146"/>
      <c r="Y202" s="146"/>
      <c r="Z202" s="146"/>
    </row>
    <row r="203" spans="20:26" ht="15.75" customHeight="1" x14ac:dyDescent="0.2">
      <c r="T203" s="245"/>
      <c r="U203" s="146"/>
      <c r="V203" s="146"/>
      <c r="W203" s="146"/>
      <c r="X203" s="146"/>
      <c r="Y203" s="146"/>
      <c r="Z203" s="146"/>
    </row>
    <row r="204" spans="20:26" ht="15.75" customHeight="1" x14ac:dyDescent="0.2">
      <c r="T204" s="245"/>
      <c r="U204" s="146"/>
      <c r="V204" s="146"/>
      <c r="W204" s="146"/>
      <c r="X204" s="146"/>
      <c r="Y204" s="146"/>
      <c r="Z204" s="146"/>
    </row>
    <row r="205" spans="20:26" ht="15.75" customHeight="1" x14ac:dyDescent="0.2">
      <c r="T205" s="245"/>
      <c r="U205" s="146"/>
      <c r="V205" s="146"/>
      <c r="W205" s="146"/>
      <c r="X205" s="146"/>
      <c r="Y205" s="146"/>
      <c r="Z205" s="146"/>
    </row>
    <row r="206" spans="20:26" ht="15.75" customHeight="1" x14ac:dyDescent="0.2">
      <c r="T206" s="245"/>
      <c r="U206" s="146"/>
      <c r="V206" s="146"/>
      <c r="W206" s="146"/>
      <c r="X206" s="146"/>
      <c r="Y206" s="146"/>
      <c r="Z206" s="146"/>
    </row>
    <row r="207" spans="20:26" ht="15.75" customHeight="1" x14ac:dyDescent="0.2">
      <c r="T207" s="245"/>
      <c r="U207" s="146"/>
      <c r="V207" s="146"/>
      <c r="W207" s="146"/>
      <c r="X207" s="146"/>
      <c r="Y207" s="146"/>
      <c r="Z207" s="146"/>
    </row>
    <row r="208" spans="20:26" ht="15.75" customHeight="1" x14ac:dyDescent="0.2">
      <c r="T208" s="245"/>
      <c r="U208" s="146"/>
      <c r="V208" s="146"/>
      <c r="W208" s="146"/>
      <c r="X208" s="146"/>
      <c r="Y208" s="146"/>
      <c r="Z208" s="146"/>
    </row>
    <row r="209" spans="20:26" ht="15.75" customHeight="1" x14ac:dyDescent="0.2">
      <c r="T209" s="245"/>
      <c r="U209" s="146"/>
      <c r="V209" s="146"/>
      <c r="W209" s="146"/>
      <c r="X209" s="146"/>
      <c r="Y209" s="146"/>
      <c r="Z209" s="146"/>
    </row>
    <row r="210" spans="20:26" ht="15.75" customHeight="1" x14ac:dyDescent="0.2">
      <c r="T210" s="245"/>
      <c r="U210" s="146"/>
      <c r="V210" s="146"/>
      <c r="W210" s="146"/>
      <c r="X210" s="146"/>
      <c r="Y210" s="146"/>
      <c r="Z210" s="146"/>
    </row>
    <row r="211" spans="20:26" ht="15.75" customHeight="1" x14ac:dyDescent="0.2">
      <c r="T211" s="245"/>
      <c r="U211" s="146"/>
      <c r="V211" s="146"/>
      <c r="W211" s="146"/>
      <c r="X211" s="146"/>
      <c r="Y211" s="146"/>
      <c r="Z211" s="146"/>
    </row>
    <row r="212" spans="20:26" ht="15.75" customHeight="1" x14ac:dyDescent="0.2">
      <c r="T212" s="245"/>
      <c r="U212" s="146"/>
      <c r="V212" s="146"/>
      <c r="W212" s="146"/>
      <c r="X212" s="146"/>
      <c r="Y212" s="146"/>
      <c r="Z212" s="146"/>
    </row>
    <row r="213" spans="20:26" ht="15.75" customHeight="1" x14ac:dyDescent="0.2">
      <c r="T213" s="245"/>
      <c r="U213" s="146"/>
      <c r="V213" s="146"/>
      <c r="W213" s="146"/>
      <c r="X213" s="146"/>
      <c r="Y213" s="146"/>
      <c r="Z213" s="146"/>
    </row>
    <row r="214" spans="20:26" ht="15.75" customHeight="1" x14ac:dyDescent="0.2">
      <c r="T214" s="245"/>
      <c r="U214" s="146"/>
      <c r="V214" s="146"/>
      <c r="W214" s="146"/>
      <c r="X214" s="146"/>
      <c r="Y214" s="146"/>
      <c r="Z214" s="146"/>
    </row>
    <row r="215" spans="20:26" ht="15.75" customHeight="1" x14ac:dyDescent="0.2">
      <c r="T215" s="245"/>
      <c r="U215" s="146"/>
      <c r="V215" s="146"/>
      <c r="W215" s="146"/>
      <c r="X215" s="146"/>
      <c r="Y215" s="146"/>
      <c r="Z215" s="146"/>
    </row>
    <row r="216" spans="20:26" ht="15.75" customHeight="1" x14ac:dyDescent="0.2">
      <c r="T216" s="245"/>
      <c r="U216" s="146"/>
      <c r="V216" s="146"/>
      <c r="W216" s="146"/>
      <c r="X216" s="146"/>
      <c r="Y216" s="146"/>
      <c r="Z216" s="146"/>
    </row>
    <row r="217" spans="20:26" ht="15.75" customHeight="1" x14ac:dyDescent="0.2">
      <c r="T217" s="245"/>
      <c r="U217" s="146"/>
      <c r="V217" s="146"/>
      <c r="W217" s="146"/>
      <c r="X217" s="146"/>
      <c r="Y217" s="146"/>
      <c r="Z217" s="146"/>
    </row>
    <row r="218" spans="20:26" ht="15.75" customHeight="1" x14ac:dyDescent="0.2">
      <c r="T218" s="245"/>
      <c r="U218" s="146"/>
      <c r="V218" s="146"/>
      <c r="W218" s="146"/>
      <c r="X218" s="146"/>
      <c r="Y218" s="146"/>
      <c r="Z218" s="146"/>
    </row>
    <row r="219" spans="20:26" ht="15.75" customHeight="1" x14ac:dyDescent="0.2">
      <c r="T219" s="245"/>
      <c r="U219" s="146"/>
      <c r="V219" s="146"/>
      <c r="W219" s="146"/>
      <c r="X219" s="146"/>
      <c r="Y219" s="146"/>
      <c r="Z219" s="146"/>
    </row>
    <row r="220" spans="20:26" ht="15.75" customHeight="1" x14ac:dyDescent="0.2">
      <c r="T220" s="245"/>
      <c r="U220" s="146"/>
      <c r="V220" s="146"/>
      <c r="W220" s="146"/>
      <c r="X220" s="146"/>
      <c r="Y220" s="146"/>
      <c r="Z220" s="146"/>
    </row>
    <row r="221" spans="20:26" ht="15.75" customHeight="1" x14ac:dyDescent="0.2">
      <c r="T221" s="245"/>
      <c r="U221" s="146"/>
      <c r="V221" s="146"/>
      <c r="W221" s="146"/>
      <c r="X221" s="146"/>
      <c r="Y221" s="146"/>
      <c r="Z221" s="146"/>
    </row>
    <row r="222" spans="20:26" ht="15.75" customHeight="1" x14ac:dyDescent="0.2">
      <c r="T222" s="245"/>
      <c r="U222" s="146"/>
      <c r="V222" s="146"/>
      <c r="W222" s="146"/>
      <c r="X222" s="146"/>
      <c r="Y222" s="146"/>
      <c r="Z222" s="146"/>
    </row>
    <row r="223" spans="20:26" ht="15.75" customHeight="1" x14ac:dyDescent="0.2">
      <c r="T223" s="245"/>
      <c r="U223" s="146"/>
      <c r="V223" s="146"/>
      <c r="W223" s="146"/>
      <c r="X223" s="146"/>
      <c r="Y223" s="146"/>
      <c r="Z223" s="146"/>
    </row>
    <row r="224" spans="20:26" ht="15.75" customHeight="1" x14ac:dyDescent="0.2">
      <c r="T224" s="245"/>
      <c r="U224" s="146"/>
      <c r="V224" s="146"/>
      <c r="W224" s="146"/>
      <c r="X224" s="146"/>
      <c r="Y224" s="146"/>
      <c r="Z224" s="146"/>
    </row>
    <row r="225" spans="20:26" ht="15.75" customHeight="1" x14ac:dyDescent="0.2">
      <c r="T225" s="245"/>
      <c r="U225" s="146"/>
      <c r="V225" s="146"/>
      <c r="W225" s="146"/>
      <c r="X225" s="146"/>
      <c r="Y225" s="146"/>
      <c r="Z225" s="146"/>
    </row>
    <row r="226" spans="20:26" ht="15.75" customHeight="1" x14ac:dyDescent="0.2">
      <c r="T226" s="245"/>
      <c r="U226" s="146"/>
      <c r="V226" s="146"/>
      <c r="W226" s="146"/>
      <c r="X226" s="146"/>
      <c r="Y226" s="146"/>
      <c r="Z226" s="146"/>
    </row>
    <row r="227" spans="20:26" ht="15.75" customHeight="1" x14ac:dyDescent="0.2">
      <c r="T227" s="245"/>
      <c r="U227" s="146"/>
      <c r="V227" s="146"/>
      <c r="W227" s="146"/>
      <c r="X227" s="146"/>
      <c r="Y227" s="146"/>
      <c r="Z227" s="146"/>
    </row>
    <row r="228" spans="20:26" ht="15.75" customHeight="1" x14ac:dyDescent="0.2">
      <c r="T228" s="245"/>
      <c r="U228" s="146"/>
      <c r="V228" s="146"/>
      <c r="W228" s="146"/>
      <c r="X228" s="146"/>
      <c r="Y228" s="146"/>
      <c r="Z228" s="146"/>
    </row>
    <row r="229" spans="20:26" ht="15.75" customHeight="1" x14ac:dyDescent="0.2">
      <c r="T229" s="245"/>
      <c r="U229" s="146"/>
      <c r="V229" s="146"/>
      <c r="W229" s="146"/>
      <c r="X229" s="146"/>
      <c r="Y229" s="146"/>
      <c r="Z229" s="146"/>
    </row>
    <row r="230" spans="20:26" ht="15.75" customHeight="1" x14ac:dyDescent="0.2">
      <c r="T230" s="245"/>
      <c r="U230" s="146"/>
      <c r="V230" s="146"/>
      <c r="W230" s="146"/>
      <c r="X230" s="146"/>
      <c r="Y230" s="146"/>
      <c r="Z230" s="146"/>
    </row>
    <row r="231" spans="20:26" ht="15.75" customHeight="1" x14ac:dyDescent="0.2">
      <c r="T231" s="245"/>
      <c r="U231" s="146"/>
      <c r="V231" s="146"/>
      <c r="W231" s="146"/>
      <c r="X231" s="146"/>
      <c r="Y231" s="146"/>
      <c r="Z231" s="146"/>
    </row>
    <row r="232" spans="20:26" ht="15.75" customHeight="1" x14ac:dyDescent="0.2">
      <c r="T232" s="245"/>
      <c r="U232" s="146"/>
      <c r="V232" s="146"/>
      <c r="W232" s="146"/>
      <c r="X232" s="146"/>
      <c r="Y232" s="146"/>
      <c r="Z232" s="146"/>
    </row>
    <row r="233" spans="20:26" ht="15.75" customHeight="1" x14ac:dyDescent="0.2">
      <c r="T233" s="245"/>
      <c r="U233" s="146"/>
      <c r="V233" s="146"/>
      <c r="W233" s="146"/>
      <c r="X233" s="146"/>
      <c r="Y233" s="146"/>
      <c r="Z233" s="146"/>
    </row>
    <row r="234" spans="20:26" ht="15.75" customHeight="1" x14ac:dyDescent="0.2">
      <c r="T234" s="245"/>
      <c r="U234" s="146"/>
      <c r="V234" s="146"/>
      <c r="W234" s="146"/>
      <c r="X234" s="146"/>
      <c r="Y234" s="146"/>
      <c r="Z234" s="146"/>
    </row>
    <row r="235" spans="20:26" ht="15.75" customHeight="1" x14ac:dyDescent="0.2">
      <c r="T235" s="245"/>
      <c r="U235" s="146"/>
      <c r="V235" s="146"/>
      <c r="W235" s="146"/>
      <c r="X235" s="146"/>
      <c r="Y235" s="146"/>
      <c r="Z235" s="146"/>
    </row>
    <row r="236" spans="20:26" ht="15.75" customHeight="1" x14ac:dyDescent="0.2">
      <c r="T236" s="245"/>
      <c r="U236" s="146"/>
      <c r="V236" s="146"/>
      <c r="W236" s="146"/>
      <c r="X236" s="146"/>
      <c r="Y236" s="146"/>
      <c r="Z236" s="146"/>
    </row>
    <row r="237" spans="20:26" ht="15.75" customHeight="1" x14ac:dyDescent="0.2">
      <c r="T237" s="245"/>
      <c r="U237" s="146"/>
      <c r="V237" s="146"/>
      <c r="W237" s="146"/>
      <c r="X237" s="146"/>
      <c r="Y237" s="146"/>
      <c r="Z237" s="146"/>
    </row>
    <row r="238" spans="20:26" ht="15.75" customHeight="1" x14ac:dyDescent="0.2">
      <c r="T238" s="245"/>
      <c r="U238" s="146"/>
      <c r="V238" s="146"/>
      <c r="W238" s="146"/>
      <c r="X238" s="146"/>
      <c r="Y238" s="146"/>
      <c r="Z238" s="146"/>
    </row>
    <row r="239" spans="20:26" ht="15.75" customHeight="1" x14ac:dyDescent="0.2">
      <c r="T239" s="245"/>
      <c r="U239" s="146"/>
      <c r="V239" s="146"/>
      <c r="W239" s="146"/>
      <c r="X239" s="146"/>
      <c r="Y239" s="146"/>
      <c r="Z239" s="146"/>
    </row>
    <row r="240" spans="20:26" ht="15.75" customHeight="1" x14ac:dyDescent="0.2">
      <c r="T240" s="245"/>
      <c r="U240" s="146"/>
      <c r="V240" s="146"/>
      <c r="W240" s="146"/>
      <c r="X240" s="146"/>
      <c r="Y240" s="146"/>
      <c r="Z240" s="146"/>
    </row>
    <row r="241" spans="20:26" ht="15.75" customHeight="1" x14ac:dyDescent="0.2">
      <c r="T241" s="245"/>
      <c r="U241" s="146"/>
      <c r="V241" s="146"/>
      <c r="W241" s="146"/>
      <c r="X241" s="146"/>
      <c r="Y241" s="146"/>
      <c r="Z241" s="146"/>
    </row>
    <row r="242" spans="20:26" ht="15.75" customHeight="1" x14ac:dyDescent="0.2">
      <c r="T242" s="245"/>
      <c r="U242" s="146"/>
      <c r="V242" s="146"/>
      <c r="W242" s="146"/>
      <c r="X242" s="146"/>
      <c r="Y242" s="146"/>
      <c r="Z242" s="146"/>
    </row>
    <row r="243" spans="20:26" ht="15.75" customHeight="1" x14ac:dyDescent="0.2">
      <c r="T243" s="245"/>
      <c r="U243" s="146"/>
      <c r="V243" s="146"/>
      <c r="W243" s="146"/>
      <c r="X243" s="146"/>
      <c r="Y243" s="146"/>
      <c r="Z243" s="146"/>
    </row>
    <row r="244" spans="20:26" ht="15.75" customHeight="1" x14ac:dyDescent="0.2">
      <c r="T244" s="245"/>
      <c r="U244" s="146"/>
      <c r="V244" s="146"/>
      <c r="W244" s="146"/>
      <c r="X244" s="146"/>
      <c r="Y244" s="146"/>
      <c r="Z244" s="146"/>
    </row>
    <row r="245" spans="20:26" ht="15.75" customHeight="1" x14ac:dyDescent="0.2">
      <c r="T245" s="245"/>
      <c r="U245" s="146"/>
      <c r="V245" s="146"/>
      <c r="W245" s="146"/>
      <c r="X245" s="146"/>
      <c r="Y245" s="146"/>
      <c r="Z245" s="146"/>
    </row>
    <row r="246" spans="20:26" ht="15.75" customHeight="1" x14ac:dyDescent="0.2">
      <c r="T246" s="245"/>
      <c r="U246" s="146"/>
      <c r="V246" s="146"/>
      <c r="W246" s="146"/>
      <c r="X246" s="146"/>
      <c r="Y246" s="146"/>
      <c r="Z246" s="146"/>
    </row>
    <row r="247" spans="20:26" ht="15.75" customHeight="1" x14ac:dyDescent="0.2">
      <c r="T247" s="245"/>
      <c r="U247" s="146"/>
      <c r="V247" s="146"/>
      <c r="W247" s="146"/>
      <c r="X247" s="146"/>
      <c r="Y247" s="146"/>
      <c r="Z247" s="146"/>
    </row>
    <row r="248" spans="20:26" ht="15.75" customHeight="1" x14ac:dyDescent="0.2">
      <c r="T248" s="245"/>
      <c r="U248" s="146"/>
      <c r="V248" s="146"/>
      <c r="W248" s="146"/>
      <c r="X248" s="146"/>
      <c r="Y248" s="146"/>
      <c r="Z248" s="146"/>
    </row>
    <row r="249" spans="20:26" ht="15.75" customHeight="1" x14ac:dyDescent="0.2">
      <c r="T249" s="245"/>
      <c r="U249" s="146"/>
      <c r="V249" s="146"/>
      <c r="W249" s="146"/>
      <c r="X249" s="146"/>
      <c r="Y249" s="146"/>
      <c r="Z249" s="146"/>
    </row>
    <row r="250" spans="20:26" ht="15.75" customHeight="1" x14ac:dyDescent="0.2">
      <c r="T250" s="245"/>
      <c r="U250" s="146"/>
      <c r="V250" s="146"/>
      <c r="W250" s="146"/>
      <c r="X250" s="146"/>
      <c r="Y250" s="146"/>
      <c r="Z250" s="146"/>
    </row>
    <row r="251" spans="20:26" ht="15.75" customHeight="1" x14ac:dyDescent="0.2">
      <c r="T251" s="245"/>
      <c r="U251" s="146"/>
      <c r="V251" s="146"/>
      <c r="W251" s="146"/>
      <c r="X251" s="146"/>
      <c r="Y251" s="146"/>
      <c r="Z251" s="146"/>
    </row>
    <row r="252" spans="20:26" ht="15.75" customHeight="1" x14ac:dyDescent="0.2">
      <c r="T252" s="245"/>
      <c r="U252" s="146"/>
      <c r="V252" s="146"/>
      <c r="W252" s="146"/>
      <c r="X252" s="146"/>
      <c r="Y252" s="146"/>
      <c r="Z252" s="146"/>
    </row>
    <row r="253" spans="20:26" ht="15.75" customHeight="1" x14ac:dyDescent="0.2">
      <c r="T253" s="245"/>
      <c r="U253" s="146"/>
      <c r="V253" s="146"/>
      <c r="W253" s="146"/>
      <c r="X253" s="146"/>
      <c r="Y253" s="146"/>
      <c r="Z253" s="146"/>
    </row>
    <row r="254" spans="20:26" ht="15.75" customHeight="1" x14ac:dyDescent="0.2">
      <c r="T254" s="245"/>
      <c r="U254" s="146"/>
      <c r="V254" s="146"/>
      <c r="W254" s="146"/>
      <c r="X254" s="146"/>
      <c r="Y254" s="146"/>
      <c r="Z254" s="146"/>
    </row>
    <row r="255" spans="20:26" ht="15.75" customHeight="1" x14ac:dyDescent="0.2">
      <c r="T255" s="245"/>
      <c r="U255" s="146"/>
      <c r="V255" s="146"/>
      <c r="W255" s="146"/>
      <c r="X255" s="146"/>
      <c r="Y255" s="146"/>
      <c r="Z255" s="146"/>
    </row>
    <row r="256" spans="20:26" ht="15.75" customHeight="1" x14ac:dyDescent="0.2">
      <c r="T256" s="245"/>
      <c r="U256" s="146"/>
      <c r="V256" s="146"/>
      <c r="W256" s="146"/>
      <c r="X256" s="146"/>
      <c r="Y256" s="146"/>
      <c r="Z256" s="146"/>
    </row>
    <row r="257" spans="20:26" ht="15.75" customHeight="1" x14ac:dyDescent="0.2">
      <c r="T257" s="245"/>
      <c r="U257" s="146"/>
      <c r="V257" s="146"/>
      <c r="W257" s="146"/>
      <c r="X257" s="146"/>
      <c r="Y257" s="146"/>
      <c r="Z257" s="146"/>
    </row>
    <row r="258" spans="20:26" ht="15.75" customHeight="1" x14ac:dyDescent="0.2">
      <c r="T258" s="245"/>
      <c r="U258" s="146"/>
      <c r="V258" s="146"/>
      <c r="W258" s="146"/>
      <c r="X258" s="146"/>
      <c r="Y258" s="146"/>
      <c r="Z258" s="146"/>
    </row>
    <row r="259" spans="20:26" ht="15.75" customHeight="1" x14ac:dyDescent="0.2">
      <c r="T259" s="245"/>
      <c r="U259" s="146"/>
      <c r="V259" s="146"/>
      <c r="W259" s="146"/>
      <c r="X259" s="146"/>
      <c r="Y259" s="146"/>
      <c r="Z259" s="146"/>
    </row>
    <row r="260" spans="20:26" ht="15.75" customHeight="1" x14ac:dyDescent="0.2">
      <c r="T260" s="245"/>
      <c r="U260" s="146"/>
      <c r="V260" s="146"/>
      <c r="W260" s="146"/>
      <c r="X260" s="146"/>
      <c r="Y260" s="146"/>
      <c r="Z260" s="146"/>
    </row>
    <row r="261" spans="20:26" ht="15.75" customHeight="1" x14ac:dyDescent="0.2">
      <c r="T261" s="245"/>
      <c r="U261" s="146"/>
      <c r="V261" s="146"/>
      <c r="W261" s="146"/>
      <c r="X261" s="146"/>
      <c r="Y261" s="146"/>
      <c r="Z261" s="146"/>
    </row>
    <row r="262" spans="20:26" ht="15.75" customHeight="1" x14ac:dyDescent="0.2">
      <c r="T262" s="245"/>
      <c r="U262" s="146"/>
      <c r="V262" s="146"/>
      <c r="W262" s="146"/>
      <c r="X262" s="146"/>
      <c r="Y262" s="146"/>
      <c r="Z262" s="146"/>
    </row>
    <row r="263" spans="20:26" ht="15.75" customHeight="1" x14ac:dyDescent="0.2">
      <c r="T263" s="245"/>
      <c r="U263" s="146"/>
      <c r="V263" s="146"/>
      <c r="W263" s="146"/>
      <c r="X263" s="146"/>
      <c r="Y263" s="146"/>
      <c r="Z263" s="146"/>
    </row>
    <row r="264" spans="20:26" ht="15.75" customHeight="1" x14ac:dyDescent="0.2">
      <c r="T264" s="245"/>
      <c r="U264" s="146"/>
      <c r="V264" s="146"/>
      <c r="W264" s="146"/>
      <c r="X264" s="146"/>
      <c r="Y264" s="146"/>
      <c r="Z264" s="146"/>
    </row>
    <row r="265" spans="20:26" ht="15.75" customHeight="1" x14ac:dyDescent="0.2">
      <c r="T265" s="245"/>
      <c r="U265" s="146"/>
      <c r="V265" s="146"/>
      <c r="W265" s="146"/>
      <c r="X265" s="146"/>
      <c r="Y265" s="146"/>
      <c r="Z265" s="146"/>
    </row>
    <row r="266" spans="20:26" ht="15.75" customHeight="1" x14ac:dyDescent="0.2">
      <c r="T266" s="245"/>
      <c r="U266" s="146"/>
      <c r="V266" s="146"/>
      <c r="W266" s="146"/>
      <c r="X266" s="146"/>
      <c r="Y266" s="146"/>
      <c r="Z266" s="146"/>
    </row>
    <row r="267" spans="20:26" ht="15.75" customHeight="1" x14ac:dyDescent="0.2">
      <c r="T267" s="245"/>
      <c r="U267" s="146"/>
      <c r="V267" s="146"/>
      <c r="W267" s="146"/>
      <c r="X267" s="146"/>
      <c r="Y267" s="146"/>
      <c r="Z267" s="146"/>
    </row>
    <row r="268" spans="20:26" ht="15.75" customHeight="1" x14ac:dyDescent="0.2">
      <c r="T268" s="245"/>
      <c r="U268" s="146"/>
      <c r="V268" s="146"/>
      <c r="W268" s="146"/>
      <c r="X268" s="146"/>
      <c r="Y268" s="146"/>
      <c r="Z268" s="146"/>
    </row>
    <row r="269" spans="20:26" ht="15.75" customHeight="1" x14ac:dyDescent="0.2">
      <c r="T269" s="245"/>
      <c r="U269" s="146"/>
      <c r="V269" s="146"/>
      <c r="W269" s="146"/>
      <c r="X269" s="146"/>
      <c r="Y269" s="146"/>
      <c r="Z269" s="146"/>
    </row>
    <row r="270" spans="20:26" ht="15.75" customHeight="1" x14ac:dyDescent="0.2">
      <c r="T270" s="245"/>
      <c r="U270" s="146"/>
      <c r="V270" s="146"/>
      <c r="W270" s="146"/>
      <c r="X270" s="146"/>
      <c r="Y270" s="146"/>
      <c r="Z270" s="146"/>
    </row>
    <row r="271" spans="20:26" ht="15.75" customHeight="1" x14ac:dyDescent="0.2">
      <c r="T271" s="245"/>
      <c r="U271" s="146"/>
      <c r="V271" s="146"/>
      <c r="W271" s="146"/>
      <c r="X271" s="146"/>
      <c r="Y271" s="146"/>
      <c r="Z271" s="146"/>
    </row>
    <row r="272" spans="20:26" ht="15.75" customHeight="1" x14ac:dyDescent="0.2">
      <c r="T272" s="245"/>
      <c r="U272" s="146"/>
      <c r="V272" s="146"/>
      <c r="W272" s="146"/>
      <c r="X272" s="146"/>
      <c r="Y272" s="146"/>
      <c r="Z272" s="146"/>
    </row>
    <row r="273" spans="20:26" ht="15.75" customHeight="1" x14ac:dyDescent="0.2">
      <c r="T273" s="245"/>
      <c r="U273" s="146"/>
      <c r="V273" s="146"/>
      <c r="W273" s="146"/>
      <c r="X273" s="146"/>
      <c r="Y273" s="146"/>
      <c r="Z273" s="146"/>
    </row>
    <row r="274" spans="20:26" ht="15.75" customHeight="1" x14ac:dyDescent="0.2">
      <c r="T274" s="245"/>
      <c r="U274" s="146"/>
      <c r="V274" s="146"/>
      <c r="W274" s="146"/>
      <c r="X274" s="146"/>
      <c r="Y274" s="146"/>
      <c r="Z274" s="146"/>
    </row>
    <row r="275" spans="20:26" ht="15.75" customHeight="1" x14ac:dyDescent="0.2">
      <c r="T275" s="245"/>
      <c r="U275" s="146"/>
      <c r="V275" s="146"/>
      <c r="W275" s="146"/>
      <c r="X275" s="146"/>
      <c r="Y275" s="146"/>
      <c r="Z275" s="146"/>
    </row>
    <row r="276" spans="20:26" ht="15.75" customHeight="1" x14ac:dyDescent="0.2">
      <c r="T276" s="245"/>
      <c r="U276" s="146"/>
      <c r="V276" s="146"/>
      <c r="W276" s="146"/>
      <c r="X276" s="146"/>
      <c r="Y276" s="146"/>
      <c r="Z276" s="146"/>
    </row>
    <row r="277" spans="20:26" ht="15.75" customHeight="1" x14ac:dyDescent="0.2">
      <c r="T277" s="245"/>
      <c r="U277" s="146"/>
      <c r="V277" s="146"/>
      <c r="W277" s="146"/>
      <c r="X277" s="146"/>
      <c r="Y277" s="146"/>
      <c r="Z277" s="146"/>
    </row>
    <row r="278" spans="20:26" ht="15.75" customHeight="1" x14ac:dyDescent="0.2">
      <c r="T278" s="245"/>
      <c r="U278" s="146"/>
      <c r="V278" s="146"/>
      <c r="W278" s="146"/>
      <c r="X278" s="146"/>
      <c r="Y278" s="146"/>
      <c r="Z278" s="146"/>
    </row>
    <row r="279" spans="20:26" ht="15.75" customHeight="1" x14ac:dyDescent="0.2">
      <c r="T279" s="245"/>
      <c r="U279" s="146"/>
      <c r="V279" s="146"/>
      <c r="W279" s="146"/>
      <c r="X279" s="146"/>
      <c r="Y279" s="146"/>
      <c r="Z279" s="146"/>
    </row>
    <row r="280" spans="20:26" ht="15.75" customHeight="1" x14ac:dyDescent="0.2">
      <c r="T280" s="245"/>
      <c r="U280" s="146"/>
      <c r="V280" s="146"/>
      <c r="W280" s="146"/>
      <c r="X280" s="146"/>
      <c r="Y280" s="146"/>
      <c r="Z280" s="146"/>
    </row>
    <row r="281" spans="20:26" ht="15.75" customHeight="1" x14ac:dyDescent="0.2">
      <c r="T281" s="245"/>
      <c r="U281" s="146"/>
      <c r="V281" s="146"/>
      <c r="W281" s="146"/>
      <c r="X281" s="146"/>
      <c r="Y281" s="146"/>
      <c r="Z281" s="146"/>
    </row>
    <row r="282" spans="20:26" ht="15.75" customHeight="1" x14ac:dyDescent="0.2">
      <c r="T282" s="245"/>
      <c r="U282" s="146"/>
      <c r="V282" s="146"/>
      <c r="W282" s="146"/>
      <c r="X282" s="146"/>
      <c r="Y282" s="146"/>
      <c r="Z282" s="146"/>
    </row>
    <row r="283" spans="20:26" ht="15.75" customHeight="1" x14ac:dyDescent="0.2">
      <c r="T283" s="245"/>
      <c r="U283" s="146"/>
      <c r="V283" s="146"/>
      <c r="W283" s="146"/>
      <c r="X283" s="146"/>
      <c r="Y283" s="146"/>
      <c r="Z283" s="146"/>
    </row>
    <row r="284" spans="20:26" ht="15.75" customHeight="1" x14ac:dyDescent="0.2">
      <c r="T284" s="245"/>
      <c r="U284" s="146"/>
      <c r="V284" s="146"/>
      <c r="W284" s="146"/>
      <c r="X284" s="146"/>
      <c r="Y284" s="146"/>
      <c r="Z284" s="146"/>
    </row>
    <row r="285" spans="20:26" ht="15.75" customHeight="1" x14ac:dyDescent="0.2">
      <c r="T285" s="245"/>
      <c r="U285" s="146"/>
      <c r="V285" s="146"/>
      <c r="W285" s="146"/>
      <c r="X285" s="146"/>
      <c r="Y285" s="146"/>
      <c r="Z285" s="146"/>
    </row>
    <row r="286" spans="20:26" ht="15.75" customHeight="1" x14ac:dyDescent="0.2">
      <c r="T286" s="245"/>
      <c r="U286" s="146"/>
      <c r="V286" s="146"/>
      <c r="W286" s="146"/>
      <c r="X286" s="146"/>
      <c r="Y286" s="146"/>
      <c r="Z286" s="146"/>
    </row>
    <row r="287" spans="20:26" ht="15.75" customHeight="1" x14ac:dyDescent="0.2">
      <c r="T287" s="245"/>
      <c r="U287" s="146"/>
      <c r="V287" s="146"/>
      <c r="W287" s="146"/>
      <c r="X287" s="146"/>
      <c r="Y287" s="146"/>
      <c r="Z287" s="146"/>
    </row>
    <row r="288" spans="20:26" ht="15.75" customHeight="1" x14ac:dyDescent="0.2">
      <c r="T288" s="245"/>
      <c r="U288" s="146"/>
      <c r="V288" s="146"/>
      <c r="W288" s="146"/>
      <c r="X288" s="146"/>
      <c r="Y288" s="146"/>
      <c r="Z288" s="146"/>
    </row>
    <row r="289" spans="20:26" ht="15.75" customHeight="1" x14ac:dyDescent="0.2">
      <c r="T289" s="245"/>
      <c r="U289" s="146"/>
      <c r="V289" s="146"/>
      <c r="W289" s="146"/>
      <c r="X289" s="146"/>
      <c r="Y289" s="146"/>
      <c r="Z289" s="146"/>
    </row>
    <row r="290" spans="20:26" ht="15.75" customHeight="1" x14ac:dyDescent="0.2">
      <c r="T290" s="245"/>
      <c r="U290" s="146"/>
      <c r="V290" s="146"/>
      <c r="W290" s="146"/>
      <c r="X290" s="146"/>
      <c r="Y290" s="146"/>
      <c r="Z290" s="146"/>
    </row>
    <row r="291" spans="20:26" ht="15.75" customHeight="1" x14ac:dyDescent="0.2">
      <c r="T291" s="245"/>
      <c r="U291" s="146"/>
      <c r="V291" s="146"/>
      <c r="W291" s="146"/>
      <c r="X291" s="146"/>
      <c r="Y291" s="146"/>
      <c r="Z291" s="146"/>
    </row>
    <row r="292" spans="20:26" ht="15.75" customHeight="1" x14ac:dyDescent="0.2">
      <c r="T292" s="245"/>
      <c r="U292" s="146"/>
      <c r="V292" s="146"/>
      <c r="W292" s="146"/>
      <c r="X292" s="146"/>
      <c r="Y292" s="146"/>
      <c r="Z292" s="146"/>
    </row>
    <row r="293" spans="20:26" ht="15.75" customHeight="1" x14ac:dyDescent="0.2">
      <c r="T293" s="245"/>
      <c r="U293" s="146"/>
      <c r="V293" s="146"/>
      <c r="W293" s="146"/>
      <c r="X293" s="146"/>
      <c r="Y293" s="146"/>
      <c r="Z293" s="146"/>
    </row>
    <row r="294" spans="20:26" ht="15.75" customHeight="1" x14ac:dyDescent="0.2">
      <c r="T294" s="245"/>
      <c r="U294" s="146"/>
      <c r="V294" s="146"/>
      <c r="W294" s="146"/>
      <c r="X294" s="146"/>
      <c r="Y294" s="146"/>
      <c r="Z294" s="146"/>
    </row>
    <row r="295" spans="20:26" ht="15.75" customHeight="1" x14ac:dyDescent="0.2">
      <c r="T295" s="245"/>
      <c r="U295" s="146"/>
      <c r="V295" s="146"/>
      <c r="W295" s="146"/>
      <c r="X295" s="146"/>
      <c r="Y295" s="146"/>
      <c r="Z295" s="146"/>
    </row>
    <row r="296" spans="20:26" ht="15.75" customHeight="1" x14ac:dyDescent="0.2">
      <c r="T296" s="245"/>
      <c r="U296" s="146"/>
      <c r="V296" s="146"/>
      <c r="W296" s="146"/>
      <c r="X296" s="146"/>
      <c r="Y296" s="146"/>
      <c r="Z296" s="146"/>
    </row>
    <row r="297" spans="20:26" ht="15.75" customHeight="1" x14ac:dyDescent="0.2">
      <c r="T297" s="245"/>
      <c r="U297" s="146"/>
      <c r="V297" s="146"/>
      <c r="W297" s="146"/>
      <c r="X297" s="146"/>
      <c r="Y297" s="146"/>
      <c r="Z297" s="146"/>
    </row>
    <row r="298" spans="20:26" ht="15.75" customHeight="1" x14ac:dyDescent="0.2">
      <c r="T298" s="245"/>
      <c r="U298" s="146"/>
      <c r="V298" s="146"/>
      <c r="W298" s="146"/>
      <c r="X298" s="146"/>
      <c r="Y298" s="146"/>
      <c r="Z298" s="146"/>
    </row>
    <row r="299" spans="20:26" ht="15.75" customHeight="1" x14ac:dyDescent="0.2">
      <c r="T299" s="245"/>
      <c r="U299" s="146"/>
      <c r="V299" s="146"/>
      <c r="W299" s="146"/>
      <c r="X299" s="146"/>
      <c r="Y299" s="146"/>
      <c r="Z299" s="146"/>
    </row>
    <row r="300" spans="20:26" ht="15.75" customHeight="1" x14ac:dyDescent="0.2">
      <c r="T300" s="245"/>
      <c r="U300" s="146"/>
      <c r="V300" s="146"/>
      <c r="W300" s="146"/>
      <c r="X300" s="146"/>
      <c r="Y300" s="146"/>
      <c r="Z300" s="146"/>
    </row>
    <row r="301" spans="20:26" ht="15.75" customHeight="1" x14ac:dyDescent="0.2">
      <c r="T301" s="245"/>
      <c r="U301" s="146"/>
      <c r="V301" s="146"/>
      <c r="W301" s="146"/>
      <c r="X301" s="146"/>
      <c r="Y301" s="146"/>
      <c r="Z301" s="146"/>
    </row>
    <row r="302" spans="20:26" ht="15.75" customHeight="1" x14ac:dyDescent="0.2">
      <c r="T302" s="245"/>
      <c r="U302" s="146"/>
      <c r="V302" s="146"/>
      <c r="W302" s="146"/>
      <c r="X302" s="146"/>
      <c r="Y302" s="146"/>
      <c r="Z302" s="146"/>
    </row>
    <row r="303" spans="20:26" ht="15.75" customHeight="1" x14ac:dyDescent="0.2">
      <c r="T303" s="245"/>
      <c r="U303" s="146"/>
      <c r="V303" s="146"/>
      <c r="W303" s="146"/>
      <c r="X303" s="146"/>
      <c r="Y303" s="146"/>
      <c r="Z303" s="146"/>
    </row>
    <row r="304" spans="20:26" ht="15.75" customHeight="1" x14ac:dyDescent="0.2">
      <c r="T304" s="245"/>
      <c r="U304" s="146"/>
      <c r="V304" s="146"/>
      <c r="W304" s="146"/>
      <c r="X304" s="146"/>
      <c r="Y304" s="146"/>
      <c r="Z304" s="146"/>
    </row>
    <row r="305" spans="20:26" ht="15.75" customHeight="1" x14ac:dyDescent="0.2">
      <c r="T305" s="245"/>
      <c r="U305" s="146"/>
      <c r="V305" s="146"/>
      <c r="W305" s="146"/>
      <c r="X305" s="146"/>
      <c r="Y305" s="146"/>
      <c r="Z305" s="146"/>
    </row>
    <row r="306" spans="20:26" ht="15.75" customHeight="1" x14ac:dyDescent="0.2">
      <c r="T306" s="245"/>
      <c r="U306" s="146"/>
      <c r="V306" s="146"/>
      <c r="W306" s="146"/>
      <c r="X306" s="146"/>
      <c r="Y306" s="146"/>
      <c r="Z306" s="146"/>
    </row>
    <row r="307" spans="20:26" ht="15.75" customHeight="1" x14ac:dyDescent="0.2">
      <c r="T307" s="245"/>
      <c r="U307" s="146"/>
      <c r="V307" s="146"/>
      <c r="W307" s="146"/>
      <c r="X307" s="146"/>
      <c r="Y307" s="146"/>
      <c r="Z307" s="146"/>
    </row>
    <row r="308" spans="20:26" ht="15.75" customHeight="1" x14ac:dyDescent="0.2">
      <c r="T308" s="245"/>
      <c r="U308" s="146"/>
      <c r="V308" s="146"/>
      <c r="W308" s="146"/>
      <c r="X308" s="146"/>
      <c r="Y308" s="146"/>
      <c r="Z308" s="146"/>
    </row>
    <row r="309" spans="20:26" ht="15.75" customHeight="1" x14ac:dyDescent="0.2">
      <c r="T309" s="245"/>
      <c r="U309" s="146"/>
      <c r="V309" s="146"/>
      <c r="W309" s="146"/>
      <c r="X309" s="146"/>
      <c r="Y309" s="146"/>
      <c r="Z309" s="146"/>
    </row>
    <row r="310" spans="20:26" ht="15.75" customHeight="1" x14ac:dyDescent="0.2">
      <c r="T310" s="245"/>
      <c r="U310" s="146"/>
      <c r="V310" s="146"/>
      <c r="W310" s="146"/>
      <c r="X310" s="146"/>
      <c r="Y310" s="146"/>
      <c r="Z310" s="146"/>
    </row>
    <row r="311" spans="20:26" ht="15.75" customHeight="1" x14ac:dyDescent="0.2">
      <c r="T311" s="245"/>
      <c r="U311" s="146"/>
      <c r="V311" s="146"/>
      <c r="W311" s="146"/>
      <c r="X311" s="146"/>
      <c r="Y311" s="146"/>
      <c r="Z311" s="146"/>
    </row>
    <row r="312" spans="20:26" ht="15.75" customHeight="1" x14ac:dyDescent="0.2">
      <c r="T312" s="245"/>
      <c r="U312" s="146"/>
      <c r="V312" s="146"/>
      <c r="W312" s="146"/>
      <c r="X312" s="146"/>
      <c r="Y312" s="146"/>
      <c r="Z312" s="146"/>
    </row>
    <row r="313" spans="20:26" ht="15.75" customHeight="1" x14ac:dyDescent="0.2">
      <c r="T313" s="245"/>
      <c r="U313" s="146"/>
      <c r="V313" s="146"/>
      <c r="W313" s="146"/>
      <c r="X313" s="146"/>
      <c r="Y313" s="146"/>
      <c r="Z313" s="146"/>
    </row>
    <row r="314" spans="20:26" ht="15.75" customHeight="1" x14ac:dyDescent="0.2">
      <c r="T314" s="245"/>
      <c r="U314" s="146"/>
      <c r="V314" s="146"/>
      <c r="W314" s="146"/>
      <c r="X314" s="146"/>
      <c r="Y314" s="146"/>
      <c r="Z314" s="146"/>
    </row>
    <row r="315" spans="20:26" ht="15.75" customHeight="1" x14ac:dyDescent="0.2">
      <c r="T315" s="245"/>
      <c r="U315" s="146"/>
      <c r="V315" s="146"/>
      <c r="W315" s="146"/>
      <c r="X315" s="146"/>
      <c r="Y315" s="146"/>
      <c r="Z315" s="146"/>
    </row>
    <row r="316" spans="20:26" ht="15.75" customHeight="1" x14ac:dyDescent="0.2">
      <c r="T316" s="245"/>
      <c r="U316" s="146"/>
      <c r="V316" s="146"/>
      <c r="W316" s="146"/>
      <c r="X316" s="146"/>
      <c r="Y316" s="146"/>
      <c r="Z316" s="146"/>
    </row>
    <row r="317" spans="20:26" ht="15.75" customHeight="1" x14ac:dyDescent="0.2">
      <c r="T317" s="245"/>
      <c r="U317" s="146"/>
      <c r="V317" s="146"/>
      <c r="W317" s="146"/>
      <c r="X317" s="146"/>
      <c r="Y317" s="146"/>
      <c r="Z317" s="146"/>
    </row>
    <row r="318" spans="20:26" ht="15.75" customHeight="1" x14ac:dyDescent="0.2">
      <c r="T318" s="245"/>
      <c r="U318" s="146"/>
      <c r="V318" s="146"/>
      <c r="W318" s="146"/>
      <c r="X318" s="146"/>
      <c r="Y318" s="146"/>
      <c r="Z318" s="146"/>
    </row>
    <row r="319" spans="20:26" ht="15.75" customHeight="1" x14ac:dyDescent="0.2">
      <c r="T319" s="245"/>
      <c r="U319" s="146"/>
      <c r="V319" s="146"/>
      <c r="W319" s="146"/>
      <c r="X319" s="146"/>
      <c r="Y319" s="146"/>
      <c r="Z319" s="146"/>
    </row>
    <row r="320" spans="20:26" ht="15.75" customHeight="1" x14ac:dyDescent="0.2">
      <c r="T320" s="245"/>
      <c r="U320" s="146"/>
      <c r="V320" s="146"/>
      <c r="W320" s="146"/>
      <c r="X320" s="146"/>
      <c r="Y320" s="146"/>
      <c r="Z320" s="146"/>
    </row>
    <row r="321" spans="20:26" ht="15.75" customHeight="1" x14ac:dyDescent="0.2">
      <c r="T321" s="245"/>
      <c r="U321" s="146"/>
      <c r="V321" s="146"/>
      <c r="W321" s="146"/>
      <c r="X321" s="146"/>
      <c r="Y321" s="146"/>
      <c r="Z321" s="146"/>
    </row>
    <row r="322" spans="20:26" ht="15.75" customHeight="1" x14ac:dyDescent="0.2">
      <c r="T322" s="245"/>
      <c r="U322" s="146"/>
      <c r="V322" s="146"/>
      <c r="W322" s="146"/>
      <c r="X322" s="146"/>
      <c r="Y322" s="146"/>
      <c r="Z322" s="146"/>
    </row>
    <row r="323" spans="20:26" ht="15.75" customHeight="1" x14ac:dyDescent="0.2">
      <c r="T323" s="245"/>
      <c r="U323" s="146"/>
      <c r="V323" s="146"/>
      <c r="W323" s="146"/>
      <c r="X323" s="146"/>
      <c r="Y323" s="146"/>
      <c r="Z323" s="146"/>
    </row>
    <row r="324" spans="20:26" ht="15.75" customHeight="1" x14ac:dyDescent="0.2">
      <c r="T324" s="245"/>
      <c r="U324" s="146"/>
      <c r="V324" s="146"/>
      <c r="W324" s="146"/>
      <c r="X324" s="146"/>
      <c r="Y324" s="146"/>
      <c r="Z324" s="146"/>
    </row>
    <row r="325" spans="20:26" ht="15.75" customHeight="1" x14ac:dyDescent="0.2">
      <c r="T325" s="245"/>
      <c r="U325" s="146"/>
      <c r="V325" s="146"/>
      <c r="W325" s="146"/>
      <c r="X325" s="146"/>
      <c r="Y325" s="146"/>
      <c r="Z325" s="146"/>
    </row>
    <row r="326" spans="20:26" ht="15.75" customHeight="1" x14ac:dyDescent="0.2">
      <c r="T326" s="245"/>
      <c r="U326" s="146"/>
      <c r="V326" s="146"/>
      <c r="W326" s="146"/>
      <c r="X326" s="146"/>
      <c r="Y326" s="146"/>
      <c r="Z326" s="146"/>
    </row>
    <row r="327" spans="20:26" ht="15.75" customHeight="1" x14ac:dyDescent="0.2">
      <c r="T327" s="245"/>
      <c r="U327" s="146"/>
      <c r="V327" s="146"/>
      <c r="W327" s="146"/>
      <c r="X327" s="146"/>
      <c r="Y327" s="146"/>
      <c r="Z327" s="146"/>
    </row>
    <row r="328" spans="20:26" ht="15.75" customHeight="1" x14ac:dyDescent="0.2">
      <c r="T328" s="245"/>
      <c r="U328" s="146"/>
      <c r="V328" s="146"/>
      <c r="W328" s="146"/>
      <c r="X328" s="146"/>
      <c r="Y328" s="146"/>
      <c r="Z328" s="146"/>
    </row>
    <row r="329" spans="20:26" ht="15.75" customHeight="1" x14ac:dyDescent="0.2">
      <c r="T329" s="245"/>
      <c r="U329" s="146"/>
      <c r="V329" s="146"/>
      <c r="W329" s="146"/>
      <c r="X329" s="146"/>
      <c r="Y329" s="146"/>
      <c r="Z329" s="146"/>
    </row>
    <row r="330" spans="20:26" ht="15.75" customHeight="1" x14ac:dyDescent="0.2">
      <c r="T330" s="245"/>
      <c r="U330" s="146"/>
      <c r="V330" s="146"/>
      <c r="W330" s="146"/>
      <c r="X330" s="146"/>
      <c r="Y330" s="146"/>
      <c r="Z330" s="146"/>
    </row>
    <row r="331" spans="20:26" ht="15.75" customHeight="1" x14ac:dyDescent="0.2">
      <c r="T331" s="245"/>
      <c r="U331" s="146"/>
      <c r="V331" s="146"/>
      <c r="W331" s="146"/>
      <c r="X331" s="146"/>
      <c r="Y331" s="146"/>
      <c r="Z331" s="146"/>
    </row>
    <row r="332" spans="20:26" ht="15.75" customHeight="1" x14ac:dyDescent="0.2">
      <c r="T332" s="245"/>
      <c r="U332" s="146"/>
      <c r="V332" s="146"/>
      <c r="W332" s="146"/>
      <c r="X332" s="146"/>
      <c r="Y332" s="146"/>
      <c r="Z332" s="146"/>
    </row>
    <row r="333" spans="20:26" ht="15.75" customHeight="1" x14ac:dyDescent="0.2">
      <c r="T333" s="245"/>
      <c r="U333" s="146"/>
      <c r="V333" s="146"/>
      <c r="W333" s="146"/>
      <c r="X333" s="146"/>
      <c r="Y333" s="146"/>
      <c r="Z333" s="146"/>
    </row>
    <row r="334" spans="20:26" ht="15.75" customHeight="1" x14ac:dyDescent="0.2">
      <c r="T334" s="245"/>
      <c r="U334" s="146"/>
      <c r="V334" s="146"/>
      <c r="W334" s="146"/>
      <c r="X334" s="146"/>
      <c r="Y334" s="146"/>
      <c r="Z334" s="146"/>
    </row>
    <row r="335" spans="20:26" ht="15.75" customHeight="1" x14ac:dyDescent="0.2">
      <c r="T335" s="245"/>
      <c r="U335" s="146"/>
      <c r="V335" s="146"/>
      <c r="W335" s="146"/>
      <c r="X335" s="146"/>
      <c r="Y335" s="146"/>
      <c r="Z335" s="146"/>
    </row>
    <row r="336" spans="20:26" ht="15.75" customHeight="1" x14ac:dyDescent="0.2">
      <c r="T336" s="245"/>
      <c r="U336" s="146"/>
      <c r="V336" s="146"/>
      <c r="W336" s="146"/>
      <c r="X336" s="146"/>
      <c r="Y336" s="146"/>
      <c r="Z336" s="146"/>
    </row>
    <row r="337" spans="20:26" ht="15.75" customHeight="1" x14ac:dyDescent="0.2">
      <c r="T337" s="245"/>
      <c r="U337" s="146"/>
      <c r="V337" s="146"/>
      <c r="W337" s="146"/>
      <c r="X337" s="146"/>
      <c r="Y337" s="146"/>
      <c r="Z337" s="146"/>
    </row>
    <row r="338" spans="20:26" ht="15.75" customHeight="1" x14ac:dyDescent="0.2">
      <c r="T338" s="245"/>
      <c r="U338" s="146"/>
      <c r="V338" s="146"/>
      <c r="W338" s="146"/>
      <c r="X338" s="146"/>
      <c r="Y338" s="146"/>
      <c r="Z338" s="146"/>
    </row>
    <row r="339" spans="20:26" ht="15.75" customHeight="1" x14ac:dyDescent="0.2">
      <c r="T339" s="245"/>
      <c r="U339" s="146"/>
      <c r="V339" s="146"/>
      <c r="W339" s="146"/>
      <c r="X339" s="146"/>
      <c r="Y339" s="146"/>
      <c r="Z339" s="146"/>
    </row>
    <row r="340" spans="20:26" ht="15.75" customHeight="1" x14ac:dyDescent="0.2">
      <c r="T340" s="245"/>
      <c r="U340" s="146"/>
      <c r="V340" s="146"/>
      <c r="W340" s="146"/>
      <c r="X340" s="146"/>
      <c r="Y340" s="146"/>
      <c r="Z340" s="146"/>
    </row>
    <row r="341" spans="20:26" ht="15.75" customHeight="1" x14ac:dyDescent="0.2">
      <c r="T341" s="245"/>
      <c r="U341" s="146"/>
      <c r="V341" s="146"/>
      <c r="W341" s="146"/>
      <c r="X341" s="146"/>
      <c r="Y341" s="146"/>
      <c r="Z341" s="146"/>
    </row>
    <row r="342" spans="20:26" ht="15.75" customHeight="1" x14ac:dyDescent="0.2">
      <c r="T342" s="245"/>
      <c r="U342" s="146"/>
      <c r="V342" s="146"/>
      <c r="W342" s="146"/>
      <c r="X342" s="146"/>
      <c r="Y342" s="146"/>
      <c r="Z342" s="146"/>
    </row>
    <row r="343" spans="20:26" ht="15.75" customHeight="1" x14ac:dyDescent="0.2">
      <c r="T343" s="245"/>
      <c r="U343" s="146"/>
      <c r="V343" s="146"/>
      <c r="W343" s="146"/>
      <c r="X343" s="146"/>
      <c r="Y343" s="146"/>
      <c r="Z343" s="146"/>
    </row>
    <row r="344" spans="20:26" ht="15.75" customHeight="1" x14ac:dyDescent="0.2">
      <c r="T344" s="245"/>
      <c r="U344" s="146"/>
      <c r="V344" s="146"/>
      <c r="W344" s="146"/>
      <c r="X344" s="146"/>
      <c r="Y344" s="146"/>
      <c r="Z344" s="146"/>
    </row>
    <row r="345" spans="20:26" ht="15.75" customHeight="1" x14ac:dyDescent="0.2">
      <c r="T345" s="245"/>
      <c r="U345" s="146"/>
      <c r="V345" s="146"/>
      <c r="W345" s="146"/>
      <c r="X345" s="146"/>
      <c r="Y345" s="146"/>
      <c r="Z345" s="146"/>
    </row>
    <row r="346" spans="20:26" ht="15.75" customHeight="1" x14ac:dyDescent="0.2">
      <c r="T346" s="245"/>
      <c r="U346" s="146"/>
      <c r="V346" s="146"/>
      <c r="W346" s="146"/>
      <c r="X346" s="146"/>
      <c r="Y346" s="146"/>
      <c r="Z346" s="146"/>
    </row>
    <row r="347" spans="20:26" ht="15.75" customHeight="1" x14ac:dyDescent="0.2">
      <c r="T347" s="245"/>
      <c r="U347" s="146"/>
      <c r="V347" s="146"/>
      <c r="W347" s="146"/>
      <c r="X347" s="146"/>
      <c r="Y347" s="146"/>
      <c r="Z347" s="146"/>
    </row>
    <row r="348" spans="20:26" ht="15.75" customHeight="1" x14ac:dyDescent="0.2">
      <c r="T348" s="245"/>
      <c r="U348" s="146"/>
      <c r="V348" s="146"/>
      <c r="W348" s="146"/>
      <c r="X348" s="146"/>
      <c r="Y348" s="146"/>
      <c r="Z348" s="146"/>
    </row>
    <row r="349" spans="20:26" ht="15.75" customHeight="1" x14ac:dyDescent="0.2">
      <c r="T349" s="245"/>
      <c r="U349" s="146"/>
      <c r="V349" s="146"/>
      <c r="W349" s="146"/>
      <c r="X349" s="146"/>
      <c r="Y349" s="146"/>
      <c r="Z349" s="146"/>
    </row>
    <row r="350" spans="20:26" ht="15.75" customHeight="1" x14ac:dyDescent="0.2">
      <c r="T350" s="245"/>
      <c r="U350" s="146"/>
      <c r="V350" s="146"/>
      <c r="W350" s="146"/>
      <c r="X350" s="146"/>
      <c r="Y350" s="146"/>
      <c r="Z350" s="146"/>
    </row>
    <row r="351" spans="20:26" ht="15.75" customHeight="1" x14ac:dyDescent="0.2">
      <c r="T351" s="245"/>
      <c r="U351" s="146"/>
      <c r="V351" s="146"/>
      <c r="W351" s="146"/>
      <c r="X351" s="146"/>
      <c r="Y351" s="146"/>
      <c r="Z351" s="146"/>
    </row>
    <row r="352" spans="20:26" ht="15.75" customHeight="1" x14ac:dyDescent="0.2">
      <c r="T352" s="245"/>
      <c r="U352" s="146"/>
      <c r="V352" s="146"/>
      <c r="W352" s="146"/>
      <c r="X352" s="146"/>
      <c r="Y352" s="146"/>
      <c r="Z352" s="146"/>
    </row>
    <row r="353" spans="20:26" ht="15.75" customHeight="1" x14ac:dyDescent="0.2">
      <c r="T353" s="245"/>
      <c r="U353" s="146"/>
      <c r="V353" s="146"/>
      <c r="W353" s="146"/>
      <c r="X353" s="146"/>
      <c r="Y353" s="146"/>
      <c r="Z353" s="146"/>
    </row>
    <row r="354" spans="20:26" ht="15.75" customHeight="1" x14ac:dyDescent="0.2">
      <c r="T354" s="245"/>
      <c r="U354" s="146"/>
      <c r="V354" s="146"/>
      <c r="W354" s="146"/>
      <c r="X354" s="146"/>
      <c r="Y354" s="146"/>
      <c r="Z354" s="146"/>
    </row>
    <row r="355" spans="20:26" ht="15.75" customHeight="1" x14ac:dyDescent="0.2">
      <c r="T355" s="245"/>
      <c r="U355" s="146"/>
      <c r="V355" s="146"/>
      <c r="W355" s="146"/>
      <c r="X355" s="146"/>
      <c r="Y355" s="146"/>
      <c r="Z355" s="146"/>
    </row>
    <row r="356" spans="20:26" ht="15.75" customHeight="1" x14ac:dyDescent="0.2">
      <c r="T356" s="245"/>
      <c r="U356" s="146"/>
      <c r="V356" s="146"/>
      <c r="W356" s="146"/>
      <c r="X356" s="146"/>
      <c r="Y356" s="146"/>
      <c r="Z356" s="146"/>
    </row>
    <row r="357" spans="20:26" ht="15.75" customHeight="1" x14ac:dyDescent="0.2">
      <c r="T357" s="245"/>
      <c r="U357" s="146"/>
      <c r="V357" s="146"/>
      <c r="W357" s="146"/>
      <c r="X357" s="146"/>
      <c r="Y357" s="146"/>
      <c r="Z357" s="146"/>
    </row>
    <row r="358" spans="20:26" ht="15.75" customHeight="1" x14ac:dyDescent="0.2">
      <c r="T358" s="245"/>
      <c r="U358" s="146"/>
      <c r="V358" s="146"/>
      <c r="W358" s="146"/>
      <c r="X358" s="146"/>
      <c r="Y358" s="146"/>
      <c r="Z358" s="146"/>
    </row>
    <row r="359" spans="20:26" ht="15.75" customHeight="1" x14ac:dyDescent="0.2">
      <c r="T359" s="245"/>
      <c r="U359" s="146"/>
      <c r="V359" s="146"/>
      <c r="W359" s="146"/>
      <c r="X359" s="146"/>
      <c r="Y359" s="146"/>
      <c r="Z359" s="146"/>
    </row>
    <row r="360" spans="20:26" ht="15.75" customHeight="1" x14ac:dyDescent="0.2">
      <c r="T360" s="245"/>
      <c r="U360" s="146"/>
      <c r="V360" s="146"/>
      <c r="W360" s="146"/>
      <c r="X360" s="146"/>
      <c r="Y360" s="146"/>
      <c r="Z360" s="146"/>
    </row>
    <row r="361" spans="20:26" ht="15.75" customHeight="1" x14ac:dyDescent="0.2">
      <c r="T361" s="245"/>
      <c r="U361" s="146"/>
      <c r="V361" s="146"/>
      <c r="W361" s="146"/>
      <c r="X361" s="146"/>
      <c r="Y361" s="146"/>
      <c r="Z361" s="146"/>
    </row>
    <row r="362" spans="20:26" ht="15.75" customHeight="1" x14ac:dyDescent="0.2">
      <c r="T362" s="245"/>
      <c r="U362" s="146"/>
      <c r="V362" s="146"/>
      <c r="W362" s="146"/>
      <c r="X362" s="146"/>
      <c r="Y362" s="146"/>
      <c r="Z362" s="146"/>
    </row>
    <row r="363" spans="20:26" ht="15.75" customHeight="1" x14ac:dyDescent="0.2">
      <c r="T363" s="245"/>
      <c r="U363" s="146"/>
      <c r="V363" s="146"/>
      <c r="W363" s="146"/>
      <c r="X363" s="146"/>
      <c r="Y363" s="146"/>
      <c r="Z363" s="146"/>
    </row>
    <row r="364" spans="20:26" ht="15.75" customHeight="1" x14ac:dyDescent="0.2">
      <c r="T364" s="245"/>
      <c r="U364" s="146"/>
      <c r="V364" s="146"/>
      <c r="W364" s="146"/>
      <c r="X364" s="146"/>
      <c r="Y364" s="146"/>
      <c r="Z364" s="146"/>
    </row>
    <row r="365" spans="20:26" ht="15.75" customHeight="1" x14ac:dyDescent="0.2">
      <c r="T365" s="245"/>
      <c r="U365" s="146"/>
      <c r="V365" s="146"/>
      <c r="W365" s="146"/>
      <c r="X365" s="146"/>
      <c r="Y365" s="146"/>
      <c r="Z365" s="146"/>
    </row>
    <row r="366" spans="20:26" ht="15.75" customHeight="1" x14ac:dyDescent="0.2">
      <c r="T366" s="245"/>
      <c r="U366" s="146"/>
      <c r="V366" s="146"/>
      <c r="W366" s="146"/>
      <c r="X366" s="146"/>
      <c r="Y366" s="146"/>
      <c r="Z366" s="146"/>
    </row>
    <row r="367" spans="20:26" ht="15.75" customHeight="1" x14ac:dyDescent="0.2">
      <c r="T367" s="245"/>
      <c r="U367" s="146"/>
      <c r="V367" s="146"/>
      <c r="W367" s="146"/>
      <c r="X367" s="146"/>
      <c r="Y367" s="146"/>
      <c r="Z367" s="146"/>
    </row>
    <row r="368" spans="20:26" ht="15.75" customHeight="1" x14ac:dyDescent="0.2">
      <c r="T368" s="245"/>
      <c r="U368" s="146"/>
      <c r="V368" s="146"/>
      <c r="W368" s="146"/>
      <c r="X368" s="146"/>
      <c r="Y368" s="146"/>
      <c r="Z368" s="146"/>
    </row>
    <row r="369" spans="20:26" ht="15.75" customHeight="1" x14ac:dyDescent="0.2">
      <c r="T369" s="245"/>
      <c r="U369" s="146"/>
      <c r="V369" s="146"/>
      <c r="W369" s="146"/>
      <c r="X369" s="146"/>
      <c r="Y369" s="146"/>
      <c r="Z369" s="146"/>
    </row>
    <row r="370" spans="20:26" ht="15.75" customHeight="1" x14ac:dyDescent="0.2">
      <c r="T370" s="245"/>
      <c r="U370" s="146"/>
      <c r="V370" s="146"/>
      <c r="W370" s="146"/>
      <c r="X370" s="146"/>
      <c r="Y370" s="146"/>
      <c r="Z370" s="146"/>
    </row>
    <row r="371" spans="20:26" ht="15.75" customHeight="1" x14ac:dyDescent="0.2">
      <c r="T371" s="245"/>
      <c r="U371" s="146"/>
      <c r="V371" s="146"/>
      <c r="W371" s="146"/>
      <c r="X371" s="146"/>
      <c r="Y371" s="146"/>
      <c r="Z371" s="146"/>
    </row>
    <row r="372" spans="20:26" ht="15.75" customHeight="1" x14ac:dyDescent="0.2">
      <c r="T372" s="245"/>
      <c r="U372" s="146"/>
      <c r="V372" s="146"/>
      <c r="W372" s="146"/>
      <c r="X372" s="146"/>
      <c r="Y372" s="146"/>
      <c r="Z372" s="146"/>
    </row>
    <row r="373" spans="20:26" ht="15.75" customHeight="1" x14ac:dyDescent="0.2">
      <c r="T373" s="245"/>
      <c r="U373" s="146"/>
      <c r="V373" s="146"/>
      <c r="W373" s="146"/>
      <c r="X373" s="146"/>
      <c r="Y373" s="146"/>
      <c r="Z373" s="146"/>
    </row>
    <row r="374" spans="20:26" ht="15.75" customHeight="1" x14ac:dyDescent="0.2">
      <c r="T374" s="245"/>
      <c r="U374" s="146"/>
      <c r="V374" s="146"/>
      <c r="W374" s="146"/>
      <c r="X374" s="146"/>
      <c r="Y374" s="146"/>
      <c r="Z374" s="146"/>
    </row>
    <row r="375" spans="20:26" ht="15.75" customHeight="1" x14ac:dyDescent="0.2">
      <c r="T375" s="245"/>
      <c r="U375" s="146"/>
      <c r="V375" s="146"/>
      <c r="W375" s="146"/>
      <c r="X375" s="146"/>
      <c r="Y375" s="146"/>
      <c r="Z375" s="146"/>
    </row>
    <row r="376" spans="20:26" ht="15.75" customHeight="1" x14ac:dyDescent="0.2">
      <c r="T376" s="245"/>
      <c r="U376" s="146"/>
      <c r="V376" s="146"/>
      <c r="W376" s="146"/>
      <c r="X376" s="146"/>
      <c r="Y376" s="146"/>
      <c r="Z376" s="146"/>
    </row>
    <row r="377" spans="20:26" ht="15.75" customHeight="1" x14ac:dyDescent="0.2">
      <c r="T377" s="245"/>
      <c r="U377" s="146"/>
      <c r="V377" s="146"/>
      <c r="W377" s="146"/>
      <c r="X377" s="146"/>
      <c r="Y377" s="146"/>
      <c r="Z377" s="146"/>
    </row>
    <row r="378" spans="20:26" ht="15.75" customHeight="1" x14ac:dyDescent="0.2">
      <c r="T378" s="245"/>
      <c r="U378" s="146"/>
      <c r="V378" s="146"/>
      <c r="W378" s="146"/>
      <c r="X378" s="146"/>
      <c r="Y378" s="146"/>
      <c r="Z378" s="146"/>
    </row>
    <row r="379" spans="20:26" ht="15.75" customHeight="1" x14ac:dyDescent="0.2">
      <c r="T379" s="245"/>
      <c r="U379" s="146"/>
      <c r="V379" s="146"/>
      <c r="W379" s="146"/>
      <c r="X379" s="146"/>
      <c r="Y379" s="146"/>
      <c r="Z379" s="146"/>
    </row>
    <row r="380" spans="20:26" ht="15.75" customHeight="1" x14ac:dyDescent="0.2">
      <c r="T380" s="245"/>
      <c r="U380" s="146"/>
      <c r="V380" s="146"/>
      <c r="W380" s="146"/>
      <c r="X380" s="146"/>
      <c r="Y380" s="146"/>
      <c r="Z380" s="146"/>
    </row>
    <row r="381" spans="20:26" ht="15.75" customHeight="1" x14ac:dyDescent="0.2">
      <c r="T381" s="245"/>
      <c r="U381" s="146"/>
      <c r="V381" s="146"/>
      <c r="W381" s="146"/>
      <c r="X381" s="146"/>
      <c r="Y381" s="146"/>
      <c r="Z381" s="146"/>
    </row>
    <row r="382" spans="20:26" ht="15.75" customHeight="1" x14ac:dyDescent="0.2">
      <c r="T382" s="245"/>
      <c r="U382" s="146"/>
      <c r="V382" s="146"/>
      <c r="W382" s="146"/>
      <c r="X382" s="146"/>
      <c r="Y382" s="146"/>
      <c r="Z382" s="146"/>
    </row>
    <row r="383" spans="20:26" ht="15.75" customHeight="1" x14ac:dyDescent="0.2">
      <c r="T383" s="245"/>
      <c r="U383" s="146"/>
      <c r="V383" s="146"/>
      <c r="W383" s="146"/>
      <c r="X383" s="146"/>
      <c r="Y383" s="146"/>
      <c r="Z383" s="146"/>
    </row>
    <row r="384" spans="20:26" ht="15.75" customHeight="1" x14ac:dyDescent="0.2">
      <c r="T384" s="245"/>
      <c r="U384" s="146"/>
      <c r="V384" s="146"/>
      <c r="W384" s="146"/>
      <c r="X384" s="146"/>
      <c r="Y384" s="146"/>
      <c r="Z384" s="146"/>
    </row>
    <row r="385" spans="20:26" ht="15.75" customHeight="1" x14ac:dyDescent="0.2">
      <c r="T385" s="245"/>
      <c r="U385" s="146"/>
      <c r="V385" s="146"/>
      <c r="W385" s="146"/>
      <c r="X385" s="146"/>
      <c r="Y385" s="146"/>
      <c r="Z385" s="146"/>
    </row>
    <row r="386" spans="20:26" ht="15.75" customHeight="1" x14ac:dyDescent="0.2">
      <c r="T386" s="245"/>
      <c r="U386" s="146"/>
      <c r="V386" s="146"/>
      <c r="W386" s="146"/>
      <c r="X386" s="146"/>
      <c r="Y386" s="146"/>
      <c r="Z386" s="146"/>
    </row>
    <row r="387" spans="20:26" ht="15.75" customHeight="1" x14ac:dyDescent="0.2">
      <c r="T387" s="245"/>
      <c r="U387" s="146"/>
      <c r="V387" s="146"/>
      <c r="W387" s="146"/>
      <c r="X387" s="146"/>
      <c r="Y387" s="146"/>
      <c r="Z387" s="146"/>
    </row>
    <row r="388" spans="20:26" ht="15.75" customHeight="1" x14ac:dyDescent="0.2">
      <c r="T388" s="245"/>
      <c r="U388" s="146"/>
      <c r="V388" s="146"/>
      <c r="W388" s="146"/>
      <c r="X388" s="146"/>
      <c r="Y388" s="146"/>
      <c r="Z388" s="146"/>
    </row>
    <row r="389" spans="20:26" ht="15.75" customHeight="1" x14ac:dyDescent="0.2">
      <c r="T389" s="245"/>
      <c r="U389" s="146"/>
      <c r="V389" s="146"/>
      <c r="W389" s="146"/>
      <c r="X389" s="146"/>
      <c r="Y389" s="146"/>
      <c r="Z389" s="146"/>
    </row>
    <row r="390" spans="20:26" ht="15.75" customHeight="1" x14ac:dyDescent="0.2">
      <c r="T390" s="245"/>
      <c r="U390" s="146"/>
      <c r="V390" s="146"/>
      <c r="W390" s="146"/>
      <c r="X390" s="146"/>
      <c r="Y390" s="146"/>
      <c r="Z390" s="146"/>
    </row>
    <row r="391" spans="20:26" ht="15.75" customHeight="1" x14ac:dyDescent="0.2">
      <c r="T391" s="245"/>
      <c r="U391" s="146"/>
      <c r="V391" s="146"/>
      <c r="W391" s="146"/>
      <c r="X391" s="146"/>
      <c r="Y391" s="146"/>
      <c r="Z391" s="146"/>
    </row>
    <row r="392" spans="20:26" ht="15.75" customHeight="1" x14ac:dyDescent="0.2">
      <c r="T392" s="245"/>
      <c r="U392" s="146"/>
      <c r="V392" s="146"/>
      <c r="W392" s="146"/>
      <c r="X392" s="146"/>
      <c r="Y392" s="146"/>
      <c r="Z392" s="146"/>
    </row>
    <row r="393" spans="20:26" ht="15.75" customHeight="1" x14ac:dyDescent="0.2">
      <c r="T393" s="245"/>
      <c r="U393" s="146"/>
      <c r="V393" s="146"/>
      <c r="W393" s="146"/>
      <c r="X393" s="146"/>
      <c r="Y393" s="146"/>
      <c r="Z393" s="146"/>
    </row>
    <row r="394" spans="20:26" ht="15.75" customHeight="1" x14ac:dyDescent="0.2">
      <c r="T394" s="245"/>
      <c r="U394" s="146"/>
      <c r="V394" s="146"/>
      <c r="W394" s="146"/>
      <c r="X394" s="146"/>
      <c r="Y394" s="146"/>
      <c r="Z394" s="146"/>
    </row>
    <row r="395" spans="20:26" ht="15.75" customHeight="1" x14ac:dyDescent="0.2">
      <c r="T395" s="245"/>
      <c r="U395" s="146"/>
      <c r="V395" s="146"/>
      <c r="W395" s="146"/>
      <c r="X395" s="146"/>
      <c r="Y395" s="146"/>
      <c r="Z395" s="146"/>
    </row>
    <row r="396" spans="20:26" ht="15.75" customHeight="1" x14ac:dyDescent="0.2">
      <c r="T396" s="245"/>
      <c r="U396" s="146"/>
      <c r="V396" s="146"/>
      <c r="W396" s="146"/>
      <c r="X396" s="146"/>
      <c r="Y396" s="146"/>
      <c r="Z396" s="146"/>
    </row>
    <row r="397" spans="20:26" ht="15.75" customHeight="1" x14ac:dyDescent="0.2">
      <c r="T397" s="245"/>
      <c r="U397" s="146"/>
      <c r="V397" s="146"/>
      <c r="W397" s="146"/>
      <c r="X397" s="146"/>
      <c r="Y397" s="146"/>
      <c r="Z397" s="146"/>
    </row>
    <row r="398" spans="20:26" ht="15.75" customHeight="1" x14ac:dyDescent="0.2">
      <c r="T398" s="245"/>
      <c r="U398" s="146"/>
      <c r="V398" s="146"/>
      <c r="W398" s="146"/>
      <c r="X398" s="146"/>
      <c r="Y398" s="146"/>
      <c r="Z398" s="146"/>
    </row>
    <row r="399" spans="20:26" ht="15.75" customHeight="1" x14ac:dyDescent="0.2">
      <c r="T399" s="245"/>
      <c r="U399" s="146"/>
      <c r="V399" s="146"/>
      <c r="W399" s="146"/>
      <c r="X399" s="146"/>
      <c r="Y399" s="146"/>
      <c r="Z399" s="146"/>
    </row>
    <row r="400" spans="20:26" ht="15.75" customHeight="1" x14ac:dyDescent="0.2">
      <c r="T400" s="245"/>
      <c r="U400" s="146"/>
      <c r="V400" s="146"/>
      <c r="W400" s="146"/>
      <c r="X400" s="146"/>
      <c r="Y400" s="146"/>
      <c r="Z400" s="146"/>
    </row>
    <row r="401" spans="20:26" ht="15.75" customHeight="1" x14ac:dyDescent="0.2">
      <c r="T401" s="245"/>
      <c r="U401" s="146"/>
      <c r="V401" s="146"/>
      <c r="W401" s="146"/>
      <c r="X401" s="146"/>
      <c r="Y401" s="146"/>
      <c r="Z401" s="146"/>
    </row>
    <row r="402" spans="20:26" ht="15.75" customHeight="1" x14ac:dyDescent="0.2">
      <c r="T402" s="245"/>
      <c r="U402" s="146"/>
      <c r="V402" s="146"/>
      <c r="W402" s="146"/>
      <c r="X402" s="146"/>
      <c r="Y402" s="146"/>
      <c r="Z402" s="146"/>
    </row>
    <row r="403" spans="20:26" ht="15.75" customHeight="1" x14ac:dyDescent="0.2">
      <c r="T403" s="245"/>
      <c r="U403" s="146"/>
      <c r="V403" s="146"/>
      <c r="W403" s="146"/>
      <c r="X403" s="146"/>
      <c r="Y403" s="146"/>
      <c r="Z403" s="146"/>
    </row>
    <row r="404" spans="20:26" ht="15.75" customHeight="1" x14ac:dyDescent="0.2">
      <c r="T404" s="245"/>
      <c r="U404" s="146"/>
      <c r="V404" s="146"/>
      <c r="W404" s="146"/>
      <c r="X404" s="146"/>
      <c r="Y404" s="146"/>
      <c r="Z404" s="146"/>
    </row>
    <row r="405" spans="20:26" ht="15.75" customHeight="1" x14ac:dyDescent="0.2">
      <c r="T405" s="245"/>
      <c r="U405" s="146"/>
      <c r="V405" s="146"/>
      <c r="W405" s="146"/>
      <c r="X405" s="146"/>
      <c r="Y405" s="146"/>
      <c r="Z405" s="146"/>
    </row>
    <row r="406" spans="20:26" ht="15.75" customHeight="1" x14ac:dyDescent="0.2">
      <c r="T406" s="245"/>
      <c r="U406" s="146"/>
      <c r="V406" s="146"/>
      <c r="W406" s="146"/>
      <c r="X406" s="146"/>
      <c r="Y406" s="146"/>
      <c r="Z406" s="146"/>
    </row>
    <row r="407" spans="20:26" ht="15.75" customHeight="1" x14ac:dyDescent="0.2">
      <c r="T407" s="245"/>
      <c r="U407" s="146"/>
      <c r="V407" s="146"/>
      <c r="W407" s="146"/>
      <c r="X407" s="146"/>
      <c r="Y407" s="146"/>
      <c r="Z407" s="146"/>
    </row>
    <row r="408" spans="20:26" ht="15.75" customHeight="1" x14ac:dyDescent="0.2">
      <c r="T408" s="245"/>
      <c r="U408" s="146"/>
      <c r="V408" s="146"/>
      <c r="W408" s="146"/>
      <c r="X408" s="146"/>
      <c r="Y408" s="146"/>
      <c r="Z408" s="146"/>
    </row>
    <row r="409" spans="20:26" ht="15.75" customHeight="1" x14ac:dyDescent="0.2">
      <c r="T409" s="245"/>
      <c r="U409" s="146"/>
      <c r="V409" s="146"/>
      <c r="W409" s="146"/>
      <c r="X409" s="146"/>
      <c r="Y409" s="146"/>
      <c r="Z409" s="146"/>
    </row>
    <row r="410" spans="20:26" ht="15.75" customHeight="1" x14ac:dyDescent="0.2">
      <c r="T410" s="245"/>
      <c r="U410" s="146"/>
      <c r="V410" s="146"/>
      <c r="W410" s="146"/>
      <c r="X410" s="146"/>
      <c r="Y410" s="146"/>
      <c r="Z410" s="146"/>
    </row>
    <row r="411" spans="20:26" ht="15.75" customHeight="1" x14ac:dyDescent="0.2">
      <c r="T411" s="245"/>
      <c r="U411" s="146"/>
      <c r="V411" s="146"/>
      <c r="W411" s="146"/>
      <c r="X411" s="146"/>
      <c r="Y411" s="146"/>
      <c r="Z411" s="146"/>
    </row>
    <row r="412" spans="20:26" ht="15.75" customHeight="1" x14ac:dyDescent="0.2">
      <c r="T412" s="245"/>
      <c r="U412" s="146"/>
      <c r="V412" s="146"/>
      <c r="W412" s="146"/>
      <c r="X412" s="146"/>
      <c r="Y412" s="146"/>
      <c r="Z412" s="146"/>
    </row>
    <row r="413" spans="20:26" ht="15.75" customHeight="1" x14ac:dyDescent="0.2">
      <c r="T413" s="245"/>
      <c r="U413" s="146"/>
      <c r="V413" s="146"/>
      <c r="W413" s="146"/>
      <c r="X413" s="146"/>
      <c r="Y413" s="146"/>
      <c r="Z413" s="146"/>
    </row>
    <row r="414" spans="20:26" ht="15.75" customHeight="1" x14ac:dyDescent="0.2">
      <c r="T414" s="245"/>
      <c r="U414" s="146"/>
      <c r="V414" s="146"/>
      <c r="W414" s="146"/>
      <c r="X414" s="146"/>
      <c r="Y414" s="146"/>
      <c r="Z414" s="146"/>
    </row>
    <row r="415" spans="20:26" ht="15.75" customHeight="1" x14ac:dyDescent="0.2">
      <c r="T415" s="245"/>
      <c r="U415" s="146"/>
      <c r="V415" s="146"/>
      <c r="W415" s="146"/>
      <c r="X415" s="146"/>
      <c r="Y415" s="146"/>
      <c r="Z415" s="146"/>
    </row>
    <row r="416" spans="20:26" ht="15.75" customHeight="1" x14ac:dyDescent="0.2">
      <c r="T416" s="245"/>
      <c r="U416" s="146"/>
      <c r="V416" s="146"/>
      <c r="W416" s="146"/>
      <c r="X416" s="146"/>
      <c r="Y416" s="146"/>
      <c r="Z416" s="146"/>
    </row>
    <row r="417" spans="20:26" ht="15.75" customHeight="1" x14ac:dyDescent="0.2">
      <c r="T417" s="245"/>
      <c r="U417" s="146"/>
      <c r="V417" s="146"/>
      <c r="W417" s="146"/>
      <c r="X417" s="146"/>
      <c r="Y417" s="146"/>
      <c r="Z417" s="146"/>
    </row>
    <row r="418" spans="20:26" ht="15.75" customHeight="1" x14ac:dyDescent="0.2">
      <c r="T418" s="245"/>
      <c r="U418" s="146"/>
      <c r="V418" s="146"/>
      <c r="W418" s="146"/>
      <c r="X418" s="146"/>
      <c r="Y418" s="146"/>
      <c r="Z418" s="146"/>
    </row>
    <row r="419" spans="20:26" ht="15.75" customHeight="1" x14ac:dyDescent="0.2">
      <c r="T419" s="245"/>
      <c r="U419" s="146"/>
      <c r="V419" s="146"/>
      <c r="W419" s="146"/>
      <c r="X419" s="146"/>
      <c r="Y419" s="146"/>
      <c r="Z419" s="146"/>
    </row>
    <row r="420" spans="20:26" ht="15.75" customHeight="1" x14ac:dyDescent="0.2">
      <c r="T420" s="245"/>
      <c r="U420" s="146"/>
      <c r="V420" s="146"/>
      <c r="W420" s="146"/>
      <c r="X420" s="146"/>
      <c r="Y420" s="146"/>
      <c r="Z420" s="146"/>
    </row>
    <row r="421" spans="20:26" ht="15.75" customHeight="1" x14ac:dyDescent="0.2">
      <c r="T421" s="245"/>
      <c r="U421" s="146"/>
      <c r="V421" s="146"/>
      <c r="W421" s="146"/>
      <c r="X421" s="146"/>
      <c r="Y421" s="146"/>
      <c r="Z421" s="146"/>
    </row>
    <row r="422" spans="20:26" ht="15.75" customHeight="1" x14ac:dyDescent="0.2">
      <c r="T422" s="245"/>
      <c r="U422" s="146"/>
      <c r="V422" s="146"/>
      <c r="W422" s="146"/>
      <c r="X422" s="146"/>
      <c r="Y422" s="146"/>
      <c r="Z422" s="146"/>
    </row>
    <row r="423" spans="20:26" ht="15.75" customHeight="1" x14ac:dyDescent="0.2">
      <c r="T423" s="245"/>
      <c r="U423" s="146"/>
      <c r="V423" s="146"/>
      <c r="W423" s="146"/>
      <c r="X423" s="146"/>
      <c r="Y423" s="146"/>
      <c r="Z423" s="146"/>
    </row>
    <row r="424" spans="20:26" ht="15.75" customHeight="1" x14ac:dyDescent="0.2">
      <c r="T424" s="245"/>
      <c r="U424" s="146"/>
      <c r="V424" s="146"/>
      <c r="W424" s="146"/>
      <c r="X424" s="146"/>
      <c r="Y424" s="146"/>
      <c r="Z424" s="146"/>
    </row>
    <row r="425" spans="20:26" ht="15.75" customHeight="1" x14ac:dyDescent="0.2">
      <c r="T425" s="245"/>
      <c r="U425" s="146"/>
      <c r="V425" s="146"/>
      <c r="W425" s="146"/>
      <c r="X425" s="146"/>
      <c r="Y425" s="146"/>
      <c r="Z425" s="146"/>
    </row>
    <row r="426" spans="20:26" ht="15.75" customHeight="1" x14ac:dyDescent="0.2">
      <c r="T426" s="245"/>
      <c r="U426" s="146"/>
      <c r="V426" s="146"/>
      <c r="W426" s="146"/>
      <c r="X426" s="146"/>
      <c r="Y426" s="146"/>
      <c r="Z426" s="146"/>
    </row>
    <row r="427" spans="20:26" ht="15.75" customHeight="1" x14ac:dyDescent="0.2">
      <c r="T427" s="245"/>
      <c r="U427" s="146"/>
      <c r="V427" s="146"/>
      <c r="W427" s="146"/>
      <c r="X427" s="146"/>
      <c r="Y427" s="146"/>
      <c r="Z427" s="146"/>
    </row>
    <row r="428" spans="20:26" ht="15.75" customHeight="1" x14ac:dyDescent="0.2">
      <c r="T428" s="245"/>
      <c r="U428" s="146"/>
      <c r="V428" s="146"/>
      <c r="W428" s="146"/>
      <c r="X428" s="146"/>
      <c r="Y428" s="146"/>
      <c r="Z428" s="146"/>
    </row>
    <row r="429" spans="20:26" ht="15.75" customHeight="1" x14ac:dyDescent="0.2">
      <c r="T429" s="245"/>
      <c r="U429" s="146"/>
      <c r="V429" s="146"/>
      <c r="W429" s="146"/>
      <c r="X429" s="146"/>
      <c r="Y429" s="146"/>
      <c r="Z429" s="146"/>
    </row>
    <row r="430" spans="20:26" ht="15.75" customHeight="1" x14ac:dyDescent="0.2">
      <c r="T430" s="245"/>
      <c r="U430" s="146"/>
      <c r="V430" s="146"/>
      <c r="W430" s="146"/>
      <c r="X430" s="146"/>
      <c r="Y430" s="146"/>
      <c r="Z430" s="146"/>
    </row>
    <row r="431" spans="20:26" ht="15.75" customHeight="1" x14ac:dyDescent="0.2">
      <c r="T431" s="245"/>
      <c r="U431" s="146"/>
      <c r="V431" s="146"/>
      <c r="W431" s="146"/>
      <c r="X431" s="146"/>
      <c r="Y431" s="146"/>
      <c r="Z431" s="146"/>
    </row>
    <row r="432" spans="20:26" ht="15.75" customHeight="1" x14ac:dyDescent="0.2">
      <c r="T432" s="245"/>
      <c r="U432" s="146"/>
      <c r="V432" s="146"/>
      <c r="W432" s="146"/>
      <c r="X432" s="146"/>
      <c r="Y432" s="146"/>
      <c r="Z432" s="146"/>
    </row>
    <row r="433" spans="20:26" ht="15.75" customHeight="1" x14ac:dyDescent="0.2">
      <c r="T433" s="245"/>
      <c r="U433" s="146"/>
      <c r="V433" s="146"/>
      <c r="W433" s="146"/>
      <c r="X433" s="146"/>
      <c r="Y433" s="146"/>
      <c r="Z433" s="146"/>
    </row>
    <row r="434" spans="20:26" ht="15.75" customHeight="1" x14ac:dyDescent="0.2">
      <c r="T434" s="245"/>
      <c r="U434" s="146"/>
      <c r="V434" s="146"/>
      <c r="W434" s="146"/>
      <c r="X434" s="146"/>
      <c r="Y434" s="146"/>
      <c r="Z434" s="146"/>
    </row>
    <row r="435" spans="20:26" ht="15.75" customHeight="1" x14ac:dyDescent="0.2">
      <c r="T435" s="245"/>
      <c r="U435" s="146"/>
      <c r="V435" s="146"/>
      <c r="W435" s="146"/>
      <c r="X435" s="146"/>
      <c r="Y435" s="146"/>
      <c r="Z435" s="146"/>
    </row>
    <row r="436" spans="20:26" ht="15.75" customHeight="1" x14ac:dyDescent="0.2">
      <c r="T436" s="245"/>
      <c r="U436" s="146"/>
      <c r="V436" s="146"/>
      <c r="W436" s="146"/>
      <c r="X436" s="146"/>
      <c r="Y436" s="146"/>
      <c r="Z436" s="146"/>
    </row>
    <row r="437" spans="20:26" ht="15.75" customHeight="1" x14ac:dyDescent="0.2">
      <c r="T437" s="245"/>
      <c r="U437" s="146"/>
      <c r="V437" s="146"/>
      <c r="W437" s="146"/>
      <c r="X437" s="146"/>
      <c r="Y437" s="146"/>
      <c r="Z437" s="146"/>
    </row>
    <row r="438" spans="20:26" ht="15.75" customHeight="1" x14ac:dyDescent="0.2">
      <c r="T438" s="245"/>
      <c r="U438" s="146"/>
      <c r="V438" s="146"/>
      <c r="W438" s="146"/>
      <c r="X438" s="146"/>
      <c r="Y438" s="146"/>
      <c r="Z438" s="146"/>
    </row>
    <row r="439" spans="20:26" ht="15.75" customHeight="1" x14ac:dyDescent="0.2">
      <c r="T439" s="245"/>
      <c r="U439" s="146"/>
      <c r="V439" s="146"/>
      <c r="W439" s="146"/>
      <c r="X439" s="146"/>
      <c r="Y439" s="146"/>
      <c r="Z439" s="146"/>
    </row>
    <row r="440" spans="20:26" ht="15.75" customHeight="1" x14ac:dyDescent="0.2">
      <c r="T440" s="245"/>
      <c r="U440" s="146"/>
      <c r="V440" s="146"/>
      <c r="W440" s="146"/>
      <c r="X440" s="146"/>
      <c r="Y440" s="146"/>
      <c r="Z440" s="146"/>
    </row>
    <row r="441" spans="20:26" ht="15.75" customHeight="1" x14ac:dyDescent="0.2">
      <c r="T441" s="245"/>
      <c r="U441" s="146"/>
      <c r="V441" s="146"/>
      <c r="W441" s="146"/>
      <c r="X441" s="146"/>
      <c r="Y441" s="146"/>
      <c r="Z441" s="146"/>
    </row>
    <row r="442" spans="20:26" ht="15.75" customHeight="1" x14ac:dyDescent="0.2">
      <c r="T442" s="245"/>
      <c r="U442" s="146"/>
      <c r="V442" s="146"/>
      <c r="W442" s="146"/>
      <c r="X442" s="146"/>
      <c r="Y442" s="146"/>
      <c r="Z442" s="146"/>
    </row>
    <row r="443" spans="20:26" ht="15.75" customHeight="1" x14ac:dyDescent="0.2">
      <c r="T443" s="245"/>
      <c r="U443" s="146"/>
      <c r="V443" s="146"/>
      <c r="W443" s="146"/>
      <c r="X443" s="146"/>
      <c r="Y443" s="146"/>
      <c r="Z443" s="146"/>
    </row>
    <row r="444" spans="20:26" ht="15.75" customHeight="1" x14ac:dyDescent="0.2">
      <c r="T444" s="245"/>
      <c r="U444" s="146"/>
      <c r="V444" s="146"/>
      <c r="W444" s="146"/>
      <c r="X444" s="146"/>
      <c r="Y444" s="146"/>
      <c r="Z444" s="146"/>
    </row>
    <row r="445" spans="20:26" ht="15.75" customHeight="1" x14ac:dyDescent="0.2">
      <c r="T445" s="245"/>
      <c r="U445" s="146"/>
      <c r="V445" s="146"/>
      <c r="W445" s="146"/>
      <c r="X445" s="146"/>
      <c r="Y445" s="146"/>
      <c r="Z445" s="146"/>
    </row>
    <row r="446" spans="20:26" ht="15.75" customHeight="1" x14ac:dyDescent="0.2">
      <c r="T446" s="245"/>
      <c r="U446" s="146"/>
      <c r="V446" s="146"/>
      <c r="W446" s="146"/>
      <c r="X446" s="146"/>
      <c r="Y446" s="146"/>
      <c r="Z446" s="146"/>
    </row>
    <row r="447" spans="20:26" ht="15.75" customHeight="1" x14ac:dyDescent="0.2">
      <c r="T447" s="245"/>
      <c r="U447" s="146"/>
      <c r="V447" s="146"/>
      <c r="W447" s="146"/>
      <c r="X447" s="146"/>
      <c r="Y447" s="146"/>
      <c r="Z447" s="146"/>
    </row>
    <row r="448" spans="20:26" ht="15.75" customHeight="1" x14ac:dyDescent="0.2">
      <c r="T448" s="245"/>
      <c r="U448" s="146"/>
      <c r="V448" s="146"/>
      <c r="W448" s="146"/>
      <c r="X448" s="146"/>
      <c r="Y448" s="146"/>
      <c r="Z448" s="146"/>
    </row>
    <row r="449" spans="20:26" ht="15.75" customHeight="1" x14ac:dyDescent="0.2">
      <c r="T449" s="245"/>
      <c r="U449" s="146"/>
      <c r="V449" s="146"/>
      <c r="W449" s="146"/>
      <c r="X449" s="146"/>
      <c r="Y449" s="146"/>
      <c r="Z449" s="146"/>
    </row>
    <row r="450" spans="20:26" ht="15.75" customHeight="1" x14ac:dyDescent="0.2">
      <c r="T450" s="245"/>
      <c r="U450" s="146"/>
      <c r="V450" s="146"/>
      <c r="W450" s="146"/>
      <c r="X450" s="146"/>
      <c r="Y450" s="146"/>
      <c r="Z450" s="146"/>
    </row>
    <row r="451" spans="20:26" ht="15.75" customHeight="1" x14ac:dyDescent="0.2">
      <c r="T451" s="245"/>
      <c r="U451" s="146"/>
      <c r="V451" s="146"/>
      <c r="W451" s="146"/>
      <c r="X451" s="146"/>
      <c r="Y451" s="146"/>
      <c r="Z451" s="146"/>
    </row>
    <row r="452" spans="20:26" ht="15.75" customHeight="1" x14ac:dyDescent="0.2">
      <c r="T452" s="245"/>
      <c r="U452" s="146"/>
      <c r="V452" s="146"/>
      <c r="W452" s="146"/>
      <c r="X452" s="146"/>
      <c r="Y452" s="146"/>
      <c r="Z452" s="146"/>
    </row>
    <row r="453" spans="20:26" ht="15.75" customHeight="1" x14ac:dyDescent="0.2">
      <c r="T453" s="245"/>
      <c r="U453" s="146"/>
      <c r="V453" s="146"/>
      <c r="W453" s="146"/>
      <c r="X453" s="146"/>
      <c r="Y453" s="146"/>
      <c r="Z453" s="146"/>
    </row>
    <row r="454" spans="20:26" ht="15.75" customHeight="1" x14ac:dyDescent="0.2">
      <c r="T454" s="245"/>
      <c r="U454" s="146"/>
      <c r="V454" s="146"/>
      <c r="W454" s="146"/>
      <c r="X454" s="146"/>
      <c r="Y454" s="146"/>
      <c r="Z454" s="146"/>
    </row>
    <row r="455" spans="20:26" ht="15.75" customHeight="1" x14ac:dyDescent="0.2">
      <c r="T455" s="245"/>
      <c r="U455" s="146"/>
      <c r="V455" s="146"/>
      <c r="W455" s="146"/>
      <c r="X455" s="146"/>
      <c r="Y455" s="146"/>
      <c r="Z455" s="146"/>
    </row>
    <row r="456" spans="20:26" ht="15.75" customHeight="1" x14ac:dyDescent="0.2">
      <c r="T456" s="245"/>
      <c r="U456" s="146"/>
      <c r="V456" s="146"/>
      <c r="W456" s="146"/>
      <c r="X456" s="146"/>
      <c r="Y456" s="146"/>
      <c r="Z456" s="146"/>
    </row>
    <row r="457" spans="20:26" ht="15.75" customHeight="1" x14ac:dyDescent="0.2">
      <c r="T457" s="245"/>
      <c r="U457" s="146"/>
      <c r="V457" s="146"/>
      <c r="W457" s="146"/>
      <c r="X457" s="146"/>
      <c r="Y457" s="146"/>
      <c r="Z457" s="146"/>
    </row>
    <row r="458" spans="20:26" ht="15.75" customHeight="1" x14ac:dyDescent="0.2">
      <c r="T458" s="245"/>
      <c r="U458" s="146"/>
      <c r="V458" s="146"/>
      <c r="W458" s="146"/>
      <c r="X458" s="146"/>
      <c r="Y458" s="146"/>
      <c r="Z458" s="146"/>
    </row>
    <row r="459" spans="20:26" ht="15.75" customHeight="1" x14ac:dyDescent="0.2">
      <c r="T459" s="245"/>
      <c r="U459" s="146"/>
      <c r="V459" s="146"/>
      <c r="W459" s="146"/>
      <c r="X459" s="146"/>
      <c r="Y459" s="146"/>
      <c r="Z459" s="146"/>
    </row>
    <row r="460" spans="20:26" ht="15.75" customHeight="1" x14ac:dyDescent="0.2">
      <c r="T460" s="245"/>
      <c r="U460" s="146"/>
      <c r="V460" s="146"/>
      <c r="W460" s="146"/>
      <c r="X460" s="146"/>
      <c r="Y460" s="146"/>
      <c r="Z460" s="146"/>
    </row>
    <row r="461" spans="20:26" ht="15.75" customHeight="1" x14ac:dyDescent="0.2">
      <c r="T461" s="245"/>
      <c r="U461" s="146"/>
      <c r="V461" s="146"/>
      <c r="W461" s="146"/>
      <c r="X461" s="146"/>
      <c r="Y461" s="146"/>
      <c r="Z461" s="146"/>
    </row>
    <row r="462" spans="20:26" ht="15.75" customHeight="1" x14ac:dyDescent="0.2">
      <c r="T462" s="245"/>
      <c r="U462" s="146"/>
      <c r="V462" s="146"/>
      <c r="W462" s="146"/>
      <c r="X462" s="146"/>
      <c r="Y462" s="146"/>
      <c r="Z462" s="146"/>
    </row>
    <row r="463" spans="20:26" ht="15.75" customHeight="1" x14ac:dyDescent="0.2">
      <c r="T463" s="245"/>
      <c r="U463" s="146"/>
      <c r="V463" s="146"/>
      <c r="W463" s="146"/>
      <c r="X463" s="146"/>
      <c r="Y463" s="146"/>
      <c r="Z463" s="146"/>
    </row>
    <row r="464" spans="20:26" ht="15.75" customHeight="1" x14ac:dyDescent="0.2">
      <c r="T464" s="245"/>
      <c r="U464" s="146"/>
      <c r="V464" s="146"/>
      <c r="W464" s="146"/>
      <c r="X464" s="146"/>
      <c r="Y464" s="146"/>
      <c r="Z464" s="146"/>
    </row>
    <row r="465" spans="20:26" ht="15.75" customHeight="1" x14ac:dyDescent="0.2">
      <c r="T465" s="245"/>
      <c r="U465" s="146"/>
      <c r="V465" s="146"/>
      <c r="W465" s="146"/>
      <c r="X465" s="146"/>
      <c r="Y465" s="146"/>
      <c r="Z465" s="146"/>
    </row>
    <row r="466" spans="20:26" ht="15.75" customHeight="1" x14ac:dyDescent="0.2">
      <c r="T466" s="245"/>
      <c r="U466" s="146"/>
      <c r="V466" s="146"/>
      <c r="W466" s="146"/>
      <c r="X466" s="146"/>
      <c r="Y466" s="146"/>
      <c r="Z466" s="146"/>
    </row>
    <row r="467" spans="20:26" ht="15.75" customHeight="1" x14ac:dyDescent="0.2">
      <c r="T467" s="245"/>
      <c r="U467" s="146"/>
      <c r="V467" s="146"/>
      <c r="W467" s="146"/>
      <c r="X467" s="146"/>
      <c r="Y467" s="146"/>
      <c r="Z467" s="146"/>
    </row>
    <row r="468" spans="20:26" ht="15.75" customHeight="1" x14ac:dyDescent="0.2">
      <c r="T468" s="245"/>
      <c r="U468" s="146"/>
      <c r="V468" s="146"/>
      <c r="W468" s="146"/>
      <c r="X468" s="146"/>
      <c r="Y468" s="146"/>
      <c r="Z468" s="146"/>
    </row>
    <row r="469" spans="20:26" ht="15.75" customHeight="1" x14ac:dyDescent="0.2">
      <c r="T469" s="245"/>
      <c r="U469" s="146"/>
      <c r="V469" s="146"/>
      <c r="W469" s="146"/>
      <c r="X469" s="146"/>
      <c r="Y469" s="146"/>
      <c r="Z469" s="146"/>
    </row>
    <row r="470" spans="20:26" ht="15.75" customHeight="1" x14ac:dyDescent="0.2">
      <c r="T470" s="245"/>
      <c r="U470" s="146"/>
      <c r="V470" s="146"/>
      <c r="W470" s="146"/>
      <c r="X470" s="146"/>
      <c r="Y470" s="146"/>
      <c r="Z470" s="146"/>
    </row>
    <row r="471" spans="20:26" ht="15.75" customHeight="1" x14ac:dyDescent="0.2">
      <c r="T471" s="245"/>
      <c r="U471" s="146"/>
      <c r="V471" s="146"/>
      <c r="W471" s="146"/>
      <c r="X471" s="146"/>
      <c r="Y471" s="146"/>
      <c r="Z471" s="146"/>
    </row>
    <row r="472" spans="20:26" ht="15.75" customHeight="1" x14ac:dyDescent="0.2">
      <c r="T472" s="245"/>
      <c r="U472" s="146"/>
      <c r="V472" s="146"/>
      <c r="W472" s="146"/>
      <c r="X472" s="146"/>
      <c r="Y472" s="146"/>
      <c r="Z472" s="146"/>
    </row>
    <row r="473" spans="20:26" ht="15.75" customHeight="1" x14ac:dyDescent="0.2">
      <c r="T473" s="245"/>
      <c r="U473" s="146"/>
      <c r="V473" s="146"/>
      <c r="W473" s="146"/>
      <c r="X473" s="146"/>
      <c r="Y473" s="146"/>
      <c r="Z473" s="146"/>
    </row>
    <row r="474" spans="20:26" ht="15.75" customHeight="1" x14ac:dyDescent="0.2">
      <c r="T474" s="245"/>
      <c r="U474" s="146"/>
      <c r="V474" s="146"/>
      <c r="W474" s="146"/>
      <c r="X474" s="146"/>
      <c r="Y474" s="146"/>
      <c r="Z474" s="146"/>
    </row>
    <row r="475" spans="20:26" ht="15.75" customHeight="1" x14ac:dyDescent="0.2">
      <c r="T475" s="245"/>
      <c r="U475" s="146"/>
      <c r="V475" s="146"/>
      <c r="W475" s="146"/>
      <c r="X475" s="146"/>
      <c r="Y475" s="146"/>
      <c r="Z475" s="146"/>
    </row>
    <row r="476" spans="20:26" ht="15.75" customHeight="1" x14ac:dyDescent="0.2">
      <c r="T476" s="245"/>
      <c r="U476" s="146"/>
      <c r="V476" s="146"/>
      <c r="W476" s="146"/>
      <c r="X476" s="146"/>
      <c r="Y476" s="146"/>
      <c r="Z476" s="146"/>
    </row>
    <row r="477" spans="20:26" ht="15.75" customHeight="1" x14ac:dyDescent="0.2">
      <c r="T477" s="245"/>
      <c r="U477" s="146"/>
      <c r="V477" s="146"/>
      <c r="W477" s="146"/>
      <c r="X477" s="146"/>
      <c r="Y477" s="146"/>
      <c r="Z477" s="146"/>
    </row>
    <row r="478" spans="20:26" ht="15.75" customHeight="1" x14ac:dyDescent="0.2">
      <c r="T478" s="245"/>
      <c r="U478" s="146"/>
      <c r="V478" s="146"/>
      <c r="W478" s="146"/>
      <c r="X478" s="146"/>
      <c r="Y478" s="146"/>
      <c r="Z478" s="146"/>
    </row>
    <row r="479" spans="20:26" ht="15.75" customHeight="1" x14ac:dyDescent="0.2">
      <c r="T479" s="245"/>
      <c r="U479" s="146"/>
      <c r="V479" s="146"/>
      <c r="W479" s="146"/>
      <c r="X479" s="146"/>
      <c r="Y479" s="146"/>
      <c r="Z479" s="146"/>
    </row>
    <row r="480" spans="20:26" ht="15.75" customHeight="1" x14ac:dyDescent="0.2">
      <c r="T480" s="245"/>
      <c r="U480" s="146"/>
      <c r="V480" s="146"/>
      <c r="W480" s="146"/>
      <c r="X480" s="146"/>
      <c r="Y480" s="146"/>
      <c r="Z480" s="146"/>
    </row>
    <row r="481" spans="20:26" ht="15.75" customHeight="1" x14ac:dyDescent="0.2">
      <c r="T481" s="245"/>
      <c r="U481" s="146"/>
      <c r="V481" s="146"/>
      <c r="W481" s="146"/>
      <c r="X481" s="146"/>
      <c r="Y481" s="146"/>
      <c r="Z481" s="146"/>
    </row>
    <row r="482" spans="20:26" ht="15.75" customHeight="1" x14ac:dyDescent="0.2">
      <c r="T482" s="245"/>
      <c r="U482" s="146"/>
      <c r="V482" s="146"/>
      <c r="W482" s="146"/>
      <c r="X482" s="146"/>
      <c r="Y482" s="146"/>
      <c r="Z482" s="146"/>
    </row>
    <row r="483" spans="20:26" ht="15.75" customHeight="1" x14ac:dyDescent="0.2">
      <c r="T483" s="245"/>
      <c r="U483" s="146"/>
      <c r="V483" s="146"/>
      <c r="W483" s="146"/>
      <c r="X483" s="146"/>
      <c r="Y483" s="146"/>
      <c r="Z483" s="146"/>
    </row>
    <row r="484" spans="20:26" ht="15.75" customHeight="1" x14ac:dyDescent="0.2">
      <c r="T484" s="245"/>
      <c r="U484" s="146"/>
      <c r="V484" s="146"/>
      <c r="W484" s="146"/>
      <c r="X484" s="146"/>
      <c r="Y484" s="146"/>
      <c r="Z484" s="146"/>
    </row>
    <row r="485" spans="20:26" ht="15.75" customHeight="1" x14ac:dyDescent="0.2">
      <c r="T485" s="245"/>
      <c r="U485" s="146"/>
      <c r="V485" s="146"/>
      <c r="W485" s="146"/>
      <c r="X485" s="146"/>
      <c r="Y485" s="146"/>
      <c r="Z485" s="146"/>
    </row>
    <row r="486" spans="20:26" ht="15.75" customHeight="1" x14ac:dyDescent="0.2">
      <c r="T486" s="245"/>
      <c r="U486" s="146"/>
      <c r="V486" s="146"/>
      <c r="W486" s="146"/>
      <c r="X486" s="146"/>
      <c r="Y486" s="146"/>
      <c r="Z486" s="146"/>
    </row>
    <row r="487" spans="20:26" ht="15.75" customHeight="1" x14ac:dyDescent="0.2">
      <c r="T487" s="245"/>
      <c r="U487" s="146"/>
      <c r="V487" s="146"/>
      <c r="W487" s="146"/>
      <c r="X487" s="146"/>
      <c r="Y487" s="146"/>
      <c r="Z487" s="146"/>
    </row>
    <row r="488" spans="20:26" ht="15.75" customHeight="1" x14ac:dyDescent="0.2">
      <c r="T488" s="245"/>
      <c r="U488" s="146"/>
      <c r="V488" s="146"/>
      <c r="W488" s="146"/>
      <c r="X488" s="146"/>
      <c r="Y488" s="146"/>
      <c r="Z488" s="146"/>
    </row>
    <row r="489" spans="20:26" ht="15.75" customHeight="1" x14ac:dyDescent="0.2">
      <c r="T489" s="245"/>
      <c r="U489" s="146"/>
      <c r="V489" s="146"/>
      <c r="W489" s="146"/>
      <c r="X489" s="146"/>
      <c r="Y489" s="146"/>
      <c r="Z489" s="146"/>
    </row>
    <row r="490" spans="20:26" ht="15.75" customHeight="1" x14ac:dyDescent="0.2">
      <c r="T490" s="245"/>
      <c r="U490" s="146"/>
      <c r="V490" s="146"/>
      <c r="W490" s="146"/>
      <c r="X490" s="146"/>
      <c r="Y490" s="146"/>
      <c r="Z490" s="146"/>
    </row>
    <row r="491" spans="20:26" ht="15.75" customHeight="1" x14ac:dyDescent="0.2">
      <c r="T491" s="245"/>
      <c r="U491" s="146"/>
      <c r="V491" s="146"/>
      <c r="W491" s="146"/>
      <c r="X491" s="146"/>
      <c r="Y491" s="146"/>
      <c r="Z491" s="146"/>
    </row>
    <row r="492" spans="20:26" ht="15.75" customHeight="1" x14ac:dyDescent="0.2">
      <c r="T492" s="245"/>
      <c r="U492" s="146"/>
      <c r="V492" s="146"/>
      <c r="W492" s="146"/>
      <c r="X492" s="146"/>
      <c r="Y492" s="146"/>
      <c r="Z492" s="146"/>
    </row>
    <row r="493" spans="20:26" ht="15.75" customHeight="1" x14ac:dyDescent="0.2">
      <c r="T493" s="245"/>
      <c r="U493" s="146"/>
      <c r="V493" s="146"/>
      <c r="W493" s="146"/>
      <c r="X493" s="146"/>
      <c r="Y493" s="146"/>
      <c r="Z493" s="146"/>
    </row>
    <row r="494" spans="20:26" ht="15.75" customHeight="1" x14ac:dyDescent="0.2">
      <c r="T494" s="245"/>
      <c r="U494" s="146"/>
      <c r="V494" s="146"/>
      <c r="W494" s="146"/>
      <c r="X494" s="146"/>
      <c r="Y494" s="146"/>
      <c r="Z494" s="146"/>
    </row>
    <row r="495" spans="20:26" ht="15.75" customHeight="1" x14ac:dyDescent="0.2">
      <c r="T495" s="245"/>
      <c r="U495" s="146"/>
      <c r="V495" s="146"/>
      <c r="W495" s="146"/>
      <c r="X495" s="146"/>
      <c r="Y495" s="146"/>
      <c r="Z495" s="146"/>
    </row>
    <row r="496" spans="20:26" ht="15.75" customHeight="1" x14ac:dyDescent="0.2">
      <c r="T496" s="245"/>
      <c r="U496" s="146"/>
      <c r="V496" s="146"/>
      <c r="W496" s="146"/>
      <c r="X496" s="146"/>
      <c r="Y496" s="146"/>
      <c r="Z496" s="146"/>
    </row>
    <row r="497" spans="20:26" ht="15.75" customHeight="1" x14ac:dyDescent="0.2">
      <c r="T497" s="245"/>
      <c r="U497" s="146"/>
      <c r="V497" s="146"/>
      <c r="W497" s="146"/>
      <c r="X497" s="146"/>
      <c r="Y497" s="146"/>
      <c r="Z497" s="146"/>
    </row>
    <row r="498" spans="20:26" ht="15.75" customHeight="1" x14ac:dyDescent="0.2">
      <c r="T498" s="245"/>
      <c r="U498" s="146"/>
      <c r="V498" s="146"/>
      <c r="W498" s="146"/>
      <c r="X498" s="146"/>
      <c r="Y498" s="146"/>
      <c r="Z498" s="146"/>
    </row>
    <row r="499" spans="20:26" ht="15.75" customHeight="1" x14ac:dyDescent="0.2">
      <c r="T499" s="245"/>
      <c r="U499" s="146"/>
      <c r="V499" s="146"/>
      <c r="W499" s="146"/>
      <c r="X499" s="146"/>
      <c r="Y499" s="146"/>
      <c r="Z499" s="146"/>
    </row>
    <row r="500" spans="20:26" ht="15.75" customHeight="1" x14ac:dyDescent="0.2">
      <c r="T500" s="245"/>
      <c r="U500" s="146"/>
      <c r="V500" s="146"/>
      <c r="W500" s="146"/>
      <c r="X500" s="146"/>
      <c r="Y500" s="146"/>
      <c r="Z500" s="146"/>
    </row>
    <row r="501" spans="20:26" ht="15.75" customHeight="1" x14ac:dyDescent="0.2">
      <c r="T501" s="245"/>
      <c r="U501" s="146"/>
      <c r="V501" s="146"/>
      <c r="W501" s="146"/>
      <c r="X501" s="146"/>
      <c r="Y501" s="146"/>
      <c r="Z501" s="146"/>
    </row>
    <row r="502" spans="20:26" ht="15.75" customHeight="1" x14ac:dyDescent="0.2">
      <c r="T502" s="245"/>
      <c r="U502" s="146"/>
      <c r="V502" s="146"/>
      <c r="W502" s="146"/>
      <c r="X502" s="146"/>
      <c r="Y502" s="146"/>
      <c r="Z502" s="146"/>
    </row>
    <row r="503" spans="20:26" ht="15.75" customHeight="1" x14ac:dyDescent="0.2">
      <c r="T503" s="245"/>
      <c r="U503" s="146"/>
      <c r="V503" s="146"/>
      <c r="W503" s="146"/>
      <c r="X503" s="146"/>
      <c r="Y503" s="146"/>
      <c r="Z503" s="146"/>
    </row>
    <row r="504" spans="20:26" ht="15.75" customHeight="1" x14ac:dyDescent="0.2">
      <c r="T504" s="245"/>
      <c r="U504" s="146"/>
      <c r="V504" s="146"/>
      <c r="W504" s="146"/>
      <c r="X504" s="146"/>
      <c r="Y504" s="146"/>
      <c r="Z504" s="146"/>
    </row>
    <row r="505" spans="20:26" ht="15.75" customHeight="1" x14ac:dyDescent="0.2">
      <c r="T505" s="245"/>
      <c r="U505" s="146"/>
      <c r="V505" s="146"/>
      <c r="W505" s="146"/>
      <c r="X505" s="146"/>
      <c r="Y505" s="146"/>
      <c r="Z505" s="146"/>
    </row>
    <row r="506" spans="20:26" ht="15.75" customHeight="1" x14ac:dyDescent="0.2">
      <c r="T506" s="245"/>
      <c r="U506" s="146"/>
      <c r="V506" s="146"/>
      <c r="W506" s="146"/>
      <c r="X506" s="146"/>
      <c r="Y506" s="146"/>
      <c r="Z506" s="146"/>
    </row>
    <row r="507" spans="20:26" ht="15.75" customHeight="1" x14ac:dyDescent="0.2">
      <c r="T507" s="245"/>
      <c r="U507" s="146"/>
      <c r="V507" s="146"/>
      <c r="W507" s="146"/>
      <c r="X507" s="146"/>
      <c r="Y507" s="146"/>
      <c r="Z507" s="146"/>
    </row>
    <row r="508" spans="20:26" ht="15.75" customHeight="1" x14ac:dyDescent="0.2">
      <c r="T508" s="245"/>
      <c r="U508" s="146"/>
      <c r="V508" s="146"/>
      <c r="W508" s="146"/>
      <c r="X508" s="146"/>
      <c r="Y508" s="146"/>
      <c r="Z508" s="146"/>
    </row>
    <row r="509" spans="20:26" ht="15.75" customHeight="1" x14ac:dyDescent="0.2">
      <c r="T509" s="245"/>
      <c r="U509" s="146"/>
      <c r="V509" s="146"/>
      <c r="W509" s="146"/>
      <c r="X509" s="146"/>
      <c r="Y509" s="146"/>
      <c r="Z509" s="146"/>
    </row>
    <row r="510" spans="20:26" ht="15.75" customHeight="1" x14ac:dyDescent="0.2">
      <c r="T510" s="245"/>
      <c r="U510" s="146"/>
      <c r="V510" s="146"/>
      <c r="W510" s="146"/>
      <c r="X510" s="146"/>
      <c r="Y510" s="146"/>
      <c r="Z510" s="146"/>
    </row>
    <row r="511" spans="20:26" ht="15.75" customHeight="1" x14ac:dyDescent="0.2">
      <c r="T511" s="245"/>
      <c r="U511" s="146"/>
      <c r="V511" s="146"/>
      <c r="W511" s="146"/>
      <c r="X511" s="146"/>
      <c r="Y511" s="146"/>
      <c r="Z511" s="146"/>
    </row>
    <row r="512" spans="20:26" ht="15.75" customHeight="1" x14ac:dyDescent="0.2">
      <c r="T512" s="245"/>
      <c r="U512" s="146"/>
      <c r="V512" s="146"/>
      <c r="W512" s="146"/>
      <c r="X512" s="146"/>
      <c r="Y512" s="146"/>
      <c r="Z512" s="146"/>
    </row>
    <row r="513" spans="20:26" ht="15.75" customHeight="1" x14ac:dyDescent="0.2">
      <c r="T513" s="245"/>
      <c r="U513" s="146"/>
      <c r="V513" s="146"/>
      <c r="W513" s="146"/>
      <c r="X513" s="146"/>
      <c r="Y513" s="146"/>
      <c r="Z513" s="146"/>
    </row>
    <row r="514" spans="20:26" ht="15.75" customHeight="1" x14ac:dyDescent="0.2">
      <c r="T514" s="245"/>
      <c r="U514" s="146"/>
      <c r="V514" s="146"/>
      <c r="W514" s="146"/>
      <c r="X514" s="146"/>
      <c r="Y514" s="146"/>
      <c r="Z514" s="146"/>
    </row>
    <row r="515" spans="20:26" ht="15.75" customHeight="1" x14ac:dyDescent="0.2">
      <c r="T515" s="245"/>
      <c r="U515" s="146"/>
      <c r="V515" s="146"/>
      <c r="W515" s="146"/>
      <c r="X515" s="146"/>
      <c r="Y515" s="146"/>
      <c r="Z515" s="146"/>
    </row>
    <row r="516" spans="20:26" ht="15.75" customHeight="1" x14ac:dyDescent="0.2">
      <c r="T516" s="245"/>
      <c r="U516" s="146"/>
      <c r="V516" s="146"/>
      <c r="W516" s="146"/>
      <c r="X516" s="146"/>
      <c r="Y516" s="146"/>
      <c r="Z516" s="146"/>
    </row>
    <row r="517" spans="20:26" ht="15.75" customHeight="1" x14ac:dyDescent="0.2">
      <c r="T517" s="245"/>
      <c r="U517" s="146"/>
      <c r="V517" s="146"/>
      <c r="W517" s="146"/>
      <c r="X517" s="146"/>
      <c r="Y517" s="146"/>
      <c r="Z517" s="146"/>
    </row>
    <row r="518" spans="20:26" ht="15.75" customHeight="1" x14ac:dyDescent="0.2">
      <c r="T518" s="245"/>
      <c r="U518" s="146"/>
      <c r="V518" s="146"/>
      <c r="W518" s="146"/>
      <c r="X518" s="146"/>
      <c r="Y518" s="146"/>
      <c r="Z518" s="146"/>
    </row>
    <row r="519" spans="20:26" ht="15.75" customHeight="1" x14ac:dyDescent="0.2">
      <c r="T519" s="245"/>
      <c r="U519" s="146"/>
      <c r="V519" s="146"/>
      <c r="W519" s="146"/>
      <c r="X519" s="146"/>
      <c r="Y519" s="146"/>
      <c r="Z519" s="146"/>
    </row>
    <row r="520" spans="20:26" ht="15.75" customHeight="1" x14ac:dyDescent="0.2">
      <c r="T520" s="245"/>
      <c r="U520" s="146"/>
      <c r="V520" s="146"/>
      <c r="W520" s="146"/>
      <c r="X520" s="146"/>
      <c r="Y520" s="146"/>
      <c r="Z520" s="146"/>
    </row>
    <row r="521" spans="20:26" ht="15.75" customHeight="1" x14ac:dyDescent="0.2">
      <c r="T521" s="245"/>
      <c r="U521" s="146"/>
      <c r="V521" s="146"/>
      <c r="W521" s="146"/>
      <c r="X521" s="146"/>
      <c r="Y521" s="146"/>
      <c r="Z521" s="146"/>
    </row>
    <row r="522" spans="20:26" ht="15.75" customHeight="1" x14ac:dyDescent="0.2">
      <c r="T522" s="245"/>
      <c r="U522" s="146"/>
      <c r="V522" s="146"/>
      <c r="W522" s="146"/>
      <c r="X522" s="146"/>
      <c r="Y522" s="146"/>
      <c r="Z522" s="146"/>
    </row>
    <row r="523" spans="20:26" ht="15.75" customHeight="1" x14ac:dyDescent="0.2">
      <c r="T523" s="245"/>
      <c r="U523" s="146"/>
      <c r="V523" s="146"/>
      <c r="W523" s="146"/>
      <c r="X523" s="146"/>
      <c r="Y523" s="146"/>
      <c r="Z523" s="146"/>
    </row>
    <row r="524" spans="20:26" ht="15.75" customHeight="1" x14ac:dyDescent="0.2">
      <c r="T524" s="245"/>
      <c r="U524" s="146"/>
      <c r="V524" s="146"/>
      <c r="W524" s="146"/>
      <c r="X524" s="146"/>
      <c r="Y524" s="146"/>
      <c r="Z524" s="146"/>
    </row>
    <row r="525" spans="20:26" ht="15.75" customHeight="1" x14ac:dyDescent="0.2">
      <c r="T525" s="245"/>
      <c r="U525" s="146"/>
      <c r="V525" s="146"/>
      <c r="W525" s="146"/>
      <c r="X525" s="146"/>
      <c r="Y525" s="146"/>
      <c r="Z525" s="146"/>
    </row>
    <row r="526" spans="20:26" ht="15.75" customHeight="1" x14ac:dyDescent="0.2">
      <c r="T526" s="245"/>
      <c r="U526" s="146"/>
      <c r="V526" s="146"/>
      <c r="W526" s="146"/>
      <c r="X526" s="146"/>
      <c r="Y526" s="146"/>
      <c r="Z526" s="146"/>
    </row>
    <row r="527" spans="20:26" ht="15.75" customHeight="1" x14ac:dyDescent="0.2">
      <c r="T527" s="245"/>
      <c r="U527" s="146"/>
      <c r="V527" s="146"/>
      <c r="W527" s="146"/>
      <c r="X527" s="146"/>
      <c r="Y527" s="146"/>
      <c r="Z527" s="146"/>
    </row>
    <row r="528" spans="20:26" ht="15.75" customHeight="1" x14ac:dyDescent="0.2">
      <c r="T528" s="245"/>
      <c r="U528" s="146"/>
      <c r="V528" s="146"/>
      <c r="W528" s="146"/>
      <c r="X528" s="146"/>
      <c r="Y528" s="146"/>
      <c r="Z528" s="146"/>
    </row>
    <row r="529" spans="20:26" ht="15.75" customHeight="1" x14ac:dyDescent="0.2">
      <c r="T529" s="245"/>
      <c r="U529" s="146"/>
      <c r="V529" s="146"/>
      <c r="W529" s="146"/>
      <c r="X529" s="146"/>
      <c r="Y529" s="146"/>
      <c r="Z529" s="146"/>
    </row>
    <row r="530" spans="20:26" ht="15.75" customHeight="1" x14ac:dyDescent="0.2">
      <c r="T530" s="245"/>
      <c r="U530" s="146"/>
      <c r="V530" s="146"/>
      <c r="W530" s="146"/>
      <c r="X530" s="146"/>
      <c r="Y530" s="146"/>
      <c r="Z530" s="146"/>
    </row>
    <row r="531" spans="20:26" ht="15.75" customHeight="1" x14ac:dyDescent="0.2">
      <c r="T531" s="245"/>
      <c r="U531" s="146"/>
      <c r="V531" s="146"/>
      <c r="W531" s="146"/>
      <c r="X531" s="146"/>
      <c r="Y531" s="146"/>
      <c r="Z531" s="146"/>
    </row>
    <row r="532" spans="20:26" ht="15.75" customHeight="1" x14ac:dyDescent="0.2">
      <c r="T532" s="245"/>
      <c r="U532" s="146"/>
      <c r="V532" s="146"/>
      <c r="W532" s="146"/>
      <c r="X532" s="146"/>
      <c r="Y532" s="146"/>
      <c r="Z532" s="146"/>
    </row>
    <row r="533" spans="20:26" ht="15.75" customHeight="1" x14ac:dyDescent="0.2">
      <c r="T533" s="245"/>
      <c r="U533" s="146"/>
      <c r="V533" s="146"/>
      <c r="W533" s="146"/>
      <c r="X533" s="146"/>
      <c r="Y533" s="146"/>
      <c r="Z533" s="146"/>
    </row>
    <row r="534" spans="20:26" ht="15.75" customHeight="1" x14ac:dyDescent="0.2">
      <c r="T534" s="245"/>
      <c r="U534" s="146"/>
      <c r="V534" s="146"/>
      <c r="W534" s="146"/>
      <c r="X534" s="146"/>
      <c r="Y534" s="146"/>
      <c r="Z534" s="146"/>
    </row>
    <row r="535" spans="20:26" ht="15.75" customHeight="1" x14ac:dyDescent="0.2">
      <c r="T535" s="245"/>
      <c r="U535" s="146"/>
      <c r="V535" s="146"/>
      <c r="W535" s="146"/>
      <c r="X535" s="146"/>
      <c r="Y535" s="146"/>
      <c r="Z535" s="146"/>
    </row>
    <row r="536" spans="20:26" ht="15.75" customHeight="1" x14ac:dyDescent="0.2">
      <c r="T536" s="245"/>
      <c r="U536" s="146"/>
      <c r="V536" s="146"/>
      <c r="W536" s="146"/>
      <c r="X536" s="146"/>
      <c r="Y536" s="146"/>
      <c r="Z536" s="146"/>
    </row>
    <row r="537" spans="20:26" ht="15.75" customHeight="1" x14ac:dyDescent="0.2">
      <c r="T537" s="245"/>
      <c r="U537" s="146"/>
      <c r="V537" s="146"/>
      <c r="W537" s="146"/>
      <c r="X537" s="146"/>
      <c r="Y537" s="146"/>
      <c r="Z537" s="146"/>
    </row>
    <row r="538" spans="20:26" ht="15.75" customHeight="1" x14ac:dyDescent="0.2">
      <c r="T538" s="245"/>
      <c r="U538" s="146"/>
      <c r="V538" s="146"/>
      <c r="W538" s="146"/>
      <c r="X538" s="146"/>
      <c r="Y538" s="146"/>
      <c r="Z538" s="146"/>
    </row>
    <row r="539" spans="20:26" ht="15.75" customHeight="1" x14ac:dyDescent="0.2">
      <c r="T539" s="245"/>
      <c r="U539" s="146"/>
      <c r="V539" s="146"/>
      <c r="W539" s="146"/>
      <c r="X539" s="146"/>
      <c r="Y539" s="146"/>
      <c r="Z539" s="146"/>
    </row>
    <row r="540" spans="20:26" ht="15.75" customHeight="1" x14ac:dyDescent="0.2">
      <c r="T540" s="245"/>
      <c r="U540" s="146"/>
      <c r="V540" s="146"/>
      <c r="W540" s="146"/>
      <c r="X540" s="146"/>
      <c r="Y540" s="146"/>
      <c r="Z540" s="146"/>
    </row>
    <row r="541" spans="20:26" ht="15.75" customHeight="1" x14ac:dyDescent="0.2">
      <c r="T541" s="245"/>
      <c r="U541" s="146"/>
      <c r="V541" s="146"/>
      <c r="W541" s="146"/>
      <c r="X541" s="146"/>
      <c r="Y541" s="146"/>
      <c r="Z541" s="146"/>
    </row>
    <row r="542" spans="20:26" ht="15.75" customHeight="1" x14ac:dyDescent="0.2">
      <c r="T542" s="245"/>
      <c r="U542" s="146"/>
      <c r="V542" s="146"/>
      <c r="W542" s="146"/>
      <c r="X542" s="146"/>
      <c r="Y542" s="146"/>
      <c r="Z542" s="146"/>
    </row>
    <row r="543" spans="20:26" ht="15.75" customHeight="1" x14ac:dyDescent="0.2">
      <c r="T543" s="245"/>
      <c r="U543" s="146"/>
      <c r="V543" s="146"/>
      <c r="W543" s="146"/>
      <c r="X543" s="146"/>
      <c r="Y543" s="146"/>
      <c r="Z543" s="146"/>
    </row>
    <row r="544" spans="20:26" ht="15.75" customHeight="1" x14ac:dyDescent="0.2">
      <c r="T544" s="245"/>
      <c r="U544" s="146"/>
      <c r="V544" s="146"/>
      <c r="W544" s="146"/>
      <c r="X544" s="146"/>
      <c r="Y544" s="146"/>
      <c r="Z544" s="146"/>
    </row>
    <row r="545" spans="20:26" ht="15.75" customHeight="1" x14ac:dyDescent="0.2">
      <c r="T545" s="245"/>
      <c r="U545" s="146"/>
      <c r="V545" s="146"/>
      <c r="W545" s="146"/>
      <c r="X545" s="146"/>
      <c r="Y545" s="146"/>
      <c r="Z545" s="146"/>
    </row>
    <row r="546" spans="20:26" ht="15.75" customHeight="1" x14ac:dyDescent="0.2">
      <c r="T546" s="245"/>
      <c r="U546" s="146"/>
      <c r="V546" s="146"/>
      <c r="W546" s="146"/>
      <c r="X546" s="146"/>
      <c r="Y546" s="146"/>
      <c r="Z546" s="146"/>
    </row>
    <row r="547" spans="20:26" ht="15.75" customHeight="1" x14ac:dyDescent="0.2">
      <c r="T547" s="245"/>
      <c r="U547" s="146"/>
      <c r="V547" s="146"/>
      <c r="W547" s="146"/>
      <c r="X547" s="146"/>
      <c r="Y547" s="146"/>
      <c r="Z547" s="146"/>
    </row>
    <row r="548" spans="20:26" ht="15.75" customHeight="1" x14ac:dyDescent="0.2">
      <c r="T548" s="245"/>
      <c r="U548" s="146"/>
      <c r="V548" s="146"/>
      <c r="W548" s="146"/>
      <c r="X548" s="146"/>
      <c r="Y548" s="146"/>
      <c r="Z548" s="146"/>
    </row>
    <row r="549" spans="20:26" ht="15.75" customHeight="1" x14ac:dyDescent="0.2">
      <c r="T549" s="245"/>
      <c r="U549" s="146"/>
      <c r="V549" s="146"/>
      <c r="W549" s="146"/>
      <c r="X549" s="146"/>
      <c r="Y549" s="146"/>
      <c r="Z549" s="146"/>
    </row>
    <row r="550" spans="20:26" ht="15.75" customHeight="1" x14ac:dyDescent="0.2">
      <c r="T550" s="245"/>
      <c r="U550" s="146"/>
      <c r="V550" s="146"/>
      <c r="W550" s="146"/>
      <c r="X550" s="146"/>
      <c r="Y550" s="146"/>
      <c r="Z550" s="146"/>
    </row>
    <row r="551" spans="20:26" ht="15.75" customHeight="1" x14ac:dyDescent="0.2">
      <c r="T551" s="245"/>
      <c r="U551" s="146"/>
      <c r="V551" s="146"/>
      <c r="W551" s="146"/>
      <c r="X551" s="146"/>
      <c r="Y551" s="146"/>
      <c r="Z551" s="146"/>
    </row>
    <row r="552" spans="20:26" ht="15.75" customHeight="1" x14ac:dyDescent="0.2">
      <c r="T552" s="245"/>
      <c r="U552" s="146"/>
      <c r="V552" s="146"/>
      <c r="W552" s="146"/>
      <c r="X552" s="146"/>
      <c r="Y552" s="146"/>
      <c r="Z552" s="146"/>
    </row>
    <row r="553" spans="20:26" ht="15.75" customHeight="1" x14ac:dyDescent="0.2">
      <c r="T553" s="245"/>
      <c r="U553" s="146"/>
      <c r="V553" s="146"/>
      <c r="W553" s="146"/>
      <c r="X553" s="146"/>
      <c r="Y553" s="146"/>
      <c r="Z553" s="146"/>
    </row>
    <row r="554" spans="20:26" ht="15.75" customHeight="1" x14ac:dyDescent="0.2">
      <c r="T554" s="245"/>
      <c r="U554" s="146"/>
      <c r="V554" s="146"/>
      <c r="W554" s="146"/>
      <c r="X554" s="146"/>
      <c r="Y554" s="146"/>
      <c r="Z554" s="146"/>
    </row>
    <row r="555" spans="20:26" ht="15.75" customHeight="1" x14ac:dyDescent="0.2">
      <c r="T555" s="245"/>
      <c r="U555" s="146"/>
      <c r="V555" s="146"/>
      <c r="W555" s="146"/>
      <c r="X555" s="146"/>
      <c r="Y555" s="146"/>
      <c r="Z555" s="146"/>
    </row>
    <row r="556" spans="20:26" ht="15.75" customHeight="1" x14ac:dyDescent="0.2">
      <c r="T556" s="245"/>
      <c r="U556" s="146"/>
      <c r="V556" s="146"/>
      <c r="W556" s="146"/>
      <c r="X556" s="146"/>
      <c r="Y556" s="146"/>
      <c r="Z556" s="146"/>
    </row>
    <row r="557" spans="20:26" ht="15.75" customHeight="1" x14ac:dyDescent="0.2">
      <c r="T557" s="245"/>
      <c r="U557" s="146"/>
      <c r="V557" s="146"/>
      <c r="W557" s="146"/>
      <c r="X557" s="146"/>
      <c r="Y557" s="146"/>
      <c r="Z557" s="146"/>
    </row>
    <row r="558" spans="20:26" ht="15.75" customHeight="1" x14ac:dyDescent="0.2">
      <c r="T558" s="245"/>
      <c r="U558" s="146"/>
      <c r="V558" s="146"/>
      <c r="W558" s="146"/>
      <c r="X558" s="146"/>
      <c r="Y558" s="146"/>
      <c r="Z558" s="146"/>
    </row>
    <row r="559" spans="20:26" ht="15.75" customHeight="1" x14ac:dyDescent="0.2">
      <c r="T559" s="245"/>
      <c r="U559" s="146"/>
      <c r="V559" s="146"/>
      <c r="W559" s="146"/>
      <c r="X559" s="146"/>
      <c r="Y559" s="146"/>
      <c r="Z559" s="146"/>
    </row>
    <row r="560" spans="20:26" ht="15.75" customHeight="1" x14ac:dyDescent="0.2">
      <c r="T560" s="245"/>
      <c r="U560" s="146"/>
      <c r="V560" s="146"/>
      <c r="W560" s="146"/>
      <c r="X560" s="146"/>
      <c r="Y560" s="146"/>
      <c r="Z560" s="146"/>
    </row>
    <row r="561" spans="20:26" ht="15.75" customHeight="1" x14ac:dyDescent="0.2">
      <c r="T561" s="245"/>
      <c r="U561" s="146"/>
      <c r="V561" s="146"/>
      <c r="W561" s="146"/>
      <c r="X561" s="146"/>
      <c r="Y561" s="146"/>
      <c r="Z561" s="146"/>
    </row>
    <row r="562" spans="20:26" ht="15.75" customHeight="1" x14ac:dyDescent="0.2">
      <c r="T562" s="245"/>
      <c r="U562" s="146"/>
      <c r="V562" s="146"/>
      <c r="W562" s="146"/>
      <c r="X562" s="146"/>
      <c r="Y562" s="146"/>
      <c r="Z562" s="146"/>
    </row>
    <row r="563" spans="20:26" ht="15.75" customHeight="1" x14ac:dyDescent="0.2">
      <c r="T563" s="245"/>
      <c r="U563" s="146"/>
      <c r="V563" s="146"/>
      <c r="W563" s="146"/>
      <c r="X563" s="146"/>
      <c r="Y563" s="146"/>
      <c r="Z563" s="146"/>
    </row>
    <row r="564" spans="20:26" ht="15.75" customHeight="1" x14ac:dyDescent="0.2">
      <c r="T564" s="245"/>
      <c r="U564" s="146"/>
      <c r="V564" s="146"/>
      <c r="W564" s="146"/>
      <c r="X564" s="146"/>
      <c r="Y564" s="146"/>
      <c r="Z564" s="146"/>
    </row>
    <row r="565" spans="20:26" ht="15.75" customHeight="1" x14ac:dyDescent="0.2">
      <c r="T565" s="245"/>
      <c r="U565" s="146"/>
      <c r="V565" s="146"/>
      <c r="W565" s="146"/>
      <c r="X565" s="146"/>
      <c r="Y565" s="146"/>
      <c r="Z565" s="146"/>
    </row>
    <row r="566" spans="20:26" ht="15.75" customHeight="1" x14ac:dyDescent="0.2">
      <c r="T566" s="245"/>
      <c r="U566" s="146"/>
      <c r="V566" s="146"/>
      <c r="W566" s="146"/>
      <c r="X566" s="146"/>
      <c r="Y566" s="146"/>
      <c r="Z566" s="146"/>
    </row>
    <row r="567" spans="20:26" ht="15.75" customHeight="1" x14ac:dyDescent="0.2">
      <c r="T567" s="245"/>
      <c r="U567" s="146"/>
      <c r="V567" s="146"/>
      <c r="W567" s="146"/>
      <c r="X567" s="146"/>
      <c r="Y567" s="146"/>
      <c r="Z567" s="146"/>
    </row>
    <row r="568" spans="20:26" ht="15.75" customHeight="1" x14ac:dyDescent="0.2">
      <c r="T568" s="245"/>
      <c r="U568" s="146"/>
      <c r="V568" s="146"/>
      <c r="W568" s="146"/>
      <c r="X568" s="146"/>
      <c r="Y568" s="146"/>
      <c r="Z568" s="146"/>
    </row>
    <row r="569" spans="20:26" ht="15.75" customHeight="1" x14ac:dyDescent="0.2">
      <c r="T569" s="245"/>
      <c r="U569" s="146"/>
      <c r="V569" s="146"/>
      <c r="W569" s="146"/>
      <c r="X569" s="146"/>
      <c r="Y569" s="146"/>
      <c r="Z569" s="146"/>
    </row>
    <row r="570" spans="20:26" ht="15.75" customHeight="1" x14ac:dyDescent="0.2">
      <c r="T570" s="245"/>
      <c r="U570" s="146"/>
      <c r="V570" s="146"/>
      <c r="W570" s="146"/>
      <c r="X570" s="146"/>
      <c r="Y570" s="146"/>
      <c r="Z570" s="146"/>
    </row>
    <row r="571" spans="20:26" ht="15.75" customHeight="1" x14ac:dyDescent="0.2">
      <c r="T571" s="245"/>
      <c r="U571" s="146"/>
      <c r="V571" s="146"/>
      <c r="W571" s="146"/>
      <c r="X571" s="146"/>
      <c r="Y571" s="146"/>
      <c r="Z571" s="146"/>
    </row>
    <row r="572" spans="20:26" ht="15.75" customHeight="1" x14ac:dyDescent="0.2">
      <c r="T572" s="245"/>
      <c r="U572" s="146"/>
      <c r="V572" s="146"/>
      <c r="W572" s="146"/>
      <c r="X572" s="146"/>
      <c r="Y572" s="146"/>
      <c r="Z572" s="146"/>
    </row>
    <row r="573" spans="20:26" ht="15.75" customHeight="1" x14ac:dyDescent="0.2">
      <c r="T573" s="245"/>
      <c r="U573" s="146"/>
      <c r="V573" s="146"/>
      <c r="W573" s="146"/>
      <c r="X573" s="146"/>
      <c r="Y573" s="146"/>
      <c r="Z573" s="146"/>
    </row>
    <row r="574" spans="20:26" ht="15.75" customHeight="1" x14ac:dyDescent="0.2">
      <c r="T574" s="245"/>
      <c r="U574" s="146"/>
      <c r="V574" s="146"/>
      <c r="W574" s="146"/>
      <c r="X574" s="146"/>
      <c r="Y574" s="146"/>
      <c r="Z574" s="146"/>
    </row>
    <row r="575" spans="20:26" ht="15.75" customHeight="1" x14ac:dyDescent="0.2">
      <c r="T575" s="245"/>
      <c r="U575" s="146"/>
      <c r="V575" s="146"/>
      <c r="W575" s="146"/>
      <c r="X575" s="146"/>
      <c r="Y575" s="146"/>
      <c r="Z575" s="146"/>
    </row>
    <row r="576" spans="20:26" ht="15.75" customHeight="1" x14ac:dyDescent="0.2">
      <c r="T576" s="245"/>
      <c r="U576" s="146"/>
      <c r="V576" s="146"/>
      <c r="W576" s="146"/>
      <c r="X576" s="146"/>
      <c r="Y576" s="146"/>
      <c r="Z576" s="146"/>
    </row>
    <row r="577" spans="20:26" ht="15.75" customHeight="1" x14ac:dyDescent="0.2">
      <c r="T577" s="245"/>
      <c r="U577" s="146"/>
      <c r="V577" s="146"/>
      <c r="W577" s="146"/>
      <c r="X577" s="146"/>
      <c r="Y577" s="146"/>
      <c r="Z577" s="146"/>
    </row>
    <row r="578" spans="20:26" ht="15.75" customHeight="1" x14ac:dyDescent="0.2">
      <c r="T578" s="245"/>
      <c r="U578" s="146"/>
      <c r="V578" s="146"/>
      <c r="W578" s="146"/>
      <c r="X578" s="146"/>
      <c r="Y578" s="146"/>
      <c r="Z578" s="146"/>
    </row>
    <row r="579" spans="20:26" ht="15.75" customHeight="1" x14ac:dyDescent="0.2">
      <c r="T579" s="245"/>
      <c r="U579" s="146"/>
      <c r="V579" s="146"/>
      <c r="W579" s="146"/>
      <c r="X579" s="146"/>
      <c r="Y579" s="146"/>
      <c r="Z579" s="146"/>
    </row>
    <row r="580" spans="20:26" ht="15.75" customHeight="1" x14ac:dyDescent="0.2">
      <c r="T580" s="245"/>
      <c r="U580" s="146"/>
      <c r="V580" s="146"/>
      <c r="W580" s="146"/>
      <c r="X580" s="146"/>
      <c r="Y580" s="146"/>
      <c r="Z580" s="146"/>
    </row>
    <row r="581" spans="20:26" ht="15.75" customHeight="1" x14ac:dyDescent="0.2">
      <c r="T581" s="245"/>
      <c r="U581" s="146"/>
      <c r="V581" s="146"/>
      <c r="W581" s="146"/>
      <c r="X581" s="146"/>
      <c r="Y581" s="146"/>
      <c r="Z581" s="146"/>
    </row>
    <row r="582" spans="20:26" ht="15.75" customHeight="1" x14ac:dyDescent="0.2">
      <c r="T582" s="245"/>
      <c r="U582" s="146"/>
      <c r="V582" s="146"/>
      <c r="W582" s="146"/>
      <c r="X582" s="146"/>
      <c r="Y582" s="146"/>
      <c r="Z582" s="146"/>
    </row>
    <row r="583" spans="20:26" ht="15.75" customHeight="1" x14ac:dyDescent="0.2">
      <c r="T583" s="245"/>
      <c r="U583" s="146"/>
      <c r="V583" s="146"/>
      <c r="W583" s="146"/>
      <c r="X583" s="146"/>
      <c r="Y583" s="146"/>
      <c r="Z583" s="146"/>
    </row>
    <row r="584" spans="20:26" ht="15.75" customHeight="1" x14ac:dyDescent="0.2">
      <c r="T584" s="245"/>
      <c r="U584" s="146"/>
      <c r="V584" s="146"/>
      <c r="W584" s="146"/>
      <c r="X584" s="146"/>
      <c r="Y584" s="146"/>
      <c r="Z584" s="146"/>
    </row>
    <row r="585" spans="20:26" ht="15.75" customHeight="1" x14ac:dyDescent="0.2">
      <c r="T585" s="245"/>
      <c r="U585" s="146"/>
      <c r="V585" s="146"/>
      <c r="W585" s="146"/>
      <c r="X585" s="146"/>
      <c r="Y585" s="146"/>
      <c r="Z585" s="146"/>
    </row>
    <row r="586" spans="20:26" ht="15.75" customHeight="1" x14ac:dyDescent="0.2">
      <c r="T586" s="245"/>
      <c r="U586" s="146"/>
      <c r="V586" s="146"/>
      <c r="W586" s="146"/>
      <c r="X586" s="146"/>
      <c r="Y586" s="146"/>
      <c r="Z586" s="146"/>
    </row>
    <row r="587" spans="20:26" ht="15.75" customHeight="1" x14ac:dyDescent="0.2">
      <c r="T587" s="245"/>
      <c r="U587" s="146"/>
      <c r="V587" s="146"/>
      <c r="W587" s="146"/>
      <c r="X587" s="146"/>
      <c r="Y587" s="146"/>
      <c r="Z587" s="146"/>
    </row>
    <row r="588" spans="20:26" ht="15.75" customHeight="1" x14ac:dyDescent="0.2">
      <c r="T588" s="245"/>
      <c r="U588" s="146"/>
      <c r="V588" s="146"/>
      <c r="W588" s="146"/>
      <c r="X588" s="146"/>
      <c r="Y588" s="146"/>
      <c r="Z588" s="146"/>
    </row>
    <row r="589" spans="20:26" ht="15.75" customHeight="1" x14ac:dyDescent="0.2">
      <c r="T589" s="245"/>
      <c r="U589" s="146"/>
      <c r="V589" s="146"/>
      <c r="W589" s="146"/>
      <c r="X589" s="146"/>
      <c r="Y589" s="146"/>
      <c r="Z589" s="146"/>
    </row>
    <row r="590" spans="20:26" ht="15.75" customHeight="1" x14ac:dyDescent="0.2">
      <c r="T590" s="245"/>
      <c r="U590" s="146"/>
      <c r="V590" s="146"/>
      <c r="W590" s="146"/>
      <c r="X590" s="146"/>
      <c r="Y590" s="146"/>
      <c r="Z590" s="146"/>
    </row>
    <row r="591" spans="20:26" ht="15.75" customHeight="1" x14ac:dyDescent="0.2">
      <c r="T591" s="245"/>
      <c r="U591" s="146"/>
      <c r="V591" s="146"/>
      <c r="W591" s="146"/>
      <c r="X591" s="146"/>
      <c r="Y591" s="146"/>
      <c r="Z591" s="146"/>
    </row>
    <row r="592" spans="20:26" ht="15.75" customHeight="1" x14ac:dyDescent="0.2">
      <c r="T592" s="245"/>
      <c r="U592" s="146"/>
      <c r="V592" s="146"/>
      <c r="W592" s="146"/>
      <c r="X592" s="146"/>
      <c r="Y592" s="146"/>
      <c r="Z592" s="146"/>
    </row>
    <row r="593" spans="20:26" ht="15.75" customHeight="1" x14ac:dyDescent="0.2">
      <c r="T593" s="245"/>
      <c r="U593" s="146"/>
      <c r="V593" s="146"/>
      <c r="W593" s="146"/>
      <c r="X593" s="146"/>
      <c r="Y593" s="146"/>
      <c r="Z593" s="146"/>
    </row>
    <row r="594" spans="20:26" ht="15.75" customHeight="1" x14ac:dyDescent="0.2">
      <c r="T594" s="245"/>
      <c r="U594" s="146"/>
      <c r="V594" s="146"/>
      <c r="W594" s="146"/>
      <c r="X594" s="146"/>
      <c r="Y594" s="146"/>
      <c r="Z594" s="146"/>
    </row>
    <row r="595" spans="20:26" ht="15.75" customHeight="1" x14ac:dyDescent="0.2">
      <c r="T595" s="245"/>
      <c r="U595" s="146"/>
      <c r="V595" s="146"/>
      <c r="W595" s="146"/>
      <c r="X595" s="146"/>
      <c r="Y595" s="146"/>
      <c r="Z595" s="146"/>
    </row>
    <row r="596" spans="20:26" ht="15.75" customHeight="1" x14ac:dyDescent="0.2">
      <c r="T596" s="245"/>
      <c r="U596" s="146"/>
      <c r="V596" s="146"/>
      <c r="W596" s="146"/>
      <c r="X596" s="146"/>
      <c r="Y596" s="146"/>
      <c r="Z596" s="146"/>
    </row>
    <row r="597" spans="20:26" ht="15.75" customHeight="1" x14ac:dyDescent="0.2">
      <c r="T597" s="245"/>
      <c r="U597" s="146"/>
      <c r="V597" s="146"/>
      <c r="W597" s="146"/>
      <c r="X597" s="146"/>
      <c r="Y597" s="146"/>
      <c r="Z597" s="146"/>
    </row>
    <row r="598" spans="20:26" ht="15.75" customHeight="1" x14ac:dyDescent="0.2">
      <c r="T598" s="245"/>
      <c r="U598" s="146"/>
      <c r="V598" s="146"/>
      <c r="W598" s="146"/>
      <c r="X598" s="146"/>
      <c r="Y598" s="146"/>
      <c r="Z598" s="146"/>
    </row>
    <row r="599" spans="20:26" ht="15.75" customHeight="1" x14ac:dyDescent="0.2">
      <c r="T599" s="245"/>
      <c r="U599" s="146"/>
      <c r="V599" s="146"/>
      <c r="W599" s="146"/>
      <c r="X599" s="146"/>
      <c r="Y599" s="146"/>
      <c r="Z599" s="146"/>
    </row>
    <row r="600" spans="20:26" ht="15.75" customHeight="1" x14ac:dyDescent="0.2">
      <c r="T600" s="245"/>
      <c r="U600" s="146"/>
      <c r="V600" s="146"/>
      <c r="W600" s="146"/>
      <c r="X600" s="146"/>
      <c r="Y600" s="146"/>
      <c r="Z600" s="146"/>
    </row>
    <row r="601" spans="20:26" ht="15.75" customHeight="1" x14ac:dyDescent="0.2">
      <c r="T601" s="245"/>
      <c r="U601" s="146"/>
      <c r="V601" s="146"/>
      <c r="W601" s="146"/>
      <c r="X601" s="146"/>
      <c r="Y601" s="146"/>
      <c r="Z601" s="146"/>
    </row>
    <row r="602" spans="20:26" ht="15.75" customHeight="1" x14ac:dyDescent="0.2">
      <c r="T602" s="245"/>
      <c r="U602" s="146"/>
      <c r="V602" s="146"/>
      <c r="W602" s="146"/>
      <c r="X602" s="146"/>
      <c r="Y602" s="146"/>
      <c r="Z602" s="146"/>
    </row>
    <row r="603" spans="20:26" ht="15.75" customHeight="1" x14ac:dyDescent="0.2">
      <c r="T603" s="245"/>
      <c r="U603" s="146"/>
      <c r="V603" s="146"/>
      <c r="W603" s="146"/>
      <c r="X603" s="146"/>
      <c r="Y603" s="146"/>
      <c r="Z603" s="146"/>
    </row>
    <row r="604" spans="20:26" ht="15.75" customHeight="1" x14ac:dyDescent="0.2">
      <c r="T604" s="245"/>
      <c r="U604" s="146"/>
      <c r="V604" s="146"/>
      <c r="W604" s="146"/>
      <c r="X604" s="146"/>
      <c r="Y604" s="146"/>
      <c r="Z604" s="146"/>
    </row>
    <row r="605" spans="20:26" ht="15.75" customHeight="1" x14ac:dyDescent="0.2">
      <c r="T605" s="245"/>
      <c r="U605" s="146"/>
      <c r="V605" s="146"/>
      <c r="W605" s="146"/>
      <c r="X605" s="146"/>
      <c r="Y605" s="146"/>
      <c r="Z605" s="146"/>
    </row>
    <row r="606" spans="20:26" ht="15.75" customHeight="1" x14ac:dyDescent="0.2">
      <c r="T606" s="245"/>
      <c r="U606" s="146"/>
      <c r="V606" s="146"/>
      <c r="W606" s="146"/>
      <c r="X606" s="146"/>
      <c r="Y606" s="146"/>
      <c r="Z606" s="146"/>
    </row>
    <row r="607" spans="20:26" ht="15.75" customHeight="1" x14ac:dyDescent="0.2">
      <c r="T607" s="245"/>
      <c r="U607" s="146"/>
      <c r="V607" s="146"/>
      <c r="W607" s="146"/>
      <c r="X607" s="146"/>
      <c r="Y607" s="146"/>
      <c r="Z607" s="146"/>
    </row>
    <row r="608" spans="20:26" ht="15.75" customHeight="1" x14ac:dyDescent="0.2">
      <c r="T608" s="245"/>
      <c r="U608" s="146"/>
      <c r="V608" s="146"/>
      <c r="W608" s="146"/>
      <c r="X608" s="146"/>
      <c r="Y608" s="146"/>
      <c r="Z608" s="146"/>
    </row>
    <row r="609" spans="20:26" ht="15.75" customHeight="1" x14ac:dyDescent="0.2">
      <c r="T609" s="245"/>
      <c r="U609" s="146"/>
      <c r="V609" s="146"/>
      <c r="W609" s="146"/>
      <c r="X609" s="146"/>
      <c r="Y609" s="146"/>
      <c r="Z609" s="146"/>
    </row>
    <row r="610" spans="20:26" ht="15.75" customHeight="1" x14ac:dyDescent="0.2">
      <c r="T610" s="245"/>
      <c r="U610" s="146"/>
      <c r="V610" s="146"/>
      <c r="W610" s="146"/>
      <c r="X610" s="146"/>
      <c r="Y610" s="146"/>
      <c r="Z610" s="146"/>
    </row>
    <row r="611" spans="20:26" ht="15.75" customHeight="1" x14ac:dyDescent="0.2">
      <c r="T611" s="245"/>
      <c r="U611" s="146"/>
      <c r="V611" s="146"/>
      <c r="W611" s="146"/>
      <c r="X611" s="146"/>
      <c r="Y611" s="146"/>
      <c r="Z611" s="146"/>
    </row>
    <row r="612" spans="20:26" ht="15.75" customHeight="1" x14ac:dyDescent="0.2">
      <c r="T612" s="245"/>
      <c r="U612" s="146"/>
      <c r="V612" s="146"/>
      <c r="W612" s="146"/>
      <c r="X612" s="146"/>
      <c r="Y612" s="146"/>
      <c r="Z612" s="146"/>
    </row>
    <row r="613" spans="20:26" ht="15.75" customHeight="1" x14ac:dyDescent="0.2">
      <c r="T613" s="245"/>
      <c r="U613" s="146"/>
      <c r="V613" s="146"/>
      <c r="W613" s="146"/>
      <c r="X613" s="146"/>
      <c r="Y613" s="146"/>
      <c r="Z613" s="146"/>
    </row>
    <row r="614" spans="20:26" ht="15.75" customHeight="1" x14ac:dyDescent="0.2">
      <c r="T614" s="245"/>
      <c r="U614" s="146"/>
      <c r="V614" s="146"/>
      <c r="W614" s="146"/>
      <c r="X614" s="146"/>
      <c r="Y614" s="146"/>
      <c r="Z614" s="146"/>
    </row>
    <row r="615" spans="20:26" ht="15.75" customHeight="1" x14ac:dyDescent="0.2">
      <c r="T615" s="245"/>
      <c r="U615" s="146"/>
      <c r="V615" s="146"/>
      <c r="W615" s="146"/>
      <c r="X615" s="146"/>
      <c r="Y615" s="146"/>
      <c r="Z615" s="146"/>
    </row>
    <row r="616" spans="20:26" ht="15.75" customHeight="1" x14ac:dyDescent="0.2">
      <c r="T616" s="245"/>
      <c r="U616" s="146"/>
      <c r="V616" s="146"/>
      <c r="W616" s="146"/>
      <c r="X616" s="146"/>
      <c r="Y616" s="146"/>
      <c r="Z616" s="146"/>
    </row>
    <row r="617" spans="20:26" ht="15.75" customHeight="1" x14ac:dyDescent="0.2">
      <c r="T617" s="245"/>
      <c r="U617" s="146"/>
      <c r="V617" s="146"/>
      <c r="W617" s="146"/>
      <c r="X617" s="146"/>
      <c r="Y617" s="146"/>
      <c r="Z617" s="146"/>
    </row>
    <row r="618" spans="20:26" ht="15.75" customHeight="1" x14ac:dyDescent="0.2">
      <c r="T618" s="245"/>
      <c r="U618" s="146"/>
      <c r="V618" s="146"/>
      <c r="W618" s="146"/>
      <c r="X618" s="146"/>
      <c r="Y618" s="146"/>
      <c r="Z618" s="146"/>
    </row>
    <row r="619" spans="20:26" ht="15.75" customHeight="1" x14ac:dyDescent="0.2">
      <c r="T619" s="245"/>
      <c r="U619" s="146"/>
      <c r="V619" s="146"/>
      <c r="W619" s="146"/>
      <c r="X619" s="146"/>
      <c r="Y619" s="146"/>
      <c r="Z619" s="146"/>
    </row>
    <row r="620" spans="20:26" ht="15.75" customHeight="1" x14ac:dyDescent="0.2">
      <c r="T620" s="245"/>
      <c r="U620" s="146"/>
      <c r="V620" s="146"/>
      <c r="W620" s="146"/>
      <c r="X620" s="146"/>
      <c r="Y620" s="146"/>
      <c r="Z620" s="146"/>
    </row>
    <row r="621" spans="20:26" ht="15.75" customHeight="1" x14ac:dyDescent="0.2">
      <c r="T621" s="245"/>
      <c r="U621" s="146"/>
      <c r="V621" s="146"/>
      <c r="W621" s="146"/>
      <c r="X621" s="146"/>
      <c r="Y621" s="146"/>
      <c r="Z621" s="146"/>
    </row>
    <row r="622" spans="20:26" ht="15.75" customHeight="1" x14ac:dyDescent="0.2">
      <c r="T622" s="245"/>
      <c r="U622" s="146"/>
      <c r="V622" s="146"/>
      <c r="W622" s="146"/>
      <c r="X622" s="146"/>
      <c r="Y622" s="146"/>
      <c r="Z622" s="146"/>
    </row>
    <row r="623" spans="20:26" ht="15.75" customHeight="1" x14ac:dyDescent="0.2">
      <c r="T623" s="245"/>
      <c r="U623" s="146"/>
      <c r="V623" s="146"/>
      <c r="W623" s="146"/>
      <c r="X623" s="146"/>
      <c r="Y623" s="146"/>
      <c r="Z623" s="146"/>
    </row>
    <row r="624" spans="20:26" ht="15.75" customHeight="1" x14ac:dyDescent="0.2">
      <c r="T624" s="245"/>
      <c r="U624" s="146"/>
      <c r="V624" s="146"/>
      <c r="W624" s="146"/>
      <c r="X624" s="146"/>
      <c r="Y624" s="146"/>
      <c r="Z624" s="146"/>
    </row>
    <row r="625" spans="20:26" ht="15.75" customHeight="1" x14ac:dyDescent="0.2">
      <c r="T625" s="245"/>
      <c r="U625" s="146"/>
      <c r="V625" s="146"/>
      <c r="W625" s="146"/>
      <c r="X625" s="146"/>
      <c r="Y625" s="146"/>
      <c r="Z625" s="146"/>
    </row>
    <row r="626" spans="20:26" ht="15.75" customHeight="1" x14ac:dyDescent="0.2">
      <c r="T626" s="245"/>
      <c r="U626" s="146"/>
      <c r="V626" s="146"/>
      <c r="W626" s="146"/>
      <c r="X626" s="146"/>
      <c r="Y626" s="146"/>
      <c r="Z626" s="146"/>
    </row>
    <row r="627" spans="20:26" ht="15.75" customHeight="1" x14ac:dyDescent="0.2">
      <c r="T627" s="245"/>
      <c r="U627" s="146"/>
      <c r="V627" s="146"/>
      <c r="W627" s="146"/>
      <c r="X627" s="146"/>
      <c r="Y627" s="146"/>
      <c r="Z627" s="146"/>
    </row>
    <row r="628" spans="20:26" ht="15.75" customHeight="1" x14ac:dyDescent="0.2">
      <c r="T628" s="245"/>
      <c r="U628" s="146"/>
      <c r="V628" s="146"/>
      <c r="W628" s="146"/>
      <c r="X628" s="146"/>
      <c r="Y628" s="146"/>
      <c r="Z628" s="146"/>
    </row>
    <row r="629" spans="20:26" ht="15.75" customHeight="1" x14ac:dyDescent="0.2">
      <c r="T629" s="245"/>
      <c r="U629" s="146"/>
      <c r="V629" s="146"/>
      <c r="W629" s="146"/>
      <c r="X629" s="146"/>
      <c r="Y629" s="146"/>
      <c r="Z629" s="146"/>
    </row>
    <row r="630" spans="20:26" ht="15.75" customHeight="1" x14ac:dyDescent="0.2">
      <c r="T630" s="245"/>
      <c r="U630" s="146"/>
      <c r="V630" s="146"/>
      <c r="W630" s="146"/>
      <c r="X630" s="146"/>
      <c r="Y630" s="146"/>
      <c r="Z630" s="146"/>
    </row>
    <row r="631" spans="20:26" ht="15.75" customHeight="1" x14ac:dyDescent="0.2">
      <c r="T631" s="245"/>
      <c r="U631" s="146"/>
      <c r="V631" s="146"/>
      <c r="W631" s="146"/>
      <c r="X631" s="146"/>
      <c r="Y631" s="146"/>
      <c r="Z631" s="146"/>
    </row>
    <row r="632" spans="20:26" ht="15.75" customHeight="1" x14ac:dyDescent="0.2">
      <c r="T632" s="245"/>
      <c r="U632" s="146"/>
      <c r="V632" s="146"/>
      <c r="W632" s="146"/>
      <c r="X632" s="146"/>
      <c r="Y632" s="146"/>
      <c r="Z632" s="146"/>
    </row>
    <row r="633" spans="20:26" ht="15.75" customHeight="1" x14ac:dyDescent="0.2">
      <c r="T633" s="245"/>
      <c r="U633" s="146"/>
      <c r="V633" s="146"/>
      <c r="W633" s="146"/>
      <c r="X633" s="146"/>
      <c r="Y633" s="146"/>
      <c r="Z633" s="146"/>
    </row>
    <row r="634" spans="20:26" ht="15.75" customHeight="1" x14ac:dyDescent="0.2">
      <c r="T634" s="245"/>
      <c r="U634" s="146"/>
      <c r="V634" s="146"/>
      <c r="W634" s="146"/>
      <c r="X634" s="146"/>
      <c r="Y634" s="146"/>
      <c r="Z634" s="146"/>
    </row>
    <row r="635" spans="20:26" ht="15.75" customHeight="1" x14ac:dyDescent="0.2">
      <c r="T635" s="245"/>
      <c r="U635" s="146"/>
      <c r="V635" s="146"/>
      <c r="W635" s="146"/>
      <c r="X635" s="146"/>
      <c r="Y635" s="146"/>
      <c r="Z635" s="146"/>
    </row>
    <row r="636" spans="20:26" ht="15.75" customHeight="1" x14ac:dyDescent="0.2">
      <c r="T636" s="245"/>
      <c r="U636" s="146"/>
      <c r="V636" s="146"/>
      <c r="W636" s="146"/>
      <c r="X636" s="146"/>
      <c r="Y636" s="146"/>
      <c r="Z636" s="146"/>
    </row>
    <row r="637" spans="20:26" ht="15.75" customHeight="1" x14ac:dyDescent="0.2">
      <c r="T637" s="245"/>
      <c r="U637" s="146"/>
      <c r="V637" s="146"/>
      <c r="W637" s="146"/>
      <c r="X637" s="146"/>
      <c r="Y637" s="146"/>
      <c r="Z637" s="146"/>
    </row>
    <row r="638" spans="20:26" ht="15.75" customHeight="1" x14ac:dyDescent="0.2">
      <c r="T638" s="245"/>
      <c r="U638" s="146"/>
      <c r="V638" s="146"/>
      <c r="W638" s="146"/>
      <c r="X638" s="146"/>
      <c r="Y638" s="146"/>
      <c r="Z638" s="146"/>
    </row>
    <row r="639" spans="20:26" ht="15.75" customHeight="1" x14ac:dyDescent="0.2">
      <c r="T639" s="245"/>
      <c r="U639" s="146"/>
      <c r="V639" s="146"/>
      <c r="W639" s="146"/>
      <c r="X639" s="146"/>
      <c r="Y639" s="146"/>
      <c r="Z639" s="146"/>
    </row>
    <row r="640" spans="20:26" ht="15.75" customHeight="1" x14ac:dyDescent="0.2">
      <c r="T640" s="245"/>
      <c r="U640" s="146"/>
      <c r="V640" s="146"/>
      <c r="W640" s="146"/>
      <c r="X640" s="146"/>
      <c r="Y640" s="146"/>
      <c r="Z640" s="146"/>
    </row>
    <row r="641" spans="20:26" ht="15.75" customHeight="1" x14ac:dyDescent="0.2">
      <c r="T641" s="245"/>
      <c r="U641" s="146"/>
      <c r="V641" s="146"/>
      <c r="W641" s="146"/>
      <c r="X641" s="146"/>
      <c r="Y641" s="146"/>
      <c r="Z641" s="146"/>
    </row>
    <row r="642" spans="20:26" ht="15.75" customHeight="1" x14ac:dyDescent="0.2">
      <c r="T642" s="245"/>
      <c r="U642" s="146"/>
      <c r="V642" s="146"/>
      <c r="W642" s="146"/>
      <c r="X642" s="146"/>
      <c r="Y642" s="146"/>
      <c r="Z642" s="146"/>
    </row>
    <row r="643" spans="20:26" ht="15.75" customHeight="1" x14ac:dyDescent="0.2">
      <c r="T643" s="245"/>
      <c r="U643" s="146"/>
      <c r="V643" s="146"/>
      <c r="W643" s="146"/>
      <c r="X643" s="146"/>
      <c r="Y643" s="146"/>
      <c r="Z643" s="146"/>
    </row>
    <row r="644" spans="20:26" ht="15.75" customHeight="1" x14ac:dyDescent="0.2">
      <c r="T644" s="245"/>
      <c r="U644" s="146"/>
      <c r="V644" s="146"/>
      <c r="W644" s="146"/>
      <c r="X644" s="146"/>
      <c r="Y644" s="146"/>
      <c r="Z644" s="146"/>
    </row>
    <row r="645" spans="20:26" ht="15.75" customHeight="1" x14ac:dyDescent="0.2">
      <c r="T645" s="245"/>
      <c r="U645" s="146"/>
      <c r="V645" s="146"/>
      <c r="W645" s="146"/>
      <c r="X645" s="146"/>
      <c r="Y645" s="146"/>
      <c r="Z645" s="146"/>
    </row>
    <row r="646" spans="20:26" ht="15.75" customHeight="1" x14ac:dyDescent="0.2">
      <c r="T646" s="245"/>
      <c r="U646" s="146"/>
      <c r="V646" s="146"/>
      <c r="W646" s="146"/>
      <c r="X646" s="146"/>
      <c r="Y646" s="146"/>
      <c r="Z646" s="146"/>
    </row>
    <row r="647" spans="20:26" ht="15.75" customHeight="1" x14ac:dyDescent="0.2">
      <c r="T647" s="245"/>
      <c r="U647" s="146"/>
      <c r="V647" s="146"/>
      <c r="W647" s="146"/>
      <c r="X647" s="146"/>
      <c r="Y647" s="146"/>
      <c r="Z647" s="146"/>
    </row>
    <row r="648" spans="20:26" ht="15.75" customHeight="1" x14ac:dyDescent="0.2">
      <c r="T648" s="245"/>
      <c r="U648" s="146"/>
      <c r="V648" s="146"/>
      <c r="W648" s="146"/>
      <c r="X648" s="146"/>
      <c r="Y648" s="146"/>
      <c r="Z648" s="146"/>
    </row>
    <row r="649" spans="20:26" ht="15.75" customHeight="1" x14ac:dyDescent="0.2">
      <c r="T649" s="245"/>
      <c r="U649" s="146"/>
      <c r="V649" s="146"/>
      <c r="W649" s="146"/>
      <c r="X649" s="146"/>
      <c r="Y649" s="146"/>
      <c r="Z649" s="146"/>
    </row>
    <row r="650" spans="20:26" ht="15.75" customHeight="1" x14ac:dyDescent="0.2">
      <c r="T650" s="245"/>
      <c r="U650" s="146"/>
      <c r="V650" s="146"/>
      <c r="W650" s="146"/>
      <c r="X650" s="146"/>
      <c r="Y650" s="146"/>
      <c r="Z650" s="146"/>
    </row>
    <row r="651" spans="20:26" ht="15.75" customHeight="1" x14ac:dyDescent="0.2">
      <c r="T651" s="245"/>
      <c r="U651" s="146"/>
      <c r="V651" s="146"/>
      <c r="W651" s="146"/>
      <c r="X651" s="146"/>
      <c r="Y651" s="146"/>
      <c r="Z651" s="146"/>
    </row>
    <row r="652" spans="20:26" ht="15.75" customHeight="1" x14ac:dyDescent="0.2">
      <c r="T652" s="245"/>
      <c r="U652" s="146"/>
      <c r="V652" s="146"/>
      <c r="W652" s="146"/>
      <c r="X652" s="146"/>
      <c r="Y652" s="146"/>
      <c r="Z652" s="146"/>
    </row>
    <row r="653" spans="20:26" ht="15.75" customHeight="1" x14ac:dyDescent="0.2">
      <c r="T653" s="245"/>
      <c r="U653" s="146"/>
      <c r="V653" s="146"/>
      <c r="W653" s="146"/>
      <c r="X653" s="146"/>
      <c r="Y653" s="146"/>
      <c r="Z653" s="146"/>
    </row>
    <row r="654" spans="20:26" ht="15.75" customHeight="1" x14ac:dyDescent="0.2">
      <c r="T654" s="245"/>
      <c r="U654" s="146"/>
      <c r="V654" s="146"/>
      <c r="W654" s="146"/>
      <c r="X654" s="146"/>
      <c r="Y654" s="146"/>
      <c r="Z654" s="146"/>
    </row>
    <row r="655" spans="20:26" ht="15.75" customHeight="1" x14ac:dyDescent="0.2">
      <c r="T655" s="245"/>
      <c r="U655" s="146"/>
      <c r="V655" s="146"/>
      <c r="W655" s="146"/>
      <c r="X655" s="146"/>
      <c r="Y655" s="146"/>
      <c r="Z655" s="146"/>
    </row>
    <row r="656" spans="20:26" ht="15.75" customHeight="1" x14ac:dyDescent="0.2">
      <c r="T656" s="245"/>
      <c r="U656" s="146"/>
      <c r="V656" s="146"/>
      <c r="W656" s="146"/>
      <c r="X656" s="146"/>
      <c r="Y656" s="146"/>
      <c r="Z656" s="146"/>
    </row>
    <row r="657" spans="20:26" ht="15.75" customHeight="1" x14ac:dyDescent="0.2">
      <c r="T657" s="245"/>
      <c r="U657" s="146"/>
      <c r="V657" s="146"/>
      <c r="W657" s="146"/>
      <c r="X657" s="146"/>
      <c r="Y657" s="146"/>
      <c r="Z657" s="146"/>
    </row>
    <row r="658" spans="20:26" ht="15.75" customHeight="1" x14ac:dyDescent="0.2">
      <c r="T658" s="245"/>
      <c r="U658" s="146"/>
      <c r="V658" s="146"/>
      <c r="W658" s="146"/>
      <c r="X658" s="146"/>
      <c r="Y658" s="146"/>
      <c r="Z658" s="146"/>
    </row>
    <row r="659" spans="20:26" ht="15.75" customHeight="1" x14ac:dyDescent="0.2">
      <c r="T659" s="245"/>
      <c r="U659" s="146"/>
      <c r="V659" s="146"/>
      <c r="W659" s="146"/>
      <c r="X659" s="146"/>
      <c r="Y659" s="146"/>
      <c r="Z659" s="146"/>
    </row>
    <row r="660" spans="20:26" ht="15.75" customHeight="1" x14ac:dyDescent="0.2">
      <c r="T660" s="245"/>
      <c r="U660" s="146"/>
      <c r="V660" s="146"/>
      <c r="W660" s="146"/>
      <c r="X660" s="146"/>
      <c r="Y660" s="146"/>
      <c r="Z660" s="146"/>
    </row>
    <row r="661" spans="20:26" ht="15.75" customHeight="1" x14ac:dyDescent="0.2">
      <c r="T661" s="245"/>
      <c r="U661" s="146"/>
      <c r="V661" s="146"/>
      <c r="W661" s="146"/>
      <c r="X661" s="146"/>
      <c r="Y661" s="146"/>
      <c r="Z661" s="146"/>
    </row>
    <row r="662" spans="20:26" ht="15.75" customHeight="1" x14ac:dyDescent="0.2">
      <c r="T662" s="245"/>
      <c r="U662" s="146"/>
      <c r="V662" s="146"/>
      <c r="W662" s="146"/>
      <c r="X662" s="146"/>
      <c r="Y662" s="146"/>
      <c r="Z662" s="146"/>
    </row>
    <row r="663" spans="20:26" ht="15.75" customHeight="1" x14ac:dyDescent="0.2">
      <c r="T663" s="245"/>
      <c r="U663" s="146"/>
      <c r="V663" s="146"/>
      <c r="W663" s="146"/>
      <c r="X663" s="146"/>
      <c r="Y663" s="146"/>
      <c r="Z663" s="146"/>
    </row>
    <row r="664" spans="20:26" ht="15.75" customHeight="1" x14ac:dyDescent="0.2">
      <c r="T664" s="245"/>
      <c r="U664" s="146"/>
      <c r="V664" s="146"/>
      <c r="W664" s="146"/>
      <c r="X664" s="146"/>
      <c r="Y664" s="146"/>
      <c r="Z664" s="146"/>
    </row>
    <row r="665" spans="20:26" ht="15.75" customHeight="1" x14ac:dyDescent="0.2">
      <c r="T665" s="245"/>
      <c r="U665" s="146"/>
      <c r="V665" s="146"/>
      <c r="W665" s="146"/>
      <c r="X665" s="146"/>
      <c r="Y665" s="146"/>
      <c r="Z665" s="146"/>
    </row>
    <row r="666" spans="20:26" ht="15.75" customHeight="1" x14ac:dyDescent="0.2">
      <c r="T666" s="245"/>
      <c r="U666" s="146"/>
      <c r="V666" s="146"/>
      <c r="W666" s="146"/>
      <c r="X666" s="146"/>
      <c r="Y666" s="146"/>
      <c r="Z666" s="146"/>
    </row>
    <row r="667" spans="20:26" ht="15.75" customHeight="1" x14ac:dyDescent="0.2">
      <c r="T667" s="245"/>
      <c r="U667" s="146"/>
      <c r="V667" s="146"/>
      <c r="W667" s="146"/>
      <c r="X667" s="146"/>
      <c r="Y667" s="146"/>
      <c r="Z667" s="146"/>
    </row>
    <row r="668" spans="20:26" ht="15.75" customHeight="1" x14ac:dyDescent="0.2">
      <c r="T668" s="245"/>
      <c r="U668" s="146"/>
      <c r="V668" s="146"/>
      <c r="W668" s="146"/>
      <c r="X668" s="146"/>
      <c r="Y668" s="146"/>
      <c r="Z668" s="146"/>
    </row>
    <row r="669" spans="20:26" ht="15.75" customHeight="1" x14ac:dyDescent="0.2">
      <c r="T669" s="245"/>
      <c r="U669" s="146"/>
      <c r="V669" s="146"/>
      <c r="W669" s="146"/>
      <c r="X669" s="146"/>
      <c r="Y669" s="146"/>
      <c r="Z669" s="146"/>
    </row>
    <row r="670" spans="20:26" ht="15.75" customHeight="1" x14ac:dyDescent="0.2">
      <c r="T670" s="245"/>
      <c r="U670" s="146"/>
      <c r="V670" s="146"/>
      <c r="W670" s="146"/>
      <c r="X670" s="146"/>
      <c r="Y670" s="146"/>
      <c r="Z670" s="146"/>
    </row>
    <row r="671" spans="20:26" ht="15.75" customHeight="1" x14ac:dyDescent="0.2">
      <c r="T671" s="245"/>
      <c r="U671" s="146"/>
      <c r="V671" s="146"/>
      <c r="W671" s="146"/>
      <c r="X671" s="146"/>
      <c r="Y671" s="146"/>
      <c r="Z671" s="146"/>
    </row>
    <row r="672" spans="20:26" ht="15.75" customHeight="1" x14ac:dyDescent="0.2">
      <c r="T672" s="245"/>
      <c r="U672" s="146"/>
      <c r="V672" s="146"/>
      <c r="W672" s="146"/>
      <c r="X672" s="146"/>
      <c r="Y672" s="146"/>
      <c r="Z672" s="146"/>
    </row>
    <row r="673" spans="20:26" ht="15.75" customHeight="1" x14ac:dyDescent="0.2">
      <c r="T673" s="245"/>
      <c r="U673" s="146"/>
      <c r="V673" s="146"/>
      <c r="W673" s="146"/>
      <c r="X673" s="146"/>
      <c r="Y673" s="146"/>
      <c r="Z673" s="146"/>
    </row>
    <row r="674" spans="20:26" ht="15.75" customHeight="1" x14ac:dyDescent="0.2">
      <c r="T674" s="245"/>
      <c r="U674" s="146"/>
      <c r="V674" s="146"/>
      <c r="W674" s="146"/>
      <c r="X674" s="146"/>
      <c r="Y674" s="146"/>
      <c r="Z674" s="146"/>
    </row>
    <row r="675" spans="20:26" ht="15.75" customHeight="1" x14ac:dyDescent="0.2">
      <c r="T675" s="245"/>
      <c r="U675" s="146"/>
      <c r="V675" s="146"/>
      <c r="W675" s="146"/>
      <c r="X675" s="146"/>
      <c r="Y675" s="146"/>
      <c r="Z675" s="146"/>
    </row>
    <row r="676" spans="20:26" ht="15.75" customHeight="1" x14ac:dyDescent="0.2">
      <c r="T676" s="245"/>
      <c r="U676" s="146"/>
      <c r="V676" s="146"/>
      <c r="W676" s="146"/>
      <c r="X676" s="146"/>
      <c r="Y676" s="146"/>
      <c r="Z676" s="146"/>
    </row>
    <row r="677" spans="20:26" ht="15.75" customHeight="1" x14ac:dyDescent="0.2">
      <c r="T677" s="245"/>
      <c r="U677" s="146"/>
      <c r="V677" s="146"/>
      <c r="W677" s="146"/>
      <c r="X677" s="146"/>
      <c r="Y677" s="146"/>
      <c r="Z677" s="146"/>
    </row>
    <row r="678" spans="20:26" ht="15.75" customHeight="1" x14ac:dyDescent="0.2">
      <c r="T678" s="245"/>
      <c r="U678" s="146"/>
      <c r="V678" s="146"/>
      <c r="W678" s="146"/>
      <c r="X678" s="146"/>
      <c r="Y678" s="146"/>
      <c r="Z678" s="146"/>
    </row>
    <row r="679" spans="20:26" ht="15.75" customHeight="1" x14ac:dyDescent="0.2">
      <c r="T679" s="245"/>
      <c r="U679" s="146"/>
      <c r="V679" s="146"/>
      <c r="W679" s="146"/>
      <c r="X679" s="146"/>
      <c r="Y679" s="146"/>
      <c r="Z679" s="146"/>
    </row>
    <row r="680" spans="20:26" ht="15.75" customHeight="1" x14ac:dyDescent="0.2">
      <c r="T680" s="245"/>
      <c r="U680" s="146"/>
      <c r="V680" s="146"/>
      <c r="W680" s="146"/>
      <c r="X680" s="146"/>
      <c r="Y680" s="146"/>
      <c r="Z680" s="146"/>
    </row>
    <row r="681" spans="20:26" ht="15.75" customHeight="1" x14ac:dyDescent="0.2">
      <c r="T681" s="245"/>
      <c r="U681" s="146"/>
      <c r="V681" s="146"/>
      <c r="W681" s="146"/>
      <c r="X681" s="146"/>
      <c r="Y681" s="146"/>
      <c r="Z681" s="146"/>
    </row>
    <row r="682" spans="20:26" ht="15.75" customHeight="1" x14ac:dyDescent="0.2">
      <c r="T682" s="245"/>
      <c r="U682" s="146"/>
      <c r="V682" s="146"/>
      <c r="W682" s="146"/>
      <c r="X682" s="146"/>
      <c r="Y682" s="146"/>
      <c r="Z682" s="146"/>
    </row>
    <row r="683" spans="20:26" ht="15.75" customHeight="1" x14ac:dyDescent="0.2">
      <c r="T683" s="245"/>
      <c r="U683" s="146"/>
      <c r="V683" s="146"/>
      <c r="W683" s="146"/>
      <c r="X683" s="146"/>
      <c r="Y683" s="146"/>
      <c r="Z683" s="146"/>
    </row>
    <row r="684" spans="20:26" ht="15.75" customHeight="1" x14ac:dyDescent="0.2">
      <c r="T684" s="245"/>
      <c r="U684" s="146"/>
      <c r="V684" s="146"/>
      <c r="W684" s="146"/>
      <c r="X684" s="146"/>
      <c r="Y684" s="146"/>
      <c r="Z684" s="146"/>
    </row>
    <row r="685" spans="20:26" ht="15.75" customHeight="1" x14ac:dyDescent="0.2">
      <c r="T685" s="245"/>
      <c r="U685" s="146"/>
      <c r="V685" s="146"/>
      <c r="W685" s="146"/>
      <c r="X685" s="146"/>
      <c r="Y685" s="146"/>
      <c r="Z685" s="146"/>
    </row>
    <row r="686" spans="20:26" ht="15.75" customHeight="1" x14ac:dyDescent="0.2">
      <c r="T686" s="245"/>
      <c r="U686" s="146"/>
      <c r="V686" s="146"/>
      <c r="W686" s="146"/>
      <c r="X686" s="146"/>
      <c r="Y686" s="146"/>
      <c r="Z686" s="146"/>
    </row>
    <row r="687" spans="20:26" ht="15.75" customHeight="1" x14ac:dyDescent="0.2">
      <c r="T687" s="245"/>
      <c r="U687" s="146"/>
      <c r="V687" s="146"/>
      <c r="W687" s="146"/>
      <c r="X687" s="146"/>
      <c r="Y687" s="146"/>
      <c r="Z687" s="146"/>
    </row>
    <row r="688" spans="20:26" ht="15.75" customHeight="1" x14ac:dyDescent="0.2">
      <c r="T688" s="245"/>
      <c r="U688" s="146"/>
      <c r="V688" s="146"/>
      <c r="W688" s="146"/>
      <c r="X688" s="146"/>
      <c r="Y688" s="146"/>
      <c r="Z688" s="146"/>
    </row>
    <row r="689" spans="20:26" ht="15.75" customHeight="1" x14ac:dyDescent="0.2">
      <c r="T689" s="245"/>
      <c r="U689" s="146"/>
      <c r="V689" s="146"/>
      <c r="W689" s="146"/>
      <c r="X689" s="146"/>
      <c r="Y689" s="146"/>
      <c r="Z689" s="146"/>
    </row>
    <row r="690" spans="20:26" ht="15.75" customHeight="1" x14ac:dyDescent="0.2">
      <c r="T690" s="245"/>
      <c r="U690" s="146"/>
      <c r="V690" s="146"/>
      <c r="W690" s="146"/>
      <c r="X690" s="146"/>
      <c r="Y690" s="146"/>
      <c r="Z690" s="146"/>
    </row>
    <row r="691" spans="20:26" ht="15.75" customHeight="1" x14ac:dyDescent="0.2">
      <c r="T691" s="245"/>
      <c r="U691" s="146"/>
      <c r="V691" s="146"/>
      <c r="W691" s="146"/>
      <c r="X691" s="146"/>
      <c r="Y691" s="146"/>
      <c r="Z691" s="146"/>
    </row>
    <row r="692" spans="20:26" ht="15.75" customHeight="1" x14ac:dyDescent="0.2">
      <c r="T692" s="245"/>
      <c r="U692" s="146"/>
      <c r="V692" s="146"/>
      <c r="W692" s="146"/>
      <c r="X692" s="146"/>
      <c r="Y692" s="146"/>
      <c r="Z692" s="146"/>
    </row>
    <row r="693" spans="20:26" ht="15.75" customHeight="1" x14ac:dyDescent="0.2">
      <c r="T693" s="245"/>
      <c r="U693" s="146"/>
      <c r="V693" s="146"/>
      <c r="W693" s="146"/>
      <c r="X693" s="146"/>
      <c r="Y693" s="146"/>
      <c r="Z693" s="146"/>
    </row>
    <row r="694" spans="20:26" ht="15.75" customHeight="1" x14ac:dyDescent="0.2">
      <c r="T694" s="245"/>
      <c r="U694" s="146"/>
      <c r="V694" s="146"/>
      <c r="W694" s="146"/>
      <c r="X694" s="146"/>
      <c r="Y694" s="146"/>
      <c r="Z694" s="146"/>
    </row>
    <row r="695" spans="20:26" ht="15.75" customHeight="1" x14ac:dyDescent="0.2">
      <c r="T695" s="245"/>
      <c r="U695" s="146"/>
      <c r="V695" s="146"/>
      <c r="W695" s="146"/>
      <c r="X695" s="146"/>
      <c r="Y695" s="146"/>
      <c r="Z695" s="146"/>
    </row>
    <row r="696" spans="20:26" ht="15.75" customHeight="1" x14ac:dyDescent="0.2">
      <c r="T696" s="245"/>
      <c r="U696" s="146"/>
      <c r="V696" s="146"/>
      <c r="W696" s="146"/>
      <c r="X696" s="146"/>
      <c r="Y696" s="146"/>
      <c r="Z696" s="146"/>
    </row>
    <row r="697" spans="20:26" ht="15.75" customHeight="1" x14ac:dyDescent="0.2">
      <c r="T697" s="245"/>
      <c r="U697" s="146"/>
      <c r="V697" s="146"/>
      <c r="W697" s="146"/>
      <c r="X697" s="146"/>
      <c r="Y697" s="146"/>
      <c r="Z697" s="146"/>
    </row>
    <row r="698" spans="20:26" ht="15.75" customHeight="1" x14ac:dyDescent="0.2">
      <c r="T698" s="245"/>
      <c r="U698" s="146"/>
      <c r="V698" s="146"/>
      <c r="W698" s="146"/>
      <c r="X698" s="146"/>
      <c r="Y698" s="146"/>
      <c r="Z698" s="146"/>
    </row>
    <row r="699" spans="20:26" ht="15.75" customHeight="1" x14ac:dyDescent="0.2">
      <c r="T699" s="245"/>
      <c r="U699" s="146"/>
      <c r="V699" s="146"/>
      <c r="W699" s="146"/>
      <c r="X699" s="146"/>
      <c r="Y699" s="146"/>
      <c r="Z699" s="146"/>
    </row>
    <row r="700" spans="20:26" ht="15.75" customHeight="1" x14ac:dyDescent="0.2">
      <c r="T700" s="245"/>
      <c r="U700" s="146"/>
      <c r="V700" s="146"/>
      <c r="W700" s="146"/>
      <c r="X700" s="146"/>
      <c r="Y700" s="146"/>
      <c r="Z700" s="146"/>
    </row>
    <row r="701" spans="20:26" ht="15.75" customHeight="1" x14ac:dyDescent="0.2">
      <c r="T701" s="245"/>
      <c r="U701" s="146"/>
      <c r="V701" s="146"/>
      <c r="W701" s="146"/>
      <c r="X701" s="146"/>
      <c r="Y701" s="146"/>
      <c r="Z701" s="146"/>
    </row>
    <row r="702" spans="20:26" ht="15.75" customHeight="1" x14ac:dyDescent="0.2">
      <c r="T702" s="245"/>
      <c r="U702" s="146"/>
      <c r="V702" s="146"/>
      <c r="W702" s="146"/>
      <c r="X702" s="146"/>
      <c r="Y702" s="146"/>
      <c r="Z702" s="146"/>
    </row>
    <row r="703" spans="20:26" ht="15.75" customHeight="1" x14ac:dyDescent="0.2">
      <c r="T703" s="245"/>
      <c r="U703" s="146"/>
      <c r="V703" s="146"/>
      <c r="W703" s="146"/>
      <c r="X703" s="146"/>
      <c r="Y703" s="146"/>
      <c r="Z703" s="146"/>
    </row>
    <row r="704" spans="20:26" ht="15.75" customHeight="1" x14ac:dyDescent="0.2">
      <c r="T704" s="245"/>
      <c r="U704" s="146"/>
      <c r="V704" s="146"/>
      <c r="W704" s="146"/>
      <c r="X704" s="146"/>
      <c r="Y704" s="146"/>
      <c r="Z704" s="146"/>
    </row>
    <row r="705" spans="20:26" ht="15.75" customHeight="1" x14ac:dyDescent="0.2">
      <c r="T705" s="245"/>
      <c r="U705" s="146"/>
      <c r="V705" s="146"/>
      <c r="W705" s="146"/>
      <c r="X705" s="146"/>
      <c r="Y705" s="146"/>
      <c r="Z705" s="146"/>
    </row>
    <row r="706" spans="20:26" ht="15.75" customHeight="1" x14ac:dyDescent="0.2">
      <c r="T706" s="245"/>
      <c r="U706" s="146"/>
      <c r="V706" s="146"/>
      <c r="W706" s="146"/>
      <c r="X706" s="146"/>
      <c r="Y706" s="146"/>
      <c r="Z706" s="146"/>
    </row>
    <row r="707" spans="20:26" ht="15.75" customHeight="1" x14ac:dyDescent="0.2">
      <c r="T707" s="245"/>
      <c r="U707" s="146"/>
      <c r="V707" s="146"/>
      <c r="W707" s="146"/>
      <c r="X707" s="146"/>
      <c r="Y707" s="146"/>
      <c r="Z707" s="146"/>
    </row>
    <row r="708" spans="20:26" ht="15.75" customHeight="1" x14ac:dyDescent="0.2">
      <c r="T708" s="245"/>
      <c r="U708" s="146"/>
      <c r="V708" s="146"/>
      <c r="W708" s="146"/>
      <c r="X708" s="146"/>
      <c r="Y708" s="146"/>
      <c r="Z708" s="146"/>
    </row>
    <row r="709" spans="20:26" ht="15.75" customHeight="1" x14ac:dyDescent="0.2">
      <c r="T709" s="245"/>
      <c r="U709" s="146"/>
      <c r="V709" s="146"/>
      <c r="W709" s="146"/>
      <c r="X709" s="146"/>
      <c r="Y709" s="146"/>
      <c r="Z709" s="146"/>
    </row>
    <row r="710" spans="20:26" ht="15.75" customHeight="1" x14ac:dyDescent="0.2">
      <c r="T710" s="245"/>
      <c r="U710" s="146"/>
      <c r="V710" s="146"/>
      <c r="W710" s="146"/>
      <c r="X710" s="146"/>
      <c r="Y710" s="146"/>
      <c r="Z710" s="146"/>
    </row>
    <row r="711" spans="20:26" ht="15.75" customHeight="1" x14ac:dyDescent="0.2">
      <c r="T711" s="245"/>
      <c r="U711" s="146"/>
      <c r="V711" s="146"/>
      <c r="W711" s="146"/>
      <c r="X711" s="146"/>
      <c r="Y711" s="146"/>
      <c r="Z711" s="146"/>
    </row>
    <row r="712" spans="20:26" ht="15.75" customHeight="1" x14ac:dyDescent="0.2">
      <c r="T712" s="245"/>
      <c r="U712" s="146"/>
      <c r="V712" s="146"/>
      <c r="W712" s="146"/>
      <c r="X712" s="146"/>
      <c r="Y712" s="146"/>
      <c r="Z712" s="146"/>
    </row>
    <row r="713" spans="20:26" ht="15.75" customHeight="1" x14ac:dyDescent="0.2">
      <c r="T713" s="245"/>
      <c r="U713" s="146"/>
      <c r="V713" s="146"/>
      <c r="W713" s="146"/>
      <c r="X713" s="146"/>
      <c r="Y713" s="146"/>
      <c r="Z713" s="146"/>
    </row>
    <row r="714" spans="20:26" ht="15.75" customHeight="1" x14ac:dyDescent="0.2">
      <c r="T714" s="245"/>
      <c r="U714" s="146"/>
      <c r="V714" s="146"/>
      <c r="W714" s="146"/>
      <c r="X714" s="146"/>
      <c r="Y714" s="146"/>
      <c r="Z714" s="146"/>
    </row>
    <row r="715" spans="20:26" ht="15.75" customHeight="1" x14ac:dyDescent="0.2">
      <c r="T715" s="245"/>
      <c r="U715" s="146"/>
      <c r="V715" s="146"/>
      <c r="W715" s="146"/>
      <c r="X715" s="146"/>
      <c r="Y715" s="146"/>
      <c r="Z715" s="146"/>
    </row>
    <row r="716" spans="20:26" ht="15.75" customHeight="1" x14ac:dyDescent="0.2">
      <c r="T716" s="245"/>
      <c r="U716" s="146"/>
      <c r="V716" s="146"/>
      <c r="W716" s="146"/>
      <c r="X716" s="146"/>
      <c r="Y716" s="146"/>
      <c r="Z716" s="146"/>
    </row>
    <row r="717" spans="20:26" ht="15.75" customHeight="1" x14ac:dyDescent="0.2">
      <c r="T717" s="245"/>
      <c r="U717" s="146"/>
      <c r="V717" s="146"/>
      <c r="W717" s="146"/>
      <c r="X717" s="146"/>
      <c r="Y717" s="146"/>
      <c r="Z717" s="146"/>
    </row>
    <row r="718" spans="20:26" ht="15.75" customHeight="1" x14ac:dyDescent="0.2">
      <c r="T718" s="245"/>
      <c r="U718" s="146"/>
      <c r="V718" s="146"/>
      <c r="W718" s="146"/>
      <c r="X718" s="146"/>
      <c r="Y718" s="146"/>
      <c r="Z718" s="146"/>
    </row>
    <row r="719" spans="20:26" ht="15.75" customHeight="1" x14ac:dyDescent="0.2">
      <c r="T719" s="245"/>
      <c r="U719" s="146"/>
      <c r="V719" s="146"/>
      <c r="W719" s="146"/>
      <c r="X719" s="146"/>
      <c r="Y719" s="146"/>
      <c r="Z719" s="146"/>
    </row>
    <row r="720" spans="20:26" ht="15.75" customHeight="1" x14ac:dyDescent="0.2">
      <c r="T720" s="245"/>
      <c r="U720" s="146"/>
      <c r="V720" s="146"/>
      <c r="W720" s="146"/>
      <c r="X720" s="146"/>
      <c r="Y720" s="146"/>
      <c r="Z720" s="146"/>
    </row>
    <row r="721" spans="20:26" ht="15.75" customHeight="1" x14ac:dyDescent="0.2">
      <c r="T721" s="245"/>
      <c r="U721" s="146"/>
      <c r="V721" s="146"/>
      <c r="W721" s="146"/>
      <c r="X721" s="146"/>
      <c r="Y721" s="146"/>
      <c r="Z721" s="146"/>
    </row>
    <row r="722" spans="20:26" ht="15.75" customHeight="1" x14ac:dyDescent="0.2">
      <c r="T722" s="245"/>
      <c r="U722" s="146"/>
      <c r="V722" s="146"/>
      <c r="W722" s="146"/>
      <c r="X722" s="146"/>
      <c r="Y722" s="146"/>
      <c r="Z722" s="146"/>
    </row>
    <row r="723" spans="20:26" ht="15.75" customHeight="1" x14ac:dyDescent="0.2">
      <c r="T723" s="245"/>
      <c r="U723" s="146"/>
      <c r="V723" s="146"/>
      <c r="W723" s="146"/>
      <c r="X723" s="146"/>
      <c r="Y723" s="146"/>
      <c r="Z723" s="146"/>
    </row>
    <row r="724" spans="20:26" ht="15.75" customHeight="1" x14ac:dyDescent="0.2">
      <c r="T724" s="245"/>
      <c r="U724" s="146"/>
      <c r="V724" s="146"/>
      <c r="W724" s="146"/>
      <c r="X724" s="146"/>
      <c r="Y724" s="146"/>
      <c r="Z724" s="146"/>
    </row>
    <row r="725" spans="20:26" ht="15.75" customHeight="1" x14ac:dyDescent="0.2">
      <c r="T725" s="245"/>
      <c r="U725" s="146"/>
      <c r="V725" s="146"/>
      <c r="W725" s="146"/>
      <c r="X725" s="146"/>
      <c r="Y725" s="146"/>
      <c r="Z725" s="146"/>
    </row>
    <row r="726" spans="20:26" ht="15.75" customHeight="1" x14ac:dyDescent="0.2">
      <c r="T726" s="245"/>
      <c r="U726" s="146"/>
      <c r="V726" s="146"/>
      <c r="W726" s="146"/>
      <c r="X726" s="146"/>
      <c r="Y726" s="146"/>
      <c r="Z726" s="146"/>
    </row>
    <row r="727" spans="20:26" ht="15.75" customHeight="1" x14ac:dyDescent="0.2">
      <c r="T727" s="245"/>
      <c r="U727" s="146"/>
      <c r="V727" s="146"/>
      <c r="W727" s="146"/>
      <c r="X727" s="146"/>
      <c r="Y727" s="146"/>
      <c r="Z727" s="146"/>
    </row>
    <row r="728" spans="20:26" ht="15.75" customHeight="1" x14ac:dyDescent="0.2">
      <c r="T728" s="245"/>
      <c r="U728" s="146"/>
      <c r="V728" s="146"/>
      <c r="W728" s="146"/>
      <c r="X728" s="146"/>
      <c r="Y728" s="146"/>
      <c r="Z728" s="146"/>
    </row>
    <row r="729" spans="20:26" ht="15.75" customHeight="1" x14ac:dyDescent="0.2">
      <c r="T729" s="245"/>
      <c r="U729" s="146"/>
      <c r="V729" s="146"/>
      <c r="W729" s="146"/>
      <c r="X729" s="146"/>
      <c r="Y729" s="146"/>
      <c r="Z729" s="146"/>
    </row>
    <row r="730" spans="20:26" ht="15.75" customHeight="1" x14ac:dyDescent="0.2">
      <c r="T730" s="245"/>
      <c r="U730" s="146"/>
      <c r="V730" s="146"/>
      <c r="W730" s="146"/>
      <c r="X730" s="146"/>
      <c r="Y730" s="146"/>
      <c r="Z730" s="146"/>
    </row>
    <row r="731" spans="20:26" ht="15.75" customHeight="1" x14ac:dyDescent="0.2">
      <c r="T731" s="245"/>
      <c r="U731" s="146"/>
      <c r="V731" s="146"/>
      <c r="W731" s="146"/>
      <c r="X731" s="146"/>
      <c r="Y731" s="146"/>
      <c r="Z731" s="146"/>
    </row>
    <row r="732" spans="20:26" ht="15.75" customHeight="1" x14ac:dyDescent="0.2">
      <c r="T732" s="245"/>
      <c r="U732" s="146"/>
      <c r="V732" s="146"/>
      <c r="W732" s="146"/>
      <c r="X732" s="146"/>
      <c r="Y732" s="146"/>
      <c r="Z732" s="146"/>
    </row>
    <row r="733" spans="20:26" ht="15.75" customHeight="1" x14ac:dyDescent="0.2">
      <c r="T733" s="245"/>
      <c r="U733" s="146"/>
      <c r="V733" s="146"/>
      <c r="W733" s="146"/>
      <c r="X733" s="146"/>
      <c r="Y733" s="146"/>
      <c r="Z733" s="146"/>
    </row>
    <row r="734" spans="20:26" ht="15.75" customHeight="1" x14ac:dyDescent="0.2">
      <c r="T734" s="245"/>
      <c r="U734" s="146"/>
      <c r="V734" s="146"/>
      <c r="W734" s="146"/>
      <c r="X734" s="146"/>
      <c r="Y734" s="146"/>
      <c r="Z734" s="146"/>
    </row>
    <row r="735" spans="20:26" ht="15.75" customHeight="1" x14ac:dyDescent="0.2">
      <c r="T735" s="245"/>
      <c r="U735" s="146"/>
      <c r="V735" s="146"/>
      <c r="W735" s="146"/>
      <c r="X735" s="146"/>
      <c r="Y735" s="146"/>
      <c r="Z735" s="146"/>
    </row>
    <row r="736" spans="20:26" ht="15.75" customHeight="1" x14ac:dyDescent="0.2">
      <c r="T736" s="245"/>
      <c r="U736" s="146"/>
      <c r="V736" s="146"/>
      <c r="W736" s="146"/>
      <c r="X736" s="146"/>
      <c r="Y736" s="146"/>
      <c r="Z736" s="146"/>
    </row>
    <row r="737" spans="20:26" ht="15.75" customHeight="1" x14ac:dyDescent="0.2">
      <c r="T737" s="245"/>
      <c r="U737" s="146"/>
      <c r="V737" s="146"/>
      <c r="W737" s="146"/>
      <c r="X737" s="146"/>
      <c r="Y737" s="146"/>
      <c r="Z737" s="146"/>
    </row>
    <row r="738" spans="20:26" ht="15.75" customHeight="1" x14ac:dyDescent="0.2">
      <c r="T738" s="245"/>
      <c r="U738" s="146"/>
      <c r="V738" s="146"/>
      <c r="W738" s="146"/>
      <c r="X738" s="146"/>
      <c r="Y738" s="146"/>
      <c r="Z738" s="146"/>
    </row>
    <row r="739" spans="20:26" ht="15.75" customHeight="1" x14ac:dyDescent="0.2">
      <c r="T739" s="245"/>
      <c r="U739" s="146"/>
      <c r="V739" s="146"/>
      <c r="W739" s="146"/>
      <c r="X739" s="146"/>
      <c r="Y739" s="146"/>
      <c r="Z739" s="146"/>
    </row>
    <row r="740" spans="20:26" ht="15.75" customHeight="1" x14ac:dyDescent="0.2">
      <c r="T740" s="245"/>
      <c r="U740" s="146"/>
      <c r="V740" s="146"/>
      <c r="W740" s="146"/>
      <c r="X740" s="146"/>
      <c r="Y740" s="146"/>
      <c r="Z740" s="146"/>
    </row>
    <row r="741" spans="20:26" ht="15.75" customHeight="1" x14ac:dyDescent="0.2">
      <c r="T741" s="245"/>
      <c r="U741" s="146"/>
      <c r="V741" s="146"/>
      <c r="W741" s="146"/>
      <c r="X741" s="146"/>
      <c r="Y741" s="146"/>
      <c r="Z741" s="146"/>
    </row>
    <row r="742" spans="20:26" ht="15.75" customHeight="1" x14ac:dyDescent="0.2">
      <c r="T742" s="245"/>
      <c r="U742" s="146"/>
      <c r="V742" s="146"/>
      <c r="W742" s="146"/>
      <c r="X742" s="146"/>
      <c r="Y742" s="146"/>
      <c r="Z742" s="146"/>
    </row>
    <row r="743" spans="20:26" ht="15.75" customHeight="1" x14ac:dyDescent="0.2">
      <c r="T743" s="245"/>
      <c r="U743" s="146"/>
      <c r="V743" s="146"/>
      <c r="W743" s="146"/>
      <c r="X743" s="146"/>
      <c r="Y743" s="146"/>
      <c r="Z743" s="146"/>
    </row>
    <row r="744" spans="20:26" ht="15.75" customHeight="1" x14ac:dyDescent="0.2">
      <c r="T744" s="245"/>
      <c r="U744" s="146"/>
      <c r="V744" s="146"/>
      <c r="W744" s="146"/>
      <c r="X744" s="146"/>
      <c r="Y744" s="146"/>
      <c r="Z744" s="146"/>
    </row>
    <row r="745" spans="20:26" ht="15.75" customHeight="1" x14ac:dyDescent="0.2">
      <c r="T745" s="245"/>
      <c r="U745" s="146"/>
      <c r="V745" s="146"/>
      <c r="W745" s="146"/>
      <c r="X745" s="146"/>
      <c r="Y745" s="146"/>
      <c r="Z745" s="146"/>
    </row>
    <row r="746" spans="20:26" ht="15.75" customHeight="1" x14ac:dyDescent="0.2">
      <c r="T746" s="245"/>
      <c r="U746" s="146"/>
      <c r="V746" s="146"/>
      <c r="W746" s="146"/>
      <c r="X746" s="146"/>
      <c r="Y746" s="146"/>
      <c r="Z746" s="146"/>
    </row>
    <row r="747" spans="20:26" ht="15.75" customHeight="1" x14ac:dyDescent="0.2">
      <c r="T747" s="245"/>
      <c r="U747" s="146"/>
      <c r="V747" s="146"/>
      <c r="W747" s="146"/>
      <c r="X747" s="146"/>
      <c r="Y747" s="146"/>
      <c r="Z747" s="146"/>
    </row>
    <row r="748" spans="20:26" ht="15.75" customHeight="1" x14ac:dyDescent="0.2">
      <c r="T748" s="245"/>
      <c r="U748" s="146"/>
      <c r="V748" s="146"/>
      <c r="W748" s="146"/>
      <c r="X748" s="146"/>
      <c r="Y748" s="146"/>
      <c r="Z748" s="146"/>
    </row>
    <row r="749" spans="20:26" ht="15.75" customHeight="1" x14ac:dyDescent="0.2">
      <c r="T749" s="245"/>
      <c r="U749" s="146"/>
      <c r="V749" s="146"/>
      <c r="W749" s="146"/>
      <c r="X749" s="146"/>
      <c r="Y749" s="146"/>
      <c r="Z749" s="146"/>
    </row>
    <row r="750" spans="20:26" ht="15.75" customHeight="1" x14ac:dyDescent="0.2">
      <c r="T750" s="245"/>
      <c r="U750" s="146"/>
      <c r="V750" s="146"/>
      <c r="W750" s="146"/>
      <c r="X750" s="146"/>
      <c r="Y750" s="146"/>
      <c r="Z750" s="146"/>
    </row>
    <row r="751" spans="20:26" ht="15.75" customHeight="1" x14ac:dyDescent="0.2">
      <c r="T751" s="245"/>
      <c r="U751" s="146"/>
      <c r="V751" s="146"/>
      <c r="W751" s="146"/>
      <c r="X751" s="146"/>
      <c r="Y751" s="146"/>
      <c r="Z751" s="146"/>
    </row>
    <row r="752" spans="20:26" ht="15.75" customHeight="1" x14ac:dyDescent="0.2">
      <c r="T752" s="245"/>
      <c r="U752" s="146"/>
      <c r="V752" s="146"/>
      <c r="W752" s="146"/>
      <c r="X752" s="146"/>
      <c r="Y752" s="146"/>
      <c r="Z752" s="146"/>
    </row>
    <row r="753" spans="20:26" ht="15.75" customHeight="1" x14ac:dyDescent="0.2">
      <c r="T753" s="245"/>
      <c r="U753" s="146"/>
      <c r="V753" s="146"/>
      <c r="W753" s="146"/>
      <c r="X753" s="146"/>
      <c r="Y753" s="146"/>
      <c r="Z753" s="146"/>
    </row>
    <row r="754" spans="20:26" ht="15.75" customHeight="1" x14ac:dyDescent="0.2">
      <c r="T754" s="245"/>
      <c r="U754" s="146"/>
      <c r="V754" s="146"/>
      <c r="W754" s="146"/>
      <c r="X754" s="146"/>
      <c r="Y754" s="146"/>
      <c r="Z754" s="146"/>
    </row>
    <row r="755" spans="20:26" ht="15.75" customHeight="1" x14ac:dyDescent="0.2">
      <c r="T755" s="245"/>
      <c r="U755" s="146"/>
      <c r="V755" s="146"/>
      <c r="W755" s="146"/>
      <c r="X755" s="146"/>
      <c r="Y755" s="146"/>
      <c r="Z755" s="146"/>
    </row>
    <row r="756" spans="20:26" ht="15.75" customHeight="1" x14ac:dyDescent="0.2">
      <c r="T756" s="245"/>
      <c r="U756" s="146"/>
      <c r="V756" s="146"/>
      <c r="W756" s="146"/>
      <c r="X756" s="146"/>
      <c r="Y756" s="146"/>
      <c r="Z756" s="146"/>
    </row>
    <row r="757" spans="20:26" ht="15.75" customHeight="1" x14ac:dyDescent="0.2">
      <c r="T757" s="245"/>
      <c r="U757" s="146"/>
      <c r="V757" s="146"/>
      <c r="W757" s="146"/>
      <c r="X757" s="146"/>
      <c r="Y757" s="146"/>
      <c r="Z757" s="146"/>
    </row>
    <row r="758" spans="20:26" ht="15.75" customHeight="1" x14ac:dyDescent="0.2">
      <c r="T758" s="245"/>
      <c r="U758" s="146"/>
      <c r="V758" s="146"/>
      <c r="W758" s="146"/>
      <c r="X758" s="146"/>
      <c r="Y758" s="146"/>
      <c r="Z758" s="146"/>
    </row>
    <row r="759" spans="20:26" ht="15.75" customHeight="1" x14ac:dyDescent="0.2">
      <c r="T759" s="245"/>
      <c r="U759" s="146"/>
      <c r="V759" s="146"/>
      <c r="W759" s="146"/>
      <c r="X759" s="146"/>
      <c r="Y759" s="146"/>
      <c r="Z759" s="146"/>
    </row>
    <row r="760" spans="20:26" ht="15.75" customHeight="1" x14ac:dyDescent="0.2">
      <c r="T760" s="245"/>
      <c r="U760" s="146"/>
      <c r="V760" s="146"/>
      <c r="W760" s="146"/>
      <c r="X760" s="146"/>
      <c r="Y760" s="146"/>
      <c r="Z760" s="146"/>
    </row>
    <row r="761" spans="20:26" ht="15.75" customHeight="1" x14ac:dyDescent="0.2">
      <c r="T761" s="245"/>
      <c r="U761" s="146"/>
      <c r="V761" s="146"/>
      <c r="W761" s="146"/>
      <c r="X761" s="146"/>
      <c r="Y761" s="146"/>
      <c r="Z761" s="146"/>
    </row>
    <row r="762" spans="20:26" ht="15.75" customHeight="1" x14ac:dyDescent="0.2">
      <c r="T762" s="245"/>
      <c r="U762" s="146"/>
      <c r="V762" s="146"/>
      <c r="W762" s="146"/>
      <c r="X762" s="146"/>
      <c r="Y762" s="146"/>
      <c r="Z762" s="146"/>
    </row>
    <row r="763" spans="20:26" ht="15.75" customHeight="1" x14ac:dyDescent="0.2">
      <c r="T763" s="245"/>
      <c r="U763" s="146"/>
      <c r="V763" s="146"/>
      <c r="W763" s="146"/>
      <c r="X763" s="146"/>
      <c r="Y763" s="146"/>
      <c r="Z763" s="146"/>
    </row>
    <row r="764" spans="20:26" ht="15.75" customHeight="1" x14ac:dyDescent="0.2">
      <c r="T764" s="245"/>
      <c r="U764" s="146"/>
      <c r="V764" s="146"/>
      <c r="W764" s="146"/>
      <c r="X764" s="146"/>
      <c r="Y764" s="146"/>
      <c r="Z764" s="146"/>
    </row>
    <row r="765" spans="20:26" ht="15.75" customHeight="1" x14ac:dyDescent="0.2">
      <c r="T765" s="245"/>
      <c r="U765" s="146"/>
      <c r="V765" s="146"/>
      <c r="W765" s="146"/>
      <c r="X765" s="146"/>
      <c r="Y765" s="146"/>
      <c r="Z765" s="146"/>
    </row>
    <row r="766" spans="20:26" ht="15.75" customHeight="1" x14ac:dyDescent="0.2">
      <c r="T766" s="245"/>
      <c r="U766" s="146"/>
      <c r="V766" s="146"/>
      <c r="W766" s="146"/>
      <c r="X766" s="146"/>
      <c r="Y766" s="146"/>
      <c r="Z766" s="146"/>
    </row>
    <row r="767" spans="20:26" ht="15.75" customHeight="1" x14ac:dyDescent="0.2">
      <c r="T767" s="245"/>
      <c r="U767" s="146"/>
      <c r="V767" s="146"/>
      <c r="W767" s="146"/>
      <c r="X767" s="146"/>
      <c r="Y767" s="146"/>
      <c r="Z767" s="146"/>
    </row>
    <row r="768" spans="20:26" ht="15.75" customHeight="1" x14ac:dyDescent="0.2">
      <c r="T768" s="245"/>
      <c r="U768" s="146"/>
      <c r="V768" s="146"/>
      <c r="W768" s="146"/>
      <c r="X768" s="146"/>
      <c r="Y768" s="146"/>
      <c r="Z768" s="146"/>
    </row>
    <row r="769" spans="20:26" ht="15.75" customHeight="1" x14ac:dyDescent="0.2">
      <c r="T769" s="245"/>
      <c r="U769" s="146"/>
      <c r="V769" s="146"/>
      <c r="W769" s="146"/>
      <c r="X769" s="146"/>
      <c r="Y769" s="146"/>
      <c r="Z769" s="146"/>
    </row>
    <row r="770" spans="20:26" ht="15.75" customHeight="1" x14ac:dyDescent="0.2">
      <c r="T770" s="245"/>
      <c r="U770" s="146"/>
      <c r="V770" s="146"/>
      <c r="W770" s="146"/>
      <c r="X770" s="146"/>
      <c r="Y770" s="146"/>
      <c r="Z770" s="146"/>
    </row>
    <row r="771" spans="20:26" ht="15.75" customHeight="1" x14ac:dyDescent="0.2">
      <c r="T771" s="245"/>
      <c r="U771" s="146"/>
      <c r="V771" s="146"/>
      <c r="W771" s="146"/>
      <c r="X771" s="146"/>
      <c r="Y771" s="146"/>
      <c r="Z771" s="146"/>
    </row>
    <row r="772" spans="20:26" ht="15.75" customHeight="1" x14ac:dyDescent="0.2">
      <c r="T772" s="245"/>
      <c r="U772" s="146"/>
      <c r="V772" s="146"/>
      <c r="W772" s="146"/>
      <c r="X772" s="146"/>
      <c r="Y772" s="146"/>
      <c r="Z772" s="146"/>
    </row>
    <row r="773" spans="20:26" ht="15.75" customHeight="1" x14ac:dyDescent="0.2">
      <c r="T773" s="245"/>
      <c r="U773" s="146"/>
      <c r="V773" s="146"/>
      <c r="W773" s="146"/>
      <c r="X773" s="146"/>
      <c r="Y773" s="146"/>
      <c r="Z773" s="146"/>
    </row>
    <row r="774" spans="20:26" ht="15.75" customHeight="1" x14ac:dyDescent="0.2">
      <c r="T774" s="245"/>
      <c r="U774" s="146"/>
      <c r="V774" s="146"/>
      <c r="W774" s="146"/>
      <c r="X774" s="146"/>
      <c r="Y774" s="146"/>
      <c r="Z774" s="146"/>
    </row>
    <row r="775" spans="20:26" ht="15.75" customHeight="1" x14ac:dyDescent="0.2">
      <c r="T775" s="245"/>
      <c r="U775" s="146"/>
      <c r="V775" s="146"/>
      <c r="W775" s="146"/>
      <c r="X775" s="146"/>
      <c r="Y775" s="146"/>
      <c r="Z775" s="146"/>
    </row>
    <row r="776" spans="20:26" ht="15.75" customHeight="1" x14ac:dyDescent="0.2">
      <c r="T776" s="245"/>
      <c r="U776" s="146"/>
      <c r="V776" s="146"/>
      <c r="W776" s="146"/>
      <c r="X776" s="146"/>
      <c r="Y776" s="146"/>
      <c r="Z776" s="146"/>
    </row>
    <row r="777" spans="20:26" ht="15.75" customHeight="1" x14ac:dyDescent="0.2">
      <c r="T777" s="245"/>
      <c r="U777" s="146"/>
      <c r="V777" s="146"/>
      <c r="W777" s="146"/>
      <c r="X777" s="146"/>
      <c r="Y777" s="146"/>
      <c r="Z777" s="146"/>
    </row>
    <row r="778" spans="20:26" ht="15.75" customHeight="1" x14ac:dyDescent="0.2">
      <c r="T778" s="245"/>
      <c r="U778" s="146"/>
      <c r="V778" s="146"/>
      <c r="W778" s="146"/>
      <c r="X778" s="146"/>
      <c r="Y778" s="146"/>
      <c r="Z778" s="146"/>
    </row>
    <row r="779" spans="20:26" ht="15.75" customHeight="1" x14ac:dyDescent="0.2">
      <c r="T779" s="245"/>
      <c r="U779" s="146"/>
      <c r="V779" s="146"/>
      <c r="W779" s="146"/>
      <c r="X779" s="146"/>
      <c r="Y779" s="146"/>
      <c r="Z779" s="146"/>
    </row>
    <row r="780" spans="20:26" ht="15.75" customHeight="1" x14ac:dyDescent="0.2">
      <c r="T780" s="245"/>
      <c r="U780" s="146"/>
      <c r="V780" s="146"/>
      <c r="W780" s="146"/>
      <c r="X780" s="146"/>
      <c r="Y780" s="146"/>
      <c r="Z780" s="146"/>
    </row>
    <row r="781" spans="20:26" ht="15.75" customHeight="1" x14ac:dyDescent="0.2">
      <c r="T781" s="245"/>
      <c r="U781" s="146"/>
      <c r="V781" s="146"/>
      <c r="W781" s="146"/>
      <c r="X781" s="146"/>
      <c r="Y781" s="146"/>
      <c r="Z781" s="146"/>
    </row>
    <row r="782" spans="20:26" ht="15.75" customHeight="1" x14ac:dyDescent="0.2">
      <c r="T782" s="245"/>
      <c r="U782" s="146"/>
      <c r="V782" s="146"/>
      <c r="W782" s="146"/>
      <c r="X782" s="146"/>
      <c r="Y782" s="146"/>
      <c r="Z782" s="146"/>
    </row>
    <row r="783" spans="20:26" ht="15.75" customHeight="1" x14ac:dyDescent="0.2">
      <c r="T783" s="245"/>
      <c r="U783" s="146"/>
      <c r="V783" s="146"/>
      <c r="W783" s="146"/>
      <c r="X783" s="146"/>
      <c r="Y783" s="146"/>
      <c r="Z783" s="146"/>
    </row>
    <row r="784" spans="20:26" ht="15.75" customHeight="1" x14ac:dyDescent="0.2">
      <c r="T784" s="245"/>
      <c r="U784" s="146"/>
      <c r="V784" s="146"/>
      <c r="W784" s="146"/>
      <c r="X784" s="146"/>
      <c r="Y784" s="146"/>
      <c r="Z784" s="146"/>
    </row>
    <row r="785" spans="20:26" ht="15.75" customHeight="1" x14ac:dyDescent="0.2">
      <c r="T785" s="245"/>
      <c r="U785" s="146"/>
      <c r="V785" s="146"/>
      <c r="W785" s="146"/>
      <c r="X785" s="146"/>
      <c r="Y785" s="146"/>
      <c r="Z785" s="146"/>
    </row>
    <row r="786" spans="20:26" ht="15.75" customHeight="1" x14ac:dyDescent="0.2">
      <c r="T786" s="245"/>
      <c r="U786" s="146"/>
      <c r="V786" s="146"/>
      <c r="W786" s="146"/>
      <c r="X786" s="146"/>
      <c r="Y786" s="146"/>
      <c r="Z786" s="146"/>
    </row>
    <row r="787" spans="20:26" ht="15.75" customHeight="1" x14ac:dyDescent="0.2">
      <c r="T787" s="245"/>
      <c r="U787" s="146"/>
      <c r="V787" s="146"/>
      <c r="W787" s="146"/>
      <c r="X787" s="146"/>
      <c r="Y787" s="146"/>
      <c r="Z787" s="146"/>
    </row>
    <row r="788" spans="20:26" ht="15.75" customHeight="1" x14ac:dyDescent="0.2">
      <c r="T788" s="245"/>
      <c r="U788" s="146"/>
      <c r="V788" s="146"/>
      <c r="W788" s="146"/>
      <c r="X788" s="146"/>
      <c r="Y788" s="146"/>
      <c r="Z788" s="146"/>
    </row>
    <row r="789" spans="20:26" ht="15.75" customHeight="1" x14ac:dyDescent="0.2">
      <c r="T789" s="245"/>
      <c r="U789" s="146"/>
      <c r="V789" s="146"/>
      <c r="W789" s="146"/>
      <c r="X789" s="146"/>
      <c r="Y789" s="146"/>
      <c r="Z789" s="146"/>
    </row>
    <row r="790" spans="20:26" ht="15.75" customHeight="1" x14ac:dyDescent="0.2">
      <c r="T790" s="245"/>
      <c r="U790" s="146"/>
      <c r="V790" s="146"/>
      <c r="W790" s="146"/>
      <c r="X790" s="146"/>
      <c r="Y790" s="146"/>
      <c r="Z790" s="146"/>
    </row>
    <row r="791" spans="20:26" ht="15.75" customHeight="1" x14ac:dyDescent="0.2">
      <c r="T791" s="245"/>
      <c r="U791" s="146"/>
      <c r="V791" s="146"/>
      <c r="W791" s="146"/>
      <c r="X791" s="146"/>
      <c r="Y791" s="146"/>
      <c r="Z791" s="146"/>
    </row>
    <row r="792" spans="20:26" ht="15.75" customHeight="1" x14ac:dyDescent="0.2">
      <c r="T792" s="245"/>
      <c r="U792" s="146"/>
      <c r="V792" s="146"/>
      <c r="W792" s="146"/>
      <c r="X792" s="146"/>
      <c r="Y792" s="146"/>
      <c r="Z792" s="146"/>
    </row>
    <row r="793" spans="20:26" ht="15.75" customHeight="1" x14ac:dyDescent="0.2">
      <c r="T793" s="245"/>
      <c r="U793" s="146"/>
      <c r="V793" s="146"/>
      <c r="W793" s="146"/>
      <c r="X793" s="146"/>
      <c r="Y793" s="146"/>
      <c r="Z793" s="146"/>
    </row>
    <row r="794" spans="20:26" ht="15.75" customHeight="1" x14ac:dyDescent="0.2">
      <c r="T794" s="245"/>
      <c r="U794" s="146"/>
      <c r="V794" s="146"/>
      <c r="W794" s="146"/>
      <c r="X794" s="146"/>
      <c r="Y794" s="146"/>
      <c r="Z794" s="146"/>
    </row>
    <row r="795" spans="20:26" ht="15.75" customHeight="1" x14ac:dyDescent="0.2">
      <c r="T795" s="245"/>
      <c r="U795" s="146"/>
      <c r="V795" s="146"/>
      <c r="W795" s="146"/>
      <c r="X795" s="146"/>
      <c r="Y795" s="146"/>
      <c r="Z795" s="146"/>
    </row>
    <row r="796" spans="20:26" ht="15.75" customHeight="1" x14ac:dyDescent="0.2">
      <c r="T796" s="245"/>
      <c r="U796" s="146"/>
      <c r="V796" s="146"/>
      <c r="W796" s="146"/>
      <c r="X796" s="146"/>
      <c r="Y796" s="146"/>
      <c r="Z796" s="146"/>
    </row>
    <row r="797" spans="20:26" ht="15.75" customHeight="1" x14ac:dyDescent="0.2">
      <c r="T797" s="245"/>
      <c r="U797" s="146"/>
      <c r="V797" s="146"/>
      <c r="W797" s="146"/>
      <c r="X797" s="146"/>
      <c r="Y797" s="146"/>
      <c r="Z797" s="146"/>
    </row>
    <row r="798" spans="20:26" ht="15.75" customHeight="1" x14ac:dyDescent="0.2">
      <c r="T798" s="245"/>
      <c r="U798" s="146"/>
      <c r="V798" s="146"/>
      <c r="W798" s="146"/>
      <c r="X798" s="146"/>
      <c r="Y798" s="146"/>
      <c r="Z798" s="146"/>
    </row>
    <row r="799" spans="20:26" ht="15.75" customHeight="1" x14ac:dyDescent="0.2">
      <c r="T799" s="245"/>
      <c r="U799" s="146"/>
      <c r="V799" s="146"/>
      <c r="W799" s="146"/>
      <c r="X799" s="146"/>
      <c r="Y799" s="146"/>
      <c r="Z799" s="146"/>
    </row>
    <row r="800" spans="20:26" ht="15.75" customHeight="1" x14ac:dyDescent="0.2">
      <c r="T800" s="245"/>
      <c r="U800" s="146"/>
      <c r="V800" s="146"/>
      <c r="W800" s="146"/>
      <c r="X800" s="146"/>
      <c r="Y800" s="146"/>
      <c r="Z800" s="146"/>
    </row>
    <row r="801" spans="20:26" ht="15.75" customHeight="1" x14ac:dyDescent="0.2">
      <c r="T801" s="245"/>
      <c r="U801" s="146"/>
      <c r="V801" s="146"/>
      <c r="W801" s="146"/>
      <c r="X801" s="146"/>
      <c r="Y801" s="146"/>
      <c r="Z801" s="146"/>
    </row>
    <row r="802" spans="20:26" ht="15.75" customHeight="1" x14ac:dyDescent="0.2">
      <c r="T802" s="245"/>
      <c r="U802" s="146"/>
      <c r="V802" s="146"/>
      <c r="W802" s="146"/>
      <c r="X802" s="146"/>
      <c r="Y802" s="146"/>
      <c r="Z802" s="146"/>
    </row>
    <row r="803" spans="20:26" ht="15.75" customHeight="1" x14ac:dyDescent="0.2">
      <c r="T803" s="245"/>
      <c r="U803" s="146"/>
      <c r="V803" s="146"/>
      <c r="W803" s="146"/>
      <c r="X803" s="146"/>
      <c r="Y803" s="146"/>
      <c r="Z803" s="146"/>
    </row>
    <row r="804" spans="20:26" ht="15.75" customHeight="1" x14ac:dyDescent="0.2">
      <c r="T804" s="245"/>
      <c r="U804" s="146"/>
      <c r="V804" s="146"/>
      <c r="W804" s="146"/>
      <c r="X804" s="146"/>
      <c r="Y804" s="146"/>
      <c r="Z804" s="146"/>
    </row>
    <row r="805" spans="20:26" ht="15.75" customHeight="1" x14ac:dyDescent="0.2">
      <c r="T805" s="245"/>
      <c r="U805" s="146"/>
      <c r="V805" s="146"/>
      <c r="W805" s="146"/>
      <c r="X805" s="146"/>
      <c r="Y805" s="146"/>
      <c r="Z805" s="146"/>
    </row>
    <row r="806" spans="20:26" ht="15.75" customHeight="1" x14ac:dyDescent="0.2">
      <c r="T806" s="245"/>
      <c r="U806" s="146"/>
      <c r="V806" s="146"/>
      <c r="W806" s="146"/>
      <c r="X806" s="146"/>
      <c r="Y806" s="146"/>
      <c r="Z806" s="146"/>
    </row>
    <row r="807" spans="20:26" ht="15.75" customHeight="1" x14ac:dyDescent="0.2">
      <c r="T807" s="245"/>
      <c r="U807" s="146"/>
      <c r="V807" s="146"/>
      <c r="W807" s="146"/>
      <c r="X807" s="146"/>
      <c r="Y807" s="146"/>
      <c r="Z807" s="146"/>
    </row>
    <row r="808" spans="20:26" ht="15.75" customHeight="1" x14ac:dyDescent="0.2">
      <c r="T808" s="245"/>
      <c r="U808" s="146"/>
      <c r="V808" s="146"/>
      <c r="W808" s="146"/>
      <c r="X808" s="146"/>
      <c r="Y808" s="146"/>
      <c r="Z808" s="146"/>
    </row>
    <row r="809" spans="20:26" ht="15.75" customHeight="1" x14ac:dyDescent="0.2">
      <c r="T809" s="245"/>
      <c r="U809" s="146"/>
      <c r="V809" s="146"/>
      <c r="W809" s="146"/>
      <c r="X809" s="146"/>
      <c r="Y809" s="146"/>
      <c r="Z809" s="146"/>
    </row>
    <row r="810" spans="20:26" ht="15.75" customHeight="1" x14ac:dyDescent="0.2">
      <c r="T810" s="245"/>
      <c r="U810" s="146"/>
      <c r="V810" s="146"/>
      <c r="W810" s="146"/>
      <c r="X810" s="146"/>
      <c r="Y810" s="146"/>
      <c r="Z810" s="146"/>
    </row>
    <row r="811" spans="20:26" ht="15.75" customHeight="1" x14ac:dyDescent="0.2">
      <c r="T811" s="245"/>
      <c r="U811" s="146"/>
      <c r="V811" s="146"/>
      <c r="W811" s="146"/>
      <c r="X811" s="146"/>
      <c r="Y811" s="146"/>
      <c r="Z811" s="146"/>
    </row>
    <row r="812" spans="20:26" ht="15.75" customHeight="1" x14ac:dyDescent="0.2">
      <c r="T812" s="245"/>
      <c r="U812" s="146"/>
      <c r="V812" s="146"/>
      <c r="W812" s="146"/>
      <c r="X812" s="146"/>
      <c r="Y812" s="146"/>
      <c r="Z812" s="146"/>
    </row>
    <row r="813" spans="20:26" ht="15.75" customHeight="1" x14ac:dyDescent="0.2">
      <c r="T813" s="245"/>
      <c r="U813" s="146"/>
      <c r="V813" s="146"/>
      <c r="W813" s="146"/>
      <c r="X813" s="146"/>
      <c r="Y813" s="146"/>
      <c r="Z813" s="146"/>
    </row>
    <row r="814" spans="20:26" ht="15.75" customHeight="1" x14ac:dyDescent="0.2">
      <c r="T814" s="245"/>
      <c r="U814" s="146"/>
      <c r="V814" s="146"/>
      <c r="W814" s="146"/>
      <c r="X814" s="146"/>
      <c r="Y814" s="146"/>
      <c r="Z814" s="146"/>
    </row>
    <row r="815" spans="20:26" ht="15.75" customHeight="1" x14ac:dyDescent="0.2">
      <c r="T815" s="245"/>
      <c r="U815" s="146"/>
      <c r="V815" s="146"/>
      <c r="W815" s="146"/>
      <c r="X815" s="146"/>
      <c r="Y815" s="146"/>
      <c r="Z815" s="146"/>
    </row>
    <row r="816" spans="20:26" ht="15.75" customHeight="1" x14ac:dyDescent="0.2">
      <c r="T816" s="245"/>
      <c r="U816" s="146"/>
      <c r="V816" s="146"/>
      <c r="W816" s="146"/>
      <c r="X816" s="146"/>
      <c r="Y816" s="146"/>
      <c r="Z816" s="146"/>
    </row>
    <row r="817" spans="20:26" ht="15.75" customHeight="1" x14ac:dyDescent="0.2">
      <c r="T817" s="245"/>
      <c r="U817" s="146"/>
      <c r="V817" s="146"/>
      <c r="W817" s="146"/>
      <c r="X817" s="146"/>
      <c r="Y817" s="146"/>
      <c r="Z817" s="146"/>
    </row>
    <row r="818" spans="20:26" ht="15.75" customHeight="1" x14ac:dyDescent="0.2">
      <c r="T818" s="245"/>
      <c r="U818" s="146"/>
      <c r="V818" s="146"/>
      <c r="W818" s="146"/>
      <c r="X818" s="146"/>
      <c r="Y818" s="146"/>
      <c r="Z818" s="146"/>
    </row>
    <row r="819" spans="20:26" ht="15.75" customHeight="1" x14ac:dyDescent="0.2">
      <c r="T819" s="245"/>
      <c r="U819" s="146"/>
      <c r="V819" s="146"/>
      <c r="W819" s="146"/>
      <c r="X819" s="146"/>
      <c r="Y819" s="146"/>
      <c r="Z819" s="146"/>
    </row>
    <row r="820" spans="20:26" ht="15.75" customHeight="1" x14ac:dyDescent="0.2">
      <c r="T820" s="245"/>
      <c r="U820" s="146"/>
      <c r="V820" s="146"/>
      <c r="W820" s="146"/>
      <c r="X820" s="146"/>
      <c r="Y820" s="146"/>
      <c r="Z820" s="146"/>
    </row>
    <row r="821" spans="20:26" ht="15.75" customHeight="1" x14ac:dyDescent="0.2">
      <c r="T821" s="245"/>
      <c r="U821" s="146"/>
      <c r="V821" s="146"/>
      <c r="W821" s="146"/>
      <c r="X821" s="146"/>
      <c r="Y821" s="146"/>
      <c r="Z821" s="146"/>
    </row>
    <row r="822" spans="20:26" ht="15.75" customHeight="1" x14ac:dyDescent="0.2">
      <c r="T822" s="245"/>
      <c r="U822" s="146"/>
      <c r="V822" s="146"/>
      <c r="W822" s="146"/>
      <c r="X822" s="146"/>
      <c r="Y822" s="146"/>
      <c r="Z822" s="146"/>
    </row>
    <row r="823" spans="20:26" ht="15.75" customHeight="1" x14ac:dyDescent="0.2">
      <c r="T823" s="245"/>
      <c r="U823" s="146"/>
      <c r="V823" s="146"/>
      <c r="W823" s="146"/>
      <c r="X823" s="146"/>
      <c r="Y823" s="146"/>
      <c r="Z823" s="146"/>
    </row>
    <row r="824" spans="20:26" ht="15.75" customHeight="1" x14ac:dyDescent="0.2">
      <c r="T824" s="245"/>
      <c r="U824" s="146"/>
      <c r="V824" s="146"/>
      <c r="W824" s="146"/>
      <c r="X824" s="146"/>
      <c r="Y824" s="146"/>
      <c r="Z824" s="146"/>
    </row>
    <row r="825" spans="20:26" ht="15.75" customHeight="1" x14ac:dyDescent="0.2">
      <c r="T825" s="245"/>
      <c r="U825" s="146"/>
      <c r="V825" s="146"/>
      <c r="W825" s="146"/>
      <c r="X825" s="146"/>
      <c r="Y825" s="146"/>
      <c r="Z825" s="146"/>
    </row>
    <row r="826" spans="20:26" ht="15.75" customHeight="1" x14ac:dyDescent="0.2">
      <c r="T826" s="245"/>
      <c r="U826" s="146"/>
      <c r="V826" s="146"/>
      <c r="W826" s="146"/>
      <c r="X826" s="146"/>
      <c r="Y826" s="146"/>
      <c r="Z826" s="146"/>
    </row>
    <row r="827" spans="20:26" ht="15.75" customHeight="1" x14ac:dyDescent="0.2">
      <c r="T827" s="245"/>
      <c r="U827" s="146"/>
      <c r="V827" s="146"/>
      <c r="W827" s="146"/>
      <c r="X827" s="146"/>
      <c r="Y827" s="146"/>
      <c r="Z827" s="146"/>
    </row>
    <row r="828" spans="20:26" ht="15.75" customHeight="1" x14ac:dyDescent="0.2">
      <c r="T828" s="245"/>
      <c r="U828" s="146"/>
      <c r="V828" s="146"/>
      <c r="W828" s="146"/>
      <c r="X828" s="146"/>
      <c r="Y828" s="146"/>
      <c r="Z828" s="146"/>
    </row>
    <row r="829" spans="20:26" ht="15.75" customHeight="1" x14ac:dyDescent="0.2">
      <c r="T829" s="245"/>
      <c r="U829" s="146"/>
      <c r="V829" s="146"/>
      <c r="W829" s="146"/>
      <c r="X829" s="146"/>
      <c r="Y829" s="146"/>
      <c r="Z829" s="146"/>
    </row>
    <row r="830" spans="20:26" ht="15.75" customHeight="1" x14ac:dyDescent="0.2">
      <c r="T830" s="245"/>
      <c r="U830" s="146"/>
      <c r="V830" s="146"/>
      <c r="W830" s="146"/>
      <c r="X830" s="146"/>
      <c r="Y830" s="146"/>
      <c r="Z830" s="146"/>
    </row>
    <row r="831" spans="20:26" ht="15.75" customHeight="1" x14ac:dyDescent="0.2">
      <c r="T831" s="245"/>
      <c r="U831" s="146"/>
      <c r="V831" s="146"/>
      <c r="W831" s="146"/>
      <c r="X831" s="146"/>
      <c r="Y831" s="146"/>
      <c r="Z831" s="146"/>
    </row>
    <row r="832" spans="20:26" ht="15.75" customHeight="1" x14ac:dyDescent="0.2">
      <c r="T832" s="245"/>
      <c r="U832" s="146"/>
      <c r="V832" s="146"/>
      <c r="W832" s="146"/>
      <c r="X832" s="146"/>
      <c r="Y832" s="146"/>
      <c r="Z832" s="146"/>
    </row>
    <row r="833" spans="20:26" ht="15.75" customHeight="1" x14ac:dyDescent="0.2">
      <c r="T833" s="245"/>
      <c r="U833" s="146"/>
      <c r="V833" s="146"/>
      <c r="W833" s="146"/>
      <c r="X833" s="146"/>
      <c r="Y833" s="146"/>
      <c r="Z833" s="146"/>
    </row>
    <row r="834" spans="20:26" ht="15.75" customHeight="1" x14ac:dyDescent="0.2">
      <c r="T834" s="245"/>
      <c r="U834" s="146"/>
      <c r="V834" s="146"/>
      <c r="W834" s="146"/>
      <c r="X834" s="146"/>
      <c r="Y834" s="146"/>
      <c r="Z834" s="146"/>
    </row>
    <row r="835" spans="20:26" ht="15.75" customHeight="1" x14ac:dyDescent="0.2">
      <c r="T835" s="245"/>
      <c r="U835" s="146"/>
      <c r="V835" s="146"/>
      <c r="W835" s="146"/>
      <c r="X835" s="146"/>
      <c r="Y835" s="146"/>
      <c r="Z835" s="146"/>
    </row>
    <row r="836" spans="20:26" ht="15.75" customHeight="1" x14ac:dyDescent="0.2">
      <c r="T836" s="245"/>
      <c r="U836" s="146"/>
      <c r="V836" s="146"/>
      <c r="W836" s="146"/>
      <c r="X836" s="146"/>
      <c r="Y836" s="146"/>
      <c r="Z836" s="146"/>
    </row>
    <row r="837" spans="20:26" ht="15.75" customHeight="1" x14ac:dyDescent="0.2">
      <c r="T837" s="245"/>
      <c r="U837" s="146"/>
      <c r="V837" s="146"/>
      <c r="W837" s="146"/>
      <c r="X837" s="146"/>
      <c r="Y837" s="146"/>
      <c r="Z837" s="146"/>
    </row>
    <row r="838" spans="20:26" ht="15.75" customHeight="1" x14ac:dyDescent="0.2">
      <c r="T838" s="245"/>
      <c r="U838" s="146"/>
      <c r="V838" s="146"/>
      <c r="W838" s="146"/>
      <c r="X838" s="146"/>
      <c r="Y838" s="146"/>
      <c r="Z838" s="146"/>
    </row>
    <row r="839" spans="20:26" ht="15.75" customHeight="1" x14ac:dyDescent="0.2">
      <c r="T839" s="245"/>
      <c r="U839" s="146"/>
      <c r="V839" s="146"/>
      <c r="W839" s="146"/>
      <c r="X839" s="146"/>
      <c r="Y839" s="146"/>
      <c r="Z839" s="146"/>
    </row>
    <row r="840" spans="20:26" ht="15.75" customHeight="1" x14ac:dyDescent="0.2">
      <c r="T840" s="245"/>
      <c r="U840" s="146"/>
      <c r="V840" s="146"/>
      <c r="W840" s="146"/>
      <c r="X840" s="146"/>
      <c r="Y840" s="146"/>
      <c r="Z840" s="146"/>
    </row>
    <row r="841" spans="20:26" ht="15.75" customHeight="1" x14ac:dyDescent="0.2">
      <c r="T841" s="245"/>
      <c r="U841" s="146"/>
      <c r="V841" s="146"/>
      <c r="W841" s="146"/>
      <c r="X841" s="146"/>
      <c r="Y841" s="146"/>
      <c r="Z841" s="146"/>
    </row>
    <row r="842" spans="20:26" ht="15.75" customHeight="1" x14ac:dyDescent="0.2">
      <c r="T842" s="245"/>
      <c r="U842" s="146"/>
      <c r="V842" s="146"/>
      <c r="W842" s="146"/>
      <c r="X842" s="146"/>
      <c r="Y842" s="146"/>
      <c r="Z842" s="146"/>
    </row>
    <row r="843" spans="20:26" ht="15.75" customHeight="1" x14ac:dyDescent="0.2">
      <c r="T843" s="245"/>
      <c r="U843" s="146"/>
      <c r="V843" s="146"/>
      <c r="W843" s="146"/>
      <c r="X843" s="146"/>
      <c r="Y843" s="146"/>
      <c r="Z843" s="146"/>
    </row>
    <row r="844" spans="20:26" ht="15.75" customHeight="1" x14ac:dyDescent="0.2">
      <c r="T844" s="245"/>
      <c r="U844" s="146"/>
      <c r="V844" s="146"/>
      <c r="W844" s="146"/>
      <c r="X844" s="146"/>
      <c r="Y844" s="146"/>
      <c r="Z844" s="146"/>
    </row>
    <row r="845" spans="20:26" ht="15.75" customHeight="1" x14ac:dyDescent="0.2">
      <c r="T845" s="245"/>
      <c r="U845" s="146"/>
      <c r="V845" s="146"/>
      <c r="W845" s="146"/>
      <c r="X845" s="146"/>
      <c r="Y845" s="146"/>
      <c r="Z845" s="146"/>
    </row>
    <row r="846" spans="20:26" ht="15.75" customHeight="1" x14ac:dyDescent="0.2">
      <c r="T846" s="245"/>
      <c r="U846" s="146"/>
      <c r="V846" s="146"/>
      <c r="W846" s="146"/>
      <c r="X846" s="146"/>
      <c r="Y846" s="146"/>
      <c r="Z846" s="146"/>
    </row>
    <row r="847" spans="20:26" ht="15.75" customHeight="1" x14ac:dyDescent="0.2">
      <c r="T847" s="245"/>
      <c r="U847" s="146"/>
      <c r="V847" s="146"/>
      <c r="W847" s="146"/>
      <c r="X847" s="146"/>
      <c r="Y847" s="146"/>
      <c r="Z847" s="146"/>
    </row>
    <row r="848" spans="20:26" ht="15.75" customHeight="1" x14ac:dyDescent="0.2">
      <c r="T848" s="245"/>
      <c r="U848" s="146"/>
      <c r="V848" s="146"/>
      <c r="W848" s="146"/>
      <c r="X848" s="146"/>
      <c r="Y848" s="146"/>
      <c r="Z848" s="146"/>
    </row>
    <row r="849" spans="20:26" ht="15.75" customHeight="1" x14ac:dyDescent="0.2">
      <c r="T849" s="245"/>
      <c r="U849" s="146"/>
      <c r="V849" s="146"/>
      <c r="W849" s="146"/>
      <c r="X849" s="146"/>
      <c r="Y849" s="146"/>
      <c r="Z849" s="146"/>
    </row>
    <row r="850" spans="20:26" ht="15.75" customHeight="1" x14ac:dyDescent="0.2">
      <c r="T850" s="245"/>
      <c r="U850" s="146"/>
      <c r="V850" s="146"/>
      <c r="W850" s="146"/>
      <c r="X850" s="146"/>
      <c r="Y850" s="146"/>
      <c r="Z850" s="146"/>
    </row>
    <row r="851" spans="20:26" ht="15.75" customHeight="1" x14ac:dyDescent="0.2">
      <c r="T851" s="245"/>
      <c r="U851" s="146"/>
      <c r="V851" s="146"/>
      <c r="W851" s="146"/>
      <c r="X851" s="146"/>
      <c r="Y851" s="146"/>
      <c r="Z851" s="146"/>
    </row>
    <row r="852" spans="20:26" ht="15.75" customHeight="1" x14ac:dyDescent="0.2">
      <c r="T852" s="245"/>
      <c r="U852" s="146"/>
      <c r="V852" s="146"/>
      <c r="W852" s="146"/>
      <c r="X852" s="146"/>
      <c r="Y852" s="146"/>
      <c r="Z852" s="146"/>
    </row>
    <row r="853" spans="20:26" ht="15.75" customHeight="1" x14ac:dyDescent="0.2">
      <c r="T853" s="245"/>
      <c r="U853" s="146"/>
      <c r="V853" s="146"/>
      <c r="W853" s="146"/>
      <c r="X853" s="146"/>
      <c r="Y853" s="146"/>
      <c r="Z853" s="146"/>
    </row>
    <row r="854" spans="20:26" ht="15.75" customHeight="1" x14ac:dyDescent="0.2">
      <c r="T854" s="245"/>
      <c r="U854" s="146"/>
      <c r="V854" s="146"/>
      <c r="W854" s="146"/>
      <c r="X854" s="146"/>
      <c r="Y854" s="146"/>
      <c r="Z854" s="146"/>
    </row>
    <row r="855" spans="20:26" ht="15.75" customHeight="1" x14ac:dyDescent="0.2">
      <c r="T855" s="245"/>
      <c r="U855" s="146"/>
      <c r="V855" s="146"/>
      <c r="W855" s="146"/>
      <c r="X855" s="146"/>
      <c r="Y855" s="146"/>
      <c r="Z855" s="146"/>
    </row>
    <row r="856" spans="20:26" ht="15.75" customHeight="1" x14ac:dyDescent="0.2">
      <c r="T856" s="245"/>
      <c r="U856" s="146"/>
      <c r="V856" s="146"/>
      <c r="W856" s="146"/>
      <c r="X856" s="146"/>
      <c r="Y856" s="146"/>
      <c r="Z856" s="146"/>
    </row>
    <row r="857" spans="20:26" ht="15.75" customHeight="1" x14ac:dyDescent="0.2">
      <c r="T857" s="245"/>
      <c r="U857" s="146"/>
      <c r="V857" s="146"/>
      <c r="W857" s="146"/>
      <c r="X857" s="146"/>
      <c r="Y857" s="146"/>
      <c r="Z857" s="146"/>
    </row>
    <row r="858" spans="20:26" ht="15.75" customHeight="1" x14ac:dyDescent="0.2">
      <c r="T858" s="245"/>
      <c r="U858" s="146"/>
      <c r="V858" s="146"/>
      <c r="W858" s="146"/>
      <c r="X858" s="146"/>
      <c r="Y858" s="146"/>
      <c r="Z858" s="146"/>
    </row>
    <row r="859" spans="20:26" ht="15.75" customHeight="1" x14ac:dyDescent="0.2">
      <c r="T859" s="245"/>
      <c r="U859" s="146"/>
      <c r="V859" s="146"/>
      <c r="W859" s="146"/>
      <c r="X859" s="146"/>
      <c r="Y859" s="146"/>
      <c r="Z859" s="146"/>
    </row>
    <row r="860" spans="20:26" ht="15.75" customHeight="1" x14ac:dyDescent="0.2">
      <c r="T860" s="245"/>
      <c r="U860" s="146"/>
      <c r="V860" s="146"/>
      <c r="W860" s="146"/>
      <c r="X860" s="146"/>
      <c r="Y860" s="146"/>
      <c r="Z860" s="146"/>
    </row>
    <row r="861" spans="20:26" ht="15.75" customHeight="1" x14ac:dyDescent="0.2">
      <c r="T861" s="245"/>
      <c r="U861" s="146"/>
      <c r="V861" s="146"/>
      <c r="W861" s="146"/>
      <c r="X861" s="146"/>
      <c r="Y861" s="146"/>
      <c r="Z861" s="146"/>
    </row>
    <row r="862" spans="20:26" ht="15.75" customHeight="1" x14ac:dyDescent="0.2">
      <c r="T862" s="245"/>
      <c r="U862" s="146"/>
      <c r="V862" s="146"/>
      <c r="W862" s="146"/>
      <c r="X862" s="146"/>
      <c r="Y862" s="146"/>
      <c r="Z862" s="146"/>
    </row>
    <row r="863" spans="20:26" ht="15.75" customHeight="1" x14ac:dyDescent="0.2">
      <c r="T863" s="245"/>
      <c r="U863" s="146"/>
      <c r="V863" s="146"/>
      <c r="W863" s="146"/>
      <c r="X863" s="146"/>
      <c r="Y863" s="146"/>
      <c r="Z863" s="146"/>
    </row>
    <row r="864" spans="20:26" ht="15.75" customHeight="1" x14ac:dyDescent="0.2">
      <c r="T864" s="245"/>
      <c r="U864" s="146"/>
      <c r="V864" s="146"/>
      <c r="W864" s="146"/>
      <c r="X864" s="146"/>
      <c r="Y864" s="146"/>
      <c r="Z864" s="146"/>
    </row>
    <row r="865" spans="20:26" ht="15.75" customHeight="1" x14ac:dyDescent="0.2">
      <c r="T865" s="245"/>
      <c r="U865" s="146"/>
      <c r="V865" s="146"/>
      <c r="W865" s="146"/>
      <c r="X865" s="146"/>
      <c r="Y865" s="146"/>
      <c r="Z865" s="146"/>
    </row>
    <row r="866" spans="20:26" ht="15.75" customHeight="1" x14ac:dyDescent="0.2">
      <c r="T866" s="245"/>
      <c r="U866" s="146"/>
      <c r="V866" s="146"/>
      <c r="W866" s="146"/>
      <c r="X866" s="146"/>
      <c r="Y866" s="146"/>
      <c r="Z866" s="146"/>
    </row>
    <row r="867" spans="20:26" ht="15.75" customHeight="1" x14ac:dyDescent="0.2">
      <c r="T867" s="245"/>
      <c r="U867" s="146"/>
      <c r="V867" s="146"/>
      <c r="W867" s="146"/>
      <c r="X867" s="146"/>
      <c r="Y867" s="146"/>
      <c r="Z867" s="146"/>
    </row>
    <row r="868" spans="20:26" ht="15.75" customHeight="1" x14ac:dyDescent="0.2">
      <c r="T868" s="245"/>
      <c r="U868" s="146"/>
      <c r="V868" s="146"/>
      <c r="W868" s="146"/>
      <c r="X868" s="146"/>
      <c r="Y868" s="146"/>
      <c r="Z868" s="146"/>
    </row>
    <row r="869" spans="20:26" ht="15.75" customHeight="1" x14ac:dyDescent="0.2">
      <c r="T869" s="245"/>
      <c r="U869" s="146"/>
      <c r="V869" s="146"/>
      <c r="W869" s="146"/>
      <c r="X869" s="146"/>
      <c r="Y869" s="146"/>
      <c r="Z869" s="146"/>
    </row>
    <row r="870" spans="20:26" ht="15.75" customHeight="1" x14ac:dyDescent="0.2">
      <c r="T870" s="245"/>
      <c r="U870" s="146"/>
      <c r="V870" s="146"/>
      <c r="W870" s="146"/>
      <c r="X870" s="146"/>
      <c r="Y870" s="146"/>
      <c r="Z870" s="146"/>
    </row>
    <row r="871" spans="20:26" ht="15.75" customHeight="1" x14ac:dyDescent="0.2">
      <c r="T871" s="245"/>
      <c r="U871" s="146"/>
      <c r="V871" s="146"/>
      <c r="W871" s="146"/>
      <c r="X871" s="146"/>
      <c r="Y871" s="146"/>
      <c r="Z871" s="146"/>
    </row>
    <row r="872" spans="20:26" ht="15.75" customHeight="1" x14ac:dyDescent="0.2">
      <c r="T872" s="245"/>
      <c r="U872" s="146"/>
      <c r="V872" s="146"/>
      <c r="W872" s="146"/>
      <c r="X872" s="146"/>
      <c r="Y872" s="146"/>
      <c r="Z872" s="146"/>
    </row>
    <row r="873" spans="20:26" ht="15.75" customHeight="1" x14ac:dyDescent="0.2">
      <c r="T873" s="245"/>
      <c r="U873" s="146"/>
      <c r="V873" s="146"/>
      <c r="W873" s="146"/>
      <c r="X873" s="146"/>
      <c r="Y873" s="146"/>
      <c r="Z873" s="146"/>
    </row>
    <row r="874" spans="20:26" ht="15.75" customHeight="1" x14ac:dyDescent="0.2">
      <c r="T874" s="245"/>
      <c r="U874" s="146"/>
      <c r="V874" s="146"/>
      <c r="W874" s="146"/>
      <c r="X874" s="146"/>
      <c r="Y874" s="146"/>
      <c r="Z874" s="146"/>
    </row>
    <row r="875" spans="20:26" ht="15.75" customHeight="1" x14ac:dyDescent="0.2">
      <c r="T875" s="245"/>
      <c r="U875" s="146"/>
      <c r="V875" s="146"/>
      <c r="W875" s="146"/>
      <c r="X875" s="146"/>
      <c r="Y875" s="146"/>
      <c r="Z875" s="146"/>
    </row>
    <row r="876" spans="20:26" ht="15.75" customHeight="1" x14ac:dyDescent="0.2">
      <c r="T876" s="245"/>
      <c r="U876" s="146"/>
      <c r="V876" s="146"/>
      <c r="W876" s="146"/>
      <c r="X876" s="146"/>
      <c r="Y876" s="146"/>
      <c r="Z876" s="146"/>
    </row>
    <row r="877" spans="20:26" ht="15.75" customHeight="1" x14ac:dyDescent="0.2">
      <c r="T877" s="245"/>
      <c r="U877" s="146"/>
      <c r="V877" s="146"/>
      <c r="W877" s="146"/>
      <c r="X877" s="146"/>
      <c r="Y877" s="146"/>
      <c r="Z877" s="146"/>
    </row>
    <row r="878" spans="20:26" ht="15.75" customHeight="1" x14ac:dyDescent="0.2">
      <c r="T878" s="245"/>
      <c r="U878" s="146"/>
      <c r="V878" s="146"/>
      <c r="W878" s="146"/>
      <c r="X878" s="146"/>
      <c r="Y878" s="146"/>
      <c r="Z878" s="146"/>
    </row>
    <row r="879" spans="20:26" ht="15.75" customHeight="1" x14ac:dyDescent="0.2">
      <c r="T879" s="245"/>
      <c r="U879" s="146"/>
      <c r="V879" s="146"/>
      <c r="W879" s="146"/>
      <c r="X879" s="146"/>
      <c r="Y879" s="146"/>
      <c r="Z879" s="146"/>
    </row>
    <row r="880" spans="20:26" ht="15.75" customHeight="1" x14ac:dyDescent="0.2">
      <c r="T880" s="245"/>
      <c r="U880" s="146"/>
      <c r="V880" s="146"/>
      <c r="W880" s="146"/>
      <c r="X880" s="146"/>
      <c r="Y880" s="146"/>
      <c r="Z880" s="146"/>
    </row>
    <row r="881" spans="20:26" ht="15.75" customHeight="1" x14ac:dyDescent="0.2">
      <c r="T881" s="245"/>
      <c r="U881" s="146"/>
      <c r="V881" s="146"/>
      <c r="W881" s="146"/>
      <c r="X881" s="146"/>
      <c r="Y881" s="146"/>
      <c r="Z881" s="146"/>
    </row>
    <row r="882" spans="20:26" ht="15.75" customHeight="1" x14ac:dyDescent="0.2">
      <c r="T882" s="245"/>
      <c r="U882" s="146"/>
      <c r="V882" s="146"/>
      <c r="W882" s="146"/>
      <c r="X882" s="146"/>
      <c r="Y882" s="146"/>
      <c r="Z882" s="146"/>
    </row>
    <row r="883" spans="20:26" ht="15.75" customHeight="1" x14ac:dyDescent="0.2">
      <c r="T883" s="245"/>
      <c r="U883" s="146"/>
      <c r="V883" s="146"/>
      <c r="W883" s="146"/>
      <c r="X883" s="146"/>
      <c r="Y883" s="146"/>
      <c r="Z883" s="146"/>
    </row>
    <row r="884" spans="20:26" ht="15.75" customHeight="1" x14ac:dyDescent="0.2">
      <c r="T884" s="245"/>
      <c r="U884" s="146"/>
      <c r="V884" s="146"/>
      <c r="W884" s="146"/>
      <c r="X884" s="146"/>
      <c r="Y884" s="146"/>
      <c r="Z884" s="146"/>
    </row>
    <row r="885" spans="20:26" ht="15.75" customHeight="1" x14ac:dyDescent="0.2">
      <c r="T885" s="245"/>
      <c r="U885" s="146"/>
      <c r="V885" s="146"/>
      <c r="W885" s="146"/>
      <c r="X885" s="146"/>
      <c r="Y885" s="146"/>
      <c r="Z885" s="146"/>
    </row>
    <row r="886" spans="20:26" ht="15.75" customHeight="1" x14ac:dyDescent="0.2">
      <c r="T886" s="245"/>
      <c r="U886" s="146"/>
      <c r="V886" s="146"/>
      <c r="W886" s="146"/>
      <c r="X886" s="146"/>
      <c r="Y886" s="146"/>
      <c r="Z886" s="146"/>
    </row>
    <row r="887" spans="20:26" ht="15.75" customHeight="1" x14ac:dyDescent="0.2">
      <c r="T887" s="245"/>
      <c r="U887" s="146"/>
      <c r="V887" s="146"/>
      <c r="W887" s="146"/>
      <c r="X887" s="146"/>
      <c r="Y887" s="146"/>
      <c r="Z887" s="146"/>
    </row>
    <row r="888" spans="20:26" ht="15.75" customHeight="1" x14ac:dyDescent="0.2">
      <c r="T888" s="245"/>
      <c r="U888" s="146"/>
      <c r="V888" s="146"/>
      <c r="W888" s="146"/>
      <c r="X888" s="146"/>
      <c r="Y888" s="146"/>
      <c r="Z888" s="146"/>
    </row>
    <row r="889" spans="20:26" ht="15.75" customHeight="1" x14ac:dyDescent="0.2">
      <c r="T889" s="245"/>
      <c r="U889" s="146"/>
      <c r="V889" s="146"/>
      <c r="W889" s="146"/>
      <c r="X889" s="146"/>
      <c r="Y889" s="146"/>
      <c r="Z889" s="146"/>
    </row>
    <row r="890" spans="20:26" ht="15.75" customHeight="1" x14ac:dyDescent="0.2">
      <c r="T890" s="245"/>
      <c r="U890" s="146"/>
      <c r="V890" s="146"/>
      <c r="W890" s="146"/>
      <c r="X890" s="146"/>
      <c r="Y890" s="146"/>
      <c r="Z890" s="146"/>
    </row>
    <row r="891" spans="20:26" ht="15.75" customHeight="1" x14ac:dyDescent="0.2">
      <c r="T891" s="245"/>
      <c r="U891" s="146"/>
      <c r="V891" s="146"/>
      <c r="W891" s="146"/>
      <c r="X891" s="146"/>
      <c r="Y891" s="146"/>
      <c r="Z891" s="146"/>
    </row>
    <row r="892" spans="20:26" ht="15.75" customHeight="1" x14ac:dyDescent="0.2">
      <c r="T892" s="245"/>
      <c r="U892" s="146"/>
      <c r="V892" s="146"/>
      <c r="W892" s="146"/>
      <c r="X892" s="146"/>
      <c r="Y892" s="146"/>
      <c r="Z892" s="146"/>
    </row>
    <row r="893" spans="20:26" ht="15.75" customHeight="1" x14ac:dyDescent="0.2">
      <c r="T893" s="245"/>
      <c r="U893" s="146"/>
      <c r="V893" s="146"/>
      <c r="W893" s="146"/>
      <c r="X893" s="146"/>
      <c r="Y893" s="146"/>
      <c r="Z893" s="146"/>
    </row>
    <row r="894" spans="20:26" ht="15.75" customHeight="1" x14ac:dyDescent="0.2">
      <c r="T894" s="245"/>
      <c r="U894" s="146"/>
      <c r="V894" s="146"/>
      <c r="W894" s="146"/>
      <c r="X894" s="146"/>
      <c r="Y894" s="146"/>
      <c r="Z894" s="146"/>
    </row>
    <row r="895" spans="20:26" ht="15.75" customHeight="1" x14ac:dyDescent="0.2">
      <c r="T895" s="245"/>
      <c r="U895" s="146"/>
      <c r="V895" s="146"/>
      <c r="W895" s="146"/>
      <c r="X895" s="146"/>
      <c r="Y895" s="146"/>
      <c r="Z895" s="146"/>
    </row>
    <row r="896" spans="20:26" ht="15.75" customHeight="1" x14ac:dyDescent="0.2">
      <c r="T896" s="245"/>
      <c r="U896" s="146"/>
      <c r="V896" s="146"/>
      <c r="W896" s="146"/>
      <c r="X896" s="146"/>
      <c r="Y896" s="146"/>
      <c r="Z896" s="146"/>
    </row>
    <row r="897" spans="20:26" ht="15.75" customHeight="1" x14ac:dyDescent="0.2">
      <c r="T897" s="245"/>
      <c r="U897" s="146"/>
      <c r="V897" s="146"/>
      <c r="W897" s="146"/>
      <c r="X897" s="146"/>
      <c r="Y897" s="146"/>
      <c r="Z897" s="146"/>
    </row>
    <row r="898" spans="20:26" ht="15.75" customHeight="1" x14ac:dyDescent="0.2">
      <c r="T898" s="245"/>
      <c r="U898" s="146"/>
      <c r="V898" s="146"/>
      <c r="W898" s="146"/>
      <c r="X898" s="146"/>
      <c r="Y898" s="146"/>
      <c r="Z898" s="146"/>
    </row>
    <row r="899" spans="20:26" ht="15.75" customHeight="1" x14ac:dyDescent="0.2">
      <c r="T899" s="245"/>
      <c r="U899" s="146"/>
      <c r="V899" s="146"/>
      <c r="W899" s="146"/>
      <c r="X899" s="146"/>
      <c r="Y899" s="146"/>
      <c r="Z899" s="146"/>
    </row>
    <row r="900" spans="20:26" ht="15.75" customHeight="1" x14ac:dyDescent="0.2">
      <c r="T900" s="245"/>
      <c r="U900" s="146"/>
      <c r="V900" s="146"/>
      <c r="W900" s="146"/>
      <c r="X900" s="146"/>
      <c r="Y900" s="146"/>
      <c r="Z900" s="146"/>
    </row>
    <row r="901" spans="20:26" ht="15.75" customHeight="1" x14ac:dyDescent="0.2">
      <c r="T901" s="245"/>
      <c r="U901" s="146"/>
      <c r="V901" s="146"/>
      <c r="W901" s="146"/>
      <c r="X901" s="146"/>
      <c r="Y901" s="146"/>
      <c r="Z901" s="146"/>
    </row>
    <row r="902" spans="20:26" ht="15.75" customHeight="1" x14ac:dyDescent="0.2">
      <c r="T902" s="245"/>
      <c r="U902" s="146"/>
      <c r="V902" s="146"/>
      <c r="W902" s="146"/>
      <c r="X902" s="146"/>
      <c r="Y902" s="146"/>
      <c r="Z902" s="146"/>
    </row>
    <row r="903" spans="20:26" ht="15.75" customHeight="1" x14ac:dyDescent="0.2">
      <c r="T903" s="245"/>
      <c r="U903" s="146"/>
      <c r="V903" s="146"/>
      <c r="W903" s="146"/>
      <c r="X903" s="146"/>
      <c r="Y903" s="146"/>
      <c r="Z903" s="146"/>
    </row>
    <row r="904" spans="20:26" ht="15.75" customHeight="1" x14ac:dyDescent="0.2">
      <c r="T904" s="245"/>
      <c r="U904" s="146"/>
      <c r="V904" s="146"/>
      <c r="W904" s="146"/>
      <c r="X904" s="146"/>
      <c r="Y904" s="146"/>
      <c r="Z904" s="146"/>
    </row>
    <row r="905" spans="20:26" ht="15.75" customHeight="1" x14ac:dyDescent="0.2">
      <c r="T905" s="245"/>
      <c r="U905" s="146"/>
      <c r="V905" s="146"/>
      <c r="W905" s="146"/>
      <c r="X905" s="146"/>
      <c r="Y905" s="146"/>
      <c r="Z905" s="146"/>
    </row>
    <row r="906" spans="20:26" ht="15.75" customHeight="1" x14ac:dyDescent="0.2">
      <c r="T906" s="245"/>
      <c r="U906" s="146"/>
      <c r="V906" s="146"/>
      <c r="W906" s="146"/>
      <c r="X906" s="146"/>
      <c r="Y906" s="146"/>
      <c r="Z906" s="146"/>
    </row>
    <row r="907" spans="20:26" ht="15.75" customHeight="1" x14ac:dyDescent="0.2">
      <c r="T907" s="245"/>
      <c r="U907" s="146"/>
      <c r="V907" s="146"/>
      <c r="W907" s="146"/>
      <c r="X907" s="146"/>
      <c r="Y907" s="146"/>
      <c r="Z907" s="146"/>
    </row>
    <row r="908" spans="20:26" ht="15.75" customHeight="1" x14ac:dyDescent="0.2">
      <c r="T908" s="245"/>
      <c r="U908" s="146"/>
      <c r="V908" s="146"/>
      <c r="W908" s="146"/>
      <c r="X908" s="146"/>
      <c r="Y908" s="146"/>
      <c r="Z908" s="146"/>
    </row>
    <row r="909" spans="20:26" ht="15.75" customHeight="1" x14ac:dyDescent="0.2">
      <c r="T909" s="245"/>
      <c r="U909" s="146"/>
      <c r="V909" s="146"/>
      <c r="W909" s="146"/>
      <c r="X909" s="146"/>
      <c r="Y909" s="146"/>
      <c r="Z909" s="146"/>
    </row>
    <row r="910" spans="20:26" ht="15.75" customHeight="1" x14ac:dyDescent="0.2">
      <c r="T910" s="245"/>
      <c r="U910" s="146"/>
      <c r="V910" s="146"/>
      <c r="W910" s="146"/>
      <c r="X910" s="146"/>
      <c r="Y910" s="146"/>
      <c r="Z910" s="146"/>
    </row>
    <row r="911" spans="20:26" ht="15.75" customHeight="1" x14ac:dyDescent="0.2">
      <c r="T911" s="245"/>
      <c r="U911" s="146"/>
      <c r="V911" s="146"/>
      <c r="W911" s="146"/>
      <c r="X911" s="146"/>
      <c r="Y911" s="146"/>
      <c r="Z911" s="146"/>
    </row>
    <row r="912" spans="20:26" ht="15.75" customHeight="1" x14ac:dyDescent="0.2">
      <c r="T912" s="245"/>
      <c r="U912" s="146"/>
      <c r="V912" s="146"/>
      <c r="W912" s="146"/>
      <c r="X912" s="146"/>
      <c r="Y912" s="146"/>
      <c r="Z912" s="146"/>
    </row>
    <row r="913" spans="20:26" ht="15.75" customHeight="1" x14ac:dyDescent="0.2">
      <c r="T913" s="245"/>
      <c r="U913" s="146"/>
      <c r="V913" s="146"/>
      <c r="W913" s="146"/>
      <c r="X913" s="146"/>
      <c r="Y913" s="146"/>
      <c r="Z913" s="146"/>
    </row>
    <row r="914" spans="20:26" ht="15.75" customHeight="1" x14ac:dyDescent="0.2">
      <c r="T914" s="245"/>
      <c r="U914" s="146"/>
      <c r="V914" s="146"/>
      <c r="W914" s="146"/>
      <c r="X914" s="146"/>
      <c r="Y914" s="146"/>
      <c r="Z914" s="146"/>
    </row>
    <row r="915" spans="20:26" ht="15.75" customHeight="1" x14ac:dyDescent="0.2">
      <c r="T915" s="245"/>
      <c r="U915" s="146"/>
      <c r="V915" s="146"/>
      <c r="W915" s="146"/>
      <c r="X915" s="146"/>
      <c r="Y915" s="146"/>
      <c r="Z915" s="146"/>
    </row>
    <row r="916" spans="20:26" ht="15.75" customHeight="1" x14ac:dyDescent="0.2">
      <c r="T916" s="245"/>
      <c r="U916" s="146"/>
      <c r="V916" s="146"/>
      <c r="W916" s="146"/>
      <c r="X916" s="146"/>
      <c r="Y916" s="146"/>
      <c r="Z916" s="146"/>
    </row>
    <row r="917" spans="20:26" ht="15.75" customHeight="1" x14ac:dyDescent="0.2">
      <c r="T917" s="245"/>
      <c r="U917" s="146"/>
      <c r="V917" s="146"/>
      <c r="W917" s="146"/>
      <c r="X917" s="146"/>
      <c r="Y917" s="146"/>
      <c r="Z917" s="146"/>
    </row>
    <row r="918" spans="20:26" ht="15.75" customHeight="1" x14ac:dyDescent="0.2">
      <c r="T918" s="245"/>
      <c r="U918" s="146"/>
      <c r="V918" s="146"/>
      <c r="W918" s="146"/>
      <c r="X918" s="146"/>
      <c r="Y918" s="146"/>
      <c r="Z918" s="146"/>
    </row>
    <row r="919" spans="20:26" ht="15.75" customHeight="1" x14ac:dyDescent="0.2">
      <c r="T919" s="245"/>
      <c r="U919" s="146"/>
      <c r="V919" s="146"/>
      <c r="W919" s="146"/>
      <c r="X919" s="146"/>
      <c r="Y919" s="146"/>
      <c r="Z919" s="146"/>
    </row>
    <row r="920" spans="20:26" ht="15.75" customHeight="1" x14ac:dyDescent="0.2">
      <c r="T920" s="245"/>
      <c r="U920" s="146"/>
      <c r="V920" s="146"/>
      <c r="W920" s="146"/>
      <c r="X920" s="146"/>
      <c r="Y920" s="146"/>
      <c r="Z920" s="146"/>
    </row>
    <row r="921" spans="20:26" ht="15.75" customHeight="1" x14ac:dyDescent="0.2">
      <c r="T921" s="245"/>
      <c r="U921" s="146"/>
      <c r="V921" s="146"/>
      <c r="W921" s="146"/>
      <c r="X921" s="146"/>
      <c r="Y921" s="146"/>
      <c r="Z921" s="146"/>
    </row>
    <row r="922" spans="20:26" ht="15.75" customHeight="1" x14ac:dyDescent="0.2">
      <c r="T922" s="245"/>
      <c r="U922" s="146"/>
      <c r="V922" s="146"/>
      <c r="W922" s="146"/>
      <c r="X922" s="146"/>
      <c r="Y922" s="146"/>
      <c r="Z922" s="146"/>
    </row>
    <row r="923" spans="20:26" ht="15.75" customHeight="1" x14ac:dyDescent="0.2">
      <c r="T923" s="245"/>
      <c r="U923" s="146"/>
      <c r="V923" s="146"/>
      <c r="W923" s="146"/>
      <c r="X923" s="146"/>
      <c r="Y923" s="146"/>
      <c r="Z923" s="146"/>
    </row>
    <row r="924" spans="20:26" ht="15.75" customHeight="1" x14ac:dyDescent="0.2">
      <c r="T924" s="245"/>
      <c r="U924" s="146"/>
      <c r="V924" s="146"/>
      <c r="W924" s="146"/>
      <c r="X924" s="146"/>
      <c r="Y924" s="146"/>
      <c r="Z924" s="146"/>
    </row>
    <row r="925" spans="20:26" ht="15.75" customHeight="1" x14ac:dyDescent="0.2">
      <c r="T925" s="245"/>
      <c r="U925" s="146"/>
      <c r="V925" s="146"/>
      <c r="W925" s="146"/>
      <c r="X925" s="146"/>
      <c r="Y925" s="146"/>
      <c r="Z925" s="146"/>
    </row>
    <row r="926" spans="20:26" ht="15.75" customHeight="1" x14ac:dyDescent="0.2">
      <c r="T926" s="245"/>
      <c r="U926" s="146"/>
      <c r="V926" s="146"/>
      <c r="W926" s="146"/>
      <c r="X926" s="146"/>
      <c r="Y926" s="146"/>
      <c r="Z926" s="146"/>
    </row>
    <row r="927" spans="20:26" ht="15.75" customHeight="1" x14ac:dyDescent="0.2">
      <c r="T927" s="245"/>
      <c r="U927" s="146"/>
      <c r="V927" s="146"/>
      <c r="W927" s="146"/>
      <c r="X927" s="146"/>
      <c r="Y927" s="146"/>
      <c r="Z927" s="146"/>
    </row>
    <row r="928" spans="20:26" ht="15.75" customHeight="1" x14ac:dyDescent="0.2">
      <c r="T928" s="245"/>
      <c r="U928" s="146"/>
      <c r="V928" s="146"/>
      <c r="W928" s="146"/>
      <c r="X928" s="146"/>
      <c r="Y928" s="146"/>
      <c r="Z928" s="146"/>
    </row>
    <row r="929" spans="20:26" ht="15.75" customHeight="1" x14ac:dyDescent="0.2">
      <c r="T929" s="245"/>
      <c r="U929" s="146"/>
      <c r="V929" s="146"/>
      <c r="W929" s="146"/>
      <c r="X929" s="146"/>
      <c r="Y929" s="146"/>
      <c r="Z929" s="146"/>
    </row>
    <row r="930" spans="20:26" ht="15.75" customHeight="1" x14ac:dyDescent="0.2">
      <c r="T930" s="245"/>
      <c r="U930" s="146"/>
      <c r="V930" s="146"/>
      <c r="W930" s="146"/>
      <c r="X930" s="146"/>
      <c r="Y930" s="146"/>
      <c r="Z930" s="146"/>
    </row>
    <row r="931" spans="20:26" ht="15.75" customHeight="1" x14ac:dyDescent="0.2">
      <c r="T931" s="245"/>
      <c r="U931" s="146"/>
      <c r="V931" s="146"/>
      <c r="W931" s="146"/>
      <c r="X931" s="146"/>
      <c r="Y931" s="146"/>
      <c r="Z931" s="146"/>
    </row>
    <row r="932" spans="20:26" ht="15.75" customHeight="1" x14ac:dyDescent="0.2">
      <c r="T932" s="245"/>
      <c r="U932" s="146"/>
      <c r="V932" s="146"/>
      <c r="W932" s="146"/>
      <c r="X932" s="146"/>
      <c r="Y932" s="146"/>
      <c r="Z932" s="146"/>
    </row>
    <row r="933" spans="20:26" ht="15.75" customHeight="1" x14ac:dyDescent="0.2">
      <c r="T933" s="245"/>
      <c r="U933" s="146"/>
      <c r="V933" s="146"/>
      <c r="W933" s="146"/>
      <c r="X933" s="146"/>
      <c r="Y933" s="146"/>
      <c r="Z933" s="146"/>
    </row>
    <row r="934" spans="20:26" ht="15.75" customHeight="1" x14ac:dyDescent="0.2">
      <c r="T934" s="245"/>
      <c r="U934" s="146"/>
      <c r="V934" s="146"/>
      <c r="W934" s="146"/>
      <c r="X934" s="146"/>
      <c r="Y934" s="146"/>
      <c r="Z934" s="146"/>
    </row>
    <row r="935" spans="20:26" ht="15.75" customHeight="1" x14ac:dyDescent="0.2">
      <c r="T935" s="245"/>
      <c r="U935" s="146"/>
      <c r="V935" s="146"/>
      <c r="W935" s="146"/>
      <c r="X935" s="146"/>
      <c r="Y935" s="146"/>
      <c r="Z935" s="146"/>
    </row>
    <row r="936" spans="20:26" ht="15.75" customHeight="1" x14ac:dyDescent="0.2">
      <c r="T936" s="245"/>
      <c r="U936" s="146"/>
      <c r="V936" s="146"/>
      <c r="W936" s="146"/>
      <c r="X936" s="146"/>
      <c r="Y936" s="146"/>
      <c r="Z936" s="146"/>
    </row>
    <row r="937" spans="20:26" ht="15.75" customHeight="1" x14ac:dyDescent="0.2">
      <c r="T937" s="245"/>
      <c r="U937" s="146"/>
      <c r="V937" s="146"/>
      <c r="W937" s="146"/>
      <c r="X937" s="146"/>
      <c r="Y937" s="146"/>
      <c r="Z937" s="146"/>
    </row>
    <row r="938" spans="20:26" ht="15.75" customHeight="1" x14ac:dyDescent="0.2">
      <c r="T938" s="245"/>
      <c r="U938" s="146"/>
      <c r="V938" s="146"/>
      <c r="W938" s="146"/>
      <c r="X938" s="146"/>
      <c r="Y938" s="146"/>
      <c r="Z938" s="146"/>
    </row>
    <row r="939" spans="20:26" ht="15.75" customHeight="1" x14ac:dyDescent="0.2">
      <c r="T939" s="245"/>
      <c r="U939" s="146"/>
      <c r="V939" s="146"/>
      <c r="W939" s="146"/>
      <c r="X939" s="146"/>
      <c r="Y939" s="146"/>
      <c r="Z939" s="146"/>
    </row>
    <row r="940" spans="20:26" ht="15.75" customHeight="1" x14ac:dyDescent="0.2">
      <c r="T940" s="245"/>
      <c r="U940" s="146"/>
      <c r="V940" s="146"/>
      <c r="W940" s="146"/>
      <c r="X940" s="146"/>
      <c r="Y940" s="146"/>
      <c r="Z940" s="146"/>
    </row>
    <row r="941" spans="20:26" ht="15.75" customHeight="1" x14ac:dyDescent="0.2">
      <c r="T941" s="245"/>
      <c r="U941" s="146"/>
      <c r="V941" s="146"/>
      <c r="W941" s="146"/>
      <c r="X941" s="146"/>
      <c r="Y941" s="146"/>
      <c r="Z941" s="146"/>
    </row>
    <row r="942" spans="20:26" ht="15.75" customHeight="1" x14ac:dyDescent="0.2">
      <c r="T942" s="245"/>
      <c r="U942" s="146"/>
      <c r="V942" s="146"/>
      <c r="W942" s="146"/>
      <c r="X942" s="146"/>
      <c r="Y942" s="146"/>
      <c r="Z942" s="146"/>
    </row>
    <row r="943" spans="20:26" ht="15.75" customHeight="1" x14ac:dyDescent="0.2">
      <c r="T943" s="245"/>
      <c r="U943" s="146"/>
      <c r="V943" s="146"/>
      <c r="W943" s="146"/>
      <c r="X943" s="146"/>
      <c r="Y943" s="146"/>
      <c r="Z943" s="146"/>
    </row>
    <row r="944" spans="20:26" ht="15.75" customHeight="1" x14ac:dyDescent="0.2">
      <c r="T944" s="245"/>
      <c r="U944" s="146"/>
      <c r="V944" s="146"/>
      <c r="W944" s="146"/>
      <c r="X944" s="146"/>
      <c r="Y944" s="146"/>
      <c r="Z944" s="146"/>
    </row>
    <row r="945" spans="20:26" ht="15.75" customHeight="1" x14ac:dyDescent="0.2">
      <c r="T945" s="245"/>
      <c r="U945" s="146"/>
      <c r="V945" s="146"/>
      <c r="W945" s="146"/>
      <c r="X945" s="146"/>
      <c r="Y945" s="146"/>
      <c r="Z945" s="146"/>
    </row>
    <row r="946" spans="20:26" ht="15.75" customHeight="1" x14ac:dyDescent="0.2">
      <c r="T946" s="245"/>
      <c r="U946" s="146"/>
      <c r="V946" s="146"/>
      <c r="W946" s="146"/>
      <c r="X946" s="146"/>
      <c r="Y946" s="146"/>
      <c r="Z946" s="146"/>
    </row>
    <row r="947" spans="20:26" ht="15.75" customHeight="1" x14ac:dyDescent="0.2">
      <c r="T947" s="245"/>
      <c r="U947" s="146"/>
      <c r="V947" s="146"/>
      <c r="W947" s="146"/>
      <c r="X947" s="146"/>
      <c r="Y947" s="146"/>
      <c r="Z947" s="146"/>
    </row>
    <row r="948" spans="20:26" ht="15.75" customHeight="1" x14ac:dyDescent="0.2">
      <c r="T948" s="245"/>
      <c r="U948" s="146"/>
      <c r="V948" s="146"/>
      <c r="W948" s="146"/>
      <c r="X948" s="146"/>
      <c r="Y948" s="146"/>
      <c r="Z948" s="146"/>
    </row>
    <row r="949" spans="20:26" ht="15.75" customHeight="1" x14ac:dyDescent="0.2">
      <c r="T949" s="245"/>
      <c r="U949" s="146"/>
      <c r="V949" s="146"/>
      <c r="W949" s="146"/>
      <c r="X949" s="146"/>
      <c r="Y949" s="146"/>
      <c r="Z949" s="146"/>
    </row>
    <row r="950" spans="20:26" ht="15.75" customHeight="1" x14ac:dyDescent="0.2">
      <c r="T950" s="245"/>
      <c r="U950" s="146"/>
      <c r="V950" s="146"/>
      <c r="W950" s="146"/>
      <c r="X950" s="146"/>
      <c r="Y950" s="146"/>
      <c r="Z950" s="146"/>
    </row>
    <row r="951" spans="20:26" ht="15.75" customHeight="1" x14ac:dyDescent="0.2">
      <c r="T951" s="245"/>
      <c r="U951" s="146"/>
      <c r="V951" s="146"/>
      <c r="W951" s="146"/>
      <c r="X951" s="146"/>
      <c r="Y951" s="146"/>
      <c r="Z951" s="146"/>
    </row>
    <row r="952" spans="20:26" ht="15.75" customHeight="1" x14ac:dyDescent="0.2">
      <c r="T952" s="245"/>
      <c r="U952" s="146"/>
      <c r="V952" s="146"/>
      <c r="W952" s="146"/>
      <c r="X952" s="146"/>
      <c r="Y952" s="146"/>
      <c r="Z952" s="146"/>
    </row>
    <row r="953" spans="20:26" ht="15.75" customHeight="1" x14ac:dyDescent="0.2">
      <c r="T953" s="245"/>
      <c r="U953" s="146"/>
      <c r="V953" s="146"/>
      <c r="W953" s="146"/>
      <c r="X953" s="146"/>
      <c r="Y953" s="146"/>
      <c r="Z953" s="146"/>
    </row>
    <row r="954" spans="20:26" ht="15.75" customHeight="1" x14ac:dyDescent="0.2">
      <c r="T954" s="245"/>
      <c r="U954" s="146"/>
      <c r="V954" s="146"/>
      <c r="W954" s="146"/>
      <c r="X954" s="146"/>
      <c r="Y954" s="146"/>
      <c r="Z954" s="146"/>
    </row>
    <row r="955" spans="20:26" ht="15.75" customHeight="1" x14ac:dyDescent="0.2">
      <c r="T955" s="245"/>
      <c r="U955" s="146"/>
      <c r="V955" s="146"/>
      <c r="W955" s="146"/>
      <c r="X955" s="146"/>
      <c r="Y955" s="146"/>
      <c r="Z955" s="146"/>
    </row>
    <row r="956" spans="20:26" ht="15.75" customHeight="1" x14ac:dyDescent="0.2">
      <c r="T956" s="245"/>
      <c r="U956" s="146"/>
      <c r="V956" s="146"/>
      <c r="W956" s="146"/>
      <c r="X956" s="146"/>
      <c r="Y956" s="146"/>
      <c r="Z956" s="146"/>
    </row>
    <row r="957" spans="20:26" ht="15.75" customHeight="1" x14ac:dyDescent="0.2">
      <c r="T957" s="245"/>
      <c r="U957" s="146"/>
      <c r="V957" s="146"/>
      <c r="W957" s="146"/>
      <c r="X957" s="146"/>
      <c r="Y957" s="146"/>
      <c r="Z957" s="146"/>
    </row>
    <row r="958" spans="20:26" ht="15.75" customHeight="1" x14ac:dyDescent="0.2">
      <c r="T958" s="245"/>
      <c r="U958" s="146"/>
      <c r="V958" s="146"/>
      <c r="W958" s="146"/>
      <c r="X958" s="146"/>
      <c r="Y958" s="146"/>
      <c r="Z958" s="146"/>
    </row>
    <row r="959" spans="20:26" ht="15.75" customHeight="1" x14ac:dyDescent="0.2">
      <c r="T959" s="245"/>
      <c r="U959" s="146"/>
      <c r="V959" s="146"/>
      <c r="W959" s="146"/>
      <c r="X959" s="146"/>
      <c r="Y959" s="146"/>
      <c r="Z959" s="146"/>
    </row>
    <row r="960" spans="20:26" ht="15.75" customHeight="1" x14ac:dyDescent="0.2">
      <c r="T960" s="245"/>
      <c r="U960" s="146"/>
      <c r="V960" s="146"/>
      <c r="W960" s="146"/>
      <c r="X960" s="146"/>
      <c r="Y960" s="146"/>
      <c r="Z960" s="146"/>
    </row>
    <row r="961" spans="20:26" ht="15.75" customHeight="1" x14ac:dyDescent="0.2">
      <c r="T961" s="245"/>
      <c r="U961" s="146"/>
      <c r="V961" s="146"/>
      <c r="W961" s="146"/>
      <c r="X961" s="146"/>
      <c r="Y961" s="146"/>
      <c r="Z961" s="146"/>
    </row>
    <row r="962" spans="20:26" ht="15.75" customHeight="1" x14ac:dyDescent="0.2">
      <c r="T962" s="245"/>
      <c r="U962" s="146"/>
      <c r="V962" s="146"/>
      <c r="W962" s="146"/>
      <c r="X962" s="146"/>
      <c r="Y962" s="146"/>
      <c r="Z962" s="146"/>
    </row>
    <row r="963" spans="20:26" ht="15.75" customHeight="1" x14ac:dyDescent="0.2">
      <c r="T963" s="245"/>
      <c r="U963" s="146"/>
      <c r="V963" s="146"/>
      <c r="W963" s="146"/>
      <c r="X963" s="146"/>
      <c r="Y963" s="146"/>
      <c r="Z963" s="146"/>
    </row>
    <row r="964" spans="20:26" ht="15.75" customHeight="1" x14ac:dyDescent="0.2">
      <c r="T964" s="245"/>
      <c r="U964" s="146"/>
      <c r="V964" s="146"/>
      <c r="W964" s="146"/>
      <c r="X964" s="146"/>
      <c r="Y964" s="146"/>
      <c r="Z964" s="146"/>
    </row>
    <row r="965" spans="20:26" ht="15.75" customHeight="1" x14ac:dyDescent="0.2">
      <c r="T965" s="245"/>
      <c r="U965" s="146"/>
      <c r="V965" s="146"/>
      <c r="W965" s="146"/>
      <c r="X965" s="146"/>
      <c r="Y965" s="146"/>
      <c r="Z965" s="146"/>
    </row>
    <row r="966" spans="20:26" ht="15.75" customHeight="1" x14ac:dyDescent="0.2">
      <c r="T966" s="245"/>
      <c r="U966" s="146"/>
      <c r="V966" s="146"/>
      <c r="W966" s="146"/>
      <c r="X966" s="146"/>
      <c r="Y966" s="146"/>
      <c r="Z966" s="146"/>
    </row>
    <row r="967" spans="20:26" ht="15.75" customHeight="1" x14ac:dyDescent="0.2">
      <c r="T967" s="245"/>
      <c r="U967" s="146"/>
      <c r="V967" s="146"/>
      <c r="W967" s="146"/>
      <c r="X967" s="146"/>
      <c r="Y967" s="146"/>
      <c r="Z967" s="146"/>
    </row>
    <row r="968" spans="20:26" ht="15.75" customHeight="1" x14ac:dyDescent="0.2">
      <c r="T968" s="245"/>
      <c r="U968" s="146"/>
      <c r="V968" s="146"/>
      <c r="W968" s="146"/>
      <c r="X968" s="146"/>
      <c r="Y968" s="146"/>
      <c r="Z968" s="146"/>
    </row>
    <row r="969" spans="20:26" ht="15.75" customHeight="1" x14ac:dyDescent="0.2">
      <c r="T969" s="245"/>
      <c r="U969" s="146"/>
      <c r="V969" s="146"/>
      <c r="W969" s="146"/>
      <c r="X969" s="146"/>
      <c r="Y969" s="146"/>
      <c r="Z969" s="146"/>
    </row>
    <row r="970" spans="20:26" ht="15.75" customHeight="1" x14ac:dyDescent="0.2">
      <c r="T970" s="245"/>
      <c r="U970" s="146"/>
      <c r="V970" s="146"/>
      <c r="W970" s="146"/>
      <c r="X970" s="146"/>
      <c r="Y970" s="146"/>
      <c r="Z970" s="146"/>
    </row>
    <row r="971" spans="20:26" ht="15.75" customHeight="1" x14ac:dyDescent="0.2">
      <c r="T971" s="245"/>
      <c r="U971" s="146"/>
      <c r="V971" s="146"/>
      <c r="W971" s="146"/>
      <c r="X971" s="146"/>
      <c r="Y971" s="146"/>
      <c r="Z971" s="146"/>
    </row>
    <row r="972" spans="20:26" ht="15.75" customHeight="1" x14ac:dyDescent="0.2">
      <c r="T972" s="245"/>
      <c r="U972" s="146"/>
      <c r="V972" s="146"/>
      <c r="W972" s="146"/>
      <c r="X972" s="146"/>
      <c r="Y972" s="146"/>
      <c r="Z972" s="146"/>
    </row>
    <row r="973" spans="20:26" ht="15.75" customHeight="1" x14ac:dyDescent="0.2">
      <c r="T973" s="245"/>
      <c r="U973" s="146"/>
      <c r="V973" s="146"/>
      <c r="W973" s="146"/>
      <c r="X973" s="146"/>
      <c r="Y973" s="146"/>
      <c r="Z973" s="146"/>
    </row>
    <row r="974" spans="20:26" ht="15.75" customHeight="1" x14ac:dyDescent="0.2">
      <c r="T974" s="245"/>
      <c r="U974" s="146"/>
      <c r="V974" s="146"/>
      <c r="W974" s="146"/>
      <c r="X974" s="146"/>
      <c r="Y974" s="146"/>
      <c r="Z974" s="146"/>
    </row>
    <row r="975" spans="20:26" ht="15.75" customHeight="1" x14ac:dyDescent="0.2">
      <c r="T975" s="245"/>
      <c r="U975" s="146"/>
      <c r="V975" s="146"/>
      <c r="W975" s="146"/>
      <c r="X975" s="146"/>
      <c r="Y975" s="146"/>
      <c r="Z975" s="146"/>
    </row>
    <row r="976" spans="20:26" ht="15.75" customHeight="1" x14ac:dyDescent="0.2">
      <c r="T976" s="245"/>
      <c r="U976" s="146"/>
      <c r="V976" s="146"/>
      <c r="W976" s="146"/>
      <c r="X976" s="146"/>
      <c r="Y976" s="146"/>
      <c r="Z976" s="146"/>
    </row>
    <row r="977" spans="20:26" ht="15.75" customHeight="1" x14ac:dyDescent="0.2">
      <c r="T977" s="245"/>
      <c r="U977" s="146"/>
      <c r="V977" s="146"/>
      <c r="W977" s="146"/>
      <c r="X977" s="146"/>
      <c r="Y977" s="146"/>
      <c r="Z977" s="146"/>
    </row>
    <row r="978" spans="20:26" ht="15.75" customHeight="1" x14ac:dyDescent="0.2">
      <c r="T978" s="245"/>
      <c r="U978" s="146"/>
      <c r="V978" s="146"/>
      <c r="W978" s="146"/>
      <c r="X978" s="146"/>
      <c r="Y978" s="146"/>
      <c r="Z978" s="146"/>
    </row>
  </sheetData>
  <sortState xmlns:xlrd2="http://schemas.microsoft.com/office/spreadsheetml/2017/richdata2" ref="A2:AE978">
    <sortCondition ref="B1:B978"/>
  </sortState>
  <phoneticPr fontId="5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4092-950D-954E-AF05-E3681803BA05}">
  <dimension ref="A1:G196"/>
  <sheetViews>
    <sheetView topLeftCell="A58" workbookViewId="0">
      <selection activeCell="F205" sqref="F205"/>
    </sheetView>
  </sheetViews>
  <sheetFormatPr baseColWidth="10" defaultRowHeight="13" x14ac:dyDescent="0.15"/>
  <sheetData>
    <row r="1" spans="1:7" x14ac:dyDescent="0.15">
      <c r="A1" s="24" t="s">
        <v>402</v>
      </c>
      <c r="B1" s="24" t="s">
        <v>0</v>
      </c>
      <c r="C1" s="24" t="s">
        <v>911</v>
      </c>
      <c r="D1" s="24" t="s">
        <v>784</v>
      </c>
      <c r="E1" s="24" t="s">
        <v>936</v>
      </c>
      <c r="F1" s="24" t="s">
        <v>937</v>
      </c>
      <c r="G1" s="24" t="s">
        <v>950</v>
      </c>
    </row>
    <row r="2" spans="1:7" ht="16" x14ac:dyDescent="0.2">
      <c r="A2" s="145" t="s">
        <v>780</v>
      </c>
      <c r="B2" s="253" t="s">
        <v>46</v>
      </c>
      <c r="C2" s="145" t="s">
        <v>910</v>
      </c>
      <c r="D2" s="145" t="s">
        <v>785</v>
      </c>
      <c r="E2" s="145" t="s">
        <v>6</v>
      </c>
      <c r="F2" s="257">
        <v>-5.2697095435684602</v>
      </c>
      <c r="G2" s="257">
        <f t="shared" ref="G2:G33" si="0">ABS(F2)</f>
        <v>5.2697095435684602</v>
      </c>
    </row>
    <row r="3" spans="1:7" ht="16" x14ac:dyDescent="0.2">
      <c r="A3" s="149" t="s">
        <v>772</v>
      </c>
      <c r="B3" s="253" t="s">
        <v>46</v>
      </c>
      <c r="C3" s="145" t="s">
        <v>910</v>
      </c>
      <c r="D3" s="145" t="s">
        <v>785</v>
      </c>
      <c r="E3" s="145" t="s">
        <v>6</v>
      </c>
      <c r="F3" s="257">
        <v>-4.7178329571106046</v>
      </c>
      <c r="G3" s="257">
        <f t="shared" si="0"/>
        <v>4.7178329571106046</v>
      </c>
    </row>
    <row r="4" spans="1:7" ht="16" x14ac:dyDescent="0.2">
      <c r="A4" s="256" t="s">
        <v>492</v>
      </c>
      <c r="B4" s="253" t="s">
        <v>46</v>
      </c>
      <c r="C4" s="145" t="s">
        <v>910</v>
      </c>
      <c r="D4" s="145" t="s">
        <v>909</v>
      </c>
      <c r="E4" s="145" t="s">
        <v>6</v>
      </c>
      <c r="F4" s="257">
        <v>-4.2907801418439799</v>
      </c>
      <c r="G4" s="257">
        <f t="shared" si="0"/>
        <v>4.2907801418439799</v>
      </c>
    </row>
    <row r="5" spans="1:7" ht="16" x14ac:dyDescent="0.2">
      <c r="A5" s="149" t="s">
        <v>771</v>
      </c>
      <c r="B5" s="253" t="s">
        <v>46</v>
      </c>
      <c r="C5" s="145" t="s">
        <v>910</v>
      </c>
      <c r="D5" s="145" t="s">
        <v>785</v>
      </c>
      <c r="E5" s="145" t="s">
        <v>6</v>
      </c>
      <c r="F5" s="257">
        <v>-2.7272727272727244</v>
      </c>
      <c r="G5" s="257">
        <f t="shared" si="0"/>
        <v>2.7272727272727244</v>
      </c>
    </row>
    <row r="6" spans="1:7" ht="16" x14ac:dyDescent="0.2">
      <c r="A6" s="145" t="s">
        <v>757</v>
      </c>
      <c r="B6" s="253" t="s">
        <v>46</v>
      </c>
      <c r="C6" s="145" t="s">
        <v>910</v>
      </c>
      <c r="D6" s="145" t="s">
        <v>785</v>
      </c>
      <c r="E6" s="145" t="s">
        <v>6</v>
      </c>
      <c r="F6" s="257">
        <v>-2.5773195876288661</v>
      </c>
      <c r="G6" s="257">
        <f t="shared" si="0"/>
        <v>2.5773195876288661</v>
      </c>
    </row>
    <row r="7" spans="1:7" ht="16" x14ac:dyDescent="0.2">
      <c r="A7" s="145" t="s">
        <v>755</v>
      </c>
      <c r="B7" s="253" t="s">
        <v>46</v>
      </c>
      <c r="C7" s="145" t="s">
        <v>910</v>
      </c>
      <c r="D7" s="145" t="s">
        <v>785</v>
      </c>
      <c r="E7" s="145" t="s">
        <v>6</v>
      </c>
      <c r="F7" s="257">
        <v>-0.5613472333600642</v>
      </c>
      <c r="G7" s="257">
        <f t="shared" si="0"/>
        <v>0.5613472333600642</v>
      </c>
    </row>
    <row r="8" spans="1:7" ht="16" x14ac:dyDescent="0.2">
      <c r="A8" s="145" t="s">
        <v>743</v>
      </c>
      <c r="B8" s="253" t="s">
        <v>46</v>
      </c>
      <c r="C8" s="145" t="s">
        <v>910</v>
      </c>
      <c r="D8" s="145" t="s">
        <v>785</v>
      </c>
      <c r="E8" s="145" t="s">
        <v>6</v>
      </c>
      <c r="F8" s="257">
        <v>-0.51886792452829922</v>
      </c>
      <c r="G8" s="257">
        <f t="shared" si="0"/>
        <v>0.51886792452829922</v>
      </c>
    </row>
    <row r="9" spans="1:7" ht="16" x14ac:dyDescent="0.2">
      <c r="A9" s="145" t="s">
        <v>751</v>
      </c>
      <c r="B9" s="253" t="s">
        <v>46</v>
      </c>
      <c r="C9" s="145" t="s">
        <v>910</v>
      </c>
      <c r="D9" s="145" t="s">
        <v>785</v>
      </c>
      <c r="E9" s="145" t="s">
        <v>6</v>
      </c>
      <c r="F9" s="257">
        <v>-0.38186157517900304</v>
      </c>
      <c r="G9" s="257">
        <f t="shared" si="0"/>
        <v>0.38186157517900304</v>
      </c>
    </row>
    <row r="10" spans="1:7" ht="16" x14ac:dyDescent="0.2">
      <c r="A10" s="145" t="s">
        <v>766</v>
      </c>
      <c r="B10" s="253" t="s">
        <v>46</v>
      </c>
      <c r="C10" s="145" t="s">
        <v>910</v>
      </c>
      <c r="D10" s="145" t="s">
        <v>785</v>
      </c>
      <c r="E10" s="145" t="s">
        <v>6</v>
      </c>
      <c r="F10" s="257">
        <v>-0.37894736842105503</v>
      </c>
      <c r="G10" s="257">
        <f t="shared" si="0"/>
        <v>0.37894736842105503</v>
      </c>
    </row>
    <row r="11" spans="1:7" ht="16" x14ac:dyDescent="0.2">
      <c r="A11" s="145" t="s">
        <v>758</v>
      </c>
      <c r="B11" s="253" t="s">
        <v>46</v>
      </c>
      <c r="C11" s="145" t="s">
        <v>910</v>
      </c>
      <c r="D11" s="145" t="s">
        <v>785</v>
      </c>
      <c r="E11" s="145" t="s">
        <v>6</v>
      </c>
      <c r="F11" s="257">
        <v>0.53097345132742857</v>
      </c>
      <c r="G11" s="257">
        <f t="shared" si="0"/>
        <v>0.53097345132742857</v>
      </c>
    </row>
    <row r="12" spans="1:7" ht="16" x14ac:dyDescent="0.2">
      <c r="A12" s="145" t="s">
        <v>777</v>
      </c>
      <c r="B12" s="253" t="s">
        <v>46</v>
      </c>
      <c r="C12" s="145" t="s">
        <v>910</v>
      </c>
      <c r="D12" s="145" t="s">
        <v>785</v>
      </c>
      <c r="E12" s="145" t="s">
        <v>6</v>
      </c>
      <c r="F12" s="257">
        <v>1.8818380743982543</v>
      </c>
      <c r="G12" s="257">
        <f t="shared" si="0"/>
        <v>1.8818380743982543</v>
      </c>
    </row>
    <row r="13" spans="1:7" ht="16" x14ac:dyDescent="0.2">
      <c r="A13" s="145" t="s">
        <v>756</v>
      </c>
      <c r="B13" s="253" t="s">
        <v>46</v>
      </c>
      <c r="C13" s="145" t="s">
        <v>910</v>
      </c>
      <c r="D13" s="145" t="s">
        <v>785</v>
      </c>
      <c r="E13" s="145" t="s">
        <v>6</v>
      </c>
      <c r="F13" s="257">
        <v>2.5747126436781582</v>
      </c>
      <c r="G13" s="257">
        <f t="shared" si="0"/>
        <v>2.5747126436781582</v>
      </c>
    </row>
    <row r="14" spans="1:7" ht="16" x14ac:dyDescent="0.2">
      <c r="A14" s="145" t="s">
        <v>781</v>
      </c>
      <c r="B14" s="253" t="s">
        <v>46</v>
      </c>
      <c r="C14" s="145" t="s">
        <v>910</v>
      </c>
      <c r="D14" s="145" t="s">
        <v>785</v>
      </c>
      <c r="E14" s="145" t="s">
        <v>6</v>
      </c>
      <c r="F14" s="257">
        <v>2.7329192546583885</v>
      </c>
      <c r="G14" s="257">
        <f t="shared" si="0"/>
        <v>2.7329192546583885</v>
      </c>
    </row>
    <row r="15" spans="1:7" ht="16" x14ac:dyDescent="0.2">
      <c r="A15" s="256" t="s">
        <v>520</v>
      </c>
      <c r="B15" s="253" t="s">
        <v>16</v>
      </c>
      <c r="C15" s="145" t="s">
        <v>910</v>
      </c>
      <c r="D15" s="145" t="s">
        <v>909</v>
      </c>
      <c r="E15" s="145" t="s">
        <v>6</v>
      </c>
      <c r="F15" s="257">
        <v>-11.081081081081084</v>
      </c>
      <c r="G15" s="257">
        <f t="shared" si="0"/>
        <v>11.081081081081084</v>
      </c>
    </row>
    <row r="16" spans="1:7" ht="16" x14ac:dyDescent="0.2">
      <c r="A16" s="256" t="s">
        <v>521</v>
      </c>
      <c r="B16" s="253" t="s">
        <v>16</v>
      </c>
      <c r="C16" s="145" t="s">
        <v>910</v>
      </c>
      <c r="D16" s="145" t="s">
        <v>909</v>
      </c>
      <c r="E16" s="145" t="s">
        <v>6</v>
      </c>
      <c r="F16" s="257">
        <v>-6.7999999999999927</v>
      </c>
      <c r="G16" s="257">
        <f t="shared" si="0"/>
        <v>6.7999999999999927</v>
      </c>
    </row>
    <row r="17" spans="1:7" ht="16" x14ac:dyDescent="0.2">
      <c r="A17" s="145" t="s">
        <v>919</v>
      </c>
      <c r="B17" s="250" t="s">
        <v>16</v>
      </c>
      <c r="C17" s="145" t="s">
        <v>910</v>
      </c>
      <c r="D17" s="145" t="s">
        <v>785</v>
      </c>
      <c r="E17" s="145" t="s">
        <v>6</v>
      </c>
      <c r="F17" s="257">
        <v>-6.1728395061728394</v>
      </c>
      <c r="G17" s="257">
        <f t="shared" si="0"/>
        <v>6.1728395061728394</v>
      </c>
    </row>
    <row r="18" spans="1:7" ht="16" x14ac:dyDescent="0.2">
      <c r="A18" s="145" t="s">
        <v>914</v>
      </c>
      <c r="B18" s="250" t="s">
        <v>16</v>
      </c>
      <c r="C18" s="145" t="s">
        <v>910</v>
      </c>
      <c r="D18" s="145" t="s">
        <v>785</v>
      </c>
      <c r="E18" s="145" t="s">
        <v>6</v>
      </c>
      <c r="F18" s="257">
        <v>-5.6818181818181817</v>
      </c>
      <c r="G18" s="257">
        <f t="shared" si="0"/>
        <v>5.6818181818181817</v>
      </c>
    </row>
    <row r="19" spans="1:7" ht="16" x14ac:dyDescent="0.2">
      <c r="A19" s="145" t="s">
        <v>243</v>
      </c>
      <c r="B19" s="250" t="s">
        <v>16</v>
      </c>
      <c r="C19" s="145" t="s">
        <v>910</v>
      </c>
      <c r="D19" s="145" t="s">
        <v>785</v>
      </c>
      <c r="E19" s="145" t="s">
        <v>6</v>
      </c>
      <c r="F19" s="257">
        <v>-5.0390625000000018</v>
      </c>
      <c r="G19" s="257">
        <f t="shared" si="0"/>
        <v>5.0390625000000018</v>
      </c>
    </row>
    <row r="20" spans="1:7" ht="16" x14ac:dyDescent="0.2">
      <c r="A20" s="207" t="s">
        <v>715</v>
      </c>
      <c r="B20" s="253" t="s">
        <v>16</v>
      </c>
      <c r="C20" s="145" t="s">
        <v>910</v>
      </c>
      <c r="D20" s="145" t="s">
        <v>827</v>
      </c>
      <c r="E20" s="145" t="s">
        <v>6</v>
      </c>
      <c r="F20" s="257">
        <v>-4</v>
      </c>
      <c r="G20" s="257">
        <f t="shared" si="0"/>
        <v>4</v>
      </c>
    </row>
    <row r="21" spans="1:7" ht="16" x14ac:dyDescent="0.2">
      <c r="A21" s="254" t="s">
        <v>18</v>
      </c>
      <c r="B21" s="253" t="s">
        <v>16</v>
      </c>
      <c r="C21" s="145" t="s">
        <v>910</v>
      </c>
      <c r="D21" s="145" t="s">
        <v>785</v>
      </c>
      <c r="E21" s="145" t="s">
        <v>6</v>
      </c>
      <c r="F21" s="257">
        <v>-1.7241379310344827</v>
      </c>
      <c r="G21" s="257">
        <f t="shared" si="0"/>
        <v>1.7241379310344827</v>
      </c>
    </row>
    <row r="22" spans="1:7" ht="16" x14ac:dyDescent="0.2">
      <c r="A22" s="207" t="s">
        <v>714</v>
      </c>
      <c r="B22" s="253" t="s">
        <v>16</v>
      </c>
      <c r="C22" s="145" t="s">
        <v>910</v>
      </c>
      <c r="D22" s="145" t="s">
        <v>827</v>
      </c>
      <c r="E22" s="145" t="s">
        <v>6</v>
      </c>
      <c r="F22" s="257">
        <v>-1.0843373493975972</v>
      </c>
      <c r="G22" s="257">
        <f t="shared" si="0"/>
        <v>1.0843373493975972</v>
      </c>
    </row>
    <row r="23" spans="1:7" ht="16" x14ac:dyDescent="0.2">
      <c r="A23" s="145" t="s">
        <v>926</v>
      </c>
      <c r="B23" s="250" t="s">
        <v>16</v>
      </c>
      <c r="C23" s="145" t="s">
        <v>912</v>
      </c>
      <c r="D23" s="145" t="s">
        <v>785</v>
      </c>
      <c r="E23" s="145" t="s">
        <v>6</v>
      </c>
      <c r="F23" s="257">
        <v>-0.87453874538745557</v>
      </c>
      <c r="G23" s="257">
        <f t="shared" si="0"/>
        <v>0.87453874538745557</v>
      </c>
    </row>
    <row r="24" spans="1:7" ht="16" x14ac:dyDescent="0.2">
      <c r="A24" s="145" t="s">
        <v>920</v>
      </c>
      <c r="B24" s="250" t="s">
        <v>16</v>
      </c>
      <c r="C24" s="145" t="s">
        <v>910</v>
      </c>
      <c r="D24" s="145" t="s">
        <v>785</v>
      </c>
      <c r="E24" s="145" t="s">
        <v>6</v>
      </c>
      <c r="F24" s="257">
        <v>0.31531531531531021</v>
      </c>
      <c r="G24" s="257">
        <f t="shared" si="0"/>
        <v>0.31531531531531021</v>
      </c>
    </row>
    <row r="25" spans="1:7" ht="16" x14ac:dyDescent="0.2">
      <c r="A25" s="145" t="s">
        <v>925</v>
      </c>
      <c r="B25" s="250" t="s">
        <v>16</v>
      </c>
      <c r="C25" s="145" t="s">
        <v>912</v>
      </c>
      <c r="D25" s="145" t="s">
        <v>785</v>
      </c>
      <c r="E25" s="145" t="s">
        <v>6</v>
      </c>
      <c r="F25" s="257">
        <v>0.41862955032119575</v>
      </c>
      <c r="G25" s="257">
        <f t="shared" si="0"/>
        <v>0.41862955032119575</v>
      </c>
    </row>
    <row r="26" spans="1:7" ht="16" x14ac:dyDescent="0.2">
      <c r="A26" s="145" t="s">
        <v>918</v>
      </c>
      <c r="B26" s="250" t="s">
        <v>16</v>
      </c>
      <c r="C26" s="145" t="s">
        <v>910</v>
      </c>
      <c r="D26" s="145" t="s">
        <v>785</v>
      </c>
      <c r="E26" s="145" t="s">
        <v>6</v>
      </c>
      <c r="F26" s="257">
        <v>0.4972375690607766</v>
      </c>
      <c r="G26" s="257">
        <f t="shared" si="0"/>
        <v>0.4972375690607766</v>
      </c>
    </row>
    <row r="27" spans="1:7" ht="16" x14ac:dyDescent="0.2">
      <c r="A27" s="145" t="s">
        <v>927</v>
      </c>
      <c r="B27" s="250" t="s">
        <v>16</v>
      </c>
      <c r="C27" s="145" t="s">
        <v>912</v>
      </c>
      <c r="D27" s="145" t="s">
        <v>785</v>
      </c>
      <c r="E27" s="145" t="s">
        <v>6</v>
      </c>
      <c r="F27" s="257">
        <v>1.3417721518987371</v>
      </c>
      <c r="G27" s="257">
        <f t="shared" si="0"/>
        <v>1.3417721518987371</v>
      </c>
    </row>
    <row r="28" spans="1:7" ht="16" x14ac:dyDescent="0.2">
      <c r="A28" s="145" t="s">
        <v>923</v>
      </c>
      <c r="B28" s="250" t="s">
        <v>16</v>
      </c>
      <c r="C28" s="145" t="s">
        <v>910</v>
      </c>
      <c r="D28" s="145" t="s">
        <v>785</v>
      </c>
      <c r="E28" s="145" t="s">
        <v>6</v>
      </c>
      <c r="F28" s="257">
        <v>3.9999999999999973</v>
      </c>
      <c r="G28" s="257">
        <f t="shared" si="0"/>
        <v>3.9999999999999973</v>
      </c>
    </row>
    <row r="29" spans="1:7" ht="16" x14ac:dyDescent="0.2">
      <c r="A29" s="145" t="s">
        <v>921</v>
      </c>
      <c r="B29" s="250" t="s">
        <v>16</v>
      </c>
      <c r="C29" s="145" t="s">
        <v>912</v>
      </c>
      <c r="D29" s="145" t="s">
        <v>785</v>
      </c>
      <c r="E29" s="145" t="s">
        <v>6</v>
      </c>
      <c r="F29" s="257">
        <v>9.1003861003860962</v>
      </c>
      <c r="G29" s="257">
        <f t="shared" si="0"/>
        <v>9.1003861003860962</v>
      </c>
    </row>
    <row r="30" spans="1:7" ht="16" x14ac:dyDescent="0.2">
      <c r="A30" s="145" t="s">
        <v>924</v>
      </c>
      <c r="B30" s="250" t="s">
        <v>16</v>
      </c>
      <c r="C30" s="145" t="s">
        <v>912</v>
      </c>
      <c r="D30" s="145" t="s">
        <v>785</v>
      </c>
      <c r="E30" s="145" t="s">
        <v>6</v>
      </c>
      <c r="F30" s="257">
        <v>10.28898128898129</v>
      </c>
      <c r="G30" s="257">
        <f t="shared" si="0"/>
        <v>10.28898128898129</v>
      </c>
    </row>
    <row r="31" spans="1:7" ht="16" x14ac:dyDescent="0.2">
      <c r="A31" s="255" t="s">
        <v>485</v>
      </c>
      <c r="B31" s="253" t="s">
        <v>19</v>
      </c>
      <c r="C31" s="145" t="s">
        <v>910</v>
      </c>
      <c r="D31" s="145" t="s">
        <v>785</v>
      </c>
      <c r="E31" s="145" t="s">
        <v>6</v>
      </c>
      <c r="F31" s="257">
        <v>-10.746753246753254</v>
      </c>
      <c r="G31" s="257">
        <f t="shared" si="0"/>
        <v>10.746753246753254</v>
      </c>
    </row>
    <row r="32" spans="1:7" ht="16" x14ac:dyDescent="0.2">
      <c r="A32" s="255" t="s">
        <v>483</v>
      </c>
      <c r="B32" s="253" t="s">
        <v>19</v>
      </c>
      <c r="C32" s="145" t="s">
        <v>910</v>
      </c>
      <c r="D32" s="145" t="s">
        <v>909</v>
      </c>
      <c r="E32" s="145" t="s">
        <v>6</v>
      </c>
      <c r="F32" s="257">
        <v>-9.7761194029850742</v>
      </c>
      <c r="G32" s="257">
        <f t="shared" si="0"/>
        <v>9.7761194029850742</v>
      </c>
    </row>
    <row r="33" spans="1:7" ht="16" x14ac:dyDescent="0.2">
      <c r="A33" s="145" t="s">
        <v>916</v>
      </c>
      <c r="B33" s="253" t="s">
        <v>19</v>
      </c>
      <c r="C33" s="145" t="s">
        <v>910</v>
      </c>
      <c r="D33" s="145" t="s">
        <v>785</v>
      </c>
      <c r="E33" s="145" t="s">
        <v>6</v>
      </c>
      <c r="F33" s="257">
        <v>-5.6842105263157894</v>
      </c>
      <c r="G33" s="257">
        <f t="shared" si="0"/>
        <v>5.6842105263157894</v>
      </c>
    </row>
    <row r="34" spans="1:7" ht="16" x14ac:dyDescent="0.2">
      <c r="A34" s="252" t="s">
        <v>917</v>
      </c>
      <c r="B34" s="253" t="s">
        <v>19</v>
      </c>
      <c r="C34" s="145" t="s">
        <v>910</v>
      </c>
      <c r="D34" s="254" t="s">
        <v>785</v>
      </c>
      <c r="E34" s="145" t="s">
        <v>6</v>
      </c>
      <c r="F34" s="257">
        <v>-5.1162790697674421</v>
      </c>
      <c r="G34" s="257">
        <f t="shared" ref="G34:G65" si="1">ABS(F34)</f>
        <v>5.1162790697674421</v>
      </c>
    </row>
    <row r="35" spans="1:7" ht="16" x14ac:dyDescent="0.2">
      <c r="A35" s="28" t="s">
        <v>426</v>
      </c>
      <c r="B35" s="253" t="s">
        <v>19</v>
      </c>
      <c r="C35" s="145" t="s">
        <v>910</v>
      </c>
      <c r="D35" s="145" t="s">
        <v>827</v>
      </c>
      <c r="E35" s="145" t="s">
        <v>6</v>
      </c>
      <c r="F35" s="257">
        <v>-2.7199999999999971</v>
      </c>
      <c r="G35" s="257">
        <f t="shared" si="1"/>
        <v>2.7199999999999971</v>
      </c>
    </row>
    <row r="36" spans="1:7" ht="16" x14ac:dyDescent="0.2">
      <c r="A36" s="145" t="s">
        <v>779</v>
      </c>
      <c r="B36" s="253" t="s">
        <v>19</v>
      </c>
      <c r="C36" s="145" t="s">
        <v>910</v>
      </c>
      <c r="D36" s="145" t="s">
        <v>785</v>
      </c>
      <c r="E36" s="145" t="s">
        <v>6</v>
      </c>
      <c r="F36" s="257">
        <v>-1.4925373134328359</v>
      </c>
      <c r="G36" s="257">
        <f t="shared" si="1"/>
        <v>1.4925373134328359</v>
      </c>
    </row>
    <row r="37" spans="1:7" ht="16" x14ac:dyDescent="0.2">
      <c r="A37" s="145" t="s">
        <v>763</v>
      </c>
      <c r="B37" s="253" t="s">
        <v>19</v>
      </c>
      <c r="C37" s="145" t="s">
        <v>910</v>
      </c>
      <c r="D37" s="145" t="s">
        <v>785</v>
      </c>
      <c r="E37" s="145" t="s">
        <v>6</v>
      </c>
      <c r="F37" s="257">
        <v>-1.4891304347826135</v>
      </c>
      <c r="G37" s="257">
        <f t="shared" si="1"/>
        <v>1.4891304347826135</v>
      </c>
    </row>
    <row r="38" spans="1:7" ht="16" x14ac:dyDescent="0.2">
      <c r="A38" s="28" t="s">
        <v>435</v>
      </c>
      <c r="B38" s="253" t="s">
        <v>19</v>
      </c>
      <c r="C38" s="145" t="s">
        <v>910</v>
      </c>
      <c r="D38" s="145" t="s">
        <v>827</v>
      </c>
      <c r="E38" s="145" t="s">
        <v>6</v>
      </c>
      <c r="F38" s="257">
        <v>-1.2635658914728647</v>
      </c>
      <c r="G38" s="257">
        <f t="shared" si="1"/>
        <v>1.2635658914728647</v>
      </c>
    </row>
    <row r="39" spans="1:7" ht="16" x14ac:dyDescent="0.2">
      <c r="A39" s="255" t="s">
        <v>481</v>
      </c>
      <c r="B39" s="253" t="s">
        <v>19</v>
      </c>
      <c r="C39" s="145" t="s">
        <v>910</v>
      </c>
      <c r="D39" s="145" t="s">
        <v>785</v>
      </c>
      <c r="E39" s="145" t="s">
        <v>6</v>
      </c>
      <c r="F39" s="257">
        <v>-1.214057507987224</v>
      </c>
      <c r="G39" s="257">
        <f t="shared" si="1"/>
        <v>1.214057507987224</v>
      </c>
    </row>
    <row r="40" spans="1:7" ht="16" x14ac:dyDescent="0.2">
      <c r="A40" s="145" t="s">
        <v>760</v>
      </c>
      <c r="B40" s="253" t="s">
        <v>19</v>
      </c>
      <c r="C40" s="145" t="s">
        <v>910</v>
      </c>
      <c r="D40" s="145" t="s">
        <v>785</v>
      </c>
      <c r="E40" s="145" t="s">
        <v>6</v>
      </c>
      <c r="F40" s="257">
        <v>-1.0498084291187775</v>
      </c>
      <c r="G40" s="257">
        <f t="shared" si="1"/>
        <v>1.0498084291187775</v>
      </c>
    </row>
    <row r="41" spans="1:7" ht="16" x14ac:dyDescent="0.2">
      <c r="A41" s="145" t="s">
        <v>745</v>
      </c>
      <c r="B41" s="253" t="s">
        <v>19</v>
      </c>
      <c r="C41" s="145" t="s">
        <v>910</v>
      </c>
      <c r="D41" s="145" t="s">
        <v>785</v>
      </c>
      <c r="E41" s="145" t="s">
        <v>6</v>
      </c>
      <c r="F41" s="257">
        <v>-0.73015873015873378</v>
      </c>
      <c r="G41" s="257">
        <f t="shared" si="1"/>
        <v>0.73015873015873378</v>
      </c>
    </row>
    <row r="42" spans="1:7" ht="16" x14ac:dyDescent="0.2">
      <c r="A42" s="145" t="s">
        <v>782</v>
      </c>
      <c r="B42" s="253" t="s">
        <v>19</v>
      </c>
      <c r="C42" s="145" t="s">
        <v>910</v>
      </c>
      <c r="D42" s="145" t="s">
        <v>785</v>
      </c>
      <c r="E42" s="145" t="s">
        <v>6</v>
      </c>
      <c r="F42" s="257">
        <v>-0.61440677966101209</v>
      </c>
      <c r="G42" s="257">
        <f t="shared" si="1"/>
        <v>0.61440677966101209</v>
      </c>
    </row>
    <row r="43" spans="1:7" ht="16" x14ac:dyDescent="0.2">
      <c r="A43" s="145" t="s">
        <v>761</v>
      </c>
      <c r="B43" s="253" t="s">
        <v>19</v>
      </c>
      <c r="C43" s="145" t="s">
        <v>910</v>
      </c>
      <c r="D43" s="145" t="s">
        <v>785</v>
      </c>
      <c r="E43" s="145" t="s">
        <v>6</v>
      </c>
      <c r="F43" s="257">
        <v>-0.46109510086455985</v>
      </c>
      <c r="G43" s="257">
        <f t="shared" si="1"/>
        <v>0.46109510086455985</v>
      </c>
    </row>
    <row r="44" spans="1:7" ht="16" x14ac:dyDescent="0.2">
      <c r="A44" s="28" t="s">
        <v>427</v>
      </c>
      <c r="B44" s="253" t="s">
        <v>19</v>
      </c>
      <c r="C44" s="145" t="s">
        <v>910</v>
      </c>
      <c r="D44" s="145" t="s">
        <v>827</v>
      </c>
      <c r="E44" s="145" t="s">
        <v>6</v>
      </c>
      <c r="F44" s="257">
        <v>0.71999999999999698</v>
      </c>
      <c r="G44" s="257">
        <f t="shared" si="1"/>
        <v>0.71999999999999698</v>
      </c>
    </row>
    <row r="45" spans="1:7" ht="16" x14ac:dyDescent="0.2">
      <c r="A45" s="145" t="s">
        <v>752</v>
      </c>
      <c r="B45" s="253" t="s">
        <v>19</v>
      </c>
      <c r="C45" s="145" t="s">
        <v>910</v>
      </c>
      <c r="D45" s="145" t="s">
        <v>785</v>
      </c>
      <c r="E45" s="145" t="s">
        <v>6</v>
      </c>
      <c r="F45" s="257">
        <v>5.0300601202404858</v>
      </c>
      <c r="G45" s="257">
        <f t="shared" si="1"/>
        <v>5.0300601202404858</v>
      </c>
    </row>
    <row r="46" spans="1:7" ht="16" x14ac:dyDescent="0.2">
      <c r="A46" s="28" t="s">
        <v>459</v>
      </c>
      <c r="B46" s="253" t="s">
        <v>19</v>
      </c>
      <c r="C46" s="145" t="s">
        <v>910</v>
      </c>
      <c r="D46" s="145" t="s">
        <v>827</v>
      </c>
      <c r="E46" s="145" t="s">
        <v>6</v>
      </c>
      <c r="F46" s="257">
        <v>12.713178294573646</v>
      </c>
      <c r="G46" s="257">
        <f t="shared" si="1"/>
        <v>12.713178294573646</v>
      </c>
    </row>
    <row r="47" spans="1:7" ht="16" x14ac:dyDescent="0.2">
      <c r="A47" s="145" t="s">
        <v>764</v>
      </c>
      <c r="B47" s="251" t="s">
        <v>77</v>
      </c>
      <c r="C47" s="145" t="s">
        <v>910</v>
      </c>
      <c r="D47" s="145" t="s">
        <v>785</v>
      </c>
      <c r="E47" s="145" t="s">
        <v>6</v>
      </c>
      <c r="F47" s="257">
        <v>-7.1603053435114479</v>
      </c>
      <c r="G47" s="257">
        <f t="shared" si="1"/>
        <v>7.1603053435114479</v>
      </c>
    </row>
    <row r="48" spans="1:7" ht="16" x14ac:dyDescent="0.2">
      <c r="A48" s="149" t="s">
        <v>773</v>
      </c>
      <c r="B48" s="251" t="s">
        <v>77</v>
      </c>
      <c r="C48" s="145" t="s">
        <v>910</v>
      </c>
      <c r="D48" s="145" t="s">
        <v>785</v>
      </c>
      <c r="E48" s="145" t="s">
        <v>6</v>
      </c>
      <c r="F48" s="257">
        <v>-4.0307692307692378</v>
      </c>
      <c r="G48" s="257">
        <f t="shared" si="1"/>
        <v>4.0307692307692378</v>
      </c>
    </row>
    <row r="49" spans="1:7" ht="16" x14ac:dyDescent="0.2">
      <c r="A49" s="149" t="s">
        <v>774</v>
      </c>
      <c r="B49" s="251" t="s">
        <v>77</v>
      </c>
      <c r="C49" s="145" t="s">
        <v>910</v>
      </c>
      <c r="D49" s="145" t="s">
        <v>785</v>
      </c>
      <c r="E49" s="145" t="s">
        <v>6</v>
      </c>
      <c r="F49" s="257">
        <v>-2.2068965517241379</v>
      </c>
      <c r="G49" s="257">
        <f t="shared" si="1"/>
        <v>2.2068965517241379</v>
      </c>
    </row>
    <row r="50" spans="1:7" ht="16" x14ac:dyDescent="0.2">
      <c r="A50" s="145" t="s">
        <v>746</v>
      </c>
      <c r="B50" s="251" t="s">
        <v>77</v>
      </c>
      <c r="C50" s="145" t="s">
        <v>910</v>
      </c>
      <c r="D50" s="145" t="s">
        <v>785</v>
      </c>
      <c r="E50" s="145" t="s">
        <v>6</v>
      </c>
      <c r="F50" s="257">
        <v>-1.8026101141924884</v>
      </c>
      <c r="G50" s="257">
        <f t="shared" si="1"/>
        <v>1.8026101141924884</v>
      </c>
    </row>
    <row r="51" spans="1:7" ht="16" x14ac:dyDescent="0.2">
      <c r="A51" s="145" t="s">
        <v>762</v>
      </c>
      <c r="B51" s="251" t="s">
        <v>77</v>
      </c>
      <c r="C51" s="145" t="s">
        <v>910</v>
      </c>
      <c r="D51" s="145" t="s">
        <v>785</v>
      </c>
      <c r="E51" s="145" t="s">
        <v>6</v>
      </c>
      <c r="F51" s="257">
        <v>-1.6695059625212869</v>
      </c>
      <c r="G51" s="257">
        <f t="shared" si="1"/>
        <v>1.6695059625212869</v>
      </c>
    </row>
    <row r="52" spans="1:7" ht="16" x14ac:dyDescent="0.2">
      <c r="A52" s="145" t="s">
        <v>750</v>
      </c>
      <c r="B52" s="251" t="s">
        <v>77</v>
      </c>
      <c r="C52" s="145" t="s">
        <v>910</v>
      </c>
      <c r="D52" s="145" t="s">
        <v>785</v>
      </c>
      <c r="E52" s="145" t="s">
        <v>6</v>
      </c>
      <c r="F52" s="257">
        <v>-1.5135135135135196</v>
      </c>
      <c r="G52" s="257">
        <f t="shared" si="1"/>
        <v>1.5135135135135196</v>
      </c>
    </row>
    <row r="53" spans="1:7" ht="16" x14ac:dyDescent="0.2">
      <c r="A53" s="149" t="s">
        <v>486</v>
      </c>
      <c r="B53" s="251" t="s">
        <v>77</v>
      </c>
      <c r="C53" s="145" t="s">
        <v>910</v>
      </c>
      <c r="D53" s="145" t="s">
        <v>785</v>
      </c>
      <c r="E53" s="145" t="s">
        <v>6</v>
      </c>
      <c r="F53" s="257">
        <v>-1.4406779661016949</v>
      </c>
      <c r="G53" s="257">
        <f t="shared" si="1"/>
        <v>1.4406779661016949</v>
      </c>
    </row>
    <row r="54" spans="1:7" ht="16" x14ac:dyDescent="0.2">
      <c r="A54" s="145" t="s">
        <v>754</v>
      </c>
      <c r="B54" s="251" t="s">
        <v>77</v>
      </c>
      <c r="C54" s="145" t="s">
        <v>910</v>
      </c>
      <c r="D54" s="145" t="s">
        <v>785</v>
      </c>
      <c r="E54" s="145" t="s">
        <v>6</v>
      </c>
      <c r="F54" s="257">
        <v>-0.89080459770115594</v>
      </c>
      <c r="G54" s="257">
        <f t="shared" si="1"/>
        <v>0.89080459770115594</v>
      </c>
    </row>
    <row r="55" spans="1:7" ht="16" x14ac:dyDescent="0.2">
      <c r="A55" s="145" t="s">
        <v>783</v>
      </c>
      <c r="B55" s="251" t="s">
        <v>77</v>
      </c>
      <c r="C55" s="145" t="s">
        <v>910</v>
      </c>
      <c r="D55" s="145" t="s">
        <v>785</v>
      </c>
      <c r="E55" s="145" t="s">
        <v>6</v>
      </c>
      <c r="F55" s="257">
        <v>-0.65817409766454837</v>
      </c>
      <c r="G55" s="257">
        <f t="shared" si="1"/>
        <v>0.65817409766454837</v>
      </c>
    </row>
    <row r="56" spans="1:7" ht="16" x14ac:dyDescent="0.2">
      <c r="A56" s="149" t="s">
        <v>776</v>
      </c>
      <c r="B56" s="251" t="s">
        <v>77</v>
      </c>
      <c r="C56" s="145" t="s">
        <v>910</v>
      </c>
      <c r="D56" s="145" t="s">
        <v>785</v>
      </c>
      <c r="E56" s="145" t="s">
        <v>6</v>
      </c>
      <c r="F56" s="257">
        <v>-0.15662650602409089</v>
      </c>
      <c r="G56" s="257">
        <f t="shared" si="1"/>
        <v>0.15662650602409089</v>
      </c>
    </row>
    <row r="57" spans="1:7" ht="16" x14ac:dyDescent="0.2">
      <c r="A57" s="145" t="s">
        <v>741</v>
      </c>
      <c r="B57" s="251" t="s">
        <v>77</v>
      </c>
      <c r="C57" s="145" t="s">
        <v>910</v>
      </c>
      <c r="D57" s="145" t="s">
        <v>785</v>
      </c>
      <c r="E57" s="145" t="s">
        <v>6</v>
      </c>
      <c r="F57" s="257">
        <v>-0.14876033057850863</v>
      </c>
      <c r="G57" s="257">
        <f t="shared" si="1"/>
        <v>0.14876033057850863</v>
      </c>
    </row>
    <row r="58" spans="1:7" ht="16" x14ac:dyDescent="0.2">
      <c r="A58" s="145" t="s">
        <v>742</v>
      </c>
      <c r="B58" s="251" t="s">
        <v>77</v>
      </c>
      <c r="C58" s="145" t="s">
        <v>910</v>
      </c>
      <c r="D58" s="145" t="s">
        <v>785</v>
      </c>
      <c r="E58" s="145" t="s">
        <v>6</v>
      </c>
      <c r="F58" s="257">
        <v>0.30100334448159777</v>
      </c>
      <c r="G58" s="257">
        <f t="shared" si="1"/>
        <v>0.30100334448159777</v>
      </c>
    </row>
    <row r="59" spans="1:7" ht="16" x14ac:dyDescent="0.2">
      <c r="A59" s="145" t="s">
        <v>778</v>
      </c>
      <c r="B59" s="251" t="s">
        <v>77</v>
      </c>
      <c r="C59" s="145" t="s">
        <v>910</v>
      </c>
      <c r="D59" s="145" t="s">
        <v>785</v>
      </c>
      <c r="E59" s="145" t="s">
        <v>6</v>
      </c>
      <c r="F59" s="257">
        <v>0.69767441860464452</v>
      </c>
      <c r="G59" s="257">
        <f t="shared" si="1"/>
        <v>0.69767441860464452</v>
      </c>
    </row>
    <row r="60" spans="1:7" ht="16" x14ac:dyDescent="0.2">
      <c r="A60" s="149" t="s">
        <v>928</v>
      </c>
      <c r="B60" s="251" t="s">
        <v>77</v>
      </c>
      <c r="C60" s="145" t="s">
        <v>910</v>
      </c>
      <c r="D60" s="145" t="s">
        <v>785</v>
      </c>
      <c r="E60" s="145" t="s">
        <v>6</v>
      </c>
      <c r="F60" s="257">
        <v>0.92127303182579567</v>
      </c>
      <c r="G60" s="257">
        <f t="shared" si="1"/>
        <v>0.92127303182579567</v>
      </c>
    </row>
    <row r="61" spans="1:7" ht="16" x14ac:dyDescent="0.2">
      <c r="A61" s="145" t="s">
        <v>740</v>
      </c>
      <c r="B61" s="251" t="s">
        <v>77</v>
      </c>
      <c r="C61" s="145" t="s">
        <v>910</v>
      </c>
      <c r="D61" s="145" t="s">
        <v>785</v>
      </c>
      <c r="E61" s="145" t="s">
        <v>6</v>
      </c>
      <c r="F61" s="257">
        <v>1.018145161290325</v>
      </c>
      <c r="G61" s="257">
        <f t="shared" si="1"/>
        <v>1.018145161290325</v>
      </c>
    </row>
    <row r="62" spans="1:7" ht="16" x14ac:dyDescent="0.2">
      <c r="A62" s="145" t="s">
        <v>749</v>
      </c>
      <c r="B62" s="251" t="s">
        <v>77</v>
      </c>
      <c r="C62" s="145" t="s">
        <v>910</v>
      </c>
      <c r="D62" s="145" t="s">
        <v>785</v>
      </c>
      <c r="E62" s="145" t="s">
        <v>6</v>
      </c>
      <c r="F62" s="257">
        <v>1.0457010069713399</v>
      </c>
      <c r="G62" s="257">
        <f t="shared" si="1"/>
        <v>1.0457010069713399</v>
      </c>
    </row>
    <row r="63" spans="1:7" ht="16" x14ac:dyDescent="0.2">
      <c r="A63" s="145" t="s">
        <v>744</v>
      </c>
      <c r="B63" s="251" t="s">
        <v>77</v>
      </c>
      <c r="C63" s="145" t="s">
        <v>910</v>
      </c>
      <c r="D63" s="145" t="s">
        <v>785</v>
      </c>
      <c r="E63" s="145" t="s">
        <v>6</v>
      </c>
      <c r="F63" s="257">
        <v>1.5975103734439811</v>
      </c>
      <c r="G63" s="257">
        <f t="shared" si="1"/>
        <v>1.5975103734439811</v>
      </c>
    </row>
    <row r="64" spans="1:7" ht="16" x14ac:dyDescent="0.2">
      <c r="A64" s="145" t="s">
        <v>765</v>
      </c>
      <c r="B64" s="251" t="s">
        <v>77</v>
      </c>
      <c r="C64" s="145" t="s">
        <v>910</v>
      </c>
      <c r="D64" s="145" t="s">
        <v>785</v>
      </c>
      <c r="E64" s="145" t="s">
        <v>6</v>
      </c>
      <c r="F64" s="257">
        <v>3.0508474576271185</v>
      </c>
      <c r="G64" s="257">
        <f t="shared" si="1"/>
        <v>3.0508474576271185</v>
      </c>
    </row>
    <row r="65" spans="1:7" ht="16" x14ac:dyDescent="0.2">
      <c r="A65" s="145" t="s">
        <v>104</v>
      </c>
      <c r="B65" s="251" t="s">
        <v>77</v>
      </c>
      <c r="C65" s="145" t="s">
        <v>912</v>
      </c>
      <c r="D65" s="145" t="s">
        <v>827</v>
      </c>
      <c r="E65" s="145" t="s">
        <v>6</v>
      </c>
      <c r="F65" s="257">
        <v>3.1071428571428532</v>
      </c>
      <c r="G65" s="257">
        <f t="shared" si="1"/>
        <v>3.1071428571428532</v>
      </c>
    </row>
    <row r="66" spans="1:7" ht="16" x14ac:dyDescent="0.2">
      <c r="A66" s="145" t="s">
        <v>767</v>
      </c>
      <c r="B66" s="251" t="s">
        <v>77</v>
      </c>
      <c r="C66" s="145" t="s">
        <v>910</v>
      </c>
      <c r="D66" s="145" t="s">
        <v>785</v>
      </c>
      <c r="E66" s="145" t="s">
        <v>6</v>
      </c>
      <c r="F66" s="257">
        <v>3.1190476190476155</v>
      </c>
      <c r="G66" s="257">
        <f t="shared" ref="G66:G97" si="2">ABS(F66)</f>
        <v>3.1190476190476155</v>
      </c>
    </row>
    <row r="67" spans="1:7" ht="16" x14ac:dyDescent="0.2">
      <c r="A67" s="145" t="s">
        <v>748</v>
      </c>
      <c r="B67" s="251" t="s">
        <v>77</v>
      </c>
      <c r="C67" s="145" t="s">
        <v>910</v>
      </c>
      <c r="D67" s="145" t="s">
        <v>785</v>
      </c>
      <c r="E67" s="145" t="s">
        <v>6</v>
      </c>
      <c r="F67" s="257">
        <v>3.6239316239316315</v>
      </c>
      <c r="G67" s="257">
        <f t="shared" si="2"/>
        <v>3.6239316239316315</v>
      </c>
    </row>
    <row r="68" spans="1:7" ht="16" x14ac:dyDescent="0.2">
      <c r="A68" s="145" t="s">
        <v>753</v>
      </c>
      <c r="B68" s="251" t="s">
        <v>77</v>
      </c>
      <c r="C68" s="145" t="s">
        <v>910</v>
      </c>
      <c r="D68" s="145" t="s">
        <v>785</v>
      </c>
      <c r="E68" s="145" t="s">
        <v>6</v>
      </c>
      <c r="F68" s="257">
        <v>3.7219101123595504</v>
      </c>
      <c r="G68" s="257">
        <f t="shared" si="2"/>
        <v>3.7219101123595504</v>
      </c>
    </row>
    <row r="69" spans="1:7" ht="16" x14ac:dyDescent="0.2">
      <c r="A69" s="145" t="s">
        <v>915</v>
      </c>
      <c r="B69" s="250" t="s">
        <v>77</v>
      </c>
      <c r="C69" s="145" t="s">
        <v>910</v>
      </c>
      <c r="D69" s="145" t="s">
        <v>785</v>
      </c>
      <c r="E69" s="145" t="s">
        <v>6</v>
      </c>
      <c r="F69" s="257">
        <v>4.0760869565217392</v>
      </c>
      <c r="G69" s="257">
        <f t="shared" si="2"/>
        <v>4.0760869565217392</v>
      </c>
    </row>
    <row r="70" spans="1:7" ht="16" x14ac:dyDescent="0.2">
      <c r="A70" s="149" t="s">
        <v>775</v>
      </c>
      <c r="B70" s="251" t="s">
        <v>77</v>
      </c>
      <c r="C70" s="145" t="s">
        <v>910</v>
      </c>
      <c r="D70" s="145" t="s">
        <v>785</v>
      </c>
      <c r="E70" s="145" t="s">
        <v>6</v>
      </c>
      <c r="F70" s="257">
        <v>4.1958041958041958</v>
      </c>
      <c r="G70" s="257">
        <f t="shared" si="2"/>
        <v>4.1958041958041958</v>
      </c>
    </row>
    <row r="71" spans="1:7" ht="16" x14ac:dyDescent="0.2">
      <c r="A71" s="145" t="s">
        <v>120</v>
      </c>
      <c r="B71" s="250" t="s">
        <v>77</v>
      </c>
      <c r="C71" s="145" t="s">
        <v>910</v>
      </c>
      <c r="D71" s="145" t="s">
        <v>785</v>
      </c>
      <c r="E71" s="145" t="s">
        <v>6</v>
      </c>
      <c r="F71" s="257">
        <v>-4.6879999999999926</v>
      </c>
      <c r="G71" s="257">
        <f t="shared" si="2"/>
        <v>4.6879999999999926</v>
      </c>
    </row>
    <row r="72" spans="1:7" ht="16" x14ac:dyDescent="0.2">
      <c r="A72" s="145" t="s">
        <v>121</v>
      </c>
      <c r="B72" s="250" t="s">
        <v>77</v>
      </c>
      <c r="C72" s="145" t="s">
        <v>910</v>
      </c>
      <c r="D72" s="145" t="s">
        <v>785</v>
      </c>
      <c r="E72" s="145" t="s">
        <v>6</v>
      </c>
      <c r="F72" s="257">
        <v>13.416988416988417</v>
      </c>
      <c r="G72" s="257">
        <f t="shared" si="2"/>
        <v>13.416988416988417</v>
      </c>
    </row>
    <row r="73" spans="1:7" ht="16" x14ac:dyDescent="0.2">
      <c r="A73" s="145" t="s">
        <v>941</v>
      </c>
      <c r="B73" s="253" t="s">
        <v>77</v>
      </c>
      <c r="C73" s="145" t="s">
        <v>912</v>
      </c>
      <c r="D73" s="145" t="s">
        <v>785</v>
      </c>
      <c r="E73" s="145" t="s">
        <v>6</v>
      </c>
      <c r="F73" s="257">
        <v>-5.4008438818565399</v>
      </c>
      <c r="G73" s="257">
        <f t="shared" si="2"/>
        <v>5.4008438818565399</v>
      </c>
    </row>
    <row r="74" spans="1:7" ht="16" x14ac:dyDescent="0.2">
      <c r="A74" s="206" t="s">
        <v>470</v>
      </c>
      <c r="B74" s="253" t="s">
        <v>46</v>
      </c>
      <c r="C74" s="145" t="s">
        <v>912</v>
      </c>
      <c r="D74" s="145" t="s">
        <v>827</v>
      </c>
      <c r="E74" s="145" t="s">
        <v>3</v>
      </c>
      <c r="F74" s="257">
        <v>-12.273958333333326</v>
      </c>
      <c r="G74" s="257">
        <f t="shared" si="2"/>
        <v>12.273958333333326</v>
      </c>
    </row>
    <row r="75" spans="1:7" ht="16" x14ac:dyDescent="0.2">
      <c r="A75" s="206" t="s">
        <v>473</v>
      </c>
      <c r="B75" s="253" t="s">
        <v>46</v>
      </c>
      <c r="C75" s="145" t="s">
        <v>910</v>
      </c>
      <c r="D75" s="145" t="s">
        <v>827</v>
      </c>
      <c r="E75" s="145" t="s">
        <v>3</v>
      </c>
      <c r="F75" s="257">
        <v>-6.5181818181818221</v>
      </c>
      <c r="G75" s="257">
        <f t="shared" si="2"/>
        <v>6.5181818181818221</v>
      </c>
    </row>
    <row r="76" spans="1:7" ht="16" x14ac:dyDescent="0.2">
      <c r="A76" s="206" t="s">
        <v>471</v>
      </c>
      <c r="B76" s="253" t="s">
        <v>46</v>
      </c>
      <c r="C76" s="145" t="s">
        <v>910</v>
      </c>
      <c r="D76" s="145" t="s">
        <v>827</v>
      </c>
      <c r="E76" s="145" t="s">
        <v>3</v>
      </c>
      <c r="F76" s="257">
        <v>-5.7183098591549282</v>
      </c>
      <c r="G76" s="257">
        <f t="shared" si="2"/>
        <v>5.7183098591549282</v>
      </c>
    </row>
    <row r="77" spans="1:7" ht="16" x14ac:dyDescent="0.2">
      <c r="A77" s="206" t="s">
        <v>466</v>
      </c>
      <c r="B77" s="253" t="s">
        <v>46</v>
      </c>
      <c r="C77" s="145" t="s">
        <v>912</v>
      </c>
      <c r="D77" s="145" t="s">
        <v>827</v>
      </c>
      <c r="E77" s="145" t="s">
        <v>3</v>
      </c>
      <c r="F77" s="257">
        <v>-5.0588235294117663</v>
      </c>
      <c r="G77" s="257">
        <f t="shared" si="2"/>
        <v>5.0588235294117663</v>
      </c>
    </row>
    <row r="78" spans="1:7" ht="16" x14ac:dyDescent="0.2">
      <c r="A78" s="145" t="s">
        <v>594</v>
      </c>
      <c r="B78" s="253" t="s">
        <v>46</v>
      </c>
      <c r="C78" s="145" t="s">
        <v>910</v>
      </c>
      <c r="D78" s="243" t="s">
        <v>827</v>
      </c>
      <c r="E78" s="145" t="s">
        <v>3</v>
      </c>
      <c r="F78" s="257">
        <v>-2.2471910112359552</v>
      </c>
      <c r="G78" s="257">
        <f t="shared" si="2"/>
        <v>2.2471910112359552</v>
      </c>
    </row>
    <row r="79" spans="1:7" ht="16" x14ac:dyDescent="0.2">
      <c r="A79" s="206" t="s">
        <v>467</v>
      </c>
      <c r="B79" s="253" t="s">
        <v>46</v>
      </c>
      <c r="C79" s="145" t="s">
        <v>912</v>
      </c>
      <c r="D79" s="145" t="s">
        <v>827</v>
      </c>
      <c r="E79" s="145" t="s">
        <v>3</v>
      </c>
      <c r="F79" s="257">
        <v>0.7</v>
      </c>
      <c r="G79" s="257">
        <f t="shared" si="2"/>
        <v>0.7</v>
      </c>
    </row>
    <row r="80" spans="1:7" ht="16" x14ac:dyDescent="0.2">
      <c r="A80" s="145" t="s">
        <v>204</v>
      </c>
      <c r="B80" s="253" t="s">
        <v>46</v>
      </c>
      <c r="C80" s="145" t="s">
        <v>910</v>
      </c>
      <c r="D80" s="145" t="s">
        <v>827</v>
      </c>
      <c r="E80" s="145" t="s">
        <v>3</v>
      </c>
      <c r="F80" s="257">
        <v>2.2510121457489842</v>
      </c>
      <c r="G80" s="257">
        <f t="shared" si="2"/>
        <v>2.2510121457489842</v>
      </c>
    </row>
    <row r="81" spans="1:7" ht="16" x14ac:dyDescent="0.2">
      <c r="A81" s="206" t="s">
        <v>474</v>
      </c>
      <c r="B81" s="253" t="s">
        <v>46</v>
      </c>
      <c r="C81" s="145" t="s">
        <v>912</v>
      </c>
      <c r="D81" s="145" t="s">
        <v>827</v>
      </c>
      <c r="E81" s="145" t="s">
        <v>3</v>
      </c>
      <c r="F81" s="257">
        <v>5.9793814432989691</v>
      </c>
      <c r="G81" s="257">
        <f t="shared" si="2"/>
        <v>5.9793814432989691</v>
      </c>
    </row>
    <row r="82" spans="1:7" ht="16" x14ac:dyDescent="0.2">
      <c r="A82" s="145" t="s">
        <v>50</v>
      </c>
      <c r="B82" s="250" t="s">
        <v>16</v>
      </c>
      <c r="C82" s="145" t="s">
        <v>912</v>
      </c>
      <c r="D82" s="145" t="s">
        <v>827</v>
      </c>
      <c r="E82" s="145" t="s">
        <v>3</v>
      </c>
      <c r="F82" s="257">
        <v>-5.741469816272966</v>
      </c>
      <c r="G82" s="257">
        <f t="shared" si="2"/>
        <v>5.741469816272966</v>
      </c>
    </row>
    <row r="83" spans="1:7" ht="16" x14ac:dyDescent="0.2">
      <c r="A83" s="207" t="s">
        <v>715</v>
      </c>
      <c r="B83" s="253" t="s">
        <v>16</v>
      </c>
      <c r="C83" s="145" t="s">
        <v>910</v>
      </c>
      <c r="D83" s="145" t="s">
        <v>827</v>
      </c>
      <c r="E83" s="145" t="s">
        <v>3</v>
      </c>
      <c r="F83" s="257">
        <v>-3.5343915343915322</v>
      </c>
      <c r="G83" s="257">
        <f t="shared" si="2"/>
        <v>3.5343915343915322</v>
      </c>
    </row>
    <row r="84" spans="1:7" ht="16" x14ac:dyDescent="0.2">
      <c r="A84" s="145" t="s">
        <v>825</v>
      </c>
      <c r="B84" s="253" t="s">
        <v>16</v>
      </c>
      <c r="C84" s="145" t="s">
        <v>910</v>
      </c>
      <c r="D84" s="145" t="s">
        <v>827</v>
      </c>
      <c r="E84" s="145" t="s">
        <v>3</v>
      </c>
      <c r="F84" s="257">
        <v>-1.3537313432835727</v>
      </c>
      <c r="G84" s="257">
        <f t="shared" si="2"/>
        <v>1.3537313432835727</v>
      </c>
    </row>
    <row r="85" spans="1:7" ht="16" x14ac:dyDescent="0.2">
      <c r="A85" s="145" t="s">
        <v>58</v>
      </c>
      <c r="B85" s="253" t="s">
        <v>16</v>
      </c>
      <c r="C85" s="145" t="s">
        <v>910</v>
      </c>
      <c r="D85" s="145" t="s">
        <v>827</v>
      </c>
      <c r="E85" s="145" t="s">
        <v>3</v>
      </c>
      <c r="F85" s="257">
        <v>1.6896551724137931</v>
      </c>
      <c r="G85" s="257">
        <f t="shared" si="2"/>
        <v>1.6896551724137931</v>
      </c>
    </row>
    <row r="86" spans="1:7" ht="16" x14ac:dyDescent="0.2">
      <c r="A86" s="145" t="s">
        <v>63</v>
      </c>
      <c r="B86" s="253" t="s">
        <v>16</v>
      </c>
      <c r="C86" s="145" t="s">
        <v>910</v>
      </c>
      <c r="D86" s="145" t="s">
        <v>827</v>
      </c>
      <c r="E86" s="145" t="s">
        <v>3</v>
      </c>
      <c r="F86" s="257">
        <v>2.1137440758293833</v>
      </c>
      <c r="G86" s="257">
        <f t="shared" si="2"/>
        <v>2.1137440758293833</v>
      </c>
    </row>
    <row r="87" spans="1:7" ht="16" x14ac:dyDescent="0.2">
      <c r="A87" s="28" t="s">
        <v>426</v>
      </c>
      <c r="B87" s="253" t="s">
        <v>19</v>
      </c>
      <c r="C87" s="145" t="s">
        <v>910</v>
      </c>
      <c r="D87" s="145" t="s">
        <v>827</v>
      </c>
      <c r="E87" s="145" t="s">
        <v>3</v>
      </c>
      <c r="F87" s="257">
        <v>-9.5785185185185195</v>
      </c>
      <c r="G87" s="257">
        <f t="shared" si="2"/>
        <v>9.5785185185185195</v>
      </c>
    </row>
    <row r="88" spans="1:7" ht="16" x14ac:dyDescent="0.2">
      <c r="A88" s="28" t="s">
        <v>427</v>
      </c>
      <c r="B88" s="253" t="s">
        <v>19</v>
      </c>
      <c r="C88" s="145" t="s">
        <v>910</v>
      </c>
      <c r="D88" s="145" t="s">
        <v>827</v>
      </c>
      <c r="E88" s="145" t="s">
        <v>3</v>
      </c>
      <c r="F88" s="257">
        <v>-6.5584242424242385</v>
      </c>
      <c r="G88" s="257">
        <f t="shared" si="2"/>
        <v>6.5584242424242385</v>
      </c>
    </row>
    <row r="89" spans="1:7" ht="16" x14ac:dyDescent="0.2">
      <c r="A89" s="28" t="s">
        <v>433</v>
      </c>
      <c r="B89" s="253" t="s">
        <v>19</v>
      </c>
      <c r="C89" s="145" t="s">
        <v>910</v>
      </c>
      <c r="D89" s="145" t="s">
        <v>827</v>
      </c>
      <c r="E89" s="145" t="s">
        <v>3</v>
      </c>
      <c r="F89" s="257">
        <v>-5.7769736842105228</v>
      </c>
      <c r="G89" s="257">
        <f t="shared" si="2"/>
        <v>5.7769736842105228</v>
      </c>
    </row>
    <row r="90" spans="1:7" ht="16" x14ac:dyDescent="0.2">
      <c r="A90" s="28" t="s">
        <v>425</v>
      </c>
      <c r="B90" s="253" t="s">
        <v>19</v>
      </c>
      <c r="C90" s="145" t="s">
        <v>912</v>
      </c>
      <c r="D90" s="145" t="s">
        <v>827</v>
      </c>
      <c r="E90" s="145" t="s">
        <v>3</v>
      </c>
      <c r="F90" s="257">
        <v>-4.244609665427503</v>
      </c>
      <c r="G90" s="257">
        <f t="shared" si="2"/>
        <v>4.244609665427503</v>
      </c>
    </row>
    <row r="91" spans="1:7" ht="16" x14ac:dyDescent="0.2">
      <c r="A91" s="28" t="s">
        <v>435</v>
      </c>
      <c r="B91" s="253" t="s">
        <v>19</v>
      </c>
      <c r="C91" s="145" t="s">
        <v>910</v>
      </c>
      <c r="D91" s="145" t="s">
        <v>827</v>
      </c>
      <c r="E91" s="145" t="s">
        <v>3</v>
      </c>
      <c r="F91" s="257">
        <v>-0.13913043478260079</v>
      </c>
      <c r="G91" s="257">
        <f t="shared" si="2"/>
        <v>0.13913043478260079</v>
      </c>
    </row>
    <row r="92" spans="1:7" ht="16" x14ac:dyDescent="0.2">
      <c r="A92" s="145" t="s">
        <v>104</v>
      </c>
      <c r="B92" s="251" t="s">
        <v>77</v>
      </c>
      <c r="C92" s="145" t="s">
        <v>912</v>
      </c>
      <c r="D92" s="145" t="s">
        <v>827</v>
      </c>
      <c r="E92" s="145" t="s">
        <v>3</v>
      </c>
      <c r="F92" s="257">
        <v>1.4737122703412051</v>
      </c>
      <c r="G92" s="257">
        <f t="shared" si="2"/>
        <v>1.4737122703412051</v>
      </c>
    </row>
    <row r="93" spans="1:7" ht="16" x14ac:dyDescent="0.2">
      <c r="A93" s="145" t="s">
        <v>84</v>
      </c>
      <c r="B93" s="251" t="s">
        <v>77</v>
      </c>
      <c r="C93" s="145" t="s">
        <v>912</v>
      </c>
      <c r="D93" s="145" t="s">
        <v>827</v>
      </c>
      <c r="E93" s="145" t="s">
        <v>3</v>
      </c>
      <c r="F93" s="257">
        <v>2.2309711286089238</v>
      </c>
      <c r="G93" s="257">
        <f t="shared" si="2"/>
        <v>2.2309711286089238</v>
      </c>
    </row>
    <row r="94" spans="1:7" ht="16" x14ac:dyDescent="0.2">
      <c r="A94" s="145" t="s">
        <v>120</v>
      </c>
      <c r="B94" s="250" t="s">
        <v>77</v>
      </c>
      <c r="C94" s="145" t="s">
        <v>912</v>
      </c>
      <c r="D94" s="145" t="s">
        <v>785</v>
      </c>
      <c r="E94" s="145" t="s">
        <v>3</v>
      </c>
      <c r="F94" s="257">
        <v>-7.3523503415026115</v>
      </c>
      <c r="G94" s="257">
        <f t="shared" si="2"/>
        <v>7.3523503415026115</v>
      </c>
    </row>
    <row r="95" spans="1:7" ht="16" x14ac:dyDescent="0.2">
      <c r="A95" s="149" t="s">
        <v>90</v>
      </c>
      <c r="B95" s="253" t="s">
        <v>77</v>
      </c>
      <c r="C95" s="145" t="s">
        <v>912</v>
      </c>
      <c r="D95" s="145" t="s">
        <v>827</v>
      </c>
      <c r="E95" s="145" t="s">
        <v>3</v>
      </c>
      <c r="F95" s="257">
        <v>4.8090551181102397</v>
      </c>
      <c r="G95" s="257">
        <f t="shared" si="2"/>
        <v>4.8090551181102397</v>
      </c>
    </row>
    <row r="96" spans="1:7" ht="16" x14ac:dyDescent="0.2">
      <c r="A96" s="28" t="s">
        <v>942</v>
      </c>
      <c r="B96" s="253" t="s">
        <v>77</v>
      </c>
      <c r="C96" s="145" t="s">
        <v>912</v>
      </c>
      <c r="D96" s="145" t="s">
        <v>827</v>
      </c>
      <c r="E96" s="145" t="s">
        <v>3</v>
      </c>
      <c r="F96" s="257">
        <v>0</v>
      </c>
      <c r="G96" s="257">
        <f t="shared" si="2"/>
        <v>0</v>
      </c>
    </row>
    <row r="97" spans="1:7" ht="16" x14ac:dyDescent="0.2">
      <c r="A97" s="28" t="s">
        <v>942</v>
      </c>
      <c r="B97" s="253" t="s">
        <v>77</v>
      </c>
      <c r="C97" s="145" t="s">
        <v>912</v>
      </c>
      <c r="D97" s="145" t="s">
        <v>827</v>
      </c>
      <c r="E97" s="145" t="s">
        <v>3</v>
      </c>
      <c r="F97" s="257">
        <v>-0.84745762711864403</v>
      </c>
      <c r="G97" s="257">
        <f t="shared" si="2"/>
        <v>0.84745762711864403</v>
      </c>
    </row>
    <row r="98" spans="1:7" ht="16" x14ac:dyDescent="0.2">
      <c r="A98" s="206" t="s">
        <v>468</v>
      </c>
      <c r="B98" s="253" t="s">
        <v>46</v>
      </c>
      <c r="C98" s="145" t="s">
        <v>910</v>
      </c>
      <c r="D98" s="145" t="s">
        <v>827</v>
      </c>
      <c r="E98" s="145" t="s">
        <v>28</v>
      </c>
      <c r="F98" s="257">
        <v>-13.214285714285714</v>
      </c>
      <c r="G98" s="257">
        <f t="shared" ref="G98:G129" si="3">ABS(F98)</f>
        <v>13.214285714285714</v>
      </c>
    </row>
    <row r="99" spans="1:7" ht="16" x14ac:dyDescent="0.2">
      <c r="A99" s="206" t="s">
        <v>473</v>
      </c>
      <c r="B99" s="253" t="s">
        <v>46</v>
      </c>
      <c r="C99" s="145" t="s">
        <v>910</v>
      </c>
      <c r="D99" s="145" t="s">
        <v>827</v>
      </c>
      <c r="E99" s="145" t="s">
        <v>28</v>
      </c>
      <c r="F99" s="257">
        <v>-10.814814814814811</v>
      </c>
      <c r="G99" s="257">
        <f t="shared" si="3"/>
        <v>10.814814814814811</v>
      </c>
    </row>
    <row r="100" spans="1:7" ht="16" x14ac:dyDescent="0.2">
      <c r="A100" s="206" t="s">
        <v>467</v>
      </c>
      <c r="B100" s="253" t="s">
        <v>46</v>
      </c>
      <c r="C100" s="145" t="s">
        <v>912</v>
      </c>
      <c r="D100" s="145" t="s">
        <v>827</v>
      </c>
      <c r="E100" s="145" t="s">
        <v>28</v>
      </c>
      <c r="F100" s="257">
        <v>-5.666666666666667</v>
      </c>
      <c r="G100" s="257">
        <f t="shared" si="3"/>
        <v>5.666666666666667</v>
      </c>
    </row>
    <row r="101" spans="1:7" ht="16" x14ac:dyDescent="0.2">
      <c r="A101" s="149" t="s">
        <v>771</v>
      </c>
      <c r="B101" s="253" t="s">
        <v>46</v>
      </c>
      <c r="C101" s="145" t="s">
        <v>910</v>
      </c>
      <c r="D101" s="145" t="s">
        <v>785</v>
      </c>
      <c r="E101" s="145" t="s">
        <v>28</v>
      </c>
      <c r="F101" s="257">
        <v>-2.0661157024793386</v>
      </c>
      <c r="G101" s="257">
        <f t="shared" si="3"/>
        <v>2.0661157024793386</v>
      </c>
    </row>
    <row r="102" spans="1:7" ht="16" x14ac:dyDescent="0.2">
      <c r="A102" s="206" t="s">
        <v>474</v>
      </c>
      <c r="B102" s="253" t="s">
        <v>46</v>
      </c>
      <c r="C102" s="145" t="s">
        <v>912</v>
      </c>
      <c r="D102" s="145" t="s">
        <v>827</v>
      </c>
      <c r="E102" s="145" t="s">
        <v>28</v>
      </c>
      <c r="F102" s="257">
        <v>-1.1111111111111112</v>
      </c>
      <c r="G102" s="257">
        <f t="shared" si="3"/>
        <v>1.1111111111111112</v>
      </c>
    </row>
    <row r="103" spans="1:7" ht="16" x14ac:dyDescent="0.2">
      <c r="A103" s="145" t="s">
        <v>751</v>
      </c>
      <c r="B103" s="253" t="s">
        <v>46</v>
      </c>
      <c r="C103" s="145" t="s">
        <v>910</v>
      </c>
      <c r="D103" s="145" t="s">
        <v>785</v>
      </c>
      <c r="E103" s="145" t="s">
        <v>28</v>
      </c>
      <c r="F103" s="257">
        <v>-0.6741573033707865</v>
      </c>
      <c r="G103" s="257">
        <f t="shared" si="3"/>
        <v>0.6741573033707865</v>
      </c>
    </row>
    <row r="104" spans="1:7" ht="16" x14ac:dyDescent="0.2">
      <c r="A104" s="145" t="s">
        <v>777</v>
      </c>
      <c r="B104" s="253" t="s">
        <v>46</v>
      </c>
      <c r="C104" s="145" t="s">
        <v>910</v>
      </c>
      <c r="D104" s="145" t="s">
        <v>785</v>
      </c>
      <c r="E104" s="145" t="s">
        <v>28</v>
      </c>
      <c r="F104" s="257">
        <v>-0.14705882352940342</v>
      </c>
      <c r="G104" s="257">
        <f t="shared" si="3"/>
        <v>0.14705882352940342</v>
      </c>
    </row>
    <row r="105" spans="1:7" ht="16" x14ac:dyDescent="0.2">
      <c r="A105" s="206" t="s">
        <v>466</v>
      </c>
      <c r="B105" s="253" t="s">
        <v>46</v>
      </c>
      <c r="C105" s="145" t="s">
        <v>912</v>
      </c>
      <c r="D105" s="145" t="s">
        <v>827</v>
      </c>
      <c r="E105" s="145" t="s">
        <v>28</v>
      </c>
      <c r="F105" s="257">
        <v>5.8888888888888804</v>
      </c>
      <c r="G105" s="257">
        <f t="shared" si="3"/>
        <v>5.8888888888888804</v>
      </c>
    </row>
    <row r="106" spans="1:7" ht="16" x14ac:dyDescent="0.2">
      <c r="A106" s="206" t="s">
        <v>471</v>
      </c>
      <c r="B106" s="253" t="s">
        <v>46</v>
      </c>
      <c r="C106" s="145" t="s">
        <v>910</v>
      </c>
      <c r="D106" s="145" t="s">
        <v>827</v>
      </c>
      <c r="E106" s="145" t="s">
        <v>28</v>
      </c>
      <c r="F106" s="257">
        <v>6.9204152249134951</v>
      </c>
      <c r="G106" s="257">
        <f t="shared" si="3"/>
        <v>6.9204152249134951</v>
      </c>
    </row>
    <row r="107" spans="1:7" ht="16" x14ac:dyDescent="0.2">
      <c r="A107" s="256" t="s">
        <v>520</v>
      </c>
      <c r="B107" s="253" t="s">
        <v>16</v>
      </c>
      <c r="C107" s="145" t="s">
        <v>910</v>
      </c>
      <c r="D107" s="145" t="s">
        <v>909</v>
      </c>
      <c r="E107" s="145" t="s">
        <v>28</v>
      </c>
      <c r="F107" s="257">
        <v>-11.503267973856206</v>
      </c>
      <c r="G107" s="257">
        <f t="shared" si="3"/>
        <v>11.503267973856206</v>
      </c>
    </row>
    <row r="108" spans="1:7" ht="16" x14ac:dyDescent="0.2">
      <c r="A108" s="145" t="s">
        <v>919</v>
      </c>
      <c r="B108" s="250" t="s">
        <v>16</v>
      </c>
      <c r="C108" s="145" t="s">
        <v>910</v>
      </c>
      <c r="D108" s="145" t="s">
        <v>785</v>
      </c>
      <c r="E108" s="145" t="s">
        <v>28</v>
      </c>
      <c r="F108" s="257">
        <v>-6.6037735849056602</v>
      </c>
      <c r="G108" s="257">
        <f t="shared" si="3"/>
        <v>6.6037735849056602</v>
      </c>
    </row>
    <row r="109" spans="1:7" ht="16" x14ac:dyDescent="0.2">
      <c r="A109" s="207" t="s">
        <v>715</v>
      </c>
      <c r="B109" s="253" t="s">
        <v>16</v>
      </c>
      <c r="C109" s="145" t="s">
        <v>910</v>
      </c>
      <c r="D109" s="145" t="s">
        <v>827</v>
      </c>
      <c r="E109" s="145" t="s">
        <v>28</v>
      </c>
      <c r="F109" s="257">
        <v>-6.4756446991404077</v>
      </c>
      <c r="G109" s="257">
        <f t="shared" si="3"/>
        <v>6.4756446991404077</v>
      </c>
    </row>
    <row r="110" spans="1:7" ht="16" x14ac:dyDescent="0.2">
      <c r="A110" s="145" t="s">
        <v>243</v>
      </c>
      <c r="B110" s="250" t="s">
        <v>16</v>
      </c>
      <c r="C110" s="145" t="s">
        <v>910</v>
      </c>
      <c r="D110" s="145" t="s">
        <v>785</v>
      </c>
      <c r="E110" s="145" t="s">
        <v>28</v>
      </c>
      <c r="F110" s="257">
        <v>-4.9816849816849897</v>
      </c>
      <c r="G110" s="257">
        <f t="shared" si="3"/>
        <v>4.9816849816849897</v>
      </c>
    </row>
    <row r="111" spans="1:7" ht="16" x14ac:dyDescent="0.2">
      <c r="A111" s="145" t="s">
        <v>914</v>
      </c>
      <c r="B111" s="250" t="s">
        <v>16</v>
      </c>
      <c r="C111" s="145" t="s">
        <v>910</v>
      </c>
      <c r="D111" s="145" t="s">
        <v>785</v>
      </c>
      <c r="E111" s="145" t="s">
        <v>28</v>
      </c>
      <c r="F111" s="257">
        <v>-4.6460176991150446</v>
      </c>
      <c r="G111" s="257">
        <f t="shared" si="3"/>
        <v>4.6460176991150446</v>
      </c>
    </row>
    <row r="112" spans="1:7" ht="16" x14ac:dyDescent="0.2">
      <c r="A112" s="145" t="s">
        <v>920</v>
      </c>
      <c r="B112" s="250" t="s">
        <v>16</v>
      </c>
      <c r="C112" s="145" t="s">
        <v>910</v>
      </c>
      <c r="D112" s="145" t="s">
        <v>785</v>
      </c>
      <c r="E112" s="145" t="s">
        <v>28</v>
      </c>
      <c r="F112" s="257">
        <v>-1.573275862068968</v>
      </c>
      <c r="G112" s="257">
        <f t="shared" si="3"/>
        <v>1.573275862068968</v>
      </c>
    </row>
    <row r="113" spans="1:7" ht="16" x14ac:dyDescent="0.2">
      <c r="A113" s="145" t="s">
        <v>921</v>
      </c>
      <c r="B113" s="250" t="s">
        <v>16</v>
      </c>
      <c r="C113" s="145" t="s">
        <v>912</v>
      </c>
      <c r="D113" s="145" t="s">
        <v>785</v>
      </c>
      <c r="E113" s="145" t="s">
        <v>28</v>
      </c>
      <c r="F113" s="257">
        <v>-1.1919191919191987</v>
      </c>
      <c r="G113" s="257">
        <f t="shared" si="3"/>
        <v>1.1919191919191987</v>
      </c>
    </row>
    <row r="114" spans="1:7" ht="16" x14ac:dyDescent="0.2">
      <c r="A114" s="145" t="s">
        <v>925</v>
      </c>
      <c r="B114" s="250" t="s">
        <v>16</v>
      </c>
      <c r="C114" s="145" t="s">
        <v>912</v>
      </c>
      <c r="D114" s="145" t="s">
        <v>785</v>
      </c>
      <c r="E114" s="145" t="s">
        <v>28</v>
      </c>
      <c r="F114" s="257">
        <v>-0.52783505154639221</v>
      </c>
      <c r="G114" s="257">
        <f t="shared" si="3"/>
        <v>0.52783505154639221</v>
      </c>
    </row>
    <row r="115" spans="1:7" ht="16" x14ac:dyDescent="0.2">
      <c r="A115" s="145" t="s">
        <v>927</v>
      </c>
      <c r="B115" s="250" t="s">
        <v>16</v>
      </c>
      <c r="C115" s="145" t="s">
        <v>912</v>
      </c>
      <c r="D115" s="145" t="s">
        <v>785</v>
      </c>
      <c r="E115" s="145" t="s">
        <v>28</v>
      </c>
      <c r="F115" s="257">
        <v>0.19277108433735213</v>
      </c>
      <c r="G115" s="257">
        <f t="shared" si="3"/>
        <v>0.19277108433735213</v>
      </c>
    </row>
    <row r="116" spans="1:7" ht="16" x14ac:dyDescent="0.2">
      <c r="A116" s="145" t="s">
        <v>918</v>
      </c>
      <c r="B116" s="250" t="s">
        <v>16</v>
      </c>
      <c r="C116" s="145" t="s">
        <v>910</v>
      </c>
      <c r="D116" s="145" t="s">
        <v>785</v>
      </c>
      <c r="E116" s="145" t="s">
        <v>28</v>
      </c>
      <c r="F116" s="257">
        <v>0.68965517241379914</v>
      </c>
      <c r="G116" s="257">
        <f t="shared" si="3"/>
        <v>0.68965517241379914</v>
      </c>
    </row>
    <row r="117" spans="1:7" ht="16" x14ac:dyDescent="0.2">
      <c r="A117" s="28" t="s">
        <v>416</v>
      </c>
      <c r="B117" s="253" t="s">
        <v>19</v>
      </c>
      <c r="C117" s="145" t="s">
        <v>912</v>
      </c>
      <c r="D117" s="145" t="s">
        <v>827</v>
      </c>
      <c r="E117" s="145" t="s">
        <v>28</v>
      </c>
      <c r="F117" s="257">
        <v>-5.5737704918032787</v>
      </c>
      <c r="G117" s="257">
        <f t="shared" si="3"/>
        <v>5.5737704918032787</v>
      </c>
    </row>
    <row r="118" spans="1:7" ht="16" x14ac:dyDescent="0.2">
      <c r="A118" s="28" t="s">
        <v>425</v>
      </c>
      <c r="B118" s="253" t="s">
        <v>19</v>
      </c>
      <c r="C118" s="145" t="s">
        <v>912</v>
      </c>
      <c r="D118" s="145" t="s">
        <v>827</v>
      </c>
      <c r="E118" s="145" t="s">
        <v>28</v>
      </c>
      <c r="F118" s="257">
        <v>-4.3387096774193514</v>
      </c>
      <c r="G118" s="257">
        <f t="shared" si="3"/>
        <v>4.3387096774193514</v>
      </c>
    </row>
    <row r="119" spans="1:7" ht="16" x14ac:dyDescent="0.2">
      <c r="A119" s="28" t="s">
        <v>424</v>
      </c>
      <c r="B119" s="253" t="s">
        <v>19</v>
      </c>
      <c r="C119" s="145" t="s">
        <v>910</v>
      </c>
      <c r="D119" s="145" t="s">
        <v>827</v>
      </c>
      <c r="E119" s="145" t="s">
        <v>28</v>
      </c>
      <c r="F119" s="257">
        <v>-2.7764705882352967</v>
      </c>
      <c r="G119" s="257">
        <f t="shared" si="3"/>
        <v>2.7764705882352967</v>
      </c>
    </row>
    <row r="120" spans="1:7" ht="16" x14ac:dyDescent="0.2">
      <c r="A120" s="28" t="s">
        <v>426</v>
      </c>
      <c r="B120" s="253" t="s">
        <v>19</v>
      </c>
      <c r="C120" s="145" t="s">
        <v>910</v>
      </c>
      <c r="D120" s="145" t="s">
        <v>827</v>
      </c>
      <c r="E120" s="145" t="s">
        <v>28</v>
      </c>
      <c r="F120" s="257">
        <v>-2.2820512820512762</v>
      </c>
      <c r="G120" s="257">
        <f t="shared" si="3"/>
        <v>2.2820512820512762</v>
      </c>
    </row>
    <row r="121" spans="1:7" ht="16" x14ac:dyDescent="0.2">
      <c r="A121" s="28" t="s">
        <v>433</v>
      </c>
      <c r="B121" s="253" t="s">
        <v>19</v>
      </c>
      <c r="C121" s="145" t="s">
        <v>910</v>
      </c>
      <c r="D121" s="145" t="s">
        <v>827</v>
      </c>
      <c r="E121" s="145" t="s">
        <v>28</v>
      </c>
      <c r="F121" s="257">
        <v>-1.4029850746268622</v>
      </c>
      <c r="G121" s="257">
        <f t="shared" si="3"/>
        <v>1.4029850746268622</v>
      </c>
    </row>
    <row r="122" spans="1:7" ht="16" x14ac:dyDescent="0.2">
      <c r="A122" s="28" t="s">
        <v>435</v>
      </c>
      <c r="B122" s="253" t="s">
        <v>19</v>
      </c>
      <c r="C122" s="145" t="s">
        <v>910</v>
      </c>
      <c r="D122" s="145" t="s">
        <v>827</v>
      </c>
      <c r="E122" s="145" t="s">
        <v>28</v>
      </c>
      <c r="F122" s="257">
        <v>-1.3333333333333417</v>
      </c>
      <c r="G122" s="257">
        <f t="shared" si="3"/>
        <v>1.3333333333333417</v>
      </c>
    </row>
    <row r="123" spans="1:7" ht="16" x14ac:dyDescent="0.2">
      <c r="A123" s="145" t="s">
        <v>779</v>
      </c>
      <c r="B123" s="253" t="s">
        <v>19</v>
      </c>
      <c r="C123" s="145" t="s">
        <v>910</v>
      </c>
      <c r="D123" s="145" t="s">
        <v>785</v>
      </c>
      <c r="E123" s="145" t="s">
        <v>28</v>
      </c>
      <c r="F123" s="257">
        <v>5.7971014492750328E-2</v>
      </c>
      <c r="G123" s="257">
        <f t="shared" si="3"/>
        <v>5.7971014492750328E-2</v>
      </c>
    </row>
    <row r="124" spans="1:7" ht="16" x14ac:dyDescent="0.2">
      <c r="A124" s="28" t="s">
        <v>421</v>
      </c>
      <c r="B124" s="253" t="s">
        <v>19</v>
      </c>
      <c r="C124" s="145" t="s">
        <v>910</v>
      </c>
      <c r="D124" s="145" t="s">
        <v>827</v>
      </c>
      <c r="E124" s="145" t="s">
        <v>28</v>
      </c>
      <c r="F124" s="257">
        <v>0.58048780487804763</v>
      </c>
      <c r="G124" s="257">
        <f t="shared" si="3"/>
        <v>0.58048780487804763</v>
      </c>
    </row>
    <row r="125" spans="1:7" ht="16" x14ac:dyDescent="0.2">
      <c r="A125" s="28" t="s">
        <v>423</v>
      </c>
      <c r="B125" s="253" t="s">
        <v>19</v>
      </c>
      <c r="C125" s="145" t="s">
        <v>910</v>
      </c>
      <c r="D125" s="145" t="s">
        <v>827</v>
      </c>
      <c r="E125" s="145" t="s">
        <v>28</v>
      </c>
      <c r="F125" s="257">
        <v>0.87272727272726447</v>
      </c>
      <c r="G125" s="257">
        <f t="shared" si="3"/>
        <v>0.87272727272726447</v>
      </c>
    </row>
    <row r="126" spans="1:7" ht="16" x14ac:dyDescent="0.2">
      <c r="A126" s="28" t="s">
        <v>427</v>
      </c>
      <c r="B126" s="253" t="s">
        <v>19</v>
      </c>
      <c r="C126" s="145" t="s">
        <v>910</v>
      </c>
      <c r="D126" s="145" t="s">
        <v>827</v>
      </c>
      <c r="E126" s="145" t="s">
        <v>28</v>
      </c>
      <c r="F126" s="257">
        <v>1.8734177215189816</v>
      </c>
      <c r="G126" s="257">
        <f t="shared" si="3"/>
        <v>1.8734177215189816</v>
      </c>
    </row>
    <row r="127" spans="1:7" ht="16" x14ac:dyDescent="0.2">
      <c r="A127" s="28" t="s">
        <v>422</v>
      </c>
      <c r="B127" s="253" t="s">
        <v>19</v>
      </c>
      <c r="C127" s="145" t="s">
        <v>910</v>
      </c>
      <c r="D127" s="145" t="s">
        <v>827</v>
      </c>
      <c r="E127" s="145" t="s">
        <v>28</v>
      </c>
      <c r="F127" s="257">
        <v>4.1509433962264151</v>
      </c>
      <c r="G127" s="257">
        <f t="shared" si="3"/>
        <v>4.1509433962264151</v>
      </c>
    </row>
    <row r="128" spans="1:7" ht="16" x14ac:dyDescent="0.2">
      <c r="A128" s="28" t="s">
        <v>459</v>
      </c>
      <c r="B128" s="253" t="s">
        <v>19</v>
      </c>
      <c r="C128" s="145" t="s">
        <v>910</v>
      </c>
      <c r="D128" s="145" t="s">
        <v>827</v>
      </c>
      <c r="E128" s="145" t="s">
        <v>28</v>
      </c>
      <c r="F128" s="257">
        <v>9.7818181818181742</v>
      </c>
      <c r="G128" s="257">
        <f t="shared" si="3"/>
        <v>9.7818181818181742</v>
      </c>
    </row>
    <row r="129" spans="1:7" ht="16" x14ac:dyDescent="0.2">
      <c r="A129" s="145" t="s">
        <v>754</v>
      </c>
      <c r="B129" s="251" t="s">
        <v>77</v>
      </c>
      <c r="C129" s="145" t="s">
        <v>910</v>
      </c>
      <c r="D129" s="145" t="s">
        <v>785</v>
      </c>
      <c r="E129" s="145" t="s">
        <v>28</v>
      </c>
      <c r="F129" s="257">
        <v>-2.3529411764705914</v>
      </c>
      <c r="G129" s="257">
        <f t="shared" si="3"/>
        <v>2.3529411764705914</v>
      </c>
    </row>
    <row r="130" spans="1:7" ht="16" x14ac:dyDescent="0.2">
      <c r="A130" s="149" t="s">
        <v>486</v>
      </c>
      <c r="B130" s="251" t="s">
        <v>77</v>
      </c>
      <c r="C130" s="145" t="s">
        <v>910</v>
      </c>
      <c r="D130" s="145" t="s">
        <v>785</v>
      </c>
      <c r="E130" s="145" t="s">
        <v>28</v>
      </c>
      <c r="F130" s="257">
        <v>-1.5806988352745424</v>
      </c>
      <c r="G130" s="257">
        <f t="shared" ref="G130:G161" si="4">ABS(F130)</f>
        <v>1.5806988352745424</v>
      </c>
    </row>
    <row r="131" spans="1:7" ht="16" x14ac:dyDescent="0.2">
      <c r="A131" s="145" t="s">
        <v>759</v>
      </c>
      <c r="B131" s="251" t="s">
        <v>77</v>
      </c>
      <c r="C131" s="145" t="s">
        <v>910</v>
      </c>
      <c r="D131" s="145" t="s">
        <v>785</v>
      </c>
      <c r="E131" s="145" t="s">
        <v>28</v>
      </c>
      <c r="F131" s="257">
        <v>-1.2067435669920061</v>
      </c>
      <c r="G131" s="257">
        <f t="shared" si="4"/>
        <v>1.2067435669920061</v>
      </c>
    </row>
    <row r="132" spans="1:7" ht="16" x14ac:dyDescent="0.2">
      <c r="A132" s="145" t="s">
        <v>748</v>
      </c>
      <c r="B132" s="251" t="s">
        <v>77</v>
      </c>
      <c r="C132" s="145" t="s">
        <v>910</v>
      </c>
      <c r="D132" s="145" t="s">
        <v>785</v>
      </c>
      <c r="E132" s="145" t="s">
        <v>28</v>
      </c>
      <c r="F132" s="257">
        <v>-1.1732283464567002</v>
      </c>
      <c r="G132" s="257">
        <f t="shared" si="4"/>
        <v>1.1732283464567002</v>
      </c>
    </row>
    <row r="133" spans="1:7" ht="16" x14ac:dyDescent="0.2">
      <c r="A133" s="145" t="s">
        <v>749</v>
      </c>
      <c r="B133" s="251" t="s">
        <v>77</v>
      </c>
      <c r="C133" s="145" t="s">
        <v>910</v>
      </c>
      <c r="D133" s="145" t="s">
        <v>785</v>
      </c>
      <c r="E133" s="145" t="s">
        <v>28</v>
      </c>
      <c r="F133" s="257">
        <v>-0.34306569343066023</v>
      </c>
      <c r="G133" s="257">
        <f t="shared" si="4"/>
        <v>0.34306569343066023</v>
      </c>
    </row>
    <row r="134" spans="1:7" ht="16" x14ac:dyDescent="0.2">
      <c r="A134" s="145" t="s">
        <v>750</v>
      </c>
      <c r="B134" s="251" t="s">
        <v>77</v>
      </c>
      <c r="C134" s="145" t="s">
        <v>910</v>
      </c>
      <c r="D134" s="145" t="s">
        <v>785</v>
      </c>
      <c r="E134" s="145" t="s">
        <v>28</v>
      </c>
      <c r="F134" s="257">
        <v>0.35897435897435315</v>
      </c>
      <c r="G134" s="257">
        <f t="shared" si="4"/>
        <v>0.35897435897435315</v>
      </c>
    </row>
    <row r="135" spans="1:7" ht="16" x14ac:dyDescent="0.2">
      <c r="A135" s="145" t="s">
        <v>915</v>
      </c>
      <c r="B135" s="250" t="s">
        <v>77</v>
      </c>
      <c r="C135" s="145" t="s">
        <v>910</v>
      </c>
      <c r="D135" s="145" t="s">
        <v>785</v>
      </c>
      <c r="E135" s="145" t="s">
        <v>28</v>
      </c>
      <c r="F135" s="257">
        <v>5.2879581151832431</v>
      </c>
      <c r="G135" s="257">
        <f t="shared" si="4"/>
        <v>5.2879581151832431</v>
      </c>
    </row>
    <row r="136" spans="1:7" ht="16" x14ac:dyDescent="0.2">
      <c r="A136" s="145" t="s">
        <v>120</v>
      </c>
      <c r="B136" s="250" t="s">
        <v>77</v>
      </c>
      <c r="C136" s="145" t="s">
        <v>910</v>
      </c>
      <c r="D136" s="145" t="s">
        <v>785</v>
      </c>
      <c r="E136" s="145" t="s">
        <v>28</v>
      </c>
      <c r="F136" s="257">
        <v>-4.859315589353602</v>
      </c>
      <c r="G136" s="257">
        <f t="shared" si="4"/>
        <v>4.859315589353602</v>
      </c>
    </row>
    <row r="137" spans="1:7" ht="16" x14ac:dyDescent="0.2">
      <c r="A137" s="145" t="s">
        <v>121</v>
      </c>
      <c r="B137" s="250" t="s">
        <v>77</v>
      </c>
      <c r="C137" s="145" t="s">
        <v>910</v>
      </c>
      <c r="D137" s="145" t="s">
        <v>785</v>
      </c>
      <c r="E137" s="145" t="s">
        <v>28</v>
      </c>
      <c r="F137" s="257">
        <v>14.051094890510949</v>
      </c>
      <c r="G137" s="257">
        <f t="shared" si="4"/>
        <v>14.051094890510949</v>
      </c>
    </row>
    <row r="138" spans="1:7" ht="16" x14ac:dyDescent="0.2">
      <c r="A138" s="145" t="s">
        <v>941</v>
      </c>
      <c r="B138" s="253" t="s">
        <v>77</v>
      </c>
      <c r="C138" s="145" t="s">
        <v>912</v>
      </c>
      <c r="D138" s="145" t="s">
        <v>785</v>
      </c>
      <c r="E138" s="145" t="s">
        <v>28</v>
      </c>
      <c r="F138" s="257">
        <v>-4.6626686656671694</v>
      </c>
      <c r="G138" s="257">
        <f t="shared" si="4"/>
        <v>4.6626686656671694</v>
      </c>
    </row>
    <row r="139" spans="1:7" ht="16" x14ac:dyDescent="0.2">
      <c r="A139" s="145" t="s">
        <v>757</v>
      </c>
      <c r="B139" s="253" t="s">
        <v>46</v>
      </c>
      <c r="C139" s="145" t="s">
        <v>910</v>
      </c>
      <c r="D139" s="145" t="s">
        <v>785</v>
      </c>
      <c r="E139" s="145" t="s">
        <v>938</v>
      </c>
      <c r="F139" s="257">
        <v>-3.7578616352201224</v>
      </c>
      <c r="G139" s="257">
        <f t="shared" si="4"/>
        <v>3.7578616352201224</v>
      </c>
    </row>
    <row r="140" spans="1:7" ht="16" x14ac:dyDescent="0.2">
      <c r="A140" s="145" t="s">
        <v>780</v>
      </c>
      <c r="B140" s="253" t="s">
        <v>46</v>
      </c>
      <c r="C140" s="145" t="s">
        <v>910</v>
      </c>
      <c r="D140" s="145" t="s">
        <v>785</v>
      </c>
      <c r="E140" s="145" t="s">
        <v>938</v>
      </c>
      <c r="F140" s="257">
        <v>-2.4013157894736881</v>
      </c>
      <c r="G140" s="257">
        <f t="shared" si="4"/>
        <v>2.4013157894736881</v>
      </c>
    </row>
    <row r="141" spans="1:7" ht="16" x14ac:dyDescent="0.2">
      <c r="A141" s="149" t="s">
        <v>771</v>
      </c>
      <c r="B141" s="253" t="s">
        <v>46</v>
      </c>
      <c r="C141" s="145" t="s">
        <v>910</v>
      </c>
      <c r="D141" s="145" t="s">
        <v>785</v>
      </c>
      <c r="E141" s="145" t="s">
        <v>938</v>
      </c>
      <c r="F141" s="257">
        <v>-1.9157088122605364</v>
      </c>
      <c r="G141" s="257">
        <f t="shared" si="4"/>
        <v>1.9157088122605364</v>
      </c>
    </row>
    <row r="142" spans="1:7" ht="16" x14ac:dyDescent="0.2">
      <c r="A142" s="145" t="s">
        <v>766</v>
      </c>
      <c r="B142" s="253" t="s">
        <v>46</v>
      </c>
      <c r="C142" s="145" t="s">
        <v>910</v>
      </c>
      <c r="D142" s="145" t="s">
        <v>785</v>
      </c>
      <c r="E142" s="145" t="s">
        <v>938</v>
      </c>
      <c r="F142" s="257">
        <v>-0.25316455696202894</v>
      </c>
      <c r="G142" s="257">
        <f t="shared" si="4"/>
        <v>0.25316455696202894</v>
      </c>
    </row>
    <row r="143" spans="1:7" ht="16" x14ac:dyDescent="0.2">
      <c r="A143" s="145" t="s">
        <v>781</v>
      </c>
      <c r="B143" s="253" t="s">
        <v>46</v>
      </c>
      <c r="C143" s="145" t="s">
        <v>910</v>
      </c>
      <c r="D143" s="145" t="s">
        <v>785</v>
      </c>
      <c r="E143" s="145" t="s">
        <v>938</v>
      </c>
      <c r="F143" s="257">
        <v>-0.15384615384615968</v>
      </c>
      <c r="G143" s="257">
        <f t="shared" si="4"/>
        <v>0.15384615384615968</v>
      </c>
    </row>
    <row r="144" spans="1:7" ht="16" x14ac:dyDescent="0.2">
      <c r="A144" s="145" t="s">
        <v>755</v>
      </c>
      <c r="B144" s="253" t="s">
        <v>46</v>
      </c>
      <c r="C144" s="145" t="s">
        <v>910</v>
      </c>
      <c r="D144" s="145" t="s">
        <v>785</v>
      </c>
      <c r="E144" s="145" t="s">
        <v>938</v>
      </c>
      <c r="F144" s="257">
        <v>0.21325209444020979</v>
      </c>
      <c r="G144" s="257">
        <f t="shared" si="4"/>
        <v>0.21325209444020979</v>
      </c>
    </row>
    <row r="145" spans="1:7" ht="16" x14ac:dyDescent="0.2">
      <c r="A145" s="145" t="s">
        <v>758</v>
      </c>
      <c r="B145" s="253" t="s">
        <v>46</v>
      </c>
      <c r="C145" s="145" t="s">
        <v>910</v>
      </c>
      <c r="D145" s="145" t="s">
        <v>785</v>
      </c>
      <c r="E145" s="145" t="s">
        <v>938</v>
      </c>
      <c r="F145" s="257">
        <v>0.78260869565217395</v>
      </c>
      <c r="G145" s="257">
        <f t="shared" si="4"/>
        <v>0.78260869565217395</v>
      </c>
    </row>
    <row r="146" spans="1:7" ht="16" x14ac:dyDescent="0.2">
      <c r="A146" s="149" t="s">
        <v>772</v>
      </c>
      <c r="B146" s="253" t="s">
        <v>46</v>
      </c>
      <c r="C146" s="145" t="s">
        <v>910</v>
      </c>
      <c r="D146" s="145" t="s">
        <v>785</v>
      </c>
      <c r="E146" s="145" t="s">
        <v>938</v>
      </c>
      <c r="F146" s="257">
        <v>0.79661016949153318</v>
      </c>
      <c r="G146" s="257">
        <f t="shared" si="4"/>
        <v>0.79661016949153318</v>
      </c>
    </row>
    <row r="147" spans="1:7" ht="16" x14ac:dyDescent="0.2">
      <c r="A147" s="145" t="s">
        <v>743</v>
      </c>
      <c r="B147" s="253" t="s">
        <v>46</v>
      </c>
      <c r="C147" s="145" t="s">
        <v>910</v>
      </c>
      <c r="D147" s="145" t="s">
        <v>785</v>
      </c>
      <c r="E147" s="145" t="s">
        <v>938</v>
      </c>
      <c r="F147" s="257">
        <v>1.0507880910683012</v>
      </c>
      <c r="G147" s="257">
        <f t="shared" si="4"/>
        <v>1.0507880910683012</v>
      </c>
    </row>
    <row r="148" spans="1:7" ht="16" x14ac:dyDescent="0.2">
      <c r="A148" s="145" t="s">
        <v>756</v>
      </c>
      <c r="B148" s="253" t="s">
        <v>46</v>
      </c>
      <c r="C148" s="145" t="s">
        <v>910</v>
      </c>
      <c r="D148" s="145" t="s">
        <v>785</v>
      </c>
      <c r="E148" s="145" t="s">
        <v>938</v>
      </c>
      <c r="F148" s="257">
        <v>1.4750957854406217</v>
      </c>
      <c r="G148" s="257">
        <f t="shared" si="4"/>
        <v>1.4750957854406217</v>
      </c>
    </row>
    <row r="149" spans="1:7" ht="16" x14ac:dyDescent="0.2">
      <c r="A149" s="145" t="s">
        <v>747</v>
      </c>
      <c r="B149" s="253" t="s">
        <v>46</v>
      </c>
      <c r="C149" s="145" t="s">
        <v>910</v>
      </c>
      <c r="D149" s="145" t="s">
        <v>785</v>
      </c>
      <c r="E149" s="145" t="s">
        <v>938</v>
      </c>
      <c r="F149" s="257">
        <v>2.2515527950310559</v>
      </c>
      <c r="G149" s="257">
        <f t="shared" si="4"/>
        <v>2.2515527950310559</v>
      </c>
    </row>
    <row r="150" spans="1:7" ht="16" x14ac:dyDescent="0.2">
      <c r="A150" s="145" t="s">
        <v>777</v>
      </c>
      <c r="B150" s="253" t="s">
        <v>46</v>
      </c>
      <c r="C150" s="145" t="s">
        <v>910</v>
      </c>
      <c r="D150" s="145" t="s">
        <v>785</v>
      </c>
      <c r="E150" s="145" t="s">
        <v>938</v>
      </c>
      <c r="F150" s="257">
        <v>2.4789207419898895</v>
      </c>
      <c r="G150" s="257">
        <f t="shared" si="4"/>
        <v>2.4789207419898895</v>
      </c>
    </row>
    <row r="151" spans="1:7" ht="16" x14ac:dyDescent="0.2">
      <c r="A151" s="145" t="s">
        <v>58</v>
      </c>
      <c r="B151" s="253" t="s">
        <v>16</v>
      </c>
      <c r="C151" s="145" t="s">
        <v>910</v>
      </c>
      <c r="D151" s="145" t="s">
        <v>827</v>
      </c>
      <c r="E151" s="145" t="s">
        <v>938</v>
      </c>
      <c r="F151" s="257">
        <v>-7.0178571428571344</v>
      </c>
      <c r="G151" s="257">
        <f t="shared" si="4"/>
        <v>7.0178571428571344</v>
      </c>
    </row>
    <row r="152" spans="1:7" ht="16" x14ac:dyDescent="0.2">
      <c r="A152" s="145" t="s">
        <v>914</v>
      </c>
      <c r="B152" s="250" t="s">
        <v>16</v>
      </c>
      <c r="C152" s="145" t="s">
        <v>910</v>
      </c>
      <c r="D152" s="145" t="s">
        <v>785</v>
      </c>
      <c r="E152" s="145" t="s">
        <v>938</v>
      </c>
      <c r="F152" s="257">
        <v>-4.731182795698925</v>
      </c>
      <c r="G152" s="257">
        <f t="shared" si="4"/>
        <v>4.731182795698925</v>
      </c>
    </row>
    <row r="153" spans="1:7" ht="16" x14ac:dyDescent="0.2">
      <c r="A153" s="145" t="s">
        <v>243</v>
      </c>
      <c r="B153" s="250" t="s">
        <v>16</v>
      </c>
      <c r="C153" s="145" t="s">
        <v>910</v>
      </c>
      <c r="D153" s="145" t="s">
        <v>785</v>
      </c>
      <c r="E153" s="145" t="s">
        <v>938</v>
      </c>
      <c r="F153" s="257">
        <v>-4.0666666666666629</v>
      </c>
      <c r="G153" s="257">
        <f t="shared" si="4"/>
        <v>4.0666666666666629</v>
      </c>
    </row>
    <row r="154" spans="1:7" ht="16" x14ac:dyDescent="0.2">
      <c r="A154" s="145" t="s">
        <v>913</v>
      </c>
      <c r="B154" s="250" t="s">
        <v>16</v>
      </c>
      <c r="C154" s="145" t="s">
        <v>910</v>
      </c>
      <c r="D154" s="145" t="s">
        <v>785</v>
      </c>
      <c r="E154" s="145" t="s">
        <v>938</v>
      </c>
      <c r="F154" s="257">
        <v>-2.1359223300970873</v>
      </c>
      <c r="G154" s="257">
        <f t="shared" si="4"/>
        <v>2.1359223300970873</v>
      </c>
    </row>
    <row r="155" spans="1:7" ht="16" x14ac:dyDescent="0.2">
      <c r="A155" s="145" t="s">
        <v>926</v>
      </c>
      <c r="B155" s="250" t="s">
        <v>16</v>
      </c>
      <c r="C155" s="145" t="s">
        <v>912</v>
      </c>
      <c r="D155" s="145" t="s">
        <v>785</v>
      </c>
      <c r="E155" s="145" t="s">
        <v>938</v>
      </c>
      <c r="F155" s="257">
        <v>-1.5494880546075156</v>
      </c>
      <c r="G155" s="257">
        <f t="shared" si="4"/>
        <v>1.5494880546075156</v>
      </c>
    </row>
    <row r="156" spans="1:7" ht="16" x14ac:dyDescent="0.2">
      <c r="A156" s="145" t="s">
        <v>921</v>
      </c>
      <c r="B156" s="250" t="s">
        <v>16</v>
      </c>
      <c r="C156" s="145" t="s">
        <v>912</v>
      </c>
      <c r="D156" s="145" t="s">
        <v>785</v>
      </c>
      <c r="E156" s="145" t="s">
        <v>938</v>
      </c>
      <c r="F156" s="257">
        <v>-1.4295081967213159</v>
      </c>
      <c r="G156" s="257">
        <f t="shared" si="4"/>
        <v>1.4295081967213159</v>
      </c>
    </row>
    <row r="157" spans="1:7" ht="16" x14ac:dyDescent="0.2">
      <c r="A157" s="145" t="s">
        <v>920</v>
      </c>
      <c r="B157" s="250" t="s">
        <v>16</v>
      </c>
      <c r="C157" s="145" t="s">
        <v>910</v>
      </c>
      <c r="D157" s="145" t="s">
        <v>785</v>
      </c>
      <c r="E157" s="145" t="s">
        <v>938</v>
      </c>
      <c r="F157" s="257">
        <v>8.4210526315832562E-3</v>
      </c>
      <c r="G157" s="257">
        <f t="shared" si="4"/>
        <v>8.4210526315832562E-3</v>
      </c>
    </row>
    <row r="158" spans="1:7" ht="16" x14ac:dyDescent="0.2">
      <c r="A158" s="145" t="s">
        <v>925</v>
      </c>
      <c r="B158" s="250" t="s">
        <v>16</v>
      </c>
      <c r="C158" s="145" t="s">
        <v>912</v>
      </c>
      <c r="D158" s="145" t="s">
        <v>785</v>
      </c>
      <c r="E158" s="145" t="s">
        <v>938</v>
      </c>
      <c r="F158" s="257">
        <v>6.0000000000002274E-2</v>
      </c>
      <c r="G158" s="257">
        <f t="shared" si="4"/>
        <v>6.0000000000002274E-2</v>
      </c>
    </row>
    <row r="159" spans="1:7" ht="16" x14ac:dyDescent="0.2">
      <c r="A159" s="145" t="s">
        <v>918</v>
      </c>
      <c r="B159" s="250" t="s">
        <v>16</v>
      </c>
      <c r="C159" s="145" t="s">
        <v>910</v>
      </c>
      <c r="D159" s="145" t="s">
        <v>785</v>
      </c>
      <c r="E159" s="145" t="s">
        <v>938</v>
      </c>
      <c r="F159" s="257">
        <v>0.43927648578811074</v>
      </c>
      <c r="G159" s="257">
        <f t="shared" si="4"/>
        <v>0.43927648578811074</v>
      </c>
    </row>
    <row r="160" spans="1:7" ht="16" x14ac:dyDescent="0.2">
      <c r="A160" s="145" t="s">
        <v>927</v>
      </c>
      <c r="B160" s="250" t="s">
        <v>16</v>
      </c>
      <c r="C160" s="145" t="s">
        <v>912</v>
      </c>
      <c r="D160" s="145" t="s">
        <v>785</v>
      </c>
      <c r="E160" s="145" t="s">
        <v>938</v>
      </c>
      <c r="F160" s="257">
        <v>0.94117647058823528</v>
      </c>
      <c r="G160" s="257">
        <f t="shared" si="4"/>
        <v>0.94117647058823528</v>
      </c>
    </row>
    <row r="161" spans="1:7" ht="16" x14ac:dyDescent="0.2">
      <c r="A161" s="145" t="s">
        <v>923</v>
      </c>
      <c r="B161" s="250" t="s">
        <v>16</v>
      </c>
      <c r="C161" s="145" t="s">
        <v>910</v>
      </c>
      <c r="D161" s="145" t="s">
        <v>785</v>
      </c>
      <c r="E161" s="145" t="s">
        <v>938</v>
      </c>
      <c r="F161" s="257">
        <v>6.2906724511930587</v>
      </c>
      <c r="G161" s="257">
        <f t="shared" si="4"/>
        <v>6.2906724511930587</v>
      </c>
    </row>
    <row r="162" spans="1:7" ht="16" x14ac:dyDescent="0.2">
      <c r="A162" s="145" t="s">
        <v>924</v>
      </c>
      <c r="B162" s="250" t="s">
        <v>16</v>
      </c>
      <c r="C162" s="145" t="s">
        <v>912</v>
      </c>
      <c r="D162" s="145" t="s">
        <v>785</v>
      </c>
      <c r="E162" s="145" t="s">
        <v>938</v>
      </c>
      <c r="F162" s="257">
        <v>8.4160305343511492</v>
      </c>
      <c r="G162" s="257">
        <f t="shared" ref="G162:G193" si="5">ABS(F162)</f>
        <v>8.4160305343511492</v>
      </c>
    </row>
    <row r="163" spans="1:7" ht="16" x14ac:dyDescent="0.2">
      <c r="A163" s="145" t="s">
        <v>916</v>
      </c>
      <c r="B163" s="253" t="s">
        <v>19</v>
      </c>
      <c r="C163" s="145" t="s">
        <v>910</v>
      </c>
      <c r="D163" s="145" t="s">
        <v>785</v>
      </c>
      <c r="E163" s="145" t="s">
        <v>938</v>
      </c>
      <c r="F163" s="257">
        <v>-3.3303330333033303</v>
      </c>
      <c r="G163" s="257">
        <f t="shared" si="5"/>
        <v>3.3303330333033303</v>
      </c>
    </row>
    <row r="164" spans="1:7" ht="16" x14ac:dyDescent="0.2">
      <c r="A164" s="145" t="s">
        <v>768</v>
      </c>
      <c r="B164" s="253" t="s">
        <v>19</v>
      </c>
      <c r="C164" s="145" t="s">
        <v>910</v>
      </c>
      <c r="D164" s="145" t="s">
        <v>785</v>
      </c>
      <c r="E164" s="145" t="s">
        <v>938</v>
      </c>
      <c r="F164" s="257">
        <v>-0.70175438596491224</v>
      </c>
      <c r="G164" s="257">
        <f t="shared" si="5"/>
        <v>0.70175438596491224</v>
      </c>
    </row>
    <row r="165" spans="1:7" ht="16" x14ac:dyDescent="0.2">
      <c r="A165" s="145" t="s">
        <v>752</v>
      </c>
      <c r="B165" s="253" t="s">
        <v>19</v>
      </c>
      <c r="C165" s="145" t="s">
        <v>910</v>
      </c>
      <c r="D165" s="145" t="s">
        <v>785</v>
      </c>
      <c r="E165" s="145" t="s">
        <v>938</v>
      </c>
      <c r="F165" s="257">
        <v>-0.34883720930232937</v>
      </c>
      <c r="G165" s="257">
        <f t="shared" si="5"/>
        <v>0.34883720930232937</v>
      </c>
    </row>
    <row r="166" spans="1:7" ht="16" x14ac:dyDescent="0.2">
      <c r="A166" s="145" t="s">
        <v>761</v>
      </c>
      <c r="B166" s="253" t="s">
        <v>19</v>
      </c>
      <c r="C166" s="145" t="s">
        <v>910</v>
      </c>
      <c r="D166" s="145" t="s">
        <v>785</v>
      </c>
      <c r="E166" s="145" t="s">
        <v>938</v>
      </c>
      <c r="F166" s="257">
        <v>-0.11111111111110479</v>
      </c>
      <c r="G166" s="257">
        <f t="shared" si="5"/>
        <v>0.11111111111110479</v>
      </c>
    </row>
    <row r="167" spans="1:7" ht="16" x14ac:dyDescent="0.2">
      <c r="A167" s="145" t="s">
        <v>760</v>
      </c>
      <c r="B167" s="253" t="s">
        <v>19</v>
      </c>
      <c r="C167" s="145" t="s">
        <v>910</v>
      </c>
      <c r="D167" s="145" t="s">
        <v>785</v>
      </c>
      <c r="E167" s="145" t="s">
        <v>938</v>
      </c>
      <c r="F167" s="257">
        <v>0.10447761194030529</v>
      </c>
      <c r="G167" s="257">
        <f t="shared" si="5"/>
        <v>0.10447761194030529</v>
      </c>
    </row>
    <row r="168" spans="1:7" ht="16" x14ac:dyDescent="0.2">
      <c r="A168" s="145" t="s">
        <v>782</v>
      </c>
      <c r="B168" s="253" t="s">
        <v>19</v>
      </c>
      <c r="C168" s="145" t="s">
        <v>910</v>
      </c>
      <c r="D168" s="145" t="s">
        <v>785</v>
      </c>
      <c r="E168" s="145" t="s">
        <v>938</v>
      </c>
      <c r="F168" s="257">
        <v>0.73770491803279159</v>
      </c>
      <c r="G168" s="257">
        <f t="shared" si="5"/>
        <v>0.73770491803279159</v>
      </c>
    </row>
    <row r="169" spans="1:7" ht="16" x14ac:dyDescent="0.2">
      <c r="A169" s="145" t="s">
        <v>763</v>
      </c>
      <c r="B169" s="253" t="s">
        <v>19</v>
      </c>
      <c r="C169" s="145" t="s">
        <v>910</v>
      </c>
      <c r="D169" s="145" t="s">
        <v>785</v>
      </c>
      <c r="E169" s="145" t="s">
        <v>938</v>
      </c>
      <c r="F169" s="257">
        <v>1.8762886597938191</v>
      </c>
      <c r="G169" s="257">
        <f t="shared" si="5"/>
        <v>1.8762886597938191</v>
      </c>
    </row>
    <row r="170" spans="1:7" ht="16" x14ac:dyDescent="0.2">
      <c r="A170" s="145" t="s">
        <v>745</v>
      </c>
      <c r="B170" s="253" t="s">
        <v>19</v>
      </c>
      <c r="C170" s="145" t="s">
        <v>910</v>
      </c>
      <c r="D170" s="145" t="s">
        <v>785</v>
      </c>
      <c r="E170" s="145" t="s">
        <v>938</v>
      </c>
      <c r="F170" s="257">
        <v>6.617647058823529</v>
      </c>
      <c r="G170" s="257">
        <f t="shared" si="5"/>
        <v>6.617647058823529</v>
      </c>
    </row>
    <row r="171" spans="1:7" ht="16" x14ac:dyDescent="0.2">
      <c r="A171" s="149" t="s">
        <v>774</v>
      </c>
      <c r="B171" s="251" t="s">
        <v>77</v>
      </c>
      <c r="C171" s="145" t="s">
        <v>910</v>
      </c>
      <c r="D171" s="145" t="s">
        <v>785</v>
      </c>
      <c r="E171" s="145" t="s">
        <v>938</v>
      </c>
      <c r="F171" s="257">
        <v>-5.1506024096385543</v>
      </c>
      <c r="G171" s="257">
        <f t="shared" si="5"/>
        <v>5.1506024096385543</v>
      </c>
    </row>
    <row r="172" spans="1:7" ht="16" x14ac:dyDescent="0.2">
      <c r="A172" s="145" t="s">
        <v>764</v>
      </c>
      <c r="B172" s="251" t="s">
        <v>77</v>
      </c>
      <c r="C172" s="145" t="s">
        <v>910</v>
      </c>
      <c r="D172" s="145" t="s">
        <v>785</v>
      </c>
      <c r="E172" s="145" t="s">
        <v>938</v>
      </c>
      <c r="F172" s="257">
        <v>-1.6778523489932886</v>
      </c>
      <c r="G172" s="257">
        <f t="shared" si="5"/>
        <v>1.6778523489932886</v>
      </c>
    </row>
    <row r="173" spans="1:7" ht="16" x14ac:dyDescent="0.2">
      <c r="A173" s="145" t="s">
        <v>746</v>
      </c>
      <c r="B173" s="251" t="s">
        <v>77</v>
      </c>
      <c r="C173" s="145" t="s">
        <v>910</v>
      </c>
      <c r="D173" s="145" t="s">
        <v>785</v>
      </c>
      <c r="E173" s="145" t="s">
        <v>938</v>
      </c>
      <c r="F173" s="257">
        <v>-1.5816127775613522</v>
      </c>
      <c r="G173" s="257">
        <f t="shared" si="5"/>
        <v>1.5816127775613522</v>
      </c>
    </row>
    <row r="174" spans="1:7" ht="16" x14ac:dyDescent="0.2">
      <c r="A174" s="145" t="s">
        <v>770</v>
      </c>
      <c r="B174" s="251" t="s">
        <v>77</v>
      </c>
      <c r="C174" s="145" t="s">
        <v>910</v>
      </c>
      <c r="D174" s="145" t="s">
        <v>785</v>
      </c>
      <c r="E174" s="145" t="s">
        <v>938</v>
      </c>
      <c r="F174" s="257">
        <v>-1.3272727272727189</v>
      </c>
      <c r="G174" s="257">
        <f t="shared" si="5"/>
        <v>1.3272727272727189</v>
      </c>
    </row>
    <row r="175" spans="1:7" ht="16" x14ac:dyDescent="0.2">
      <c r="A175" s="145" t="s">
        <v>762</v>
      </c>
      <c r="B175" s="251" t="s">
        <v>77</v>
      </c>
      <c r="C175" s="145" t="s">
        <v>910</v>
      </c>
      <c r="D175" s="145" t="s">
        <v>785</v>
      </c>
      <c r="E175" s="145" t="s">
        <v>938</v>
      </c>
      <c r="F175" s="257">
        <v>-0.18644067796610556</v>
      </c>
      <c r="G175" s="257">
        <f t="shared" si="5"/>
        <v>0.18644067796610556</v>
      </c>
    </row>
    <row r="176" spans="1:7" ht="16" x14ac:dyDescent="0.2">
      <c r="A176" s="145" t="s">
        <v>783</v>
      </c>
      <c r="B176" s="251" t="s">
        <v>77</v>
      </c>
      <c r="C176" s="145" t="s">
        <v>910</v>
      </c>
      <c r="D176" s="145" t="s">
        <v>785</v>
      </c>
      <c r="E176" s="145" t="s">
        <v>938</v>
      </c>
      <c r="F176" s="257">
        <v>-2.9411764705877894E-2</v>
      </c>
      <c r="G176" s="257">
        <f t="shared" si="5"/>
        <v>2.9411764705877894E-2</v>
      </c>
    </row>
    <row r="177" spans="1:7" ht="16" x14ac:dyDescent="0.2">
      <c r="A177" s="149" t="s">
        <v>776</v>
      </c>
      <c r="B177" s="251" t="s">
        <v>77</v>
      </c>
      <c r="C177" s="145" t="s">
        <v>910</v>
      </c>
      <c r="D177" s="145" t="s">
        <v>785</v>
      </c>
      <c r="E177" s="145" t="s">
        <v>938</v>
      </c>
      <c r="F177" s="257">
        <v>0.13471502590673104</v>
      </c>
      <c r="G177" s="257">
        <f t="shared" si="5"/>
        <v>0.13471502590673104</v>
      </c>
    </row>
    <row r="178" spans="1:7" ht="16" x14ac:dyDescent="0.2">
      <c r="A178" s="145" t="s">
        <v>741</v>
      </c>
      <c r="B178" s="251" t="s">
        <v>77</v>
      </c>
      <c r="C178" s="145" t="s">
        <v>910</v>
      </c>
      <c r="D178" s="145" t="s">
        <v>785</v>
      </c>
      <c r="E178" s="145" t="s">
        <v>938</v>
      </c>
      <c r="F178" s="257">
        <v>0.22058823529411764</v>
      </c>
      <c r="G178" s="257">
        <f t="shared" si="5"/>
        <v>0.22058823529411764</v>
      </c>
    </row>
    <row r="179" spans="1:7" ht="16" x14ac:dyDescent="0.2">
      <c r="A179" s="145" t="s">
        <v>778</v>
      </c>
      <c r="B179" s="251" t="s">
        <v>77</v>
      </c>
      <c r="C179" s="145" t="s">
        <v>910</v>
      </c>
      <c r="D179" s="145" t="s">
        <v>785</v>
      </c>
      <c r="E179" s="145" t="s">
        <v>938</v>
      </c>
      <c r="F179" s="257">
        <v>0.703124999999997</v>
      </c>
      <c r="G179" s="257">
        <f t="shared" si="5"/>
        <v>0.703124999999997</v>
      </c>
    </row>
    <row r="180" spans="1:7" ht="16" x14ac:dyDescent="0.2">
      <c r="A180" s="145" t="s">
        <v>740</v>
      </c>
      <c r="B180" s="251" t="s">
        <v>77</v>
      </c>
      <c r="C180" s="145" t="s">
        <v>910</v>
      </c>
      <c r="D180" s="145" t="s">
        <v>785</v>
      </c>
      <c r="E180" s="145" t="s">
        <v>938</v>
      </c>
      <c r="F180" s="257">
        <v>0.73741007194245012</v>
      </c>
      <c r="G180" s="257">
        <f t="shared" si="5"/>
        <v>0.73741007194245012</v>
      </c>
    </row>
    <row r="181" spans="1:7" ht="16" x14ac:dyDescent="0.2">
      <c r="A181" s="149" t="s">
        <v>929</v>
      </c>
      <c r="B181" s="251" t="s">
        <v>77</v>
      </c>
      <c r="C181" s="145" t="s">
        <v>910</v>
      </c>
      <c r="D181" s="145" t="s">
        <v>785</v>
      </c>
      <c r="E181" s="145" t="s">
        <v>938</v>
      </c>
      <c r="F181" s="257">
        <v>1.2027231467473594</v>
      </c>
      <c r="G181" s="257">
        <f t="shared" si="5"/>
        <v>1.2027231467473594</v>
      </c>
    </row>
    <row r="182" spans="1:7" ht="16" x14ac:dyDescent="0.2">
      <c r="A182" s="149" t="s">
        <v>773</v>
      </c>
      <c r="B182" s="251" t="s">
        <v>77</v>
      </c>
      <c r="C182" s="145" t="s">
        <v>910</v>
      </c>
      <c r="D182" s="145" t="s">
        <v>785</v>
      </c>
      <c r="E182" s="145" t="s">
        <v>938</v>
      </c>
      <c r="F182" s="257">
        <v>1.3219895287958146</v>
      </c>
      <c r="G182" s="257">
        <f t="shared" si="5"/>
        <v>1.3219895287958146</v>
      </c>
    </row>
    <row r="183" spans="1:7" ht="16" x14ac:dyDescent="0.2">
      <c r="A183" s="145" t="s">
        <v>769</v>
      </c>
      <c r="B183" s="251" t="s">
        <v>77</v>
      </c>
      <c r="C183" s="145" t="s">
        <v>910</v>
      </c>
      <c r="D183" s="145" t="s">
        <v>785</v>
      </c>
      <c r="E183" s="145" t="s">
        <v>938</v>
      </c>
      <c r="F183" s="257">
        <v>1.5000000000000078</v>
      </c>
      <c r="G183" s="257">
        <f t="shared" si="5"/>
        <v>1.5000000000000078</v>
      </c>
    </row>
    <row r="184" spans="1:7" ht="16" x14ac:dyDescent="0.2">
      <c r="A184" s="149" t="s">
        <v>928</v>
      </c>
      <c r="B184" s="251" t="s">
        <v>77</v>
      </c>
      <c r="C184" s="145" t="s">
        <v>910</v>
      </c>
      <c r="D184" s="145" t="s">
        <v>785</v>
      </c>
      <c r="E184" s="145" t="s">
        <v>938</v>
      </c>
      <c r="F184" s="257">
        <v>2.0879120879120809</v>
      </c>
      <c r="G184" s="257">
        <f t="shared" si="5"/>
        <v>2.0879120879120809</v>
      </c>
    </row>
    <row r="185" spans="1:7" ht="16" x14ac:dyDescent="0.2">
      <c r="A185" s="145" t="s">
        <v>742</v>
      </c>
      <c r="B185" s="251" t="s">
        <v>77</v>
      </c>
      <c r="C185" s="145" t="s">
        <v>910</v>
      </c>
      <c r="D185" s="145" t="s">
        <v>785</v>
      </c>
      <c r="E185" s="145" t="s">
        <v>938</v>
      </c>
      <c r="F185" s="257">
        <v>2.4269005847953249</v>
      </c>
      <c r="G185" s="257">
        <f t="shared" si="5"/>
        <v>2.4269005847953249</v>
      </c>
    </row>
    <row r="186" spans="1:7" ht="16" x14ac:dyDescent="0.2">
      <c r="A186" s="145" t="s">
        <v>744</v>
      </c>
      <c r="B186" s="251" t="s">
        <v>77</v>
      </c>
      <c r="C186" s="145" t="s">
        <v>910</v>
      </c>
      <c r="D186" s="145" t="s">
        <v>785</v>
      </c>
      <c r="E186" s="145" t="s">
        <v>938</v>
      </c>
      <c r="F186" s="257">
        <v>3.081632653061229</v>
      </c>
      <c r="G186" s="257">
        <f t="shared" si="5"/>
        <v>3.081632653061229</v>
      </c>
    </row>
    <row r="187" spans="1:7" ht="16" x14ac:dyDescent="0.2">
      <c r="A187" s="145" t="s">
        <v>759</v>
      </c>
      <c r="B187" s="251" t="s">
        <v>77</v>
      </c>
      <c r="C187" s="145" t="s">
        <v>910</v>
      </c>
      <c r="D187" s="145" t="s">
        <v>785</v>
      </c>
      <c r="E187" s="145" t="s">
        <v>938</v>
      </c>
      <c r="F187" s="257">
        <v>3.5726495726495688</v>
      </c>
      <c r="G187" s="257">
        <f t="shared" si="5"/>
        <v>3.5726495726495688</v>
      </c>
    </row>
    <row r="188" spans="1:7" ht="16" x14ac:dyDescent="0.2">
      <c r="A188" s="145" t="s">
        <v>765</v>
      </c>
      <c r="B188" s="251" t="s">
        <v>77</v>
      </c>
      <c r="C188" s="145" t="s">
        <v>910</v>
      </c>
      <c r="D188" s="145" t="s">
        <v>785</v>
      </c>
      <c r="E188" s="145" t="s">
        <v>938</v>
      </c>
      <c r="F188" s="257">
        <v>3.6910569105691131</v>
      </c>
      <c r="G188" s="257">
        <f t="shared" si="5"/>
        <v>3.6910569105691131</v>
      </c>
    </row>
    <row r="189" spans="1:7" ht="16" x14ac:dyDescent="0.2">
      <c r="A189" s="149" t="s">
        <v>775</v>
      </c>
      <c r="B189" s="251" t="s">
        <v>77</v>
      </c>
      <c r="C189" s="145" t="s">
        <v>910</v>
      </c>
      <c r="D189" s="145" t="s">
        <v>785</v>
      </c>
      <c r="E189" s="145" t="s">
        <v>938</v>
      </c>
      <c r="F189" s="257">
        <v>3.6987951807228971</v>
      </c>
      <c r="G189" s="257">
        <f t="shared" si="5"/>
        <v>3.6987951807228971</v>
      </c>
    </row>
    <row r="190" spans="1:7" ht="16" x14ac:dyDescent="0.2">
      <c r="A190" s="145" t="s">
        <v>767</v>
      </c>
      <c r="B190" s="251" t="s">
        <v>77</v>
      </c>
      <c r="C190" s="145" t="s">
        <v>910</v>
      </c>
      <c r="D190" s="145" t="s">
        <v>785</v>
      </c>
      <c r="E190" s="145" t="s">
        <v>938</v>
      </c>
      <c r="F190" s="257">
        <v>4.272058823529405</v>
      </c>
      <c r="G190" s="257">
        <f t="shared" si="5"/>
        <v>4.272058823529405</v>
      </c>
    </row>
    <row r="191" spans="1:7" ht="16" x14ac:dyDescent="0.2">
      <c r="A191" s="145" t="s">
        <v>104</v>
      </c>
      <c r="B191" s="251" t="s">
        <v>77</v>
      </c>
      <c r="C191" s="145" t="s">
        <v>912</v>
      </c>
      <c r="D191" s="145" t="s">
        <v>827</v>
      </c>
      <c r="E191" s="145" t="s">
        <v>938</v>
      </c>
      <c r="F191" s="257">
        <v>4.8464419475655465</v>
      </c>
      <c r="G191" s="257">
        <f t="shared" si="5"/>
        <v>4.8464419475655465</v>
      </c>
    </row>
    <row r="192" spans="1:7" ht="16" x14ac:dyDescent="0.2">
      <c r="A192" s="149" t="s">
        <v>486</v>
      </c>
      <c r="B192" s="251" t="s">
        <v>77</v>
      </c>
      <c r="C192" s="145" t="s">
        <v>910</v>
      </c>
      <c r="D192" s="145" t="s">
        <v>785</v>
      </c>
      <c r="E192" s="145" t="s">
        <v>938</v>
      </c>
      <c r="F192" s="257">
        <v>4.9259259259259256</v>
      </c>
      <c r="G192" s="257">
        <f t="shared" si="5"/>
        <v>4.9259259259259256</v>
      </c>
    </row>
    <row r="193" spans="1:7" ht="16" x14ac:dyDescent="0.2">
      <c r="A193" s="145" t="s">
        <v>915</v>
      </c>
      <c r="B193" s="250" t="s">
        <v>77</v>
      </c>
      <c r="C193" s="145" t="s">
        <v>910</v>
      </c>
      <c r="D193" s="145" t="s">
        <v>785</v>
      </c>
      <c r="E193" s="145" t="s">
        <v>938</v>
      </c>
      <c r="F193" s="257">
        <v>6.2034739454094296</v>
      </c>
      <c r="G193" s="257">
        <f t="shared" si="5"/>
        <v>6.2034739454094296</v>
      </c>
    </row>
    <row r="194" spans="1:7" ht="16" x14ac:dyDescent="0.2">
      <c r="A194" s="145" t="s">
        <v>941</v>
      </c>
      <c r="B194" s="253" t="s">
        <v>77</v>
      </c>
      <c r="C194" s="145" t="s">
        <v>912</v>
      </c>
      <c r="D194" s="145" t="s">
        <v>785</v>
      </c>
      <c r="E194" s="145" t="s">
        <v>938</v>
      </c>
      <c r="F194" s="257">
        <v>-5.3840631730078963</v>
      </c>
      <c r="G194" s="257">
        <f t="shared" ref="G194:G196" si="6">ABS(F194)</f>
        <v>5.3840631730078963</v>
      </c>
    </row>
    <row r="195" spans="1:7" ht="16" x14ac:dyDescent="0.2">
      <c r="A195" s="145" t="s">
        <v>120</v>
      </c>
      <c r="B195" s="250" t="s">
        <v>77</v>
      </c>
      <c r="C195" s="145" t="s">
        <v>910</v>
      </c>
      <c r="D195" s="145" t="s">
        <v>785</v>
      </c>
      <c r="E195" s="145" t="s">
        <v>938</v>
      </c>
      <c r="F195" s="257">
        <v>-3.5069444444444446</v>
      </c>
      <c r="G195" s="257">
        <f t="shared" si="6"/>
        <v>3.5069444444444446</v>
      </c>
    </row>
    <row r="196" spans="1:7" ht="16" x14ac:dyDescent="0.2">
      <c r="A196" s="145" t="s">
        <v>121</v>
      </c>
      <c r="B196" s="250" t="s">
        <v>77</v>
      </c>
      <c r="C196" s="145" t="s">
        <v>910</v>
      </c>
      <c r="D196" s="145" t="s">
        <v>785</v>
      </c>
      <c r="E196" s="145" t="s">
        <v>938</v>
      </c>
      <c r="F196" s="257">
        <v>11.983805668016194</v>
      </c>
      <c r="G196" s="257">
        <f t="shared" si="6"/>
        <v>11.983805668016194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D87E-123C-2B45-8D04-D5EE26AC30BC}">
  <dimension ref="A1:L546"/>
  <sheetViews>
    <sheetView topLeftCell="A224" workbookViewId="0">
      <selection sqref="A1:G282"/>
    </sheetView>
  </sheetViews>
  <sheetFormatPr baseColWidth="10" defaultRowHeight="13" x14ac:dyDescent="0.15"/>
  <cols>
    <col min="1" max="1" width="11.6640625" bestFit="1" customWidth="1"/>
    <col min="5" max="5" width="5.33203125" bestFit="1" customWidth="1"/>
  </cols>
  <sheetData>
    <row r="1" spans="1:7" x14ac:dyDescent="0.15">
      <c r="A1" s="24" t="s">
        <v>402</v>
      </c>
      <c r="B1" s="24" t="s">
        <v>0</v>
      </c>
      <c r="C1" s="24" t="s">
        <v>911</v>
      </c>
      <c r="D1" s="24" t="s">
        <v>784</v>
      </c>
      <c r="E1" s="24" t="s">
        <v>936</v>
      </c>
      <c r="F1" s="24" t="s">
        <v>937</v>
      </c>
      <c r="G1" s="24" t="s">
        <v>950</v>
      </c>
    </row>
    <row r="2" spans="1:7" ht="16" x14ac:dyDescent="0.2">
      <c r="A2" s="145" t="s">
        <v>780</v>
      </c>
      <c r="B2" s="253" t="s">
        <v>46</v>
      </c>
      <c r="C2" s="145" t="s">
        <v>910</v>
      </c>
      <c r="D2" s="145" t="s">
        <v>785</v>
      </c>
      <c r="E2" s="145" t="s">
        <v>6</v>
      </c>
      <c r="F2" s="257">
        <v>-5.2697095435684602</v>
      </c>
      <c r="G2" s="257">
        <f t="shared" ref="G2:G65" si="0">ABS(F2)</f>
        <v>5.2697095435684602</v>
      </c>
    </row>
    <row r="3" spans="1:7" ht="16" x14ac:dyDescent="0.2">
      <c r="A3" s="149" t="s">
        <v>772</v>
      </c>
      <c r="B3" s="253" t="s">
        <v>46</v>
      </c>
      <c r="C3" s="145" t="s">
        <v>910</v>
      </c>
      <c r="D3" s="145" t="s">
        <v>785</v>
      </c>
      <c r="E3" s="145" t="s">
        <v>6</v>
      </c>
      <c r="F3" s="257">
        <v>-4.7178329571106046</v>
      </c>
      <c r="G3" s="257">
        <f t="shared" si="0"/>
        <v>4.7178329571106046</v>
      </c>
    </row>
    <row r="4" spans="1:7" ht="16" x14ac:dyDescent="0.2">
      <c r="A4" s="256" t="s">
        <v>492</v>
      </c>
      <c r="B4" s="253" t="s">
        <v>46</v>
      </c>
      <c r="C4" s="145" t="s">
        <v>910</v>
      </c>
      <c r="D4" s="145" t="s">
        <v>909</v>
      </c>
      <c r="E4" s="145" t="s">
        <v>6</v>
      </c>
      <c r="F4" s="257">
        <v>-4.2907801418439799</v>
      </c>
      <c r="G4" s="257">
        <f t="shared" si="0"/>
        <v>4.2907801418439799</v>
      </c>
    </row>
    <row r="5" spans="1:7" ht="16" x14ac:dyDescent="0.2">
      <c r="A5" s="149" t="s">
        <v>771</v>
      </c>
      <c r="B5" s="253" t="s">
        <v>46</v>
      </c>
      <c r="C5" s="145" t="s">
        <v>910</v>
      </c>
      <c r="D5" s="145" t="s">
        <v>785</v>
      </c>
      <c r="E5" s="145" t="s">
        <v>6</v>
      </c>
      <c r="F5" s="257">
        <v>-2.7272727272727244</v>
      </c>
      <c r="G5" s="257">
        <f t="shared" si="0"/>
        <v>2.7272727272727244</v>
      </c>
    </row>
    <row r="6" spans="1:7" ht="16" x14ac:dyDescent="0.2">
      <c r="A6" s="145" t="s">
        <v>757</v>
      </c>
      <c r="B6" s="253" t="s">
        <v>46</v>
      </c>
      <c r="C6" s="145" t="s">
        <v>910</v>
      </c>
      <c r="D6" s="145" t="s">
        <v>785</v>
      </c>
      <c r="E6" s="145" t="s">
        <v>6</v>
      </c>
      <c r="F6" s="257">
        <v>-2.5773195876288661</v>
      </c>
      <c r="G6" s="257">
        <f t="shared" si="0"/>
        <v>2.5773195876288661</v>
      </c>
    </row>
    <row r="7" spans="1:7" ht="16" x14ac:dyDescent="0.2">
      <c r="A7" s="145" t="s">
        <v>755</v>
      </c>
      <c r="B7" s="253" t="s">
        <v>46</v>
      </c>
      <c r="C7" s="145" t="s">
        <v>910</v>
      </c>
      <c r="D7" s="145" t="s">
        <v>785</v>
      </c>
      <c r="E7" s="145" t="s">
        <v>6</v>
      </c>
      <c r="F7" s="257">
        <v>-0.5613472333600642</v>
      </c>
      <c r="G7" s="257">
        <f t="shared" si="0"/>
        <v>0.5613472333600642</v>
      </c>
    </row>
    <row r="8" spans="1:7" ht="16" x14ac:dyDescent="0.2">
      <c r="A8" s="145" t="s">
        <v>743</v>
      </c>
      <c r="B8" s="253" t="s">
        <v>46</v>
      </c>
      <c r="C8" s="145" t="s">
        <v>910</v>
      </c>
      <c r="D8" s="145" t="s">
        <v>785</v>
      </c>
      <c r="E8" s="145" t="s">
        <v>6</v>
      </c>
      <c r="F8" s="257">
        <v>-0.51886792452829922</v>
      </c>
      <c r="G8" s="257">
        <f t="shared" si="0"/>
        <v>0.51886792452829922</v>
      </c>
    </row>
    <row r="9" spans="1:7" ht="16" x14ac:dyDescent="0.2">
      <c r="A9" s="145" t="s">
        <v>751</v>
      </c>
      <c r="B9" s="253" t="s">
        <v>46</v>
      </c>
      <c r="C9" s="145" t="s">
        <v>910</v>
      </c>
      <c r="D9" s="145" t="s">
        <v>785</v>
      </c>
      <c r="E9" s="145" t="s">
        <v>6</v>
      </c>
      <c r="F9" s="257">
        <v>-0.38186157517900304</v>
      </c>
      <c r="G9" s="257">
        <f t="shared" si="0"/>
        <v>0.38186157517900304</v>
      </c>
    </row>
    <row r="10" spans="1:7" ht="16" x14ac:dyDescent="0.2">
      <c r="A10" s="145" t="s">
        <v>766</v>
      </c>
      <c r="B10" s="253" t="s">
        <v>46</v>
      </c>
      <c r="C10" s="145" t="s">
        <v>910</v>
      </c>
      <c r="D10" s="145" t="s">
        <v>785</v>
      </c>
      <c r="E10" s="145" t="s">
        <v>6</v>
      </c>
      <c r="F10" s="257">
        <v>-0.37894736842105503</v>
      </c>
      <c r="G10" s="257">
        <f t="shared" si="0"/>
        <v>0.37894736842105503</v>
      </c>
    </row>
    <row r="11" spans="1:7" ht="16" x14ac:dyDescent="0.2">
      <c r="A11" s="145" t="s">
        <v>758</v>
      </c>
      <c r="B11" s="253" t="s">
        <v>46</v>
      </c>
      <c r="C11" s="145" t="s">
        <v>910</v>
      </c>
      <c r="D11" s="145" t="s">
        <v>785</v>
      </c>
      <c r="E11" s="145" t="s">
        <v>6</v>
      </c>
      <c r="F11" s="257">
        <v>0.53097345132742857</v>
      </c>
      <c r="G11" s="257">
        <f t="shared" si="0"/>
        <v>0.53097345132742857</v>
      </c>
    </row>
    <row r="12" spans="1:7" ht="16" x14ac:dyDescent="0.2">
      <c r="A12" s="145" t="s">
        <v>777</v>
      </c>
      <c r="B12" s="253" t="s">
        <v>46</v>
      </c>
      <c r="C12" s="145" t="s">
        <v>910</v>
      </c>
      <c r="D12" s="145" t="s">
        <v>785</v>
      </c>
      <c r="E12" s="145" t="s">
        <v>6</v>
      </c>
      <c r="F12" s="257">
        <v>1.8818380743982543</v>
      </c>
      <c r="G12" s="257">
        <f t="shared" si="0"/>
        <v>1.8818380743982543</v>
      </c>
    </row>
    <row r="13" spans="1:7" ht="16" x14ac:dyDescent="0.2">
      <c r="A13" s="145" t="s">
        <v>756</v>
      </c>
      <c r="B13" s="253" t="s">
        <v>46</v>
      </c>
      <c r="C13" s="145" t="s">
        <v>910</v>
      </c>
      <c r="D13" s="145" t="s">
        <v>785</v>
      </c>
      <c r="E13" s="145" t="s">
        <v>6</v>
      </c>
      <c r="F13" s="257">
        <v>2.5747126436781582</v>
      </c>
      <c r="G13" s="257">
        <f t="shared" si="0"/>
        <v>2.5747126436781582</v>
      </c>
    </row>
    <row r="14" spans="1:7" ht="16" x14ac:dyDescent="0.2">
      <c r="A14" s="145" t="s">
        <v>781</v>
      </c>
      <c r="B14" s="253" t="s">
        <v>46</v>
      </c>
      <c r="C14" s="145" t="s">
        <v>910</v>
      </c>
      <c r="D14" s="145" t="s">
        <v>785</v>
      </c>
      <c r="E14" s="145" t="s">
        <v>6</v>
      </c>
      <c r="F14" s="257">
        <v>2.7329192546583885</v>
      </c>
      <c r="G14" s="257">
        <f t="shared" si="0"/>
        <v>2.7329192546583885</v>
      </c>
    </row>
    <row r="15" spans="1:7" ht="16" x14ac:dyDescent="0.2">
      <c r="A15" s="256" t="s">
        <v>520</v>
      </c>
      <c r="B15" s="253" t="s">
        <v>16</v>
      </c>
      <c r="C15" s="145" t="s">
        <v>910</v>
      </c>
      <c r="D15" s="145" t="s">
        <v>909</v>
      </c>
      <c r="E15" s="145" t="s">
        <v>6</v>
      </c>
      <c r="F15" s="257">
        <v>-11.081081081081084</v>
      </c>
      <c r="G15" s="257">
        <f t="shared" si="0"/>
        <v>11.081081081081084</v>
      </c>
    </row>
    <row r="16" spans="1:7" ht="16" x14ac:dyDescent="0.2">
      <c r="A16" s="256" t="s">
        <v>521</v>
      </c>
      <c r="B16" s="253" t="s">
        <v>16</v>
      </c>
      <c r="C16" s="145" t="s">
        <v>910</v>
      </c>
      <c r="D16" s="145" t="s">
        <v>909</v>
      </c>
      <c r="E16" s="145" t="s">
        <v>6</v>
      </c>
      <c r="F16" s="257">
        <v>-6.7999999999999927</v>
      </c>
      <c r="G16" s="257">
        <f t="shared" si="0"/>
        <v>6.7999999999999927</v>
      </c>
    </row>
    <row r="17" spans="1:7" ht="16" x14ac:dyDescent="0.2">
      <c r="A17" s="145" t="s">
        <v>919</v>
      </c>
      <c r="B17" s="250" t="s">
        <v>16</v>
      </c>
      <c r="C17" s="145" t="s">
        <v>910</v>
      </c>
      <c r="D17" s="145" t="s">
        <v>785</v>
      </c>
      <c r="E17" s="145" t="s">
        <v>6</v>
      </c>
      <c r="F17" s="257">
        <v>-6.1728395061728394</v>
      </c>
      <c r="G17" s="257">
        <f t="shared" si="0"/>
        <v>6.1728395061728394</v>
      </c>
    </row>
    <row r="18" spans="1:7" ht="16" x14ac:dyDescent="0.2">
      <c r="A18" s="145" t="s">
        <v>914</v>
      </c>
      <c r="B18" s="250" t="s">
        <v>16</v>
      </c>
      <c r="C18" s="145" t="s">
        <v>910</v>
      </c>
      <c r="D18" s="145" t="s">
        <v>785</v>
      </c>
      <c r="E18" s="145" t="s">
        <v>6</v>
      </c>
      <c r="F18" s="257">
        <v>-5.6818181818181817</v>
      </c>
      <c r="G18" s="257">
        <f t="shared" si="0"/>
        <v>5.6818181818181817</v>
      </c>
    </row>
    <row r="19" spans="1:7" ht="16" x14ac:dyDescent="0.2">
      <c r="A19" s="145" t="s">
        <v>243</v>
      </c>
      <c r="B19" s="250" t="s">
        <v>16</v>
      </c>
      <c r="C19" s="145" t="s">
        <v>910</v>
      </c>
      <c r="D19" s="145" t="s">
        <v>785</v>
      </c>
      <c r="E19" s="145" t="s">
        <v>6</v>
      </c>
      <c r="F19" s="257">
        <v>-5.0390625000000018</v>
      </c>
      <c r="G19" s="257">
        <f t="shared" si="0"/>
        <v>5.0390625000000018</v>
      </c>
    </row>
    <row r="20" spans="1:7" ht="16" x14ac:dyDescent="0.2">
      <c r="A20" s="207" t="s">
        <v>715</v>
      </c>
      <c r="B20" s="253" t="s">
        <v>16</v>
      </c>
      <c r="C20" s="145" t="s">
        <v>910</v>
      </c>
      <c r="D20" s="145" t="s">
        <v>827</v>
      </c>
      <c r="E20" s="145" t="s">
        <v>6</v>
      </c>
      <c r="F20" s="257">
        <v>-4</v>
      </c>
      <c r="G20" s="257">
        <f t="shared" si="0"/>
        <v>4</v>
      </c>
    </row>
    <row r="21" spans="1:7" ht="16" x14ac:dyDescent="0.2">
      <c r="A21" s="254" t="s">
        <v>18</v>
      </c>
      <c r="B21" s="253" t="s">
        <v>16</v>
      </c>
      <c r="C21" s="145" t="s">
        <v>910</v>
      </c>
      <c r="D21" s="145" t="s">
        <v>785</v>
      </c>
      <c r="E21" s="145" t="s">
        <v>6</v>
      </c>
      <c r="F21" s="257">
        <v>-1.7241379310344827</v>
      </c>
      <c r="G21" s="257">
        <f t="shared" si="0"/>
        <v>1.7241379310344827</v>
      </c>
    </row>
    <row r="22" spans="1:7" ht="16" x14ac:dyDescent="0.2">
      <c r="A22" s="207" t="s">
        <v>714</v>
      </c>
      <c r="B22" s="253" t="s">
        <v>16</v>
      </c>
      <c r="C22" s="145" t="s">
        <v>910</v>
      </c>
      <c r="D22" s="145" t="s">
        <v>827</v>
      </c>
      <c r="E22" s="145" t="s">
        <v>6</v>
      </c>
      <c r="F22" s="257">
        <v>-1.0843373493975972</v>
      </c>
      <c r="G22" s="257">
        <f t="shared" si="0"/>
        <v>1.0843373493975972</v>
      </c>
    </row>
    <row r="23" spans="1:7" ht="16" x14ac:dyDescent="0.2">
      <c r="A23" s="145" t="s">
        <v>926</v>
      </c>
      <c r="B23" s="250" t="s">
        <v>16</v>
      </c>
      <c r="C23" s="145" t="s">
        <v>912</v>
      </c>
      <c r="D23" s="145" t="s">
        <v>785</v>
      </c>
      <c r="E23" s="145" t="s">
        <v>6</v>
      </c>
      <c r="F23" s="257">
        <v>-0.87453874538745557</v>
      </c>
      <c r="G23" s="257">
        <f t="shared" si="0"/>
        <v>0.87453874538745557</v>
      </c>
    </row>
    <row r="24" spans="1:7" ht="16" x14ac:dyDescent="0.2">
      <c r="A24" s="145" t="s">
        <v>920</v>
      </c>
      <c r="B24" s="250" t="s">
        <v>16</v>
      </c>
      <c r="C24" s="145" t="s">
        <v>910</v>
      </c>
      <c r="D24" s="145" t="s">
        <v>785</v>
      </c>
      <c r="E24" s="145" t="s">
        <v>6</v>
      </c>
      <c r="F24" s="257">
        <v>0.31531531531531021</v>
      </c>
      <c r="G24" s="257">
        <f t="shared" si="0"/>
        <v>0.31531531531531021</v>
      </c>
    </row>
    <row r="25" spans="1:7" ht="16" x14ac:dyDescent="0.2">
      <c r="A25" s="145" t="s">
        <v>925</v>
      </c>
      <c r="B25" s="250" t="s">
        <v>16</v>
      </c>
      <c r="C25" s="145" t="s">
        <v>912</v>
      </c>
      <c r="D25" s="145" t="s">
        <v>785</v>
      </c>
      <c r="E25" s="145" t="s">
        <v>6</v>
      </c>
      <c r="F25" s="257">
        <v>0.41862955032119575</v>
      </c>
      <c r="G25" s="257">
        <f t="shared" si="0"/>
        <v>0.41862955032119575</v>
      </c>
    </row>
    <row r="26" spans="1:7" ht="16" x14ac:dyDescent="0.2">
      <c r="A26" s="145" t="s">
        <v>918</v>
      </c>
      <c r="B26" s="250" t="s">
        <v>16</v>
      </c>
      <c r="C26" s="145" t="s">
        <v>910</v>
      </c>
      <c r="D26" s="145" t="s">
        <v>785</v>
      </c>
      <c r="E26" s="145" t="s">
        <v>6</v>
      </c>
      <c r="F26" s="257">
        <v>0.4972375690607766</v>
      </c>
      <c r="G26" s="257">
        <f t="shared" si="0"/>
        <v>0.4972375690607766</v>
      </c>
    </row>
    <row r="27" spans="1:7" ht="16" x14ac:dyDescent="0.2">
      <c r="A27" s="145" t="s">
        <v>927</v>
      </c>
      <c r="B27" s="250" t="s">
        <v>16</v>
      </c>
      <c r="C27" s="145" t="s">
        <v>912</v>
      </c>
      <c r="D27" s="145" t="s">
        <v>785</v>
      </c>
      <c r="E27" s="145" t="s">
        <v>6</v>
      </c>
      <c r="F27" s="257">
        <v>1.3417721518987371</v>
      </c>
      <c r="G27" s="257">
        <f t="shared" si="0"/>
        <v>1.3417721518987371</v>
      </c>
    </row>
    <row r="28" spans="1:7" ht="16" x14ac:dyDescent="0.2">
      <c r="A28" s="145" t="s">
        <v>923</v>
      </c>
      <c r="B28" s="250" t="s">
        <v>16</v>
      </c>
      <c r="C28" s="145" t="s">
        <v>910</v>
      </c>
      <c r="D28" s="145" t="s">
        <v>785</v>
      </c>
      <c r="E28" s="145" t="s">
        <v>6</v>
      </c>
      <c r="F28" s="257">
        <v>3.9999999999999973</v>
      </c>
      <c r="G28" s="257">
        <f t="shared" si="0"/>
        <v>3.9999999999999973</v>
      </c>
    </row>
    <row r="29" spans="1:7" ht="16" x14ac:dyDescent="0.2">
      <c r="A29" s="145" t="s">
        <v>921</v>
      </c>
      <c r="B29" s="250" t="s">
        <v>16</v>
      </c>
      <c r="C29" s="145" t="s">
        <v>912</v>
      </c>
      <c r="D29" s="145" t="s">
        <v>785</v>
      </c>
      <c r="E29" s="145" t="s">
        <v>6</v>
      </c>
      <c r="F29" s="257">
        <v>9.1003861003860962</v>
      </c>
      <c r="G29" s="257">
        <f t="shared" si="0"/>
        <v>9.1003861003860962</v>
      </c>
    </row>
    <row r="30" spans="1:7" ht="16" x14ac:dyDescent="0.2">
      <c r="A30" s="145" t="s">
        <v>924</v>
      </c>
      <c r="B30" s="250" t="s">
        <v>16</v>
      </c>
      <c r="C30" s="145" t="s">
        <v>912</v>
      </c>
      <c r="D30" s="145" t="s">
        <v>785</v>
      </c>
      <c r="E30" s="145" t="s">
        <v>6</v>
      </c>
      <c r="F30" s="257">
        <v>10.28898128898129</v>
      </c>
      <c r="G30" s="257">
        <f t="shared" si="0"/>
        <v>10.28898128898129</v>
      </c>
    </row>
    <row r="31" spans="1:7" ht="16" x14ac:dyDescent="0.2">
      <c r="A31" s="255" t="s">
        <v>485</v>
      </c>
      <c r="B31" s="253" t="s">
        <v>19</v>
      </c>
      <c r="C31" s="145" t="s">
        <v>910</v>
      </c>
      <c r="D31" s="145" t="s">
        <v>785</v>
      </c>
      <c r="E31" s="145" t="s">
        <v>6</v>
      </c>
      <c r="F31" s="257">
        <v>-10.746753246753254</v>
      </c>
      <c r="G31" s="257">
        <f t="shared" si="0"/>
        <v>10.746753246753254</v>
      </c>
    </row>
    <row r="32" spans="1:7" ht="16" x14ac:dyDescent="0.2">
      <c r="A32" s="255" t="s">
        <v>483</v>
      </c>
      <c r="B32" s="253" t="s">
        <v>19</v>
      </c>
      <c r="C32" s="145" t="s">
        <v>910</v>
      </c>
      <c r="D32" s="145" t="s">
        <v>909</v>
      </c>
      <c r="E32" s="145" t="s">
        <v>6</v>
      </c>
      <c r="F32" s="257">
        <v>-9.7761194029850742</v>
      </c>
      <c r="G32" s="257">
        <f t="shared" si="0"/>
        <v>9.7761194029850742</v>
      </c>
    </row>
    <row r="33" spans="1:7" ht="16" x14ac:dyDescent="0.2">
      <c r="A33" s="145" t="s">
        <v>916</v>
      </c>
      <c r="B33" s="253" t="s">
        <v>19</v>
      </c>
      <c r="C33" s="145" t="s">
        <v>910</v>
      </c>
      <c r="D33" s="145" t="s">
        <v>785</v>
      </c>
      <c r="E33" s="145" t="s">
        <v>6</v>
      </c>
      <c r="F33" s="257">
        <v>-5.6842105263157894</v>
      </c>
      <c r="G33" s="257">
        <f t="shared" si="0"/>
        <v>5.6842105263157894</v>
      </c>
    </row>
    <row r="34" spans="1:7" ht="16" x14ac:dyDescent="0.2">
      <c r="A34" s="252" t="s">
        <v>917</v>
      </c>
      <c r="B34" s="253" t="s">
        <v>19</v>
      </c>
      <c r="C34" s="145" t="s">
        <v>910</v>
      </c>
      <c r="D34" s="254" t="s">
        <v>785</v>
      </c>
      <c r="E34" s="145" t="s">
        <v>6</v>
      </c>
      <c r="F34" s="257">
        <v>-5.1162790697674421</v>
      </c>
      <c r="G34" s="257">
        <f t="shared" si="0"/>
        <v>5.1162790697674421</v>
      </c>
    </row>
    <row r="35" spans="1:7" ht="16" x14ac:dyDescent="0.2">
      <c r="A35" s="28" t="s">
        <v>426</v>
      </c>
      <c r="B35" s="253" t="s">
        <v>19</v>
      </c>
      <c r="C35" s="145" t="s">
        <v>910</v>
      </c>
      <c r="D35" s="145" t="s">
        <v>827</v>
      </c>
      <c r="E35" s="145" t="s">
        <v>6</v>
      </c>
      <c r="F35" s="257">
        <v>-2.7199999999999971</v>
      </c>
      <c r="G35" s="257">
        <f t="shared" si="0"/>
        <v>2.7199999999999971</v>
      </c>
    </row>
    <row r="36" spans="1:7" ht="16" x14ac:dyDescent="0.2">
      <c r="A36" s="145" t="s">
        <v>779</v>
      </c>
      <c r="B36" s="253" t="s">
        <v>19</v>
      </c>
      <c r="C36" s="145" t="s">
        <v>910</v>
      </c>
      <c r="D36" s="145" t="s">
        <v>785</v>
      </c>
      <c r="E36" s="145" t="s">
        <v>6</v>
      </c>
      <c r="F36" s="257">
        <v>-1.4925373134328359</v>
      </c>
      <c r="G36" s="257">
        <f t="shared" si="0"/>
        <v>1.4925373134328359</v>
      </c>
    </row>
    <row r="37" spans="1:7" ht="16" x14ac:dyDescent="0.2">
      <c r="A37" s="145" t="s">
        <v>763</v>
      </c>
      <c r="B37" s="253" t="s">
        <v>19</v>
      </c>
      <c r="C37" s="145" t="s">
        <v>910</v>
      </c>
      <c r="D37" s="145" t="s">
        <v>785</v>
      </c>
      <c r="E37" s="145" t="s">
        <v>6</v>
      </c>
      <c r="F37" s="257">
        <v>-1.4891304347826135</v>
      </c>
      <c r="G37" s="257">
        <f t="shared" si="0"/>
        <v>1.4891304347826135</v>
      </c>
    </row>
    <row r="38" spans="1:7" ht="16" x14ac:dyDescent="0.2">
      <c r="A38" s="28" t="s">
        <v>435</v>
      </c>
      <c r="B38" s="253" t="s">
        <v>19</v>
      </c>
      <c r="C38" s="145" t="s">
        <v>910</v>
      </c>
      <c r="D38" s="145" t="s">
        <v>827</v>
      </c>
      <c r="E38" s="145" t="s">
        <v>6</v>
      </c>
      <c r="F38" s="257">
        <v>-1.2635658914728647</v>
      </c>
      <c r="G38" s="257">
        <f t="shared" si="0"/>
        <v>1.2635658914728647</v>
      </c>
    </row>
    <row r="39" spans="1:7" ht="16" x14ac:dyDescent="0.2">
      <c r="A39" s="255" t="s">
        <v>481</v>
      </c>
      <c r="B39" s="253" t="s">
        <v>19</v>
      </c>
      <c r="C39" s="145" t="s">
        <v>910</v>
      </c>
      <c r="D39" s="145" t="s">
        <v>785</v>
      </c>
      <c r="E39" s="145" t="s">
        <v>6</v>
      </c>
      <c r="F39" s="257">
        <v>-1.214057507987224</v>
      </c>
      <c r="G39" s="257">
        <f t="shared" si="0"/>
        <v>1.214057507987224</v>
      </c>
    </row>
    <row r="40" spans="1:7" ht="16" x14ac:dyDescent="0.2">
      <c r="A40" s="145" t="s">
        <v>760</v>
      </c>
      <c r="B40" s="253" t="s">
        <v>19</v>
      </c>
      <c r="C40" s="145" t="s">
        <v>910</v>
      </c>
      <c r="D40" s="145" t="s">
        <v>785</v>
      </c>
      <c r="E40" s="145" t="s">
        <v>6</v>
      </c>
      <c r="F40" s="257">
        <v>-1.0498084291187775</v>
      </c>
      <c r="G40" s="257">
        <f t="shared" si="0"/>
        <v>1.0498084291187775</v>
      </c>
    </row>
    <row r="41" spans="1:7" ht="16" x14ac:dyDescent="0.2">
      <c r="A41" s="145" t="s">
        <v>745</v>
      </c>
      <c r="B41" s="253" t="s">
        <v>19</v>
      </c>
      <c r="C41" s="145" t="s">
        <v>910</v>
      </c>
      <c r="D41" s="145" t="s">
        <v>785</v>
      </c>
      <c r="E41" s="145" t="s">
        <v>6</v>
      </c>
      <c r="F41" s="257">
        <v>-0.73015873015873378</v>
      </c>
      <c r="G41" s="257">
        <f t="shared" si="0"/>
        <v>0.73015873015873378</v>
      </c>
    </row>
    <row r="42" spans="1:7" ht="16" x14ac:dyDescent="0.2">
      <c r="A42" s="145" t="s">
        <v>782</v>
      </c>
      <c r="B42" s="253" t="s">
        <v>19</v>
      </c>
      <c r="C42" s="145" t="s">
        <v>910</v>
      </c>
      <c r="D42" s="145" t="s">
        <v>785</v>
      </c>
      <c r="E42" s="145" t="s">
        <v>6</v>
      </c>
      <c r="F42" s="257">
        <v>-0.61440677966101209</v>
      </c>
      <c r="G42" s="257">
        <f t="shared" si="0"/>
        <v>0.61440677966101209</v>
      </c>
    </row>
    <row r="43" spans="1:7" ht="16" x14ac:dyDescent="0.2">
      <c r="A43" s="145" t="s">
        <v>761</v>
      </c>
      <c r="B43" s="253" t="s">
        <v>19</v>
      </c>
      <c r="C43" s="145" t="s">
        <v>910</v>
      </c>
      <c r="D43" s="145" t="s">
        <v>785</v>
      </c>
      <c r="E43" s="145" t="s">
        <v>6</v>
      </c>
      <c r="F43" s="257">
        <v>-0.46109510086455985</v>
      </c>
      <c r="G43" s="257">
        <f t="shared" si="0"/>
        <v>0.46109510086455985</v>
      </c>
    </row>
    <row r="44" spans="1:7" ht="16" x14ac:dyDescent="0.2">
      <c r="A44" s="28" t="s">
        <v>427</v>
      </c>
      <c r="B44" s="253" t="s">
        <v>19</v>
      </c>
      <c r="C44" s="145" t="s">
        <v>910</v>
      </c>
      <c r="D44" s="145" t="s">
        <v>827</v>
      </c>
      <c r="E44" s="145" t="s">
        <v>6</v>
      </c>
      <c r="F44" s="257">
        <v>0.71999999999999698</v>
      </c>
      <c r="G44" s="257">
        <f t="shared" si="0"/>
        <v>0.71999999999999698</v>
      </c>
    </row>
    <row r="45" spans="1:7" ht="16" x14ac:dyDescent="0.2">
      <c r="A45" s="145" t="s">
        <v>752</v>
      </c>
      <c r="B45" s="253" t="s">
        <v>19</v>
      </c>
      <c r="C45" s="145" t="s">
        <v>910</v>
      </c>
      <c r="D45" s="145" t="s">
        <v>785</v>
      </c>
      <c r="E45" s="145" t="s">
        <v>6</v>
      </c>
      <c r="F45" s="257">
        <v>5.0300601202404858</v>
      </c>
      <c r="G45" s="257">
        <f t="shared" si="0"/>
        <v>5.0300601202404858</v>
      </c>
    </row>
    <row r="46" spans="1:7" ht="16" x14ac:dyDescent="0.2">
      <c r="A46" s="28" t="s">
        <v>459</v>
      </c>
      <c r="B46" s="253" t="s">
        <v>19</v>
      </c>
      <c r="C46" s="145" t="s">
        <v>910</v>
      </c>
      <c r="D46" s="145" t="s">
        <v>827</v>
      </c>
      <c r="E46" s="145" t="s">
        <v>6</v>
      </c>
      <c r="F46" s="257">
        <v>12.713178294573646</v>
      </c>
      <c r="G46" s="257">
        <f t="shared" si="0"/>
        <v>12.713178294573646</v>
      </c>
    </row>
    <row r="47" spans="1:7" ht="16" x14ac:dyDescent="0.2">
      <c r="A47" s="145" t="s">
        <v>764</v>
      </c>
      <c r="B47" s="251" t="s">
        <v>77</v>
      </c>
      <c r="C47" s="145" t="s">
        <v>910</v>
      </c>
      <c r="D47" s="145" t="s">
        <v>785</v>
      </c>
      <c r="E47" s="145" t="s">
        <v>6</v>
      </c>
      <c r="F47" s="257">
        <v>-7.1603053435114479</v>
      </c>
      <c r="G47" s="257">
        <f t="shared" si="0"/>
        <v>7.1603053435114479</v>
      </c>
    </row>
    <row r="48" spans="1:7" ht="16" x14ac:dyDescent="0.2">
      <c r="A48" s="149" t="s">
        <v>773</v>
      </c>
      <c r="B48" s="251" t="s">
        <v>77</v>
      </c>
      <c r="C48" s="145" t="s">
        <v>910</v>
      </c>
      <c r="D48" s="145" t="s">
        <v>785</v>
      </c>
      <c r="E48" s="145" t="s">
        <v>6</v>
      </c>
      <c r="F48" s="257">
        <v>-4.0307692307692378</v>
      </c>
      <c r="G48" s="257">
        <f t="shared" si="0"/>
        <v>4.0307692307692378</v>
      </c>
    </row>
    <row r="49" spans="1:7" ht="16" x14ac:dyDescent="0.2">
      <c r="A49" s="149" t="s">
        <v>774</v>
      </c>
      <c r="B49" s="251" t="s">
        <v>77</v>
      </c>
      <c r="C49" s="145" t="s">
        <v>910</v>
      </c>
      <c r="D49" s="145" t="s">
        <v>785</v>
      </c>
      <c r="E49" s="145" t="s">
        <v>6</v>
      </c>
      <c r="F49" s="257">
        <v>-2.2068965517241379</v>
      </c>
      <c r="G49" s="257">
        <f t="shared" si="0"/>
        <v>2.2068965517241379</v>
      </c>
    </row>
    <row r="50" spans="1:7" ht="16" x14ac:dyDescent="0.2">
      <c r="A50" s="145" t="s">
        <v>746</v>
      </c>
      <c r="B50" s="251" t="s">
        <v>77</v>
      </c>
      <c r="C50" s="145" t="s">
        <v>910</v>
      </c>
      <c r="D50" s="145" t="s">
        <v>785</v>
      </c>
      <c r="E50" s="145" t="s">
        <v>6</v>
      </c>
      <c r="F50" s="257">
        <v>-1.8026101141924884</v>
      </c>
      <c r="G50" s="257">
        <f t="shared" si="0"/>
        <v>1.8026101141924884</v>
      </c>
    </row>
    <row r="51" spans="1:7" ht="16" x14ac:dyDescent="0.2">
      <c r="A51" s="145" t="s">
        <v>762</v>
      </c>
      <c r="B51" s="251" t="s">
        <v>77</v>
      </c>
      <c r="C51" s="145" t="s">
        <v>910</v>
      </c>
      <c r="D51" s="145" t="s">
        <v>785</v>
      </c>
      <c r="E51" s="145" t="s">
        <v>6</v>
      </c>
      <c r="F51" s="257">
        <v>-1.6695059625212869</v>
      </c>
      <c r="G51" s="257">
        <f t="shared" si="0"/>
        <v>1.6695059625212869</v>
      </c>
    </row>
    <row r="52" spans="1:7" ht="16" x14ac:dyDescent="0.2">
      <c r="A52" s="145" t="s">
        <v>750</v>
      </c>
      <c r="B52" s="251" t="s">
        <v>77</v>
      </c>
      <c r="C52" s="145" t="s">
        <v>910</v>
      </c>
      <c r="D52" s="145" t="s">
        <v>785</v>
      </c>
      <c r="E52" s="145" t="s">
        <v>6</v>
      </c>
      <c r="F52" s="257">
        <v>-1.5135135135135196</v>
      </c>
      <c r="G52" s="257">
        <f t="shared" si="0"/>
        <v>1.5135135135135196</v>
      </c>
    </row>
    <row r="53" spans="1:7" ht="16" x14ac:dyDescent="0.2">
      <c r="A53" s="149" t="s">
        <v>486</v>
      </c>
      <c r="B53" s="251" t="s">
        <v>77</v>
      </c>
      <c r="C53" s="145" t="s">
        <v>910</v>
      </c>
      <c r="D53" s="145" t="s">
        <v>785</v>
      </c>
      <c r="E53" s="145" t="s">
        <v>6</v>
      </c>
      <c r="F53" s="257">
        <v>-1.4406779661016949</v>
      </c>
      <c r="G53" s="257">
        <f t="shared" si="0"/>
        <v>1.4406779661016949</v>
      </c>
    </row>
    <row r="54" spans="1:7" ht="16" x14ac:dyDescent="0.2">
      <c r="A54" s="145" t="s">
        <v>754</v>
      </c>
      <c r="B54" s="251" t="s">
        <v>77</v>
      </c>
      <c r="C54" s="145" t="s">
        <v>910</v>
      </c>
      <c r="D54" s="145" t="s">
        <v>785</v>
      </c>
      <c r="E54" s="145" t="s">
        <v>6</v>
      </c>
      <c r="F54" s="257">
        <v>-0.89080459770115594</v>
      </c>
      <c r="G54" s="257">
        <f t="shared" si="0"/>
        <v>0.89080459770115594</v>
      </c>
    </row>
    <row r="55" spans="1:7" ht="16" x14ac:dyDescent="0.2">
      <c r="A55" s="145" t="s">
        <v>783</v>
      </c>
      <c r="B55" s="251" t="s">
        <v>77</v>
      </c>
      <c r="C55" s="145" t="s">
        <v>910</v>
      </c>
      <c r="D55" s="145" t="s">
        <v>785</v>
      </c>
      <c r="E55" s="145" t="s">
        <v>6</v>
      </c>
      <c r="F55" s="257">
        <v>-0.65817409766454837</v>
      </c>
      <c r="G55" s="257">
        <f t="shared" si="0"/>
        <v>0.65817409766454837</v>
      </c>
    </row>
    <row r="56" spans="1:7" ht="16" x14ac:dyDescent="0.2">
      <c r="A56" s="149" t="s">
        <v>776</v>
      </c>
      <c r="B56" s="251" t="s">
        <v>77</v>
      </c>
      <c r="C56" s="145" t="s">
        <v>910</v>
      </c>
      <c r="D56" s="145" t="s">
        <v>785</v>
      </c>
      <c r="E56" s="145" t="s">
        <v>6</v>
      </c>
      <c r="F56" s="257">
        <v>-0.15662650602409089</v>
      </c>
      <c r="G56" s="257">
        <f t="shared" si="0"/>
        <v>0.15662650602409089</v>
      </c>
    </row>
    <row r="57" spans="1:7" ht="16" x14ac:dyDescent="0.2">
      <c r="A57" s="145" t="s">
        <v>741</v>
      </c>
      <c r="B57" s="251" t="s">
        <v>77</v>
      </c>
      <c r="C57" s="145" t="s">
        <v>910</v>
      </c>
      <c r="D57" s="145" t="s">
        <v>785</v>
      </c>
      <c r="E57" s="145" t="s">
        <v>6</v>
      </c>
      <c r="F57" s="257">
        <v>-0.14876033057850863</v>
      </c>
      <c r="G57" s="257">
        <f t="shared" si="0"/>
        <v>0.14876033057850863</v>
      </c>
    </row>
    <row r="58" spans="1:7" ht="16" x14ac:dyDescent="0.2">
      <c r="A58" s="145" t="s">
        <v>742</v>
      </c>
      <c r="B58" s="251" t="s">
        <v>77</v>
      </c>
      <c r="C58" s="145" t="s">
        <v>910</v>
      </c>
      <c r="D58" s="145" t="s">
        <v>785</v>
      </c>
      <c r="E58" s="145" t="s">
        <v>6</v>
      </c>
      <c r="F58" s="257">
        <v>0.30100334448159777</v>
      </c>
      <c r="G58" s="257">
        <f t="shared" si="0"/>
        <v>0.30100334448159777</v>
      </c>
    </row>
    <row r="59" spans="1:7" ht="16" x14ac:dyDescent="0.2">
      <c r="A59" s="145" t="s">
        <v>778</v>
      </c>
      <c r="B59" s="251" t="s">
        <v>77</v>
      </c>
      <c r="C59" s="145" t="s">
        <v>910</v>
      </c>
      <c r="D59" s="145" t="s">
        <v>785</v>
      </c>
      <c r="E59" s="145" t="s">
        <v>6</v>
      </c>
      <c r="F59" s="257">
        <v>0.69767441860464452</v>
      </c>
      <c r="G59" s="257">
        <f t="shared" si="0"/>
        <v>0.69767441860464452</v>
      </c>
    </row>
    <row r="60" spans="1:7" ht="16" x14ac:dyDescent="0.2">
      <c r="A60" s="149" t="s">
        <v>928</v>
      </c>
      <c r="B60" s="251" t="s">
        <v>77</v>
      </c>
      <c r="C60" s="145" t="s">
        <v>910</v>
      </c>
      <c r="D60" s="145" t="s">
        <v>785</v>
      </c>
      <c r="E60" s="145" t="s">
        <v>6</v>
      </c>
      <c r="F60" s="257">
        <v>0.92127303182579567</v>
      </c>
      <c r="G60" s="257">
        <f t="shared" si="0"/>
        <v>0.92127303182579567</v>
      </c>
    </row>
    <row r="61" spans="1:7" ht="16" x14ac:dyDescent="0.2">
      <c r="A61" s="145" t="s">
        <v>740</v>
      </c>
      <c r="B61" s="251" t="s">
        <v>77</v>
      </c>
      <c r="C61" s="145" t="s">
        <v>910</v>
      </c>
      <c r="D61" s="145" t="s">
        <v>785</v>
      </c>
      <c r="E61" s="145" t="s">
        <v>6</v>
      </c>
      <c r="F61" s="257">
        <v>1.018145161290325</v>
      </c>
      <c r="G61" s="257">
        <f t="shared" si="0"/>
        <v>1.018145161290325</v>
      </c>
    </row>
    <row r="62" spans="1:7" ht="16" x14ac:dyDescent="0.2">
      <c r="A62" s="145" t="s">
        <v>749</v>
      </c>
      <c r="B62" s="251" t="s">
        <v>77</v>
      </c>
      <c r="C62" s="145" t="s">
        <v>910</v>
      </c>
      <c r="D62" s="145" t="s">
        <v>785</v>
      </c>
      <c r="E62" s="145" t="s">
        <v>6</v>
      </c>
      <c r="F62" s="257">
        <v>1.0457010069713399</v>
      </c>
      <c r="G62" s="257">
        <f t="shared" si="0"/>
        <v>1.0457010069713399</v>
      </c>
    </row>
    <row r="63" spans="1:7" ht="16" x14ac:dyDescent="0.2">
      <c r="A63" s="145" t="s">
        <v>744</v>
      </c>
      <c r="B63" s="251" t="s">
        <v>77</v>
      </c>
      <c r="C63" s="145" t="s">
        <v>910</v>
      </c>
      <c r="D63" s="145" t="s">
        <v>785</v>
      </c>
      <c r="E63" s="145" t="s">
        <v>6</v>
      </c>
      <c r="F63" s="257">
        <v>1.5975103734439811</v>
      </c>
      <c r="G63" s="257">
        <f t="shared" si="0"/>
        <v>1.5975103734439811</v>
      </c>
    </row>
    <row r="64" spans="1:7" ht="16" x14ac:dyDescent="0.2">
      <c r="A64" s="145" t="s">
        <v>765</v>
      </c>
      <c r="B64" s="251" t="s">
        <v>77</v>
      </c>
      <c r="C64" s="145" t="s">
        <v>910</v>
      </c>
      <c r="D64" s="145" t="s">
        <v>785</v>
      </c>
      <c r="E64" s="145" t="s">
        <v>6</v>
      </c>
      <c r="F64" s="257">
        <v>3.0508474576271185</v>
      </c>
      <c r="G64" s="257">
        <f t="shared" si="0"/>
        <v>3.0508474576271185</v>
      </c>
    </row>
    <row r="65" spans="1:7" ht="16" x14ac:dyDescent="0.2">
      <c r="A65" s="145" t="s">
        <v>104</v>
      </c>
      <c r="B65" s="251" t="s">
        <v>77</v>
      </c>
      <c r="C65" s="145" t="s">
        <v>912</v>
      </c>
      <c r="D65" s="145" t="s">
        <v>827</v>
      </c>
      <c r="E65" s="145" t="s">
        <v>6</v>
      </c>
      <c r="F65" s="257">
        <v>3.1071428571428532</v>
      </c>
      <c r="G65" s="257">
        <f t="shared" si="0"/>
        <v>3.1071428571428532</v>
      </c>
    </row>
    <row r="66" spans="1:7" ht="16" x14ac:dyDescent="0.2">
      <c r="A66" s="145" t="s">
        <v>767</v>
      </c>
      <c r="B66" s="251" t="s">
        <v>77</v>
      </c>
      <c r="C66" s="145" t="s">
        <v>910</v>
      </c>
      <c r="D66" s="145" t="s">
        <v>785</v>
      </c>
      <c r="E66" s="145" t="s">
        <v>6</v>
      </c>
      <c r="F66" s="257">
        <v>3.1190476190476155</v>
      </c>
      <c r="G66" s="257">
        <f t="shared" ref="G66:G129" si="1">ABS(F66)</f>
        <v>3.1190476190476155</v>
      </c>
    </row>
    <row r="67" spans="1:7" ht="16" x14ac:dyDescent="0.2">
      <c r="A67" s="145" t="s">
        <v>748</v>
      </c>
      <c r="B67" s="251" t="s">
        <v>77</v>
      </c>
      <c r="C67" s="145" t="s">
        <v>910</v>
      </c>
      <c r="D67" s="145" t="s">
        <v>785</v>
      </c>
      <c r="E67" s="145" t="s">
        <v>6</v>
      </c>
      <c r="F67" s="257">
        <v>3.6239316239316315</v>
      </c>
      <c r="G67" s="257">
        <f t="shared" si="1"/>
        <v>3.6239316239316315</v>
      </c>
    </row>
    <row r="68" spans="1:7" ht="16" x14ac:dyDescent="0.2">
      <c r="A68" s="145" t="s">
        <v>753</v>
      </c>
      <c r="B68" s="251" t="s">
        <v>77</v>
      </c>
      <c r="C68" s="145" t="s">
        <v>910</v>
      </c>
      <c r="D68" s="145" t="s">
        <v>785</v>
      </c>
      <c r="E68" s="145" t="s">
        <v>6</v>
      </c>
      <c r="F68" s="257">
        <v>3.7219101123595504</v>
      </c>
      <c r="G68" s="257">
        <f t="shared" si="1"/>
        <v>3.7219101123595504</v>
      </c>
    </row>
    <row r="69" spans="1:7" ht="16" x14ac:dyDescent="0.2">
      <c r="A69" s="145" t="s">
        <v>915</v>
      </c>
      <c r="B69" s="250" t="s">
        <v>77</v>
      </c>
      <c r="C69" s="145" t="s">
        <v>910</v>
      </c>
      <c r="D69" s="145" t="s">
        <v>785</v>
      </c>
      <c r="E69" s="145" t="s">
        <v>6</v>
      </c>
      <c r="F69" s="257">
        <v>4.0760869565217392</v>
      </c>
      <c r="G69" s="257">
        <f t="shared" si="1"/>
        <v>4.0760869565217392</v>
      </c>
    </row>
    <row r="70" spans="1:7" ht="16" x14ac:dyDescent="0.2">
      <c r="A70" s="149" t="s">
        <v>775</v>
      </c>
      <c r="B70" s="251" t="s">
        <v>77</v>
      </c>
      <c r="C70" s="145" t="s">
        <v>910</v>
      </c>
      <c r="D70" s="145" t="s">
        <v>785</v>
      </c>
      <c r="E70" s="145" t="s">
        <v>6</v>
      </c>
      <c r="F70" s="257">
        <v>4.1958041958041958</v>
      </c>
      <c r="G70" s="257">
        <f t="shared" si="1"/>
        <v>4.1958041958041958</v>
      </c>
    </row>
    <row r="71" spans="1:7" ht="16" x14ac:dyDescent="0.2">
      <c r="A71" s="145" t="s">
        <v>120</v>
      </c>
      <c r="B71" s="250" t="s">
        <v>77</v>
      </c>
      <c r="C71" s="145" t="s">
        <v>910</v>
      </c>
      <c r="D71" s="145" t="s">
        <v>785</v>
      </c>
      <c r="E71" s="145" t="s">
        <v>6</v>
      </c>
      <c r="F71" s="257">
        <v>-4.6879999999999926</v>
      </c>
      <c r="G71" s="257">
        <f t="shared" si="1"/>
        <v>4.6879999999999926</v>
      </c>
    </row>
    <row r="72" spans="1:7" ht="16" x14ac:dyDescent="0.2">
      <c r="A72" s="145" t="s">
        <v>121</v>
      </c>
      <c r="B72" s="250" t="s">
        <v>77</v>
      </c>
      <c r="C72" s="145" t="s">
        <v>910</v>
      </c>
      <c r="D72" s="145" t="s">
        <v>785</v>
      </c>
      <c r="E72" s="145" t="s">
        <v>6</v>
      </c>
      <c r="F72" s="257">
        <v>13.416988416988417</v>
      </c>
      <c r="G72" s="257">
        <f t="shared" si="1"/>
        <v>13.416988416988417</v>
      </c>
    </row>
    <row r="73" spans="1:7" ht="16" x14ac:dyDescent="0.2">
      <c r="A73" s="145" t="s">
        <v>941</v>
      </c>
      <c r="B73" s="253" t="s">
        <v>77</v>
      </c>
      <c r="C73" s="145" t="s">
        <v>912</v>
      </c>
      <c r="D73" s="145" t="s">
        <v>785</v>
      </c>
      <c r="E73" s="145" t="s">
        <v>6</v>
      </c>
      <c r="F73" s="257">
        <v>-5.4008438818565399</v>
      </c>
      <c r="G73" s="257">
        <f t="shared" si="1"/>
        <v>5.4008438818565399</v>
      </c>
    </row>
    <row r="74" spans="1:7" ht="16" x14ac:dyDescent="0.2">
      <c r="A74" s="206" t="s">
        <v>467</v>
      </c>
      <c r="B74" s="253" t="s">
        <v>46</v>
      </c>
      <c r="C74" s="145" t="s">
        <v>912</v>
      </c>
      <c r="D74" s="145" t="s">
        <v>827</v>
      </c>
      <c r="E74" s="145" t="s">
        <v>939</v>
      </c>
      <c r="F74" s="257">
        <v>-43.333333333333336</v>
      </c>
      <c r="G74" s="257">
        <f t="shared" si="1"/>
        <v>43.333333333333336</v>
      </c>
    </row>
    <row r="75" spans="1:7" ht="16" x14ac:dyDescent="0.2">
      <c r="A75" s="206" t="s">
        <v>473</v>
      </c>
      <c r="B75" s="253" t="s">
        <v>46</v>
      </c>
      <c r="C75" s="145" t="s">
        <v>910</v>
      </c>
      <c r="D75" s="145" t="s">
        <v>827</v>
      </c>
      <c r="E75" s="145" t="s">
        <v>939</v>
      </c>
      <c r="F75" s="257">
        <v>-26.666666666666668</v>
      </c>
      <c r="G75" s="257">
        <f t="shared" si="1"/>
        <v>26.666666666666668</v>
      </c>
    </row>
    <row r="76" spans="1:7" ht="16" x14ac:dyDescent="0.2">
      <c r="A76" s="206" t="s">
        <v>471</v>
      </c>
      <c r="B76" s="253" t="s">
        <v>46</v>
      </c>
      <c r="C76" s="145" t="s">
        <v>910</v>
      </c>
      <c r="D76" s="145" t="s">
        <v>827</v>
      </c>
      <c r="E76" s="145" t="s">
        <v>939</v>
      </c>
      <c r="F76" s="257">
        <v>-20.166666666666671</v>
      </c>
      <c r="G76" s="257">
        <f t="shared" si="1"/>
        <v>20.166666666666671</v>
      </c>
    </row>
    <row r="77" spans="1:7" ht="16" x14ac:dyDescent="0.2">
      <c r="A77" s="149" t="s">
        <v>771</v>
      </c>
      <c r="B77" s="253" t="s">
        <v>46</v>
      </c>
      <c r="C77" s="145" t="s">
        <v>910</v>
      </c>
      <c r="D77" s="145" t="s">
        <v>785</v>
      </c>
      <c r="E77" s="145" t="s">
        <v>939</v>
      </c>
      <c r="F77" s="257">
        <v>-16.818181818181817</v>
      </c>
      <c r="G77" s="257">
        <f t="shared" si="1"/>
        <v>16.818181818181817</v>
      </c>
    </row>
    <row r="78" spans="1:7" ht="16" x14ac:dyDescent="0.2">
      <c r="A78" s="256" t="s">
        <v>492</v>
      </c>
      <c r="B78" s="253" t="s">
        <v>46</v>
      </c>
      <c r="C78" s="145" t="s">
        <v>910</v>
      </c>
      <c r="D78" s="145" t="s">
        <v>909</v>
      </c>
      <c r="E78" s="145" t="s">
        <v>939</v>
      </c>
      <c r="F78" s="257">
        <v>-14.766666666666667</v>
      </c>
      <c r="G78" s="257">
        <f t="shared" si="1"/>
        <v>14.766666666666667</v>
      </c>
    </row>
    <row r="79" spans="1:7" ht="16" x14ac:dyDescent="0.2">
      <c r="A79" s="206" t="s">
        <v>468</v>
      </c>
      <c r="B79" s="253" t="s">
        <v>46</v>
      </c>
      <c r="C79" s="145" t="s">
        <v>910</v>
      </c>
      <c r="D79" s="145" t="s">
        <v>827</v>
      </c>
      <c r="E79" s="145" t="s">
        <v>939</v>
      </c>
      <c r="F79" s="257">
        <v>-13.333333333333334</v>
      </c>
      <c r="G79" s="257">
        <f t="shared" si="1"/>
        <v>13.333333333333334</v>
      </c>
    </row>
    <row r="80" spans="1:7" ht="16" x14ac:dyDescent="0.2">
      <c r="A80" s="145" t="s">
        <v>747</v>
      </c>
      <c r="B80" s="253" t="s">
        <v>46</v>
      </c>
      <c r="C80" s="145" t="s">
        <v>910</v>
      </c>
      <c r="D80" s="145" t="s">
        <v>785</v>
      </c>
      <c r="E80" s="145" t="s">
        <v>939</v>
      </c>
      <c r="F80" s="257">
        <v>-8.7999999999999972</v>
      </c>
      <c r="G80" s="257">
        <f t="shared" si="1"/>
        <v>8.7999999999999972</v>
      </c>
    </row>
    <row r="81" spans="1:7" ht="16" x14ac:dyDescent="0.2">
      <c r="A81" s="145" t="s">
        <v>766</v>
      </c>
      <c r="B81" s="253" t="s">
        <v>46</v>
      </c>
      <c r="C81" s="145" t="s">
        <v>910</v>
      </c>
      <c r="D81" s="145" t="s">
        <v>785</v>
      </c>
      <c r="E81" s="145" t="s">
        <v>939</v>
      </c>
      <c r="F81" s="257">
        <v>-5.6521739130434812</v>
      </c>
      <c r="G81" s="257">
        <f t="shared" si="1"/>
        <v>5.6521739130434812</v>
      </c>
    </row>
    <row r="82" spans="1:7" ht="16" x14ac:dyDescent="0.2">
      <c r="A82" s="145" t="s">
        <v>780</v>
      </c>
      <c r="B82" s="253" t="s">
        <v>46</v>
      </c>
      <c r="C82" s="145" t="s">
        <v>910</v>
      </c>
      <c r="D82" s="145" t="s">
        <v>785</v>
      </c>
      <c r="E82" s="145" t="s">
        <v>939</v>
      </c>
      <c r="F82" s="257">
        <v>-2.6923076923076894</v>
      </c>
      <c r="G82" s="257">
        <f t="shared" si="1"/>
        <v>2.6923076923076894</v>
      </c>
    </row>
    <row r="83" spans="1:7" ht="16" x14ac:dyDescent="0.2">
      <c r="A83" s="145" t="s">
        <v>755</v>
      </c>
      <c r="B83" s="253" t="s">
        <v>46</v>
      </c>
      <c r="C83" s="145" t="s">
        <v>910</v>
      </c>
      <c r="D83" s="145" t="s">
        <v>785</v>
      </c>
      <c r="E83" s="145" t="s">
        <v>939</v>
      </c>
      <c r="F83" s="257">
        <v>-0.50724637681158602</v>
      </c>
      <c r="G83" s="257">
        <f t="shared" si="1"/>
        <v>0.50724637681158602</v>
      </c>
    </row>
    <row r="84" spans="1:7" ht="16" x14ac:dyDescent="0.2">
      <c r="A84" s="145" t="s">
        <v>743</v>
      </c>
      <c r="B84" s="253" t="s">
        <v>46</v>
      </c>
      <c r="C84" s="145" t="s">
        <v>910</v>
      </c>
      <c r="D84" s="145" t="s">
        <v>785</v>
      </c>
      <c r="E84" s="145" t="s">
        <v>939</v>
      </c>
      <c r="F84" s="257">
        <v>0.952380952380949</v>
      </c>
      <c r="G84" s="257">
        <f t="shared" si="1"/>
        <v>0.952380952380949</v>
      </c>
    </row>
    <row r="85" spans="1:7" ht="16" x14ac:dyDescent="0.2">
      <c r="A85" s="149" t="s">
        <v>772</v>
      </c>
      <c r="B85" s="253" t="s">
        <v>46</v>
      </c>
      <c r="C85" s="145" t="s">
        <v>910</v>
      </c>
      <c r="D85" s="145" t="s">
        <v>785</v>
      </c>
      <c r="E85" s="145" t="s">
        <v>939</v>
      </c>
      <c r="F85" s="257">
        <v>7.0454545454545476</v>
      </c>
      <c r="G85" s="257">
        <f t="shared" si="1"/>
        <v>7.0454545454545476</v>
      </c>
    </row>
    <row r="86" spans="1:7" ht="16" x14ac:dyDescent="0.2">
      <c r="A86" s="206" t="s">
        <v>466</v>
      </c>
      <c r="B86" s="253" t="s">
        <v>46</v>
      </c>
      <c r="C86" s="145" t="s">
        <v>912</v>
      </c>
      <c r="D86" s="145" t="s">
        <v>827</v>
      </c>
      <c r="E86" s="145" t="s">
        <v>939</v>
      </c>
      <c r="F86" s="257">
        <v>12.5</v>
      </c>
      <c r="G86" s="257">
        <f t="shared" si="1"/>
        <v>12.5</v>
      </c>
    </row>
    <row r="87" spans="1:7" ht="16" x14ac:dyDescent="0.2">
      <c r="A87" s="207" t="s">
        <v>715</v>
      </c>
      <c r="B87" s="253" t="s">
        <v>16</v>
      </c>
      <c r="C87" s="145" t="s">
        <v>910</v>
      </c>
      <c r="D87" s="145" t="s">
        <v>827</v>
      </c>
      <c r="E87" s="145" t="s">
        <v>939</v>
      </c>
      <c r="F87" s="257">
        <v>-10.895522388059698</v>
      </c>
      <c r="G87" s="257">
        <f t="shared" si="1"/>
        <v>10.895522388059698</v>
      </c>
    </row>
    <row r="88" spans="1:7" ht="16" x14ac:dyDescent="0.2">
      <c r="A88" s="145" t="s">
        <v>919</v>
      </c>
      <c r="B88" s="250" t="s">
        <v>16</v>
      </c>
      <c r="C88" s="145" t="s">
        <v>910</v>
      </c>
      <c r="D88" s="145" t="s">
        <v>785</v>
      </c>
      <c r="E88" s="145" t="s">
        <v>939</v>
      </c>
      <c r="F88" s="257">
        <v>-10</v>
      </c>
      <c r="G88" s="257">
        <f t="shared" si="1"/>
        <v>10</v>
      </c>
    </row>
    <row r="89" spans="1:7" ht="16" x14ac:dyDescent="0.2">
      <c r="A89" s="145" t="s">
        <v>243</v>
      </c>
      <c r="B89" s="250" t="s">
        <v>16</v>
      </c>
      <c r="C89" s="145" t="s">
        <v>910</v>
      </c>
      <c r="D89" s="145" t="s">
        <v>785</v>
      </c>
      <c r="E89" s="145" t="s">
        <v>939</v>
      </c>
      <c r="F89" s="257">
        <v>-9.5959595959595951</v>
      </c>
      <c r="G89" s="257">
        <f t="shared" si="1"/>
        <v>9.5959595959595951</v>
      </c>
    </row>
    <row r="90" spans="1:7" ht="16" x14ac:dyDescent="0.2">
      <c r="A90" s="145" t="s">
        <v>925</v>
      </c>
      <c r="B90" s="250" t="s">
        <v>16</v>
      </c>
      <c r="C90" s="145" t="s">
        <v>912</v>
      </c>
      <c r="D90" s="145" t="s">
        <v>785</v>
      </c>
      <c r="E90" s="145" t="s">
        <v>939</v>
      </c>
      <c r="F90" s="257">
        <v>-6.5730337078651617</v>
      </c>
      <c r="G90" s="257">
        <f t="shared" si="1"/>
        <v>6.5730337078651617</v>
      </c>
    </row>
    <row r="91" spans="1:7" ht="16" x14ac:dyDescent="0.2">
      <c r="A91" s="145" t="s">
        <v>926</v>
      </c>
      <c r="B91" s="250" t="s">
        <v>16</v>
      </c>
      <c r="C91" s="145" t="s">
        <v>912</v>
      </c>
      <c r="D91" s="145" t="s">
        <v>785</v>
      </c>
      <c r="E91" s="145" t="s">
        <v>939</v>
      </c>
      <c r="F91" s="257">
        <v>-5.3846153846153788</v>
      </c>
      <c r="G91" s="257">
        <f t="shared" si="1"/>
        <v>5.3846153846153788</v>
      </c>
    </row>
    <row r="92" spans="1:7" ht="16" x14ac:dyDescent="0.2">
      <c r="A92" s="145" t="s">
        <v>927</v>
      </c>
      <c r="B92" s="250" t="s">
        <v>16</v>
      </c>
      <c r="C92" s="145" t="s">
        <v>912</v>
      </c>
      <c r="D92" s="145" t="s">
        <v>785</v>
      </c>
      <c r="E92" s="145" t="s">
        <v>939</v>
      </c>
      <c r="F92" s="257">
        <v>-5.1388888888888928</v>
      </c>
      <c r="G92" s="257">
        <f t="shared" si="1"/>
        <v>5.1388888888888928</v>
      </c>
    </row>
    <row r="93" spans="1:7" ht="16" x14ac:dyDescent="0.2">
      <c r="A93" s="145" t="s">
        <v>923</v>
      </c>
      <c r="B93" s="250" t="s">
        <v>16</v>
      </c>
      <c r="C93" s="145" t="s">
        <v>910</v>
      </c>
      <c r="D93" s="145" t="s">
        <v>785</v>
      </c>
      <c r="E93" s="145" t="s">
        <v>939</v>
      </c>
      <c r="F93" s="257">
        <v>-2.7840909090909123</v>
      </c>
      <c r="G93" s="257">
        <f t="shared" si="1"/>
        <v>2.7840909090909123</v>
      </c>
    </row>
    <row r="94" spans="1:7" ht="16" x14ac:dyDescent="0.2">
      <c r="A94" s="145" t="s">
        <v>921</v>
      </c>
      <c r="B94" s="250" t="s">
        <v>16</v>
      </c>
      <c r="C94" s="145" t="s">
        <v>912</v>
      </c>
      <c r="D94" s="145" t="s">
        <v>785</v>
      </c>
      <c r="E94" s="145" t="s">
        <v>939</v>
      </c>
      <c r="F94" s="257">
        <v>-2.5660377358490556</v>
      </c>
      <c r="G94" s="257">
        <f t="shared" si="1"/>
        <v>2.5660377358490556</v>
      </c>
    </row>
    <row r="95" spans="1:7" ht="16" x14ac:dyDescent="0.2">
      <c r="A95" s="254" t="s">
        <v>18</v>
      </c>
      <c r="B95" s="253" t="s">
        <v>16</v>
      </c>
      <c r="C95" s="145" t="s">
        <v>910</v>
      </c>
      <c r="D95" s="145" t="s">
        <v>785</v>
      </c>
      <c r="E95" s="145" t="s">
        <v>939</v>
      </c>
      <c r="F95" s="257">
        <v>-1.2727272727272778</v>
      </c>
      <c r="G95" s="257">
        <f t="shared" si="1"/>
        <v>1.2727272727272778</v>
      </c>
    </row>
    <row r="96" spans="1:7" ht="16" x14ac:dyDescent="0.2">
      <c r="A96" s="256" t="s">
        <v>521</v>
      </c>
      <c r="B96" s="253" t="s">
        <v>16</v>
      </c>
      <c r="C96" s="145" t="s">
        <v>910</v>
      </c>
      <c r="D96" s="145" t="s">
        <v>909</v>
      </c>
      <c r="E96" s="145" t="s">
        <v>939</v>
      </c>
      <c r="F96" s="257">
        <v>1.3043478260869596</v>
      </c>
      <c r="G96" s="257">
        <f t="shared" si="1"/>
        <v>1.3043478260869596</v>
      </c>
    </row>
    <row r="97" spans="1:7" ht="16" x14ac:dyDescent="0.2">
      <c r="A97" s="145" t="s">
        <v>914</v>
      </c>
      <c r="B97" s="250" t="s">
        <v>16</v>
      </c>
      <c r="C97" s="145" t="s">
        <v>910</v>
      </c>
      <c r="D97" s="145" t="s">
        <v>785</v>
      </c>
      <c r="E97" s="145" t="s">
        <v>939</v>
      </c>
      <c r="F97" s="257">
        <v>2.1428571428571428</v>
      </c>
      <c r="G97" s="257">
        <f t="shared" si="1"/>
        <v>2.1428571428571428</v>
      </c>
    </row>
    <row r="98" spans="1:7" ht="16" x14ac:dyDescent="0.2">
      <c r="A98" s="145" t="s">
        <v>920</v>
      </c>
      <c r="B98" s="250" t="s">
        <v>16</v>
      </c>
      <c r="C98" s="145" t="s">
        <v>910</v>
      </c>
      <c r="D98" s="145" t="s">
        <v>785</v>
      </c>
      <c r="E98" s="145" t="s">
        <v>939</v>
      </c>
      <c r="F98" s="257">
        <v>2.9113924050632876</v>
      </c>
      <c r="G98" s="257">
        <f t="shared" si="1"/>
        <v>2.9113924050632876</v>
      </c>
    </row>
    <row r="99" spans="1:7" ht="16" x14ac:dyDescent="0.2">
      <c r="A99" s="145" t="s">
        <v>924</v>
      </c>
      <c r="B99" s="250" t="s">
        <v>16</v>
      </c>
      <c r="C99" s="145" t="s">
        <v>912</v>
      </c>
      <c r="D99" s="145" t="s">
        <v>785</v>
      </c>
      <c r="E99" s="145" t="s">
        <v>939</v>
      </c>
      <c r="F99" s="257">
        <v>3.1170212765957519</v>
      </c>
      <c r="G99" s="257">
        <f t="shared" si="1"/>
        <v>3.1170212765957519</v>
      </c>
    </row>
    <row r="100" spans="1:7" ht="16" x14ac:dyDescent="0.2">
      <c r="A100" s="207" t="s">
        <v>714</v>
      </c>
      <c r="B100" s="253" t="s">
        <v>16</v>
      </c>
      <c r="C100" s="145" t="s">
        <v>910</v>
      </c>
      <c r="D100" s="145" t="s">
        <v>827</v>
      </c>
      <c r="E100" s="145" t="s">
        <v>939</v>
      </c>
      <c r="F100" s="257">
        <v>3.7500000000000027</v>
      </c>
      <c r="G100" s="257">
        <f t="shared" si="1"/>
        <v>3.7500000000000027</v>
      </c>
    </row>
    <row r="101" spans="1:7" ht="16" x14ac:dyDescent="0.2">
      <c r="A101" s="145" t="s">
        <v>918</v>
      </c>
      <c r="B101" s="250" t="s">
        <v>16</v>
      </c>
      <c r="C101" s="145" t="s">
        <v>910</v>
      </c>
      <c r="D101" s="145" t="s">
        <v>785</v>
      </c>
      <c r="E101" s="145" t="s">
        <v>939</v>
      </c>
      <c r="F101" s="257">
        <v>10.793650793650791</v>
      </c>
      <c r="G101" s="257">
        <f t="shared" si="1"/>
        <v>10.793650793650791</v>
      </c>
    </row>
    <row r="102" spans="1:7" ht="16" x14ac:dyDescent="0.2">
      <c r="A102" s="28" t="s">
        <v>435</v>
      </c>
      <c r="B102" s="253" t="s">
        <v>19</v>
      </c>
      <c r="C102" s="145" t="s">
        <v>910</v>
      </c>
      <c r="D102" s="145" t="s">
        <v>827</v>
      </c>
      <c r="E102" s="145" t="s">
        <v>939</v>
      </c>
      <c r="F102" s="257">
        <v>-25.851063829787229</v>
      </c>
      <c r="G102" s="257">
        <f t="shared" si="1"/>
        <v>25.851063829787229</v>
      </c>
    </row>
    <row r="103" spans="1:7" ht="16" x14ac:dyDescent="0.2">
      <c r="A103" s="28" t="s">
        <v>459</v>
      </c>
      <c r="B103" s="253" t="s">
        <v>19</v>
      </c>
      <c r="C103" s="145" t="s">
        <v>910</v>
      </c>
      <c r="D103" s="145" t="s">
        <v>827</v>
      </c>
      <c r="E103" s="145" t="s">
        <v>939</v>
      </c>
      <c r="F103" s="257">
        <v>-19.184615384615384</v>
      </c>
      <c r="G103" s="257">
        <f t="shared" si="1"/>
        <v>19.184615384615384</v>
      </c>
    </row>
    <row r="104" spans="1:7" ht="16" x14ac:dyDescent="0.2">
      <c r="A104" s="28" t="s">
        <v>424</v>
      </c>
      <c r="B104" s="253" t="s">
        <v>19</v>
      </c>
      <c r="C104" s="145" t="s">
        <v>910</v>
      </c>
      <c r="D104" s="145" t="s">
        <v>827</v>
      </c>
      <c r="E104" s="145" t="s">
        <v>939</v>
      </c>
      <c r="F104" s="257">
        <v>-15.555555555555559</v>
      </c>
      <c r="G104" s="257">
        <f t="shared" si="1"/>
        <v>15.555555555555559</v>
      </c>
    </row>
    <row r="105" spans="1:7" ht="16" x14ac:dyDescent="0.2">
      <c r="A105" s="28" t="s">
        <v>421</v>
      </c>
      <c r="B105" s="253" t="s">
        <v>19</v>
      </c>
      <c r="C105" s="145" t="s">
        <v>910</v>
      </c>
      <c r="D105" s="145" t="s">
        <v>827</v>
      </c>
      <c r="E105" s="145" t="s">
        <v>939</v>
      </c>
      <c r="F105" s="257">
        <v>-13.513513513513514</v>
      </c>
      <c r="G105" s="257">
        <f t="shared" si="1"/>
        <v>13.513513513513514</v>
      </c>
    </row>
    <row r="106" spans="1:7" ht="16" x14ac:dyDescent="0.2">
      <c r="A106" s="255" t="s">
        <v>485</v>
      </c>
      <c r="B106" s="253" t="s">
        <v>19</v>
      </c>
      <c r="C106" s="145" t="s">
        <v>910</v>
      </c>
      <c r="D106" s="145" t="s">
        <v>785</v>
      </c>
      <c r="E106" s="145" t="s">
        <v>939</v>
      </c>
      <c r="F106" s="257">
        <v>-9.5689655172413755</v>
      </c>
      <c r="G106" s="257">
        <f t="shared" si="1"/>
        <v>9.5689655172413755</v>
      </c>
    </row>
    <row r="107" spans="1:7" ht="16" x14ac:dyDescent="0.2">
      <c r="A107" s="28" t="s">
        <v>426</v>
      </c>
      <c r="B107" s="253" t="s">
        <v>19</v>
      </c>
      <c r="C107" s="145" t="s">
        <v>910</v>
      </c>
      <c r="D107" s="145" t="s">
        <v>827</v>
      </c>
      <c r="E107" s="145" t="s">
        <v>939</v>
      </c>
      <c r="F107" s="257">
        <v>-8.1029411764705852</v>
      </c>
      <c r="G107" s="257">
        <f t="shared" si="1"/>
        <v>8.1029411764705852</v>
      </c>
    </row>
    <row r="108" spans="1:7" ht="16" x14ac:dyDescent="0.2">
      <c r="A108" s="255" t="s">
        <v>481</v>
      </c>
      <c r="B108" s="253" t="s">
        <v>19</v>
      </c>
      <c r="C108" s="145" t="s">
        <v>910</v>
      </c>
      <c r="D108" s="145" t="s">
        <v>785</v>
      </c>
      <c r="E108" s="145" t="s">
        <v>939</v>
      </c>
      <c r="F108" s="257">
        <v>-7.9661016949152588</v>
      </c>
      <c r="G108" s="257">
        <f t="shared" si="1"/>
        <v>7.9661016949152588</v>
      </c>
    </row>
    <row r="109" spans="1:7" ht="16" x14ac:dyDescent="0.2">
      <c r="A109" s="145" t="s">
        <v>760</v>
      </c>
      <c r="B109" s="253" t="s">
        <v>19</v>
      </c>
      <c r="C109" s="145" t="s">
        <v>910</v>
      </c>
      <c r="D109" s="145" t="s">
        <v>785</v>
      </c>
      <c r="E109" s="145" t="s">
        <v>939</v>
      </c>
      <c r="F109" s="257">
        <v>-5.1838235294117734</v>
      </c>
      <c r="G109" s="257">
        <f t="shared" si="1"/>
        <v>5.1838235294117734</v>
      </c>
    </row>
    <row r="110" spans="1:7" ht="16" x14ac:dyDescent="0.2">
      <c r="A110" s="252" t="s">
        <v>917</v>
      </c>
      <c r="B110" s="253" t="s">
        <v>19</v>
      </c>
      <c r="C110" s="145" t="s">
        <v>910</v>
      </c>
      <c r="D110" s="254" t="s">
        <v>785</v>
      </c>
      <c r="E110" s="145" t="s">
        <v>939</v>
      </c>
      <c r="F110" s="257">
        <v>-4.7499999999999964</v>
      </c>
      <c r="G110" s="257">
        <f t="shared" si="1"/>
        <v>4.7499999999999964</v>
      </c>
    </row>
    <row r="111" spans="1:7" ht="16" x14ac:dyDescent="0.2">
      <c r="A111" s="255" t="s">
        <v>483</v>
      </c>
      <c r="B111" s="253" t="s">
        <v>19</v>
      </c>
      <c r="C111" s="145" t="s">
        <v>910</v>
      </c>
      <c r="D111" s="145" t="s">
        <v>909</v>
      </c>
      <c r="E111" s="145" t="s">
        <v>939</v>
      </c>
      <c r="F111" s="257">
        <v>-3.1186440677966161</v>
      </c>
      <c r="G111" s="257">
        <f t="shared" si="1"/>
        <v>3.1186440677966161</v>
      </c>
    </row>
    <row r="112" spans="1:7" ht="16" x14ac:dyDescent="0.2">
      <c r="A112" s="28" t="s">
        <v>427</v>
      </c>
      <c r="B112" s="253" t="s">
        <v>19</v>
      </c>
      <c r="C112" s="145" t="s">
        <v>910</v>
      </c>
      <c r="D112" s="145" t="s">
        <v>827</v>
      </c>
      <c r="E112" s="145" t="s">
        <v>939</v>
      </c>
      <c r="F112" s="257">
        <v>-3.0571428571428578</v>
      </c>
      <c r="G112" s="257">
        <f t="shared" si="1"/>
        <v>3.0571428571428578</v>
      </c>
    </row>
    <row r="113" spans="1:7" ht="16" x14ac:dyDescent="0.2">
      <c r="A113" s="28" t="s">
        <v>423</v>
      </c>
      <c r="B113" s="253" t="s">
        <v>19</v>
      </c>
      <c r="C113" s="145" t="s">
        <v>910</v>
      </c>
      <c r="D113" s="145" t="s">
        <v>827</v>
      </c>
      <c r="E113" s="145" t="s">
        <v>939</v>
      </c>
      <c r="F113" s="257">
        <v>-2.6382978723404298</v>
      </c>
      <c r="G113" s="257">
        <f t="shared" si="1"/>
        <v>2.6382978723404298</v>
      </c>
    </row>
    <row r="114" spans="1:7" ht="16" x14ac:dyDescent="0.2">
      <c r="A114" s="28" t="s">
        <v>422</v>
      </c>
      <c r="B114" s="253" t="s">
        <v>19</v>
      </c>
      <c r="C114" s="145" t="s">
        <v>910</v>
      </c>
      <c r="D114" s="145" t="s">
        <v>827</v>
      </c>
      <c r="E114" s="145" t="s">
        <v>939</v>
      </c>
      <c r="F114" s="257">
        <v>4.4444444444444446</v>
      </c>
      <c r="G114" s="257">
        <f t="shared" si="1"/>
        <v>4.4444444444444446</v>
      </c>
    </row>
    <row r="115" spans="1:7" ht="16" x14ac:dyDescent="0.2">
      <c r="A115" s="145" t="s">
        <v>916</v>
      </c>
      <c r="B115" s="253" t="s">
        <v>19</v>
      </c>
      <c r="C115" s="145" t="s">
        <v>910</v>
      </c>
      <c r="D115" s="145" t="s">
        <v>785</v>
      </c>
      <c r="E115" s="145" t="s">
        <v>939</v>
      </c>
      <c r="F115" s="257">
        <v>9.4285714285714342</v>
      </c>
      <c r="G115" s="257">
        <f t="shared" si="1"/>
        <v>9.4285714285714342</v>
      </c>
    </row>
    <row r="116" spans="1:7" ht="16" x14ac:dyDescent="0.2">
      <c r="A116" s="145" t="s">
        <v>746</v>
      </c>
      <c r="B116" s="251" t="s">
        <v>77</v>
      </c>
      <c r="C116" s="145" t="s">
        <v>910</v>
      </c>
      <c r="D116" s="145" t="s">
        <v>785</v>
      </c>
      <c r="E116" s="145" t="s">
        <v>939</v>
      </c>
      <c r="F116" s="257">
        <v>-15.111111111111114</v>
      </c>
      <c r="G116" s="257">
        <f t="shared" si="1"/>
        <v>15.111111111111114</v>
      </c>
    </row>
    <row r="117" spans="1:7" ht="16" x14ac:dyDescent="0.2">
      <c r="A117" s="149" t="s">
        <v>929</v>
      </c>
      <c r="B117" s="251" t="s">
        <v>77</v>
      </c>
      <c r="C117" s="145" t="s">
        <v>910</v>
      </c>
      <c r="D117" s="145" t="s">
        <v>785</v>
      </c>
      <c r="E117" s="145" t="s">
        <v>939</v>
      </c>
      <c r="F117" s="257">
        <v>-14.342105263157901</v>
      </c>
      <c r="G117" s="257">
        <f t="shared" si="1"/>
        <v>14.342105263157901</v>
      </c>
    </row>
    <row r="118" spans="1:7" ht="16" x14ac:dyDescent="0.2">
      <c r="A118" s="145" t="s">
        <v>769</v>
      </c>
      <c r="B118" s="251" t="s">
        <v>77</v>
      </c>
      <c r="C118" s="145" t="s">
        <v>910</v>
      </c>
      <c r="D118" s="145" t="s">
        <v>785</v>
      </c>
      <c r="E118" s="145" t="s">
        <v>939</v>
      </c>
      <c r="F118" s="257">
        <v>-13.571428571428571</v>
      </c>
      <c r="G118" s="257">
        <f t="shared" si="1"/>
        <v>13.571428571428571</v>
      </c>
    </row>
    <row r="119" spans="1:7" ht="16" x14ac:dyDescent="0.2">
      <c r="A119" s="149" t="s">
        <v>928</v>
      </c>
      <c r="B119" s="251" t="s">
        <v>77</v>
      </c>
      <c r="C119" s="145" t="s">
        <v>910</v>
      </c>
      <c r="D119" s="145" t="s">
        <v>785</v>
      </c>
      <c r="E119" s="145" t="s">
        <v>939</v>
      </c>
      <c r="F119" s="257">
        <v>-11.249999999999998</v>
      </c>
      <c r="G119" s="257">
        <f t="shared" si="1"/>
        <v>11.249999999999998</v>
      </c>
    </row>
    <row r="120" spans="1:7" ht="16" x14ac:dyDescent="0.2">
      <c r="A120" s="149" t="s">
        <v>774</v>
      </c>
      <c r="B120" s="251" t="s">
        <v>77</v>
      </c>
      <c r="C120" s="145" t="s">
        <v>910</v>
      </c>
      <c r="D120" s="145" t="s">
        <v>785</v>
      </c>
      <c r="E120" s="145" t="s">
        <v>939</v>
      </c>
      <c r="F120" s="257">
        <v>-8.5606060606060588</v>
      </c>
      <c r="G120" s="257">
        <f t="shared" si="1"/>
        <v>8.5606060606060588</v>
      </c>
    </row>
    <row r="121" spans="1:7" ht="16" x14ac:dyDescent="0.2">
      <c r="A121" s="145" t="s">
        <v>783</v>
      </c>
      <c r="B121" s="251" t="s">
        <v>77</v>
      </c>
      <c r="C121" s="145" t="s">
        <v>910</v>
      </c>
      <c r="D121" s="145" t="s">
        <v>785</v>
      </c>
      <c r="E121" s="145" t="s">
        <v>939</v>
      </c>
      <c r="F121" s="257">
        <v>-7.4399999999999986</v>
      </c>
      <c r="G121" s="257">
        <f t="shared" si="1"/>
        <v>7.4399999999999986</v>
      </c>
    </row>
    <row r="122" spans="1:7" ht="16" x14ac:dyDescent="0.2">
      <c r="A122" s="149" t="s">
        <v>776</v>
      </c>
      <c r="B122" s="251" t="s">
        <v>77</v>
      </c>
      <c r="C122" s="145" t="s">
        <v>910</v>
      </c>
      <c r="D122" s="145" t="s">
        <v>785</v>
      </c>
      <c r="E122" s="145" t="s">
        <v>939</v>
      </c>
      <c r="F122" s="257">
        <v>-6.799999999999998</v>
      </c>
      <c r="G122" s="257">
        <f t="shared" si="1"/>
        <v>6.799999999999998</v>
      </c>
    </row>
    <row r="123" spans="1:7" ht="16" x14ac:dyDescent="0.2">
      <c r="A123" s="149" t="s">
        <v>773</v>
      </c>
      <c r="B123" s="251" t="s">
        <v>77</v>
      </c>
      <c r="C123" s="145" t="s">
        <v>910</v>
      </c>
      <c r="D123" s="145" t="s">
        <v>785</v>
      </c>
      <c r="E123" s="145" t="s">
        <v>939</v>
      </c>
      <c r="F123" s="257">
        <v>-6.0810810810810807</v>
      </c>
      <c r="G123" s="257">
        <f t="shared" si="1"/>
        <v>6.0810810810810807</v>
      </c>
    </row>
    <row r="124" spans="1:7" ht="16" x14ac:dyDescent="0.2">
      <c r="A124" s="145" t="s">
        <v>740</v>
      </c>
      <c r="B124" s="251" t="s">
        <v>77</v>
      </c>
      <c r="C124" s="145" t="s">
        <v>910</v>
      </c>
      <c r="D124" s="145" t="s">
        <v>785</v>
      </c>
      <c r="E124" s="145" t="s">
        <v>939</v>
      </c>
      <c r="F124" s="257">
        <v>-5.4545454545454541</v>
      </c>
      <c r="G124" s="257">
        <f t="shared" si="1"/>
        <v>5.4545454545454541</v>
      </c>
    </row>
    <row r="125" spans="1:7" ht="16" x14ac:dyDescent="0.2">
      <c r="A125" s="145" t="s">
        <v>778</v>
      </c>
      <c r="B125" s="251" t="s">
        <v>77</v>
      </c>
      <c r="C125" s="145" t="s">
        <v>910</v>
      </c>
      <c r="D125" s="145" t="s">
        <v>785</v>
      </c>
      <c r="E125" s="145" t="s">
        <v>939</v>
      </c>
      <c r="F125" s="257">
        <v>-5.2272727272727204</v>
      </c>
      <c r="G125" s="257">
        <f t="shared" si="1"/>
        <v>5.2272727272727204</v>
      </c>
    </row>
    <row r="126" spans="1:7" ht="16" x14ac:dyDescent="0.2">
      <c r="A126" s="145" t="s">
        <v>765</v>
      </c>
      <c r="B126" s="251" t="s">
        <v>77</v>
      </c>
      <c r="C126" s="145" t="s">
        <v>910</v>
      </c>
      <c r="D126" s="145" t="s">
        <v>785</v>
      </c>
      <c r="E126" s="145" t="s">
        <v>939</v>
      </c>
      <c r="F126" s="257">
        <v>-5.0684931506849358</v>
      </c>
      <c r="G126" s="257">
        <f t="shared" si="1"/>
        <v>5.0684931506849358</v>
      </c>
    </row>
    <row r="127" spans="1:7" ht="16" x14ac:dyDescent="0.2">
      <c r="A127" s="145" t="s">
        <v>741</v>
      </c>
      <c r="B127" s="251" t="s">
        <v>77</v>
      </c>
      <c r="C127" s="145" t="s">
        <v>910</v>
      </c>
      <c r="D127" s="145" t="s">
        <v>785</v>
      </c>
      <c r="E127" s="145" t="s">
        <v>939</v>
      </c>
      <c r="F127" s="257">
        <v>-3.9726027397260353</v>
      </c>
      <c r="G127" s="257">
        <f t="shared" si="1"/>
        <v>3.9726027397260353</v>
      </c>
    </row>
    <row r="128" spans="1:7" ht="16" x14ac:dyDescent="0.2">
      <c r="A128" s="145" t="s">
        <v>767</v>
      </c>
      <c r="B128" s="251" t="s">
        <v>77</v>
      </c>
      <c r="C128" s="145" t="s">
        <v>910</v>
      </c>
      <c r="D128" s="145" t="s">
        <v>785</v>
      </c>
      <c r="E128" s="145" t="s">
        <v>939</v>
      </c>
      <c r="F128" s="257">
        <v>-3.2167832167832127</v>
      </c>
      <c r="G128" s="257">
        <f t="shared" si="1"/>
        <v>3.2167832167832127</v>
      </c>
    </row>
    <row r="129" spans="1:7" ht="16" x14ac:dyDescent="0.2">
      <c r="A129" s="149" t="s">
        <v>775</v>
      </c>
      <c r="B129" s="251" t="s">
        <v>77</v>
      </c>
      <c r="C129" s="145" t="s">
        <v>910</v>
      </c>
      <c r="D129" s="145" t="s">
        <v>785</v>
      </c>
      <c r="E129" s="145" t="s">
        <v>939</v>
      </c>
      <c r="F129" s="257">
        <v>-1.5555555555555618</v>
      </c>
      <c r="G129" s="257">
        <f t="shared" si="1"/>
        <v>1.5555555555555618</v>
      </c>
    </row>
    <row r="130" spans="1:7" ht="16" x14ac:dyDescent="0.2">
      <c r="A130" s="145" t="s">
        <v>770</v>
      </c>
      <c r="B130" s="251" t="s">
        <v>77</v>
      </c>
      <c r="C130" s="145" t="s">
        <v>910</v>
      </c>
      <c r="D130" s="145" t="s">
        <v>785</v>
      </c>
      <c r="E130" s="145" t="s">
        <v>939</v>
      </c>
      <c r="F130" s="257">
        <v>-1.0769230769230813</v>
      </c>
      <c r="G130" s="257">
        <f t="shared" ref="G130:G193" si="2">ABS(F130)</f>
        <v>1.0769230769230813</v>
      </c>
    </row>
    <row r="131" spans="1:7" ht="16" x14ac:dyDescent="0.2">
      <c r="A131" s="145" t="s">
        <v>753</v>
      </c>
      <c r="B131" s="251" t="s">
        <v>77</v>
      </c>
      <c r="C131" s="145" t="s">
        <v>910</v>
      </c>
      <c r="D131" s="145" t="s">
        <v>785</v>
      </c>
      <c r="E131" s="145" t="s">
        <v>939</v>
      </c>
      <c r="F131" s="257">
        <v>0.62937062937063337</v>
      </c>
      <c r="G131" s="257">
        <f t="shared" si="2"/>
        <v>0.62937062937063337</v>
      </c>
    </row>
    <row r="132" spans="1:7" ht="16" x14ac:dyDescent="0.2">
      <c r="A132" s="145" t="s">
        <v>742</v>
      </c>
      <c r="B132" s="251" t="s">
        <v>77</v>
      </c>
      <c r="C132" s="145" t="s">
        <v>910</v>
      </c>
      <c r="D132" s="145" t="s">
        <v>785</v>
      </c>
      <c r="E132" s="145" t="s">
        <v>939</v>
      </c>
      <c r="F132" s="257">
        <v>2.2499999999999964</v>
      </c>
      <c r="G132" s="257">
        <f t="shared" si="2"/>
        <v>2.2499999999999964</v>
      </c>
    </row>
    <row r="133" spans="1:7" ht="16" x14ac:dyDescent="0.2">
      <c r="A133" s="145" t="s">
        <v>104</v>
      </c>
      <c r="B133" s="251" t="s">
        <v>77</v>
      </c>
      <c r="C133" s="145" t="s">
        <v>912</v>
      </c>
      <c r="D133" s="145" t="s">
        <v>827</v>
      </c>
      <c r="E133" s="145" t="s">
        <v>939</v>
      </c>
      <c r="F133" s="257">
        <v>4.3680000000000065</v>
      </c>
      <c r="G133" s="257">
        <f t="shared" si="2"/>
        <v>4.3680000000000065</v>
      </c>
    </row>
    <row r="134" spans="1:7" ht="16" x14ac:dyDescent="0.2">
      <c r="A134" s="145" t="s">
        <v>915</v>
      </c>
      <c r="B134" s="250" t="s">
        <v>77</v>
      </c>
      <c r="C134" s="145" t="s">
        <v>910</v>
      </c>
      <c r="D134" s="145" t="s">
        <v>785</v>
      </c>
      <c r="E134" s="145" t="s">
        <v>939</v>
      </c>
      <c r="F134" s="257">
        <v>25.449999999999992</v>
      </c>
      <c r="G134" s="257">
        <f t="shared" si="2"/>
        <v>25.449999999999992</v>
      </c>
    </row>
    <row r="135" spans="1:7" ht="16" x14ac:dyDescent="0.2">
      <c r="A135" s="145" t="s">
        <v>120</v>
      </c>
      <c r="B135" s="250" t="s">
        <v>77</v>
      </c>
      <c r="C135" s="145" t="s">
        <v>910</v>
      </c>
      <c r="D135" s="145" t="s">
        <v>785</v>
      </c>
      <c r="E135" s="145" t="s">
        <v>939</v>
      </c>
      <c r="F135" s="257">
        <v>-8.695652173913043</v>
      </c>
      <c r="G135" s="257">
        <f t="shared" si="2"/>
        <v>8.695652173913043</v>
      </c>
    </row>
    <row r="136" spans="1:7" ht="16" x14ac:dyDescent="0.2">
      <c r="A136" s="145" t="s">
        <v>121</v>
      </c>
      <c r="B136" s="250" t="s">
        <v>77</v>
      </c>
      <c r="C136" s="145" t="s">
        <v>910</v>
      </c>
      <c r="D136" s="145" t="s">
        <v>785</v>
      </c>
      <c r="E136" s="145" t="s">
        <v>939</v>
      </c>
      <c r="F136" s="257">
        <v>-12.5</v>
      </c>
      <c r="G136" s="257">
        <f t="shared" si="2"/>
        <v>12.5</v>
      </c>
    </row>
    <row r="137" spans="1:7" ht="16" x14ac:dyDescent="0.2">
      <c r="A137" s="145" t="s">
        <v>941</v>
      </c>
      <c r="B137" s="253" t="s">
        <v>77</v>
      </c>
      <c r="C137" s="145" t="s">
        <v>912</v>
      </c>
      <c r="D137" s="145" t="s">
        <v>785</v>
      </c>
      <c r="E137" s="145" t="s">
        <v>939</v>
      </c>
      <c r="F137" s="257">
        <v>-9.8425196850393704</v>
      </c>
      <c r="G137" s="257">
        <f t="shared" si="2"/>
        <v>9.8425196850393704</v>
      </c>
    </row>
    <row r="138" spans="1:7" ht="16" x14ac:dyDescent="0.2">
      <c r="A138" s="206" t="s">
        <v>470</v>
      </c>
      <c r="B138" s="253" t="s">
        <v>46</v>
      </c>
      <c r="C138" s="145" t="s">
        <v>912</v>
      </c>
      <c r="D138" s="145" t="s">
        <v>827</v>
      </c>
      <c r="E138" s="145" t="s">
        <v>3</v>
      </c>
      <c r="F138" s="257">
        <v>-12.273958333333326</v>
      </c>
      <c r="G138" s="257">
        <f t="shared" si="2"/>
        <v>12.273958333333326</v>
      </c>
    </row>
    <row r="139" spans="1:7" ht="16" x14ac:dyDescent="0.2">
      <c r="A139" s="206" t="s">
        <v>473</v>
      </c>
      <c r="B139" s="253" t="s">
        <v>46</v>
      </c>
      <c r="C139" s="145" t="s">
        <v>910</v>
      </c>
      <c r="D139" s="145" t="s">
        <v>827</v>
      </c>
      <c r="E139" s="145" t="s">
        <v>3</v>
      </c>
      <c r="F139" s="257">
        <v>-6.5181818181818221</v>
      </c>
      <c r="G139" s="257">
        <f t="shared" si="2"/>
        <v>6.5181818181818221</v>
      </c>
    </row>
    <row r="140" spans="1:7" ht="16" x14ac:dyDescent="0.2">
      <c r="A140" s="206" t="s">
        <v>471</v>
      </c>
      <c r="B140" s="253" t="s">
        <v>46</v>
      </c>
      <c r="C140" s="145" t="s">
        <v>910</v>
      </c>
      <c r="D140" s="145" t="s">
        <v>827</v>
      </c>
      <c r="E140" s="145" t="s">
        <v>3</v>
      </c>
      <c r="F140" s="257">
        <v>-5.7183098591549282</v>
      </c>
      <c r="G140" s="257">
        <f t="shared" si="2"/>
        <v>5.7183098591549282</v>
      </c>
    </row>
    <row r="141" spans="1:7" ht="16" x14ac:dyDescent="0.2">
      <c r="A141" s="206" t="s">
        <v>466</v>
      </c>
      <c r="B141" s="253" t="s">
        <v>46</v>
      </c>
      <c r="C141" s="145" t="s">
        <v>912</v>
      </c>
      <c r="D141" s="145" t="s">
        <v>827</v>
      </c>
      <c r="E141" s="145" t="s">
        <v>3</v>
      </c>
      <c r="F141" s="257">
        <v>-5.0588235294117663</v>
      </c>
      <c r="G141" s="257">
        <f t="shared" si="2"/>
        <v>5.0588235294117663</v>
      </c>
    </row>
    <row r="142" spans="1:7" ht="16" x14ac:dyDescent="0.2">
      <c r="A142" s="145" t="s">
        <v>594</v>
      </c>
      <c r="B142" s="253" t="s">
        <v>46</v>
      </c>
      <c r="C142" s="145" t="s">
        <v>910</v>
      </c>
      <c r="D142" s="243" t="s">
        <v>827</v>
      </c>
      <c r="E142" s="145" t="s">
        <v>3</v>
      </c>
      <c r="F142" s="257">
        <v>-2.2471910112359552</v>
      </c>
      <c r="G142" s="257">
        <f t="shared" si="2"/>
        <v>2.2471910112359552</v>
      </c>
    </row>
    <row r="143" spans="1:7" ht="16" x14ac:dyDescent="0.2">
      <c r="A143" s="206" t="s">
        <v>467</v>
      </c>
      <c r="B143" s="253" t="s">
        <v>46</v>
      </c>
      <c r="C143" s="145" t="s">
        <v>912</v>
      </c>
      <c r="D143" s="145" t="s">
        <v>827</v>
      </c>
      <c r="E143" s="145" t="s">
        <v>3</v>
      </c>
      <c r="F143" s="257">
        <v>0.7</v>
      </c>
      <c r="G143" s="257">
        <f t="shared" si="2"/>
        <v>0.7</v>
      </c>
    </row>
    <row r="144" spans="1:7" ht="16" x14ac:dyDescent="0.2">
      <c r="A144" s="145" t="s">
        <v>204</v>
      </c>
      <c r="B144" s="253" t="s">
        <v>46</v>
      </c>
      <c r="C144" s="145" t="s">
        <v>910</v>
      </c>
      <c r="D144" s="145" t="s">
        <v>827</v>
      </c>
      <c r="E144" s="145" t="s">
        <v>3</v>
      </c>
      <c r="F144" s="257">
        <v>2.2510121457489842</v>
      </c>
      <c r="G144" s="257">
        <f t="shared" si="2"/>
        <v>2.2510121457489842</v>
      </c>
    </row>
    <row r="145" spans="1:7" ht="16" x14ac:dyDescent="0.2">
      <c r="A145" s="206" t="s">
        <v>474</v>
      </c>
      <c r="B145" s="253" t="s">
        <v>46</v>
      </c>
      <c r="C145" s="145" t="s">
        <v>912</v>
      </c>
      <c r="D145" s="145" t="s">
        <v>827</v>
      </c>
      <c r="E145" s="145" t="s">
        <v>3</v>
      </c>
      <c r="F145" s="257">
        <v>5.9793814432989691</v>
      </c>
      <c r="G145" s="257">
        <f t="shared" si="2"/>
        <v>5.9793814432989691</v>
      </c>
    </row>
    <row r="146" spans="1:7" ht="16" x14ac:dyDescent="0.2">
      <c r="A146" s="145" t="s">
        <v>50</v>
      </c>
      <c r="B146" s="250" t="s">
        <v>16</v>
      </c>
      <c r="C146" s="145" t="s">
        <v>912</v>
      </c>
      <c r="D146" s="145" t="s">
        <v>827</v>
      </c>
      <c r="E146" s="145" t="s">
        <v>3</v>
      </c>
      <c r="F146" s="257">
        <v>-5.741469816272966</v>
      </c>
      <c r="G146" s="257">
        <f t="shared" si="2"/>
        <v>5.741469816272966</v>
      </c>
    </row>
    <row r="147" spans="1:7" ht="16" x14ac:dyDescent="0.2">
      <c r="A147" s="207" t="s">
        <v>715</v>
      </c>
      <c r="B147" s="253" t="s">
        <v>16</v>
      </c>
      <c r="C147" s="145" t="s">
        <v>910</v>
      </c>
      <c r="D147" s="145" t="s">
        <v>827</v>
      </c>
      <c r="E147" s="145" t="s">
        <v>3</v>
      </c>
      <c r="F147" s="257">
        <v>-3.5343915343915322</v>
      </c>
      <c r="G147" s="257">
        <f t="shared" si="2"/>
        <v>3.5343915343915322</v>
      </c>
    </row>
    <row r="148" spans="1:7" ht="16" x14ac:dyDescent="0.2">
      <c r="A148" s="145" t="s">
        <v>825</v>
      </c>
      <c r="B148" s="253" t="s">
        <v>16</v>
      </c>
      <c r="C148" s="145" t="s">
        <v>910</v>
      </c>
      <c r="D148" s="145" t="s">
        <v>827</v>
      </c>
      <c r="E148" s="145" t="s">
        <v>3</v>
      </c>
      <c r="F148" s="257">
        <v>-1.3537313432835727</v>
      </c>
      <c r="G148" s="257">
        <f t="shared" si="2"/>
        <v>1.3537313432835727</v>
      </c>
    </row>
    <row r="149" spans="1:7" ht="16" x14ac:dyDescent="0.2">
      <c r="A149" s="145" t="s">
        <v>58</v>
      </c>
      <c r="B149" s="253" t="s">
        <v>16</v>
      </c>
      <c r="C149" s="145" t="s">
        <v>910</v>
      </c>
      <c r="D149" s="145" t="s">
        <v>827</v>
      </c>
      <c r="E149" s="145" t="s">
        <v>3</v>
      </c>
      <c r="F149" s="257">
        <v>1.6896551724137931</v>
      </c>
      <c r="G149" s="257">
        <f t="shared" si="2"/>
        <v>1.6896551724137931</v>
      </c>
    </row>
    <row r="150" spans="1:7" ht="16" x14ac:dyDescent="0.2">
      <c r="A150" s="145" t="s">
        <v>63</v>
      </c>
      <c r="B150" s="253" t="s">
        <v>16</v>
      </c>
      <c r="C150" s="145" t="s">
        <v>910</v>
      </c>
      <c r="D150" s="145" t="s">
        <v>827</v>
      </c>
      <c r="E150" s="145" t="s">
        <v>3</v>
      </c>
      <c r="F150" s="257">
        <v>2.1137440758293833</v>
      </c>
      <c r="G150" s="257">
        <f t="shared" si="2"/>
        <v>2.1137440758293833</v>
      </c>
    </row>
    <row r="151" spans="1:7" ht="16" x14ac:dyDescent="0.2">
      <c r="A151" s="28" t="s">
        <v>426</v>
      </c>
      <c r="B151" s="253" t="s">
        <v>19</v>
      </c>
      <c r="C151" s="145" t="s">
        <v>910</v>
      </c>
      <c r="D151" s="145" t="s">
        <v>827</v>
      </c>
      <c r="E151" s="145" t="s">
        <v>3</v>
      </c>
      <c r="F151" s="257">
        <v>-9.5785185185185195</v>
      </c>
      <c r="G151" s="257">
        <f t="shared" si="2"/>
        <v>9.5785185185185195</v>
      </c>
    </row>
    <row r="152" spans="1:7" ht="16" x14ac:dyDescent="0.2">
      <c r="A152" s="28" t="s">
        <v>427</v>
      </c>
      <c r="B152" s="253" t="s">
        <v>19</v>
      </c>
      <c r="C152" s="145" t="s">
        <v>910</v>
      </c>
      <c r="D152" s="145" t="s">
        <v>827</v>
      </c>
      <c r="E152" s="145" t="s">
        <v>3</v>
      </c>
      <c r="F152" s="257">
        <v>-6.5584242424242385</v>
      </c>
      <c r="G152" s="257">
        <f t="shared" si="2"/>
        <v>6.5584242424242385</v>
      </c>
    </row>
    <row r="153" spans="1:7" ht="16" x14ac:dyDescent="0.2">
      <c r="A153" s="28" t="s">
        <v>433</v>
      </c>
      <c r="B153" s="253" t="s">
        <v>19</v>
      </c>
      <c r="C153" s="145" t="s">
        <v>910</v>
      </c>
      <c r="D153" s="145" t="s">
        <v>827</v>
      </c>
      <c r="E153" s="145" t="s">
        <v>3</v>
      </c>
      <c r="F153" s="257">
        <v>-5.7769736842105228</v>
      </c>
      <c r="G153" s="257">
        <f t="shared" si="2"/>
        <v>5.7769736842105228</v>
      </c>
    </row>
    <row r="154" spans="1:7" ht="16" x14ac:dyDescent="0.2">
      <c r="A154" s="28" t="s">
        <v>425</v>
      </c>
      <c r="B154" s="253" t="s">
        <v>19</v>
      </c>
      <c r="C154" s="145" t="s">
        <v>912</v>
      </c>
      <c r="D154" s="145" t="s">
        <v>827</v>
      </c>
      <c r="E154" s="145" t="s">
        <v>3</v>
      </c>
      <c r="F154" s="257">
        <v>-4.244609665427503</v>
      </c>
      <c r="G154" s="257">
        <f t="shared" si="2"/>
        <v>4.244609665427503</v>
      </c>
    </row>
    <row r="155" spans="1:7" ht="16" x14ac:dyDescent="0.2">
      <c r="A155" s="28" t="s">
        <v>435</v>
      </c>
      <c r="B155" s="253" t="s">
        <v>19</v>
      </c>
      <c r="C155" s="145" t="s">
        <v>910</v>
      </c>
      <c r="D155" s="145" t="s">
        <v>827</v>
      </c>
      <c r="E155" s="145" t="s">
        <v>3</v>
      </c>
      <c r="F155" s="257">
        <v>-0.13913043478260079</v>
      </c>
      <c r="G155" s="257">
        <f t="shared" si="2"/>
        <v>0.13913043478260079</v>
      </c>
    </row>
    <row r="156" spans="1:7" ht="16" x14ac:dyDescent="0.2">
      <c r="A156" s="145" t="s">
        <v>104</v>
      </c>
      <c r="B156" s="251" t="s">
        <v>77</v>
      </c>
      <c r="C156" s="145" t="s">
        <v>912</v>
      </c>
      <c r="D156" s="145" t="s">
        <v>827</v>
      </c>
      <c r="E156" s="145" t="s">
        <v>3</v>
      </c>
      <c r="F156" s="257">
        <v>1.4737122703412051</v>
      </c>
      <c r="G156" s="257">
        <f t="shared" si="2"/>
        <v>1.4737122703412051</v>
      </c>
    </row>
    <row r="157" spans="1:7" ht="16" x14ac:dyDescent="0.2">
      <c r="A157" s="145" t="s">
        <v>84</v>
      </c>
      <c r="B157" s="251" t="s">
        <v>77</v>
      </c>
      <c r="C157" s="145" t="s">
        <v>912</v>
      </c>
      <c r="D157" s="145" t="s">
        <v>827</v>
      </c>
      <c r="E157" s="145" t="s">
        <v>3</v>
      </c>
      <c r="F157" s="257">
        <v>2.2309711286089238</v>
      </c>
      <c r="G157" s="257">
        <f t="shared" si="2"/>
        <v>2.2309711286089238</v>
      </c>
    </row>
    <row r="158" spans="1:7" ht="16" x14ac:dyDescent="0.2">
      <c r="A158" s="145" t="s">
        <v>120</v>
      </c>
      <c r="B158" s="250" t="s">
        <v>77</v>
      </c>
      <c r="C158" s="145" t="s">
        <v>912</v>
      </c>
      <c r="D158" s="145" t="s">
        <v>785</v>
      </c>
      <c r="E158" s="145" t="s">
        <v>3</v>
      </c>
      <c r="F158" s="257">
        <v>-7.3523503415026115</v>
      </c>
      <c r="G158" s="257">
        <f t="shared" si="2"/>
        <v>7.3523503415026115</v>
      </c>
    </row>
    <row r="159" spans="1:7" ht="16" x14ac:dyDescent="0.2">
      <c r="A159" s="149" t="s">
        <v>90</v>
      </c>
      <c r="B159" s="253" t="s">
        <v>77</v>
      </c>
      <c r="C159" s="145" t="s">
        <v>912</v>
      </c>
      <c r="D159" s="145" t="s">
        <v>827</v>
      </c>
      <c r="E159" s="145" t="s">
        <v>3</v>
      </c>
      <c r="F159" s="257">
        <v>4.8090551181102397</v>
      </c>
      <c r="G159" s="257">
        <f t="shared" si="2"/>
        <v>4.8090551181102397</v>
      </c>
    </row>
    <row r="160" spans="1:7" ht="16" x14ac:dyDescent="0.2">
      <c r="A160" s="28" t="s">
        <v>942</v>
      </c>
      <c r="B160" s="253" t="s">
        <v>77</v>
      </c>
      <c r="C160" s="145" t="s">
        <v>912</v>
      </c>
      <c r="D160" s="145" t="s">
        <v>827</v>
      </c>
      <c r="E160" s="145" t="s">
        <v>3</v>
      </c>
      <c r="F160" s="257">
        <v>0</v>
      </c>
      <c r="G160" s="257">
        <f t="shared" si="2"/>
        <v>0</v>
      </c>
    </row>
    <row r="161" spans="1:7" ht="16" x14ac:dyDescent="0.2">
      <c r="A161" s="28" t="s">
        <v>942</v>
      </c>
      <c r="B161" s="253" t="s">
        <v>77</v>
      </c>
      <c r="C161" s="145" t="s">
        <v>912</v>
      </c>
      <c r="D161" s="145" t="s">
        <v>827</v>
      </c>
      <c r="E161" s="145" t="s">
        <v>3</v>
      </c>
      <c r="F161" s="257">
        <v>-0.84745762711864403</v>
      </c>
      <c r="G161" s="257">
        <f t="shared" si="2"/>
        <v>0.84745762711864403</v>
      </c>
    </row>
    <row r="162" spans="1:7" ht="16" x14ac:dyDescent="0.2">
      <c r="A162" s="206" t="s">
        <v>468</v>
      </c>
      <c r="B162" s="253" t="s">
        <v>46</v>
      </c>
      <c r="C162" s="145" t="s">
        <v>910</v>
      </c>
      <c r="D162" s="145" t="s">
        <v>827</v>
      </c>
      <c r="E162" s="145" t="s">
        <v>28</v>
      </c>
      <c r="F162" s="257">
        <v>-13.214285714285714</v>
      </c>
      <c r="G162" s="257">
        <f t="shared" si="2"/>
        <v>13.214285714285714</v>
      </c>
    </row>
    <row r="163" spans="1:7" ht="16" x14ac:dyDescent="0.2">
      <c r="A163" s="206" t="s">
        <v>473</v>
      </c>
      <c r="B163" s="253" t="s">
        <v>46</v>
      </c>
      <c r="C163" s="145" t="s">
        <v>910</v>
      </c>
      <c r="D163" s="145" t="s">
        <v>827</v>
      </c>
      <c r="E163" s="145" t="s">
        <v>28</v>
      </c>
      <c r="F163" s="257">
        <v>-10.814814814814811</v>
      </c>
      <c r="G163" s="257">
        <f t="shared" si="2"/>
        <v>10.814814814814811</v>
      </c>
    </row>
    <row r="164" spans="1:7" ht="16" x14ac:dyDescent="0.2">
      <c r="A164" s="206" t="s">
        <v>467</v>
      </c>
      <c r="B164" s="253" t="s">
        <v>46</v>
      </c>
      <c r="C164" s="145" t="s">
        <v>912</v>
      </c>
      <c r="D164" s="145" t="s">
        <v>827</v>
      </c>
      <c r="E164" s="145" t="s">
        <v>28</v>
      </c>
      <c r="F164" s="257">
        <v>-5.666666666666667</v>
      </c>
      <c r="G164" s="257">
        <f t="shared" si="2"/>
        <v>5.666666666666667</v>
      </c>
    </row>
    <row r="165" spans="1:7" ht="16" x14ac:dyDescent="0.2">
      <c r="A165" s="149" t="s">
        <v>771</v>
      </c>
      <c r="B165" s="253" t="s">
        <v>46</v>
      </c>
      <c r="C165" s="145" t="s">
        <v>910</v>
      </c>
      <c r="D165" s="145" t="s">
        <v>785</v>
      </c>
      <c r="E165" s="145" t="s">
        <v>28</v>
      </c>
      <c r="F165" s="257">
        <v>-2.0661157024793386</v>
      </c>
      <c r="G165" s="257">
        <f t="shared" si="2"/>
        <v>2.0661157024793386</v>
      </c>
    </row>
    <row r="166" spans="1:7" ht="16" x14ac:dyDescent="0.2">
      <c r="A166" s="206" t="s">
        <v>474</v>
      </c>
      <c r="B166" s="253" t="s">
        <v>46</v>
      </c>
      <c r="C166" s="145" t="s">
        <v>912</v>
      </c>
      <c r="D166" s="145" t="s">
        <v>827</v>
      </c>
      <c r="E166" s="145" t="s">
        <v>28</v>
      </c>
      <c r="F166" s="257">
        <v>-1.1111111111111112</v>
      </c>
      <c r="G166" s="257">
        <f t="shared" si="2"/>
        <v>1.1111111111111112</v>
      </c>
    </row>
    <row r="167" spans="1:7" ht="16" x14ac:dyDescent="0.2">
      <c r="A167" s="145" t="s">
        <v>751</v>
      </c>
      <c r="B167" s="253" t="s">
        <v>46</v>
      </c>
      <c r="C167" s="145" t="s">
        <v>910</v>
      </c>
      <c r="D167" s="145" t="s">
        <v>785</v>
      </c>
      <c r="E167" s="145" t="s">
        <v>28</v>
      </c>
      <c r="F167" s="257">
        <v>-0.6741573033707865</v>
      </c>
      <c r="G167" s="257">
        <f t="shared" si="2"/>
        <v>0.6741573033707865</v>
      </c>
    </row>
    <row r="168" spans="1:7" ht="16" x14ac:dyDescent="0.2">
      <c r="A168" s="145" t="s">
        <v>777</v>
      </c>
      <c r="B168" s="253" t="s">
        <v>46</v>
      </c>
      <c r="C168" s="145" t="s">
        <v>910</v>
      </c>
      <c r="D168" s="145" t="s">
        <v>785</v>
      </c>
      <c r="E168" s="145" t="s">
        <v>28</v>
      </c>
      <c r="F168" s="257">
        <v>-0.14705882352940342</v>
      </c>
      <c r="G168" s="257">
        <f t="shared" si="2"/>
        <v>0.14705882352940342</v>
      </c>
    </row>
    <row r="169" spans="1:7" ht="16" x14ac:dyDescent="0.2">
      <c r="A169" s="206" t="s">
        <v>466</v>
      </c>
      <c r="B169" s="253" t="s">
        <v>46</v>
      </c>
      <c r="C169" s="145" t="s">
        <v>912</v>
      </c>
      <c r="D169" s="145" t="s">
        <v>827</v>
      </c>
      <c r="E169" s="145" t="s">
        <v>28</v>
      </c>
      <c r="F169" s="257">
        <v>5.8888888888888804</v>
      </c>
      <c r="G169" s="257">
        <f t="shared" si="2"/>
        <v>5.8888888888888804</v>
      </c>
    </row>
    <row r="170" spans="1:7" ht="16" x14ac:dyDescent="0.2">
      <c r="A170" s="206" t="s">
        <v>471</v>
      </c>
      <c r="B170" s="253" t="s">
        <v>46</v>
      </c>
      <c r="C170" s="145" t="s">
        <v>910</v>
      </c>
      <c r="D170" s="145" t="s">
        <v>827</v>
      </c>
      <c r="E170" s="145" t="s">
        <v>28</v>
      </c>
      <c r="F170" s="257">
        <v>6.9204152249134951</v>
      </c>
      <c r="G170" s="257">
        <f t="shared" si="2"/>
        <v>6.9204152249134951</v>
      </c>
    </row>
    <row r="171" spans="1:7" ht="16" x14ac:dyDescent="0.2">
      <c r="A171" s="256" t="s">
        <v>520</v>
      </c>
      <c r="B171" s="253" t="s">
        <v>16</v>
      </c>
      <c r="C171" s="145" t="s">
        <v>910</v>
      </c>
      <c r="D171" s="145" t="s">
        <v>909</v>
      </c>
      <c r="E171" s="145" t="s">
        <v>28</v>
      </c>
      <c r="F171" s="257">
        <v>-11.503267973856206</v>
      </c>
      <c r="G171" s="257">
        <f t="shared" si="2"/>
        <v>11.503267973856206</v>
      </c>
    </row>
    <row r="172" spans="1:7" ht="16" x14ac:dyDescent="0.2">
      <c r="A172" s="145" t="s">
        <v>919</v>
      </c>
      <c r="B172" s="250" t="s">
        <v>16</v>
      </c>
      <c r="C172" s="145" t="s">
        <v>910</v>
      </c>
      <c r="D172" s="145" t="s">
        <v>785</v>
      </c>
      <c r="E172" s="145" t="s">
        <v>28</v>
      </c>
      <c r="F172" s="257">
        <v>-6.6037735849056602</v>
      </c>
      <c r="G172" s="257">
        <f t="shared" si="2"/>
        <v>6.6037735849056602</v>
      </c>
    </row>
    <row r="173" spans="1:7" ht="16" x14ac:dyDescent="0.2">
      <c r="A173" s="207" t="s">
        <v>715</v>
      </c>
      <c r="B173" s="253" t="s">
        <v>16</v>
      </c>
      <c r="C173" s="145" t="s">
        <v>910</v>
      </c>
      <c r="D173" s="145" t="s">
        <v>827</v>
      </c>
      <c r="E173" s="145" t="s">
        <v>28</v>
      </c>
      <c r="F173" s="257">
        <v>-6.4756446991404077</v>
      </c>
      <c r="G173" s="257">
        <f t="shared" si="2"/>
        <v>6.4756446991404077</v>
      </c>
    </row>
    <row r="174" spans="1:7" ht="16" x14ac:dyDescent="0.2">
      <c r="A174" s="145" t="s">
        <v>243</v>
      </c>
      <c r="B174" s="250" t="s">
        <v>16</v>
      </c>
      <c r="C174" s="145" t="s">
        <v>910</v>
      </c>
      <c r="D174" s="145" t="s">
        <v>785</v>
      </c>
      <c r="E174" s="145" t="s">
        <v>28</v>
      </c>
      <c r="F174" s="257">
        <v>-4.9816849816849897</v>
      </c>
      <c r="G174" s="257">
        <f t="shared" si="2"/>
        <v>4.9816849816849897</v>
      </c>
    </row>
    <row r="175" spans="1:7" ht="16" x14ac:dyDescent="0.2">
      <c r="A175" s="145" t="s">
        <v>914</v>
      </c>
      <c r="B175" s="250" t="s">
        <v>16</v>
      </c>
      <c r="C175" s="145" t="s">
        <v>910</v>
      </c>
      <c r="D175" s="145" t="s">
        <v>785</v>
      </c>
      <c r="E175" s="145" t="s">
        <v>28</v>
      </c>
      <c r="F175" s="257">
        <v>-4.6460176991150446</v>
      </c>
      <c r="G175" s="257">
        <f t="shared" si="2"/>
        <v>4.6460176991150446</v>
      </c>
    </row>
    <row r="176" spans="1:7" ht="16" x14ac:dyDescent="0.2">
      <c r="A176" s="145" t="s">
        <v>920</v>
      </c>
      <c r="B176" s="250" t="s">
        <v>16</v>
      </c>
      <c r="C176" s="145" t="s">
        <v>910</v>
      </c>
      <c r="D176" s="145" t="s">
        <v>785</v>
      </c>
      <c r="E176" s="145" t="s">
        <v>28</v>
      </c>
      <c r="F176" s="257">
        <v>-1.573275862068968</v>
      </c>
      <c r="G176" s="257">
        <f t="shared" si="2"/>
        <v>1.573275862068968</v>
      </c>
    </row>
    <row r="177" spans="1:7" ht="16" x14ac:dyDescent="0.2">
      <c r="A177" s="145" t="s">
        <v>921</v>
      </c>
      <c r="B177" s="250" t="s">
        <v>16</v>
      </c>
      <c r="C177" s="145" t="s">
        <v>912</v>
      </c>
      <c r="D177" s="145" t="s">
        <v>785</v>
      </c>
      <c r="E177" s="145" t="s">
        <v>28</v>
      </c>
      <c r="F177" s="257">
        <v>-1.1919191919191987</v>
      </c>
      <c r="G177" s="257">
        <f t="shared" si="2"/>
        <v>1.1919191919191987</v>
      </c>
    </row>
    <row r="178" spans="1:7" ht="16" x14ac:dyDescent="0.2">
      <c r="A178" s="145" t="s">
        <v>925</v>
      </c>
      <c r="B178" s="250" t="s">
        <v>16</v>
      </c>
      <c r="C178" s="145" t="s">
        <v>912</v>
      </c>
      <c r="D178" s="145" t="s">
        <v>785</v>
      </c>
      <c r="E178" s="145" t="s">
        <v>28</v>
      </c>
      <c r="F178" s="257">
        <v>-0.52783505154639221</v>
      </c>
      <c r="G178" s="257">
        <f t="shared" si="2"/>
        <v>0.52783505154639221</v>
      </c>
    </row>
    <row r="179" spans="1:7" ht="16" x14ac:dyDescent="0.2">
      <c r="A179" s="145" t="s">
        <v>927</v>
      </c>
      <c r="B179" s="250" t="s">
        <v>16</v>
      </c>
      <c r="C179" s="145" t="s">
        <v>912</v>
      </c>
      <c r="D179" s="145" t="s">
        <v>785</v>
      </c>
      <c r="E179" s="145" t="s">
        <v>28</v>
      </c>
      <c r="F179" s="257">
        <v>0.19277108433735213</v>
      </c>
      <c r="G179" s="257">
        <f t="shared" si="2"/>
        <v>0.19277108433735213</v>
      </c>
    </row>
    <row r="180" spans="1:7" ht="16" x14ac:dyDescent="0.2">
      <c r="A180" s="145" t="s">
        <v>918</v>
      </c>
      <c r="B180" s="250" t="s">
        <v>16</v>
      </c>
      <c r="C180" s="145" t="s">
        <v>910</v>
      </c>
      <c r="D180" s="145" t="s">
        <v>785</v>
      </c>
      <c r="E180" s="145" t="s">
        <v>28</v>
      </c>
      <c r="F180" s="257">
        <v>0.68965517241379914</v>
      </c>
      <c r="G180" s="257">
        <f t="shared" si="2"/>
        <v>0.68965517241379914</v>
      </c>
    </row>
    <row r="181" spans="1:7" ht="16" x14ac:dyDescent="0.2">
      <c r="A181" s="28" t="s">
        <v>416</v>
      </c>
      <c r="B181" s="253" t="s">
        <v>19</v>
      </c>
      <c r="C181" s="145" t="s">
        <v>912</v>
      </c>
      <c r="D181" s="145" t="s">
        <v>827</v>
      </c>
      <c r="E181" s="145" t="s">
        <v>28</v>
      </c>
      <c r="F181" s="257">
        <v>-5.5737704918032787</v>
      </c>
      <c r="G181" s="257">
        <f t="shared" si="2"/>
        <v>5.5737704918032787</v>
      </c>
    </row>
    <row r="182" spans="1:7" ht="16" x14ac:dyDescent="0.2">
      <c r="A182" s="28" t="s">
        <v>425</v>
      </c>
      <c r="B182" s="253" t="s">
        <v>19</v>
      </c>
      <c r="C182" s="145" t="s">
        <v>912</v>
      </c>
      <c r="D182" s="145" t="s">
        <v>827</v>
      </c>
      <c r="E182" s="145" t="s">
        <v>28</v>
      </c>
      <c r="F182" s="257">
        <v>-4.3387096774193514</v>
      </c>
      <c r="G182" s="257">
        <f t="shared" si="2"/>
        <v>4.3387096774193514</v>
      </c>
    </row>
    <row r="183" spans="1:7" ht="16" x14ac:dyDescent="0.2">
      <c r="A183" s="28" t="s">
        <v>424</v>
      </c>
      <c r="B183" s="253" t="s">
        <v>19</v>
      </c>
      <c r="C183" s="145" t="s">
        <v>910</v>
      </c>
      <c r="D183" s="145" t="s">
        <v>827</v>
      </c>
      <c r="E183" s="145" t="s">
        <v>28</v>
      </c>
      <c r="F183" s="257">
        <v>-2.7764705882352967</v>
      </c>
      <c r="G183" s="257">
        <f t="shared" si="2"/>
        <v>2.7764705882352967</v>
      </c>
    </row>
    <row r="184" spans="1:7" ht="16" x14ac:dyDescent="0.2">
      <c r="A184" s="28" t="s">
        <v>426</v>
      </c>
      <c r="B184" s="253" t="s">
        <v>19</v>
      </c>
      <c r="C184" s="145" t="s">
        <v>910</v>
      </c>
      <c r="D184" s="145" t="s">
        <v>827</v>
      </c>
      <c r="E184" s="145" t="s">
        <v>28</v>
      </c>
      <c r="F184" s="257">
        <v>-2.2820512820512762</v>
      </c>
      <c r="G184" s="257">
        <f t="shared" si="2"/>
        <v>2.2820512820512762</v>
      </c>
    </row>
    <row r="185" spans="1:7" ht="16" x14ac:dyDescent="0.2">
      <c r="A185" s="28" t="s">
        <v>433</v>
      </c>
      <c r="B185" s="253" t="s">
        <v>19</v>
      </c>
      <c r="C185" s="145" t="s">
        <v>910</v>
      </c>
      <c r="D185" s="145" t="s">
        <v>827</v>
      </c>
      <c r="E185" s="145" t="s">
        <v>28</v>
      </c>
      <c r="F185" s="257">
        <v>-1.4029850746268622</v>
      </c>
      <c r="G185" s="257">
        <f t="shared" si="2"/>
        <v>1.4029850746268622</v>
      </c>
    </row>
    <row r="186" spans="1:7" ht="16" x14ac:dyDescent="0.2">
      <c r="A186" s="28" t="s">
        <v>435</v>
      </c>
      <c r="B186" s="253" t="s">
        <v>19</v>
      </c>
      <c r="C186" s="145" t="s">
        <v>910</v>
      </c>
      <c r="D186" s="145" t="s">
        <v>827</v>
      </c>
      <c r="E186" s="145" t="s">
        <v>28</v>
      </c>
      <c r="F186" s="257">
        <v>-1.3333333333333417</v>
      </c>
      <c r="G186" s="257">
        <f t="shared" si="2"/>
        <v>1.3333333333333417</v>
      </c>
    </row>
    <row r="187" spans="1:7" ht="16" x14ac:dyDescent="0.2">
      <c r="A187" s="145" t="s">
        <v>779</v>
      </c>
      <c r="B187" s="253" t="s">
        <v>19</v>
      </c>
      <c r="C187" s="145" t="s">
        <v>910</v>
      </c>
      <c r="D187" s="145" t="s">
        <v>785</v>
      </c>
      <c r="E187" s="145" t="s">
        <v>28</v>
      </c>
      <c r="F187" s="257">
        <v>5.7971014492750328E-2</v>
      </c>
      <c r="G187" s="257">
        <f t="shared" si="2"/>
        <v>5.7971014492750328E-2</v>
      </c>
    </row>
    <row r="188" spans="1:7" ht="16" x14ac:dyDescent="0.2">
      <c r="A188" s="28" t="s">
        <v>421</v>
      </c>
      <c r="B188" s="253" t="s">
        <v>19</v>
      </c>
      <c r="C188" s="145" t="s">
        <v>910</v>
      </c>
      <c r="D188" s="145" t="s">
        <v>827</v>
      </c>
      <c r="E188" s="145" t="s">
        <v>28</v>
      </c>
      <c r="F188" s="257">
        <v>0.58048780487804763</v>
      </c>
      <c r="G188" s="257">
        <f t="shared" si="2"/>
        <v>0.58048780487804763</v>
      </c>
    </row>
    <row r="189" spans="1:7" ht="16" x14ac:dyDescent="0.2">
      <c r="A189" s="28" t="s">
        <v>423</v>
      </c>
      <c r="B189" s="253" t="s">
        <v>19</v>
      </c>
      <c r="C189" s="145" t="s">
        <v>910</v>
      </c>
      <c r="D189" s="145" t="s">
        <v>827</v>
      </c>
      <c r="E189" s="145" t="s">
        <v>28</v>
      </c>
      <c r="F189" s="257">
        <v>0.87272727272726447</v>
      </c>
      <c r="G189" s="257">
        <f t="shared" si="2"/>
        <v>0.87272727272726447</v>
      </c>
    </row>
    <row r="190" spans="1:7" ht="16" x14ac:dyDescent="0.2">
      <c r="A190" s="28" t="s">
        <v>427</v>
      </c>
      <c r="B190" s="253" t="s">
        <v>19</v>
      </c>
      <c r="C190" s="145" t="s">
        <v>910</v>
      </c>
      <c r="D190" s="145" t="s">
        <v>827</v>
      </c>
      <c r="E190" s="145" t="s">
        <v>28</v>
      </c>
      <c r="F190" s="257">
        <v>1.8734177215189816</v>
      </c>
      <c r="G190" s="257">
        <f t="shared" si="2"/>
        <v>1.8734177215189816</v>
      </c>
    </row>
    <row r="191" spans="1:7" ht="16" x14ac:dyDescent="0.2">
      <c r="A191" s="28" t="s">
        <v>422</v>
      </c>
      <c r="B191" s="253" t="s">
        <v>19</v>
      </c>
      <c r="C191" s="145" t="s">
        <v>910</v>
      </c>
      <c r="D191" s="145" t="s">
        <v>827</v>
      </c>
      <c r="E191" s="145" t="s">
        <v>28</v>
      </c>
      <c r="F191" s="257">
        <v>4.1509433962264151</v>
      </c>
      <c r="G191" s="257">
        <f t="shared" si="2"/>
        <v>4.1509433962264151</v>
      </c>
    </row>
    <row r="192" spans="1:7" ht="16" x14ac:dyDescent="0.2">
      <c r="A192" s="28" t="s">
        <v>459</v>
      </c>
      <c r="B192" s="253" t="s">
        <v>19</v>
      </c>
      <c r="C192" s="145" t="s">
        <v>910</v>
      </c>
      <c r="D192" s="145" t="s">
        <v>827</v>
      </c>
      <c r="E192" s="145" t="s">
        <v>28</v>
      </c>
      <c r="F192" s="257">
        <v>9.7818181818181742</v>
      </c>
      <c r="G192" s="257">
        <f t="shared" si="2"/>
        <v>9.7818181818181742</v>
      </c>
    </row>
    <row r="193" spans="1:7" ht="16" x14ac:dyDescent="0.2">
      <c r="A193" s="145" t="s">
        <v>754</v>
      </c>
      <c r="B193" s="251" t="s">
        <v>77</v>
      </c>
      <c r="C193" s="145" t="s">
        <v>910</v>
      </c>
      <c r="D193" s="145" t="s">
        <v>785</v>
      </c>
      <c r="E193" s="145" t="s">
        <v>28</v>
      </c>
      <c r="F193" s="257">
        <v>-2.3529411764705914</v>
      </c>
      <c r="G193" s="257">
        <f t="shared" si="2"/>
        <v>2.3529411764705914</v>
      </c>
    </row>
    <row r="194" spans="1:7" ht="16" x14ac:dyDescent="0.2">
      <c r="A194" s="149" t="s">
        <v>486</v>
      </c>
      <c r="B194" s="251" t="s">
        <v>77</v>
      </c>
      <c r="C194" s="145" t="s">
        <v>910</v>
      </c>
      <c r="D194" s="145" t="s">
        <v>785</v>
      </c>
      <c r="E194" s="145" t="s">
        <v>28</v>
      </c>
      <c r="F194" s="257">
        <v>-1.5806988352745424</v>
      </c>
      <c r="G194" s="257">
        <f t="shared" ref="G194:G257" si="3">ABS(F194)</f>
        <v>1.5806988352745424</v>
      </c>
    </row>
    <row r="195" spans="1:7" ht="16" x14ac:dyDescent="0.2">
      <c r="A195" s="145" t="s">
        <v>759</v>
      </c>
      <c r="B195" s="251" t="s">
        <v>77</v>
      </c>
      <c r="C195" s="145" t="s">
        <v>910</v>
      </c>
      <c r="D195" s="145" t="s">
        <v>785</v>
      </c>
      <c r="E195" s="145" t="s">
        <v>28</v>
      </c>
      <c r="F195" s="257">
        <v>-1.2067435669920061</v>
      </c>
      <c r="G195" s="257">
        <f t="shared" si="3"/>
        <v>1.2067435669920061</v>
      </c>
    </row>
    <row r="196" spans="1:7" ht="16" x14ac:dyDescent="0.2">
      <c r="A196" s="145" t="s">
        <v>748</v>
      </c>
      <c r="B196" s="251" t="s">
        <v>77</v>
      </c>
      <c r="C196" s="145" t="s">
        <v>910</v>
      </c>
      <c r="D196" s="145" t="s">
        <v>785</v>
      </c>
      <c r="E196" s="145" t="s">
        <v>28</v>
      </c>
      <c r="F196" s="257">
        <v>-1.1732283464567002</v>
      </c>
      <c r="G196" s="257">
        <f t="shared" si="3"/>
        <v>1.1732283464567002</v>
      </c>
    </row>
    <row r="197" spans="1:7" ht="16" x14ac:dyDescent="0.2">
      <c r="A197" s="145" t="s">
        <v>749</v>
      </c>
      <c r="B197" s="251" t="s">
        <v>77</v>
      </c>
      <c r="C197" s="145" t="s">
        <v>910</v>
      </c>
      <c r="D197" s="145" t="s">
        <v>785</v>
      </c>
      <c r="E197" s="145" t="s">
        <v>28</v>
      </c>
      <c r="F197" s="257">
        <v>-0.34306569343066023</v>
      </c>
      <c r="G197" s="257">
        <f t="shared" si="3"/>
        <v>0.34306569343066023</v>
      </c>
    </row>
    <row r="198" spans="1:7" ht="16" x14ac:dyDescent="0.2">
      <c r="A198" s="145" t="s">
        <v>750</v>
      </c>
      <c r="B198" s="251" t="s">
        <v>77</v>
      </c>
      <c r="C198" s="145" t="s">
        <v>910</v>
      </c>
      <c r="D198" s="145" t="s">
        <v>785</v>
      </c>
      <c r="E198" s="145" t="s">
        <v>28</v>
      </c>
      <c r="F198" s="257">
        <v>0.35897435897435315</v>
      </c>
      <c r="G198" s="257">
        <f t="shared" si="3"/>
        <v>0.35897435897435315</v>
      </c>
    </row>
    <row r="199" spans="1:7" ht="16" x14ac:dyDescent="0.2">
      <c r="A199" s="145" t="s">
        <v>915</v>
      </c>
      <c r="B199" s="250" t="s">
        <v>77</v>
      </c>
      <c r="C199" s="145" t="s">
        <v>910</v>
      </c>
      <c r="D199" s="145" t="s">
        <v>785</v>
      </c>
      <c r="E199" s="145" t="s">
        <v>28</v>
      </c>
      <c r="F199" s="257">
        <v>5.2879581151832431</v>
      </c>
      <c r="G199" s="257">
        <f t="shared" si="3"/>
        <v>5.2879581151832431</v>
      </c>
    </row>
    <row r="200" spans="1:7" ht="16" x14ac:dyDescent="0.2">
      <c r="A200" s="145" t="s">
        <v>120</v>
      </c>
      <c r="B200" s="250" t="s">
        <v>77</v>
      </c>
      <c r="C200" s="145" t="s">
        <v>910</v>
      </c>
      <c r="D200" s="145" t="s">
        <v>785</v>
      </c>
      <c r="E200" s="145" t="s">
        <v>28</v>
      </c>
      <c r="F200" s="257">
        <v>-4.859315589353602</v>
      </c>
      <c r="G200" s="257">
        <f t="shared" si="3"/>
        <v>4.859315589353602</v>
      </c>
    </row>
    <row r="201" spans="1:7" ht="16" x14ac:dyDescent="0.2">
      <c r="A201" s="145" t="s">
        <v>121</v>
      </c>
      <c r="B201" s="250" t="s">
        <v>77</v>
      </c>
      <c r="C201" s="145" t="s">
        <v>910</v>
      </c>
      <c r="D201" s="145" t="s">
        <v>785</v>
      </c>
      <c r="E201" s="145" t="s">
        <v>28</v>
      </c>
      <c r="F201" s="257">
        <v>14.051094890510949</v>
      </c>
      <c r="G201" s="257">
        <f t="shared" si="3"/>
        <v>14.051094890510949</v>
      </c>
    </row>
    <row r="202" spans="1:7" ht="16" x14ac:dyDescent="0.2">
      <c r="A202" s="145" t="s">
        <v>941</v>
      </c>
      <c r="B202" s="253" t="s">
        <v>77</v>
      </c>
      <c r="C202" s="145" t="s">
        <v>912</v>
      </c>
      <c r="D202" s="145" t="s">
        <v>785</v>
      </c>
      <c r="E202" s="145" t="s">
        <v>28</v>
      </c>
      <c r="F202" s="257">
        <v>-4.6626686656671694</v>
      </c>
      <c r="G202" s="257">
        <f t="shared" si="3"/>
        <v>4.6626686656671694</v>
      </c>
    </row>
    <row r="203" spans="1:7" ht="16" x14ac:dyDescent="0.2">
      <c r="A203" s="145" t="s">
        <v>757</v>
      </c>
      <c r="B203" s="253" t="s">
        <v>46</v>
      </c>
      <c r="C203" s="145" t="s">
        <v>910</v>
      </c>
      <c r="D203" s="145" t="s">
        <v>785</v>
      </c>
      <c r="E203" s="145" t="s">
        <v>938</v>
      </c>
      <c r="F203" s="257">
        <v>-3.7578616352201224</v>
      </c>
      <c r="G203" s="257">
        <f t="shared" si="3"/>
        <v>3.7578616352201224</v>
      </c>
    </row>
    <row r="204" spans="1:7" ht="16" x14ac:dyDescent="0.2">
      <c r="A204" s="145" t="s">
        <v>780</v>
      </c>
      <c r="B204" s="253" t="s">
        <v>46</v>
      </c>
      <c r="C204" s="145" t="s">
        <v>910</v>
      </c>
      <c r="D204" s="145" t="s">
        <v>785</v>
      </c>
      <c r="E204" s="145" t="s">
        <v>938</v>
      </c>
      <c r="F204" s="257">
        <v>-2.4013157894736881</v>
      </c>
      <c r="G204" s="257">
        <f t="shared" si="3"/>
        <v>2.4013157894736881</v>
      </c>
    </row>
    <row r="205" spans="1:7" ht="16" x14ac:dyDescent="0.2">
      <c r="A205" s="149" t="s">
        <v>771</v>
      </c>
      <c r="B205" s="253" t="s">
        <v>46</v>
      </c>
      <c r="C205" s="145" t="s">
        <v>910</v>
      </c>
      <c r="D205" s="145" t="s">
        <v>785</v>
      </c>
      <c r="E205" s="145" t="s">
        <v>938</v>
      </c>
      <c r="F205" s="257">
        <v>-1.9157088122605364</v>
      </c>
      <c r="G205" s="257">
        <f t="shared" si="3"/>
        <v>1.9157088122605364</v>
      </c>
    </row>
    <row r="206" spans="1:7" ht="16" x14ac:dyDescent="0.2">
      <c r="A206" s="145" t="s">
        <v>766</v>
      </c>
      <c r="B206" s="253" t="s">
        <v>46</v>
      </c>
      <c r="C206" s="145" t="s">
        <v>910</v>
      </c>
      <c r="D206" s="145" t="s">
        <v>785</v>
      </c>
      <c r="E206" s="145" t="s">
        <v>938</v>
      </c>
      <c r="F206" s="257">
        <v>-0.25316455696202894</v>
      </c>
      <c r="G206" s="257">
        <f t="shared" si="3"/>
        <v>0.25316455696202894</v>
      </c>
    </row>
    <row r="207" spans="1:7" ht="16" x14ac:dyDescent="0.2">
      <c r="A207" s="145" t="s">
        <v>781</v>
      </c>
      <c r="B207" s="253" t="s">
        <v>46</v>
      </c>
      <c r="C207" s="145" t="s">
        <v>910</v>
      </c>
      <c r="D207" s="145" t="s">
        <v>785</v>
      </c>
      <c r="E207" s="145" t="s">
        <v>938</v>
      </c>
      <c r="F207" s="257">
        <v>-0.15384615384615968</v>
      </c>
      <c r="G207" s="257">
        <f t="shared" si="3"/>
        <v>0.15384615384615968</v>
      </c>
    </row>
    <row r="208" spans="1:7" ht="16" x14ac:dyDescent="0.2">
      <c r="A208" s="145" t="s">
        <v>755</v>
      </c>
      <c r="B208" s="253" t="s">
        <v>46</v>
      </c>
      <c r="C208" s="145" t="s">
        <v>910</v>
      </c>
      <c r="D208" s="145" t="s">
        <v>785</v>
      </c>
      <c r="E208" s="145" t="s">
        <v>938</v>
      </c>
      <c r="F208" s="257">
        <v>0.21325209444020979</v>
      </c>
      <c r="G208" s="257">
        <f t="shared" si="3"/>
        <v>0.21325209444020979</v>
      </c>
    </row>
    <row r="209" spans="1:7" ht="16" x14ac:dyDescent="0.2">
      <c r="A209" s="145" t="s">
        <v>758</v>
      </c>
      <c r="B209" s="253" t="s">
        <v>46</v>
      </c>
      <c r="C209" s="145" t="s">
        <v>910</v>
      </c>
      <c r="D209" s="145" t="s">
        <v>785</v>
      </c>
      <c r="E209" s="145" t="s">
        <v>938</v>
      </c>
      <c r="F209" s="257">
        <v>0.78260869565217395</v>
      </c>
      <c r="G209" s="257">
        <f t="shared" si="3"/>
        <v>0.78260869565217395</v>
      </c>
    </row>
    <row r="210" spans="1:7" ht="16" x14ac:dyDescent="0.2">
      <c r="A210" s="149" t="s">
        <v>772</v>
      </c>
      <c r="B210" s="253" t="s">
        <v>46</v>
      </c>
      <c r="C210" s="145" t="s">
        <v>910</v>
      </c>
      <c r="D210" s="145" t="s">
        <v>785</v>
      </c>
      <c r="E210" s="145" t="s">
        <v>938</v>
      </c>
      <c r="F210" s="257">
        <v>0.79661016949153318</v>
      </c>
      <c r="G210" s="257">
        <f t="shared" si="3"/>
        <v>0.79661016949153318</v>
      </c>
    </row>
    <row r="211" spans="1:7" ht="16" x14ac:dyDescent="0.2">
      <c r="A211" s="145" t="s">
        <v>743</v>
      </c>
      <c r="B211" s="253" t="s">
        <v>46</v>
      </c>
      <c r="C211" s="145" t="s">
        <v>910</v>
      </c>
      <c r="D211" s="145" t="s">
        <v>785</v>
      </c>
      <c r="E211" s="145" t="s">
        <v>938</v>
      </c>
      <c r="F211" s="257">
        <v>1.0507880910683012</v>
      </c>
      <c r="G211" s="257">
        <f t="shared" si="3"/>
        <v>1.0507880910683012</v>
      </c>
    </row>
    <row r="212" spans="1:7" ht="16" x14ac:dyDescent="0.2">
      <c r="A212" s="145" t="s">
        <v>756</v>
      </c>
      <c r="B212" s="253" t="s">
        <v>46</v>
      </c>
      <c r="C212" s="145" t="s">
        <v>910</v>
      </c>
      <c r="D212" s="145" t="s">
        <v>785</v>
      </c>
      <c r="E212" s="145" t="s">
        <v>938</v>
      </c>
      <c r="F212" s="257">
        <v>1.4750957854406217</v>
      </c>
      <c r="G212" s="257">
        <f t="shared" si="3"/>
        <v>1.4750957854406217</v>
      </c>
    </row>
    <row r="213" spans="1:7" ht="16" x14ac:dyDescent="0.2">
      <c r="A213" s="145" t="s">
        <v>747</v>
      </c>
      <c r="B213" s="253" t="s">
        <v>46</v>
      </c>
      <c r="C213" s="145" t="s">
        <v>910</v>
      </c>
      <c r="D213" s="145" t="s">
        <v>785</v>
      </c>
      <c r="E213" s="145" t="s">
        <v>938</v>
      </c>
      <c r="F213" s="257">
        <v>2.2515527950310559</v>
      </c>
      <c r="G213" s="257">
        <f t="shared" si="3"/>
        <v>2.2515527950310559</v>
      </c>
    </row>
    <row r="214" spans="1:7" ht="16" x14ac:dyDescent="0.2">
      <c r="A214" s="145" t="s">
        <v>777</v>
      </c>
      <c r="B214" s="253" t="s">
        <v>46</v>
      </c>
      <c r="C214" s="145" t="s">
        <v>910</v>
      </c>
      <c r="D214" s="145" t="s">
        <v>785</v>
      </c>
      <c r="E214" s="145" t="s">
        <v>938</v>
      </c>
      <c r="F214" s="257">
        <v>2.4789207419898895</v>
      </c>
      <c r="G214" s="257">
        <f t="shared" si="3"/>
        <v>2.4789207419898895</v>
      </c>
    </row>
    <row r="215" spans="1:7" ht="16" x14ac:dyDescent="0.2">
      <c r="A215" s="145" t="s">
        <v>58</v>
      </c>
      <c r="B215" s="253" t="s">
        <v>16</v>
      </c>
      <c r="C215" s="145" t="s">
        <v>910</v>
      </c>
      <c r="D215" s="145" t="s">
        <v>827</v>
      </c>
      <c r="E215" s="145" t="s">
        <v>938</v>
      </c>
      <c r="F215" s="257">
        <v>-7.0178571428571344</v>
      </c>
      <c r="G215" s="257">
        <f t="shared" si="3"/>
        <v>7.0178571428571344</v>
      </c>
    </row>
    <row r="216" spans="1:7" ht="16" x14ac:dyDescent="0.2">
      <c r="A216" s="145" t="s">
        <v>914</v>
      </c>
      <c r="B216" s="250" t="s">
        <v>16</v>
      </c>
      <c r="C216" s="145" t="s">
        <v>910</v>
      </c>
      <c r="D216" s="145" t="s">
        <v>785</v>
      </c>
      <c r="E216" s="145" t="s">
        <v>938</v>
      </c>
      <c r="F216" s="257">
        <v>-4.731182795698925</v>
      </c>
      <c r="G216" s="257">
        <f t="shared" si="3"/>
        <v>4.731182795698925</v>
      </c>
    </row>
    <row r="217" spans="1:7" ht="16" x14ac:dyDescent="0.2">
      <c r="A217" s="145" t="s">
        <v>243</v>
      </c>
      <c r="B217" s="250" t="s">
        <v>16</v>
      </c>
      <c r="C217" s="145" t="s">
        <v>910</v>
      </c>
      <c r="D217" s="145" t="s">
        <v>785</v>
      </c>
      <c r="E217" s="145" t="s">
        <v>938</v>
      </c>
      <c r="F217" s="257">
        <v>-4.0666666666666629</v>
      </c>
      <c r="G217" s="257">
        <f t="shared" si="3"/>
        <v>4.0666666666666629</v>
      </c>
    </row>
    <row r="218" spans="1:7" ht="16" x14ac:dyDescent="0.2">
      <c r="A218" s="145" t="s">
        <v>913</v>
      </c>
      <c r="B218" s="250" t="s">
        <v>16</v>
      </c>
      <c r="C218" s="145" t="s">
        <v>910</v>
      </c>
      <c r="D218" s="145" t="s">
        <v>785</v>
      </c>
      <c r="E218" s="145" t="s">
        <v>938</v>
      </c>
      <c r="F218" s="257">
        <v>-2.1359223300970873</v>
      </c>
      <c r="G218" s="257">
        <f t="shared" si="3"/>
        <v>2.1359223300970873</v>
      </c>
    </row>
    <row r="219" spans="1:7" ht="16" x14ac:dyDescent="0.2">
      <c r="A219" s="145" t="s">
        <v>926</v>
      </c>
      <c r="B219" s="250" t="s">
        <v>16</v>
      </c>
      <c r="C219" s="145" t="s">
        <v>912</v>
      </c>
      <c r="D219" s="145" t="s">
        <v>785</v>
      </c>
      <c r="E219" s="145" t="s">
        <v>938</v>
      </c>
      <c r="F219" s="257">
        <v>-1.5494880546075156</v>
      </c>
      <c r="G219" s="257">
        <f t="shared" si="3"/>
        <v>1.5494880546075156</v>
      </c>
    </row>
    <row r="220" spans="1:7" ht="16" x14ac:dyDescent="0.2">
      <c r="A220" s="145" t="s">
        <v>921</v>
      </c>
      <c r="B220" s="250" t="s">
        <v>16</v>
      </c>
      <c r="C220" s="145" t="s">
        <v>912</v>
      </c>
      <c r="D220" s="145" t="s">
        <v>785</v>
      </c>
      <c r="E220" s="145" t="s">
        <v>938</v>
      </c>
      <c r="F220" s="257">
        <v>-1.4295081967213159</v>
      </c>
      <c r="G220" s="257">
        <f t="shared" si="3"/>
        <v>1.4295081967213159</v>
      </c>
    </row>
    <row r="221" spans="1:7" ht="16" x14ac:dyDescent="0.2">
      <c r="A221" s="145" t="s">
        <v>920</v>
      </c>
      <c r="B221" s="250" t="s">
        <v>16</v>
      </c>
      <c r="C221" s="145" t="s">
        <v>910</v>
      </c>
      <c r="D221" s="145" t="s">
        <v>785</v>
      </c>
      <c r="E221" s="145" t="s">
        <v>938</v>
      </c>
      <c r="F221" s="257">
        <v>8.4210526315832562E-3</v>
      </c>
      <c r="G221" s="257">
        <f t="shared" si="3"/>
        <v>8.4210526315832562E-3</v>
      </c>
    </row>
    <row r="222" spans="1:7" ht="16" x14ac:dyDescent="0.2">
      <c r="A222" s="145" t="s">
        <v>925</v>
      </c>
      <c r="B222" s="250" t="s">
        <v>16</v>
      </c>
      <c r="C222" s="145" t="s">
        <v>912</v>
      </c>
      <c r="D222" s="145" t="s">
        <v>785</v>
      </c>
      <c r="E222" s="145" t="s">
        <v>938</v>
      </c>
      <c r="F222" s="257">
        <v>6.0000000000002274E-2</v>
      </c>
      <c r="G222" s="257">
        <f t="shared" si="3"/>
        <v>6.0000000000002274E-2</v>
      </c>
    </row>
    <row r="223" spans="1:7" ht="16" x14ac:dyDescent="0.2">
      <c r="A223" s="145" t="s">
        <v>918</v>
      </c>
      <c r="B223" s="250" t="s">
        <v>16</v>
      </c>
      <c r="C223" s="145" t="s">
        <v>910</v>
      </c>
      <c r="D223" s="145" t="s">
        <v>785</v>
      </c>
      <c r="E223" s="145" t="s">
        <v>938</v>
      </c>
      <c r="F223" s="257">
        <v>0.43927648578811074</v>
      </c>
      <c r="G223" s="257">
        <f t="shared" si="3"/>
        <v>0.43927648578811074</v>
      </c>
    </row>
    <row r="224" spans="1:7" ht="16" x14ac:dyDescent="0.2">
      <c r="A224" s="145" t="s">
        <v>927</v>
      </c>
      <c r="B224" s="250" t="s">
        <v>16</v>
      </c>
      <c r="C224" s="145" t="s">
        <v>912</v>
      </c>
      <c r="D224" s="145" t="s">
        <v>785</v>
      </c>
      <c r="E224" s="145" t="s">
        <v>938</v>
      </c>
      <c r="F224" s="257">
        <v>0.94117647058823528</v>
      </c>
      <c r="G224" s="257">
        <f t="shared" si="3"/>
        <v>0.94117647058823528</v>
      </c>
    </row>
    <row r="225" spans="1:7" ht="16" x14ac:dyDescent="0.2">
      <c r="A225" s="145" t="s">
        <v>923</v>
      </c>
      <c r="B225" s="250" t="s">
        <v>16</v>
      </c>
      <c r="C225" s="145" t="s">
        <v>910</v>
      </c>
      <c r="D225" s="145" t="s">
        <v>785</v>
      </c>
      <c r="E225" s="145" t="s">
        <v>938</v>
      </c>
      <c r="F225" s="257">
        <v>6.2906724511930587</v>
      </c>
      <c r="G225" s="257">
        <f t="shared" si="3"/>
        <v>6.2906724511930587</v>
      </c>
    </row>
    <row r="226" spans="1:7" ht="16" x14ac:dyDescent="0.2">
      <c r="A226" s="145" t="s">
        <v>924</v>
      </c>
      <c r="B226" s="250" t="s">
        <v>16</v>
      </c>
      <c r="C226" s="145" t="s">
        <v>912</v>
      </c>
      <c r="D226" s="145" t="s">
        <v>785</v>
      </c>
      <c r="E226" s="145" t="s">
        <v>938</v>
      </c>
      <c r="F226" s="257">
        <v>8.4160305343511492</v>
      </c>
      <c r="G226" s="257">
        <f t="shared" si="3"/>
        <v>8.4160305343511492</v>
      </c>
    </row>
    <row r="227" spans="1:7" ht="16" x14ac:dyDescent="0.2">
      <c r="A227" s="145" t="s">
        <v>916</v>
      </c>
      <c r="B227" s="253" t="s">
        <v>19</v>
      </c>
      <c r="C227" s="145" t="s">
        <v>910</v>
      </c>
      <c r="D227" s="145" t="s">
        <v>785</v>
      </c>
      <c r="E227" s="145" t="s">
        <v>938</v>
      </c>
      <c r="F227" s="257">
        <v>-3.3303330333033303</v>
      </c>
      <c r="G227" s="257">
        <f t="shared" si="3"/>
        <v>3.3303330333033303</v>
      </c>
    </row>
    <row r="228" spans="1:7" ht="16" x14ac:dyDescent="0.2">
      <c r="A228" s="145" t="s">
        <v>768</v>
      </c>
      <c r="B228" s="253" t="s">
        <v>19</v>
      </c>
      <c r="C228" s="145" t="s">
        <v>910</v>
      </c>
      <c r="D228" s="145" t="s">
        <v>785</v>
      </c>
      <c r="E228" s="145" t="s">
        <v>938</v>
      </c>
      <c r="F228" s="257">
        <v>-0.70175438596491224</v>
      </c>
      <c r="G228" s="257">
        <f t="shared" si="3"/>
        <v>0.70175438596491224</v>
      </c>
    </row>
    <row r="229" spans="1:7" ht="16" x14ac:dyDescent="0.2">
      <c r="A229" s="145" t="s">
        <v>752</v>
      </c>
      <c r="B229" s="253" t="s">
        <v>19</v>
      </c>
      <c r="C229" s="145" t="s">
        <v>910</v>
      </c>
      <c r="D229" s="145" t="s">
        <v>785</v>
      </c>
      <c r="E229" s="145" t="s">
        <v>938</v>
      </c>
      <c r="F229" s="257">
        <v>-0.34883720930232937</v>
      </c>
      <c r="G229" s="257">
        <f t="shared" si="3"/>
        <v>0.34883720930232937</v>
      </c>
    </row>
    <row r="230" spans="1:7" ht="16" x14ac:dyDescent="0.2">
      <c r="A230" s="145" t="s">
        <v>761</v>
      </c>
      <c r="B230" s="253" t="s">
        <v>19</v>
      </c>
      <c r="C230" s="145" t="s">
        <v>910</v>
      </c>
      <c r="D230" s="145" t="s">
        <v>785</v>
      </c>
      <c r="E230" s="145" t="s">
        <v>938</v>
      </c>
      <c r="F230" s="257">
        <v>-0.11111111111110479</v>
      </c>
      <c r="G230" s="257">
        <f t="shared" si="3"/>
        <v>0.11111111111110479</v>
      </c>
    </row>
    <row r="231" spans="1:7" ht="16" x14ac:dyDescent="0.2">
      <c r="A231" s="145" t="s">
        <v>760</v>
      </c>
      <c r="B231" s="253" t="s">
        <v>19</v>
      </c>
      <c r="C231" s="145" t="s">
        <v>910</v>
      </c>
      <c r="D231" s="145" t="s">
        <v>785</v>
      </c>
      <c r="E231" s="145" t="s">
        <v>938</v>
      </c>
      <c r="F231" s="257">
        <v>0.10447761194030529</v>
      </c>
      <c r="G231" s="257">
        <f t="shared" si="3"/>
        <v>0.10447761194030529</v>
      </c>
    </row>
    <row r="232" spans="1:7" ht="16" x14ac:dyDescent="0.2">
      <c r="A232" s="145" t="s">
        <v>782</v>
      </c>
      <c r="B232" s="253" t="s">
        <v>19</v>
      </c>
      <c r="C232" s="145" t="s">
        <v>910</v>
      </c>
      <c r="D232" s="145" t="s">
        <v>785</v>
      </c>
      <c r="E232" s="145" t="s">
        <v>938</v>
      </c>
      <c r="F232" s="257">
        <v>0.73770491803279159</v>
      </c>
      <c r="G232" s="257">
        <f t="shared" si="3"/>
        <v>0.73770491803279159</v>
      </c>
    </row>
    <row r="233" spans="1:7" ht="16" x14ac:dyDescent="0.2">
      <c r="A233" s="145" t="s">
        <v>763</v>
      </c>
      <c r="B233" s="253" t="s">
        <v>19</v>
      </c>
      <c r="C233" s="145" t="s">
        <v>910</v>
      </c>
      <c r="D233" s="145" t="s">
        <v>785</v>
      </c>
      <c r="E233" s="145" t="s">
        <v>938</v>
      </c>
      <c r="F233" s="257">
        <v>1.8762886597938191</v>
      </c>
      <c r="G233" s="257">
        <f t="shared" si="3"/>
        <v>1.8762886597938191</v>
      </c>
    </row>
    <row r="234" spans="1:7" ht="16" x14ac:dyDescent="0.2">
      <c r="A234" s="145" t="s">
        <v>745</v>
      </c>
      <c r="B234" s="253" t="s">
        <v>19</v>
      </c>
      <c r="C234" s="145" t="s">
        <v>910</v>
      </c>
      <c r="D234" s="145" t="s">
        <v>785</v>
      </c>
      <c r="E234" s="145" t="s">
        <v>938</v>
      </c>
      <c r="F234" s="257">
        <v>6.617647058823529</v>
      </c>
      <c r="G234" s="257">
        <f t="shared" si="3"/>
        <v>6.617647058823529</v>
      </c>
    </row>
    <row r="235" spans="1:7" ht="16" x14ac:dyDescent="0.2">
      <c r="A235" s="149" t="s">
        <v>774</v>
      </c>
      <c r="B235" s="251" t="s">
        <v>77</v>
      </c>
      <c r="C235" s="145" t="s">
        <v>910</v>
      </c>
      <c r="D235" s="145" t="s">
        <v>785</v>
      </c>
      <c r="E235" s="145" t="s">
        <v>938</v>
      </c>
      <c r="F235" s="257">
        <v>-5.1506024096385543</v>
      </c>
      <c r="G235" s="257">
        <f t="shared" si="3"/>
        <v>5.1506024096385543</v>
      </c>
    </row>
    <row r="236" spans="1:7" ht="16" x14ac:dyDescent="0.2">
      <c r="A236" s="145" t="s">
        <v>764</v>
      </c>
      <c r="B236" s="251" t="s">
        <v>77</v>
      </c>
      <c r="C236" s="145" t="s">
        <v>910</v>
      </c>
      <c r="D236" s="145" t="s">
        <v>785</v>
      </c>
      <c r="E236" s="145" t="s">
        <v>938</v>
      </c>
      <c r="F236" s="257">
        <v>-1.6778523489932886</v>
      </c>
      <c r="G236" s="257">
        <f t="shared" si="3"/>
        <v>1.6778523489932886</v>
      </c>
    </row>
    <row r="237" spans="1:7" ht="16" x14ac:dyDescent="0.2">
      <c r="A237" s="145" t="s">
        <v>746</v>
      </c>
      <c r="B237" s="251" t="s">
        <v>77</v>
      </c>
      <c r="C237" s="145" t="s">
        <v>910</v>
      </c>
      <c r="D237" s="145" t="s">
        <v>785</v>
      </c>
      <c r="E237" s="145" t="s">
        <v>938</v>
      </c>
      <c r="F237" s="257">
        <v>-1.5816127775613522</v>
      </c>
      <c r="G237" s="257">
        <f t="shared" si="3"/>
        <v>1.5816127775613522</v>
      </c>
    </row>
    <row r="238" spans="1:7" ht="16" x14ac:dyDescent="0.2">
      <c r="A238" s="145" t="s">
        <v>770</v>
      </c>
      <c r="B238" s="251" t="s">
        <v>77</v>
      </c>
      <c r="C238" s="145" t="s">
        <v>910</v>
      </c>
      <c r="D238" s="145" t="s">
        <v>785</v>
      </c>
      <c r="E238" s="145" t="s">
        <v>938</v>
      </c>
      <c r="F238" s="257">
        <v>-1.3272727272727189</v>
      </c>
      <c r="G238" s="257">
        <f t="shared" si="3"/>
        <v>1.3272727272727189</v>
      </c>
    </row>
    <row r="239" spans="1:7" ht="16" x14ac:dyDescent="0.2">
      <c r="A239" s="145" t="s">
        <v>762</v>
      </c>
      <c r="B239" s="251" t="s">
        <v>77</v>
      </c>
      <c r="C239" s="145" t="s">
        <v>910</v>
      </c>
      <c r="D239" s="145" t="s">
        <v>785</v>
      </c>
      <c r="E239" s="145" t="s">
        <v>938</v>
      </c>
      <c r="F239" s="257">
        <v>-0.18644067796610556</v>
      </c>
      <c r="G239" s="257">
        <f t="shared" si="3"/>
        <v>0.18644067796610556</v>
      </c>
    </row>
    <row r="240" spans="1:7" ht="16" x14ac:dyDescent="0.2">
      <c r="A240" s="145" t="s">
        <v>783</v>
      </c>
      <c r="B240" s="251" t="s">
        <v>77</v>
      </c>
      <c r="C240" s="145" t="s">
        <v>910</v>
      </c>
      <c r="D240" s="145" t="s">
        <v>785</v>
      </c>
      <c r="E240" s="145" t="s">
        <v>938</v>
      </c>
      <c r="F240" s="257">
        <v>-2.9411764705877894E-2</v>
      </c>
      <c r="G240" s="257">
        <f t="shared" si="3"/>
        <v>2.9411764705877894E-2</v>
      </c>
    </row>
    <row r="241" spans="1:7" ht="16" x14ac:dyDescent="0.2">
      <c r="A241" s="149" t="s">
        <v>776</v>
      </c>
      <c r="B241" s="251" t="s">
        <v>77</v>
      </c>
      <c r="C241" s="145" t="s">
        <v>910</v>
      </c>
      <c r="D241" s="145" t="s">
        <v>785</v>
      </c>
      <c r="E241" s="145" t="s">
        <v>938</v>
      </c>
      <c r="F241" s="257">
        <v>0.13471502590673104</v>
      </c>
      <c r="G241" s="257">
        <f t="shared" si="3"/>
        <v>0.13471502590673104</v>
      </c>
    </row>
    <row r="242" spans="1:7" ht="16" x14ac:dyDescent="0.2">
      <c r="A242" s="145" t="s">
        <v>741</v>
      </c>
      <c r="B242" s="251" t="s">
        <v>77</v>
      </c>
      <c r="C242" s="145" t="s">
        <v>910</v>
      </c>
      <c r="D242" s="145" t="s">
        <v>785</v>
      </c>
      <c r="E242" s="145" t="s">
        <v>938</v>
      </c>
      <c r="F242" s="257">
        <v>0.22058823529411764</v>
      </c>
      <c r="G242" s="257">
        <f t="shared" si="3"/>
        <v>0.22058823529411764</v>
      </c>
    </row>
    <row r="243" spans="1:7" ht="16" x14ac:dyDescent="0.2">
      <c r="A243" s="145" t="s">
        <v>778</v>
      </c>
      <c r="B243" s="251" t="s">
        <v>77</v>
      </c>
      <c r="C243" s="145" t="s">
        <v>910</v>
      </c>
      <c r="D243" s="145" t="s">
        <v>785</v>
      </c>
      <c r="E243" s="145" t="s">
        <v>938</v>
      </c>
      <c r="F243" s="257">
        <v>0.703124999999997</v>
      </c>
      <c r="G243" s="257">
        <f t="shared" si="3"/>
        <v>0.703124999999997</v>
      </c>
    </row>
    <row r="244" spans="1:7" ht="16" x14ac:dyDescent="0.2">
      <c r="A244" s="145" t="s">
        <v>740</v>
      </c>
      <c r="B244" s="251" t="s">
        <v>77</v>
      </c>
      <c r="C244" s="145" t="s">
        <v>910</v>
      </c>
      <c r="D244" s="145" t="s">
        <v>785</v>
      </c>
      <c r="E244" s="145" t="s">
        <v>938</v>
      </c>
      <c r="F244" s="257">
        <v>0.73741007194245012</v>
      </c>
      <c r="G244" s="257">
        <f t="shared" si="3"/>
        <v>0.73741007194245012</v>
      </c>
    </row>
    <row r="245" spans="1:7" ht="16" x14ac:dyDescent="0.2">
      <c r="A245" s="149" t="s">
        <v>929</v>
      </c>
      <c r="B245" s="251" t="s">
        <v>77</v>
      </c>
      <c r="C245" s="145" t="s">
        <v>910</v>
      </c>
      <c r="D245" s="145" t="s">
        <v>785</v>
      </c>
      <c r="E245" s="145" t="s">
        <v>938</v>
      </c>
      <c r="F245" s="257">
        <v>1.2027231467473594</v>
      </c>
      <c r="G245" s="257">
        <f t="shared" si="3"/>
        <v>1.2027231467473594</v>
      </c>
    </row>
    <row r="246" spans="1:7" ht="16" x14ac:dyDescent="0.2">
      <c r="A246" s="149" t="s">
        <v>773</v>
      </c>
      <c r="B246" s="251" t="s">
        <v>77</v>
      </c>
      <c r="C246" s="145" t="s">
        <v>910</v>
      </c>
      <c r="D246" s="145" t="s">
        <v>785</v>
      </c>
      <c r="E246" s="145" t="s">
        <v>938</v>
      </c>
      <c r="F246" s="257">
        <v>1.3219895287958146</v>
      </c>
      <c r="G246" s="257">
        <f t="shared" si="3"/>
        <v>1.3219895287958146</v>
      </c>
    </row>
    <row r="247" spans="1:7" ht="16" x14ac:dyDescent="0.2">
      <c r="A247" s="145" t="s">
        <v>769</v>
      </c>
      <c r="B247" s="251" t="s">
        <v>77</v>
      </c>
      <c r="C247" s="145" t="s">
        <v>910</v>
      </c>
      <c r="D247" s="145" t="s">
        <v>785</v>
      </c>
      <c r="E247" s="145" t="s">
        <v>938</v>
      </c>
      <c r="F247" s="257">
        <v>1.5000000000000078</v>
      </c>
      <c r="G247" s="257">
        <f t="shared" si="3"/>
        <v>1.5000000000000078</v>
      </c>
    </row>
    <row r="248" spans="1:7" ht="16" x14ac:dyDescent="0.2">
      <c r="A248" s="149" t="s">
        <v>928</v>
      </c>
      <c r="B248" s="251" t="s">
        <v>77</v>
      </c>
      <c r="C248" s="145" t="s">
        <v>910</v>
      </c>
      <c r="D248" s="145" t="s">
        <v>785</v>
      </c>
      <c r="E248" s="145" t="s">
        <v>938</v>
      </c>
      <c r="F248" s="257">
        <v>2.0879120879120809</v>
      </c>
      <c r="G248" s="257">
        <f t="shared" si="3"/>
        <v>2.0879120879120809</v>
      </c>
    </row>
    <row r="249" spans="1:7" ht="16" x14ac:dyDescent="0.2">
      <c r="A249" s="145" t="s">
        <v>742</v>
      </c>
      <c r="B249" s="251" t="s">
        <v>77</v>
      </c>
      <c r="C249" s="145" t="s">
        <v>910</v>
      </c>
      <c r="D249" s="145" t="s">
        <v>785</v>
      </c>
      <c r="E249" s="145" t="s">
        <v>938</v>
      </c>
      <c r="F249" s="257">
        <v>2.4269005847953249</v>
      </c>
      <c r="G249" s="257">
        <f t="shared" si="3"/>
        <v>2.4269005847953249</v>
      </c>
    </row>
    <row r="250" spans="1:7" ht="16" x14ac:dyDescent="0.2">
      <c r="A250" s="145" t="s">
        <v>744</v>
      </c>
      <c r="B250" s="251" t="s">
        <v>77</v>
      </c>
      <c r="C250" s="145" t="s">
        <v>910</v>
      </c>
      <c r="D250" s="145" t="s">
        <v>785</v>
      </c>
      <c r="E250" s="145" t="s">
        <v>938</v>
      </c>
      <c r="F250" s="257">
        <v>3.081632653061229</v>
      </c>
      <c r="G250" s="257">
        <f t="shared" si="3"/>
        <v>3.081632653061229</v>
      </c>
    </row>
    <row r="251" spans="1:7" ht="16" x14ac:dyDescent="0.2">
      <c r="A251" s="145" t="s">
        <v>759</v>
      </c>
      <c r="B251" s="251" t="s">
        <v>77</v>
      </c>
      <c r="C251" s="145" t="s">
        <v>910</v>
      </c>
      <c r="D251" s="145" t="s">
        <v>785</v>
      </c>
      <c r="E251" s="145" t="s">
        <v>938</v>
      </c>
      <c r="F251" s="257">
        <v>3.5726495726495688</v>
      </c>
      <c r="G251" s="257">
        <f t="shared" si="3"/>
        <v>3.5726495726495688</v>
      </c>
    </row>
    <row r="252" spans="1:7" ht="16" x14ac:dyDescent="0.2">
      <c r="A252" s="145" t="s">
        <v>765</v>
      </c>
      <c r="B252" s="251" t="s">
        <v>77</v>
      </c>
      <c r="C252" s="145" t="s">
        <v>910</v>
      </c>
      <c r="D252" s="145" t="s">
        <v>785</v>
      </c>
      <c r="E252" s="145" t="s">
        <v>938</v>
      </c>
      <c r="F252" s="257">
        <v>3.6910569105691131</v>
      </c>
      <c r="G252" s="257">
        <f t="shared" si="3"/>
        <v>3.6910569105691131</v>
      </c>
    </row>
    <row r="253" spans="1:7" ht="16" x14ac:dyDescent="0.2">
      <c r="A253" s="149" t="s">
        <v>775</v>
      </c>
      <c r="B253" s="251" t="s">
        <v>77</v>
      </c>
      <c r="C253" s="145" t="s">
        <v>910</v>
      </c>
      <c r="D253" s="145" t="s">
        <v>785</v>
      </c>
      <c r="E253" s="145" t="s">
        <v>938</v>
      </c>
      <c r="F253" s="257">
        <v>3.6987951807228971</v>
      </c>
      <c r="G253" s="257">
        <f t="shared" si="3"/>
        <v>3.6987951807228971</v>
      </c>
    </row>
    <row r="254" spans="1:7" ht="16" x14ac:dyDescent="0.2">
      <c r="A254" s="145" t="s">
        <v>767</v>
      </c>
      <c r="B254" s="251" t="s">
        <v>77</v>
      </c>
      <c r="C254" s="145" t="s">
        <v>910</v>
      </c>
      <c r="D254" s="145" t="s">
        <v>785</v>
      </c>
      <c r="E254" s="145" t="s">
        <v>938</v>
      </c>
      <c r="F254" s="257">
        <v>4.272058823529405</v>
      </c>
      <c r="G254" s="257">
        <f t="shared" si="3"/>
        <v>4.272058823529405</v>
      </c>
    </row>
    <row r="255" spans="1:7" ht="16" x14ac:dyDescent="0.2">
      <c r="A255" s="145" t="s">
        <v>104</v>
      </c>
      <c r="B255" s="251" t="s">
        <v>77</v>
      </c>
      <c r="C255" s="145" t="s">
        <v>912</v>
      </c>
      <c r="D255" s="145" t="s">
        <v>827</v>
      </c>
      <c r="E255" s="145" t="s">
        <v>938</v>
      </c>
      <c r="F255" s="257">
        <v>4.8464419475655465</v>
      </c>
      <c r="G255" s="257">
        <f t="shared" si="3"/>
        <v>4.8464419475655465</v>
      </c>
    </row>
    <row r="256" spans="1:7" ht="16" x14ac:dyDescent="0.2">
      <c r="A256" s="149" t="s">
        <v>486</v>
      </c>
      <c r="B256" s="251" t="s">
        <v>77</v>
      </c>
      <c r="C256" s="145" t="s">
        <v>910</v>
      </c>
      <c r="D256" s="145" t="s">
        <v>785</v>
      </c>
      <c r="E256" s="145" t="s">
        <v>938</v>
      </c>
      <c r="F256" s="257">
        <v>4.9259259259259256</v>
      </c>
      <c r="G256" s="257">
        <f t="shared" si="3"/>
        <v>4.9259259259259256</v>
      </c>
    </row>
    <row r="257" spans="1:12" ht="16" x14ac:dyDescent="0.2">
      <c r="A257" s="145" t="s">
        <v>915</v>
      </c>
      <c r="B257" s="250" t="s">
        <v>77</v>
      </c>
      <c r="C257" s="145" t="s">
        <v>910</v>
      </c>
      <c r="D257" s="145" t="s">
        <v>785</v>
      </c>
      <c r="E257" s="145" t="s">
        <v>938</v>
      </c>
      <c r="F257" s="257">
        <v>6.2034739454094296</v>
      </c>
      <c r="G257" s="257">
        <f t="shared" si="3"/>
        <v>6.2034739454094296</v>
      </c>
    </row>
    <row r="258" spans="1:12" ht="16" x14ac:dyDescent="0.2">
      <c r="A258" s="145" t="s">
        <v>941</v>
      </c>
      <c r="B258" s="253" t="s">
        <v>77</v>
      </c>
      <c r="C258" s="145" t="s">
        <v>912</v>
      </c>
      <c r="D258" s="145" t="s">
        <v>785</v>
      </c>
      <c r="E258" s="145" t="s">
        <v>938</v>
      </c>
      <c r="F258" s="257">
        <v>-5.3840631730078963</v>
      </c>
      <c r="G258" s="257">
        <f t="shared" ref="G258:G282" si="4">ABS(F258)</f>
        <v>5.3840631730078963</v>
      </c>
    </row>
    <row r="259" spans="1:12" ht="16" x14ac:dyDescent="0.2">
      <c r="A259" s="145" t="s">
        <v>120</v>
      </c>
      <c r="B259" s="250" t="s">
        <v>77</v>
      </c>
      <c r="C259" s="145" t="s">
        <v>910</v>
      </c>
      <c r="D259" s="145" t="s">
        <v>785</v>
      </c>
      <c r="E259" s="145" t="s">
        <v>938</v>
      </c>
      <c r="F259" s="257">
        <v>-3.5069444444444446</v>
      </c>
      <c r="G259" s="257">
        <f t="shared" si="4"/>
        <v>3.5069444444444446</v>
      </c>
    </row>
    <row r="260" spans="1:12" ht="16" x14ac:dyDescent="0.2">
      <c r="A260" s="145" t="s">
        <v>121</v>
      </c>
      <c r="B260" s="250" t="s">
        <v>77</v>
      </c>
      <c r="C260" s="145" t="s">
        <v>910</v>
      </c>
      <c r="D260" s="145" t="s">
        <v>785</v>
      </c>
      <c r="E260" s="145" t="s">
        <v>938</v>
      </c>
      <c r="F260" s="257">
        <v>11.983805668016194</v>
      </c>
      <c r="G260" s="257">
        <f t="shared" si="4"/>
        <v>11.983805668016194</v>
      </c>
    </row>
    <row r="261" spans="1:12" ht="16" x14ac:dyDescent="0.2">
      <c r="A261" s="149" t="s">
        <v>772</v>
      </c>
      <c r="B261" s="253" t="s">
        <v>46</v>
      </c>
      <c r="C261" s="145" t="s">
        <v>910</v>
      </c>
      <c r="D261" s="145" t="s">
        <v>785</v>
      </c>
      <c r="E261" s="145" t="s">
        <v>940</v>
      </c>
      <c r="F261" s="257">
        <v>-16.818181818181817</v>
      </c>
      <c r="G261" s="257">
        <f t="shared" si="4"/>
        <v>16.818181818181817</v>
      </c>
    </row>
    <row r="262" spans="1:12" ht="16" x14ac:dyDescent="0.2">
      <c r="A262" s="149" t="s">
        <v>771</v>
      </c>
      <c r="B262" s="253" t="s">
        <v>46</v>
      </c>
      <c r="C262" s="145" t="s">
        <v>910</v>
      </c>
      <c r="D262" s="145" t="s">
        <v>785</v>
      </c>
      <c r="E262" s="145" t="s">
        <v>940</v>
      </c>
      <c r="F262" s="257">
        <v>-15.000000000000005</v>
      </c>
      <c r="G262" s="257">
        <f t="shared" si="4"/>
        <v>15.000000000000005</v>
      </c>
    </row>
    <row r="263" spans="1:12" ht="16" x14ac:dyDescent="0.2">
      <c r="A263" s="145" t="s">
        <v>777</v>
      </c>
      <c r="B263" s="253" t="s">
        <v>46</v>
      </c>
      <c r="C263" s="145" t="s">
        <v>910</v>
      </c>
      <c r="D263" s="145" t="s">
        <v>785</v>
      </c>
      <c r="E263" s="145" t="s">
        <v>940</v>
      </c>
      <c r="F263" s="257">
        <v>-3.6666666666666714</v>
      </c>
      <c r="G263" s="257">
        <f t="shared" si="4"/>
        <v>3.6666666666666714</v>
      </c>
      <c r="H263" s="146"/>
      <c r="I263" s="146"/>
      <c r="J263" s="146"/>
      <c r="K263" s="146"/>
      <c r="L263" s="146"/>
    </row>
    <row r="264" spans="1:12" ht="16" x14ac:dyDescent="0.2">
      <c r="A264" s="145" t="s">
        <v>918</v>
      </c>
      <c r="B264" s="250" t="s">
        <v>16</v>
      </c>
      <c r="C264" s="145" t="s">
        <v>910</v>
      </c>
      <c r="D264" s="145" t="s">
        <v>785</v>
      </c>
      <c r="E264" s="145" t="s">
        <v>940</v>
      </c>
      <c r="F264" s="257">
        <v>-14.285714285714286</v>
      </c>
      <c r="G264" s="257">
        <f t="shared" si="4"/>
        <v>14.285714285714286</v>
      </c>
      <c r="H264" s="257"/>
      <c r="I264" s="257"/>
      <c r="J264" s="257"/>
      <c r="K264" s="257"/>
      <c r="L264" s="257"/>
    </row>
    <row r="265" spans="1:12" ht="16" x14ac:dyDescent="0.2">
      <c r="A265" s="145" t="s">
        <v>919</v>
      </c>
      <c r="B265" s="250" t="s">
        <v>16</v>
      </c>
      <c r="C265" s="145" t="s">
        <v>910</v>
      </c>
      <c r="D265" s="145" t="s">
        <v>785</v>
      </c>
      <c r="E265" s="145" t="s">
        <v>940</v>
      </c>
      <c r="F265" s="257">
        <v>-8.0526315789473752</v>
      </c>
      <c r="G265" s="257">
        <f t="shared" si="4"/>
        <v>8.0526315789473752</v>
      </c>
      <c r="I265" s="257"/>
      <c r="J265" s="257"/>
      <c r="K265" s="257"/>
      <c r="L265" s="257"/>
    </row>
    <row r="266" spans="1:12" ht="16" x14ac:dyDescent="0.2">
      <c r="A266" s="145" t="s">
        <v>926</v>
      </c>
      <c r="B266" s="250" t="s">
        <v>16</v>
      </c>
      <c r="C266" s="145" t="s">
        <v>912</v>
      </c>
      <c r="D266" s="145" t="s">
        <v>785</v>
      </c>
      <c r="E266" s="145" t="s">
        <v>940</v>
      </c>
      <c r="F266" s="257">
        <v>-8.0040000000000049</v>
      </c>
      <c r="G266" s="257">
        <f t="shared" si="4"/>
        <v>8.0040000000000049</v>
      </c>
      <c r="H266" s="257"/>
      <c r="I266" s="257"/>
      <c r="J266" s="257"/>
      <c r="K266" s="257"/>
      <c r="L266" s="257"/>
    </row>
    <row r="267" spans="1:12" ht="16" x14ac:dyDescent="0.2">
      <c r="A267" s="145" t="s">
        <v>925</v>
      </c>
      <c r="B267" s="250" t="s">
        <v>16</v>
      </c>
      <c r="C267" s="145" t="s">
        <v>912</v>
      </c>
      <c r="D267" s="145" t="s">
        <v>785</v>
      </c>
      <c r="E267" s="145" t="s">
        <v>940</v>
      </c>
      <c r="F267" s="257">
        <v>-6.6046511627907059</v>
      </c>
      <c r="G267" s="257">
        <f t="shared" si="4"/>
        <v>6.6046511627907059</v>
      </c>
      <c r="H267" s="257"/>
      <c r="J267" s="257"/>
      <c r="K267" s="257"/>
      <c r="L267" s="257"/>
    </row>
    <row r="268" spans="1:12" ht="16" x14ac:dyDescent="0.2">
      <c r="A268" s="145" t="s">
        <v>921</v>
      </c>
      <c r="B268" s="250" t="s">
        <v>16</v>
      </c>
      <c r="C268" s="145" t="s">
        <v>912</v>
      </c>
      <c r="D268" s="145" t="s">
        <v>785</v>
      </c>
      <c r="E268" s="145" t="s">
        <v>940</v>
      </c>
      <c r="F268" s="257">
        <v>-4.2222222222222241</v>
      </c>
      <c r="G268" s="257">
        <f t="shared" si="4"/>
        <v>4.2222222222222241</v>
      </c>
    </row>
    <row r="269" spans="1:12" ht="16" x14ac:dyDescent="0.2">
      <c r="A269" s="145" t="s">
        <v>243</v>
      </c>
      <c r="B269" s="250" t="s">
        <v>16</v>
      </c>
      <c r="C269" s="145" t="s">
        <v>910</v>
      </c>
      <c r="D269" s="145" t="s">
        <v>785</v>
      </c>
      <c r="E269" s="145" t="s">
        <v>940</v>
      </c>
      <c r="F269" s="257">
        <v>-4</v>
      </c>
      <c r="G269" s="257">
        <f t="shared" si="4"/>
        <v>4</v>
      </c>
    </row>
    <row r="270" spans="1:12" ht="16" x14ac:dyDescent="0.2">
      <c r="A270" s="145" t="s">
        <v>920</v>
      </c>
      <c r="B270" s="250" t="s">
        <v>16</v>
      </c>
      <c r="C270" s="145" t="s">
        <v>910</v>
      </c>
      <c r="D270" s="145" t="s">
        <v>785</v>
      </c>
      <c r="E270" s="145" t="s">
        <v>940</v>
      </c>
      <c r="F270" s="257">
        <v>-1.9268292682926809</v>
      </c>
      <c r="G270" s="257">
        <f t="shared" si="4"/>
        <v>1.9268292682926809</v>
      </c>
    </row>
    <row r="271" spans="1:12" ht="16" x14ac:dyDescent="0.2">
      <c r="A271" s="145" t="s">
        <v>923</v>
      </c>
      <c r="B271" s="250" t="s">
        <v>16</v>
      </c>
      <c r="C271" s="145" t="s">
        <v>910</v>
      </c>
      <c r="D271" s="145" t="s">
        <v>785</v>
      </c>
      <c r="E271" s="145" t="s">
        <v>940</v>
      </c>
      <c r="F271" s="257">
        <v>-0.14634146341463969</v>
      </c>
      <c r="G271" s="257">
        <f t="shared" si="4"/>
        <v>0.14634146341463969</v>
      </c>
    </row>
    <row r="272" spans="1:12" ht="16" x14ac:dyDescent="0.2">
      <c r="A272" s="145" t="s">
        <v>927</v>
      </c>
      <c r="B272" s="250" t="s">
        <v>16</v>
      </c>
      <c r="C272" s="145" t="s">
        <v>912</v>
      </c>
      <c r="D272" s="145" t="s">
        <v>785</v>
      </c>
      <c r="E272" s="145" t="s">
        <v>940</v>
      </c>
      <c r="F272" s="257">
        <v>3.4375000000000044</v>
      </c>
      <c r="G272" s="257">
        <f t="shared" si="4"/>
        <v>3.4375000000000044</v>
      </c>
    </row>
    <row r="273" spans="1:10" ht="16" x14ac:dyDescent="0.2">
      <c r="A273" s="145" t="s">
        <v>924</v>
      </c>
      <c r="B273" s="250" t="s">
        <v>16</v>
      </c>
      <c r="C273" s="145" t="s">
        <v>912</v>
      </c>
      <c r="D273" s="145" t="s">
        <v>785</v>
      </c>
      <c r="E273" s="145" t="s">
        <v>940</v>
      </c>
      <c r="F273" s="257">
        <v>13.585365853658537</v>
      </c>
      <c r="G273" s="257">
        <f t="shared" si="4"/>
        <v>13.585365853658537</v>
      </c>
      <c r="H273" s="257"/>
      <c r="I273" s="257"/>
      <c r="J273" s="257"/>
    </row>
    <row r="274" spans="1:10" ht="16" x14ac:dyDescent="0.2">
      <c r="A274" s="145" t="s">
        <v>916</v>
      </c>
      <c r="B274" s="253" t="s">
        <v>19</v>
      </c>
      <c r="C274" s="145" t="s">
        <v>910</v>
      </c>
      <c r="D274" s="145" t="s">
        <v>785</v>
      </c>
      <c r="E274" s="145" t="s">
        <v>940</v>
      </c>
      <c r="F274" s="257">
        <v>-10</v>
      </c>
      <c r="G274" s="257">
        <f t="shared" si="4"/>
        <v>10</v>
      </c>
      <c r="H274" s="257"/>
      <c r="I274" s="257"/>
      <c r="J274" s="257"/>
    </row>
    <row r="275" spans="1:10" ht="16" x14ac:dyDescent="0.2">
      <c r="A275" s="145" t="s">
        <v>760</v>
      </c>
      <c r="B275" s="253" t="s">
        <v>19</v>
      </c>
      <c r="C275" s="145" t="s">
        <v>910</v>
      </c>
      <c r="D275" s="145" t="s">
        <v>785</v>
      </c>
      <c r="E275" s="145" t="s">
        <v>940</v>
      </c>
      <c r="F275" s="257">
        <v>0.72164948453608535</v>
      </c>
      <c r="G275" s="257">
        <f t="shared" si="4"/>
        <v>0.72164948453608535</v>
      </c>
      <c r="H275" s="257"/>
      <c r="I275" s="257"/>
      <c r="J275" s="257"/>
    </row>
    <row r="276" spans="1:10" ht="16" x14ac:dyDescent="0.2">
      <c r="A276" s="145" t="s">
        <v>740</v>
      </c>
      <c r="B276" s="251" t="s">
        <v>77</v>
      </c>
      <c r="C276" s="145" t="s">
        <v>910</v>
      </c>
      <c r="D276" s="145" t="s">
        <v>785</v>
      </c>
      <c r="E276" s="145" t="s">
        <v>940</v>
      </c>
      <c r="F276" s="257">
        <v>-7.9591836734693855</v>
      </c>
      <c r="G276" s="257">
        <f t="shared" si="4"/>
        <v>7.9591836734693855</v>
      </c>
      <c r="H276" s="257"/>
      <c r="I276" s="257"/>
      <c r="J276" s="257"/>
    </row>
    <row r="277" spans="1:10" ht="16" x14ac:dyDescent="0.2">
      <c r="A277" s="145" t="s">
        <v>778</v>
      </c>
      <c r="B277" s="251" t="s">
        <v>77</v>
      </c>
      <c r="C277" s="145" t="s">
        <v>910</v>
      </c>
      <c r="D277" s="145" t="s">
        <v>785</v>
      </c>
      <c r="E277" s="145" t="s">
        <v>940</v>
      </c>
      <c r="F277" s="257">
        <v>-3.3333333333333361</v>
      </c>
      <c r="G277" s="257">
        <f t="shared" si="4"/>
        <v>3.3333333333333361</v>
      </c>
      <c r="H277" s="257"/>
      <c r="I277" s="257"/>
      <c r="J277" s="257"/>
    </row>
    <row r="278" spans="1:10" ht="16" x14ac:dyDescent="0.2">
      <c r="A278" s="149" t="s">
        <v>773</v>
      </c>
      <c r="B278" s="251" t="s">
        <v>77</v>
      </c>
      <c r="C278" s="145" t="s">
        <v>910</v>
      </c>
      <c r="D278" s="145" t="s">
        <v>785</v>
      </c>
      <c r="E278" s="145" t="s">
        <v>940</v>
      </c>
      <c r="F278" s="257">
        <v>2.1052631578947292</v>
      </c>
      <c r="G278" s="257">
        <f t="shared" si="4"/>
        <v>2.1052631578947292</v>
      </c>
    </row>
    <row r="279" spans="1:10" ht="16" x14ac:dyDescent="0.2">
      <c r="A279" s="149" t="s">
        <v>774</v>
      </c>
      <c r="B279" s="251" t="s">
        <v>77</v>
      </c>
      <c r="C279" s="145" t="s">
        <v>910</v>
      </c>
      <c r="D279" s="145" t="s">
        <v>785</v>
      </c>
      <c r="E279" s="145" t="s">
        <v>940</v>
      </c>
      <c r="F279" s="257">
        <v>11.206896551724139</v>
      </c>
      <c r="G279" s="257">
        <f t="shared" si="4"/>
        <v>11.206896551724139</v>
      </c>
    </row>
    <row r="280" spans="1:10" ht="16" x14ac:dyDescent="0.2">
      <c r="A280" s="145" t="s">
        <v>120</v>
      </c>
      <c r="B280" s="250" t="s">
        <v>77</v>
      </c>
      <c r="C280" s="145" t="s">
        <v>910</v>
      </c>
      <c r="D280" s="145" t="s">
        <v>785</v>
      </c>
      <c r="E280" s="145" t="s">
        <v>940</v>
      </c>
      <c r="F280" s="257">
        <v>-13.846153846153847</v>
      </c>
      <c r="G280" s="257">
        <f t="shared" si="4"/>
        <v>13.846153846153847</v>
      </c>
    </row>
    <row r="281" spans="1:10" ht="16" x14ac:dyDescent="0.2">
      <c r="A281" s="145" t="s">
        <v>121</v>
      </c>
      <c r="B281" s="250" t="s">
        <v>77</v>
      </c>
      <c r="C281" s="145" t="s">
        <v>910</v>
      </c>
      <c r="D281" s="145" t="s">
        <v>785</v>
      </c>
      <c r="E281" s="145" t="s">
        <v>940</v>
      </c>
      <c r="F281" s="257">
        <v>-1.8333333333333357</v>
      </c>
      <c r="G281" s="257">
        <f t="shared" si="4"/>
        <v>1.8333333333333357</v>
      </c>
    </row>
    <row r="282" spans="1:10" ht="16" x14ac:dyDescent="0.2">
      <c r="A282" s="145" t="s">
        <v>941</v>
      </c>
      <c r="B282" s="253" t="s">
        <v>77</v>
      </c>
      <c r="C282" s="145" t="s">
        <v>912</v>
      </c>
      <c r="D282" s="145" t="s">
        <v>785</v>
      </c>
      <c r="E282" s="145" t="s">
        <v>940</v>
      </c>
      <c r="F282" s="257">
        <v>18.166666666666675</v>
      </c>
      <c r="G282" s="257">
        <f t="shared" si="4"/>
        <v>18.166666666666675</v>
      </c>
    </row>
    <row r="283" spans="1:10" ht="16" x14ac:dyDescent="0.2">
      <c r="A283" s="145"/>
      <c r="B283" s="250"/>
      <c r="C283" s="145"/>
      <c r="D283" s="145"/>
      <c r="E283" s="145"/>
    </row>
    <row r="284" spans="1:10" ht="16" x14ac:dyDescent="0.2">
      <c r="A284" s="255"/>
      <c r="B284" s="253"/>
      <c r="C284" s="145"/>
      <c r="D284" s="145"/>
      <c r="E284" s="145"/>
    </row>
    <row r="285" spans="1:10" ht="16" x14ac:dyDescent="0.2">
      <c r="A285" s="145"/>
      <c r="B285" s="251"/>
      <c r="C285" s="145"/>
      <c r="D285" s="145"/>
      <c r="E285" s="145"/>
    </row>
    <row r="286" spans="1:10" ht="16" x14ac:dyDescent="0.2">
      <c r="A286" s="145"/>
      <c r="B286" s="251"/>
      <c r="C286" s="145"/>
      <c r="D286" s="145"/>
      <c r="E286" s="145"/>
    </row>
    <row r="287" spans="1:10" ht="16" x14ac:dyDescent="0.2">
      <c r="A287" s="252"/>
      <c r="B287" s="253"/>
      <c r="C287" s="145"/>
      <c r="D287" s="254"/>
      <c r="E287" s="145"/>
    </row>
    <row r="288" spans="1:10" ht="16" x14ac:dyDescent="0.2">
      <c r="A288" s="145"/>
      <c r="B288" s="251"/>
      <c r="C288" s="145"/>
      <c r="D288" s="145"/>
      <c r="E288" s="145"/>
    </row>
    <row r="289" spans="1:5" ht="16" x14ac:dyDescent="0.2">
      <c r="A289" s="145"/>
      <c r="B289" s="250"/>
      <c r="C289" s="145"/>
      <c r="D289" s="145"/>
      <c r="E289" s="145"/>
    </row>
    <row r="290" spans="1:5" ht="16" x14ac:dyDescent="0.2">
      <c r="A290" s="145"/>
      <c r="B290" s="253"/>
      <c r="C290" s="145"/>
      <c r="D290" s="145"/>
      <c r="E290" s="145"/>
    </row>
    <row r="291" spans="1:5" ht="16" x14ac:dyDescent="0.2">
      <c r="A291" s="145"/>
      <c r="B291" s="251"/>
      <c r="C291" s="145"/>
      <c r="D291" s="145"/>
      <c r="E291" s="145"/>
    </row>
    <row r="292" spans="1:5" ht="16" x14ac:dyDescent="0.2">
      <c r="A292" s="145"/>
      <c r="B292" s="250"/>
      <c r="C292" s="145"/>
      <c r="D292" s="145"/>
      <c r="E292" s="145"/>
    </row>
    <row r="293" spans="1:5" ht="16" x14ac:dyDescent="0.2">
      <c r="A293" s="145"/>
      <c r="B293" s="251"/>
      <c r="C293" s="145"/>
      <c r="D293" s="145"/>
      <c r="E293" s="145"/>
    </row>
    <row r="294" spans="1:5" ht="16" x14ac:dyDescent="0.2">
      <c r="A294" s="145"/>
      <c r="B294" s="253"/>
      <c r="C294" s="145"/>
      <c r="D294" s="145"/>
      <c r="E294" s="145"/>
    </row>
    <row r="295" spans="1:5" ht="16" x14ac:dyDescent="0.2">
      <c r="A295" s="149"/>
      <c r="B295" s="251"/>
      <c r="C295" s="145"/>
      <c r="D295" s="145"/>
      <c r="E295" s="145"/>
    </row>
    <row r="296" spans="1:5" ht="16" x14ac:dyDescent="0.2">
      <c r="A296" s="145"/>
      <c r="B296" s="250"/>
      <c r="C296" s="145"/>
      <c r="D296" s="145"/>
      <c r="E296" s="145"/>
    </row>
    <row r="297" spans="1:5" ht="16" x14ac:dyDescent="0.2">
      <c r="A297" s="149"/>
      <c r="B297" s="251"/>
      <c r="C297" s="145"/>
      <c r="D297" s="145"/>
      <c r="E297" s="145"/>
    </row>
    <row r="298" spans="1:5" ht="16" x14ac:dyDescent="0.2">
      <c r="A298" s="145"/>
      <c r="B298" s="251"/>
      <c r="C298" s="145"/>
      <c r="D298" s="145"/>
      <c r="E298" s="145"/>
    </row>
    <row r="299" spans="1:5" ht="16" x14ac:dyDescent="0.2">
      <c r="A299" s="255"/>
      <c r="B299" s="253"/>
      <c r="C299" s="145"/>
      <c r="D299" s="145"/>
      <c r="E299" s="145"/>
    </row>
    <row r="300" spans="1:5" ht="16" x14ac:dyDescent="0.2">
      <c r="A300" s="149"/>
      <c r="B300" s="251"/>
      <c r="C300" s="145"/>
      <c r="D300" s="145"/>
      <c r="E300" s="145"/>
    </row>
    <row r="301" spans="1:5" ht="16" x14ac:dyDescent="0.2">
      <c r="A301" s="145"/>
      <c r="B301" s="253"/>
      <c r="C301" s="145"/>
      <c r="D301" s="145"/>
      <c r="E301" s="145"/>
    </row>
    <row r="302" spans="1:5" ht="16" x14ac:dyDescent="0.2">
      <c r="A302" s="255"/>
      <c r="B302" s="253"/>
      <c r="C302" s="145"/>
      <c r="D302" s="145"/>
      <c r="E302" s="145"/>
    </row>
    <row r="303" spans="1:5" ht="16" x14ac:dyDescent="0.2">
      <c r="A303" s="145"/>
      <c r="B303" s="250"/>
      <c r="C303" s="145"/>
      <c r="D303" s="145"/>
      <c r="E303" s="145"/>
    </row>
    <row r="304" spans="1:5" ht="16" x14ac:dyDescent="0.2">
      <c r="A304" s="145"/>
      <c r="B304" s="250"/>
      <c r="C304" s="145"/>
      <c r="D304" s="145"/>
      <c r="E304" s="145"/>
    </row>
    <row r="305" spans="1:5" ht="16" x14ac:dyDescent="0.2">
      <c r="A305" s="149"/>
      <c r="B305" s="251"/>
      <c r="C305" s="145"/>
      <c r="D305" s="145"/>
      <c r="E305" s="145"/>
    </row>
    <row r="306" spans="1:5" ht="16" x14ac:dyDescent="0.2">
      <c r="A306" s="206"/>
      <c r="B306" s="253"/>
      <c r="C306" s="145"/>
      <c r="D306" s="145"/>
      <c r="E306" s="145"/>
    </row>
    <row r="307" spans="1:5" ht="16" x14ac:dyDescent="0.2">
      <c r="A307" s="28"/>
      <c r="B307" s="253"/>
      <c r="C307" s="145"/>
      <c r="D307" s="145"/>
      <c r="E307" s="145"/>
    </row>
    <row r="308" spans="1:5" ht="16" x14ac:dyDescent="0.2">
      <c r="A308" s="145"/>
      <c r="B308" s="251"/>
      <c r="C308" s="145"/>
      <c r="D308" s="145"/>
      <c r="E308" s="145"/>
    </row>
    <row r="309" spans="1:5" ht="16" x14ac:dyDescent="0.2">
      <c r="A309" s="149"/>
      <c r="B309" s="251"/>
      <c r="C309" s="145"/>
      <c r="D309" s="145"/>
      <c r="E309" s="145"/>
    </row>
    <row r="310" spans="1:5" ht="16" x14ac:dyDescent="0.2">
      <c r="A310" s="256"/>
      <c r="B310" s="253"/>
      <c r="C310" s="145"/>
      <c r="D310" s="145"/>
      <c r="E310" s="145"/>
    </row>
    <row r="311" spans="1:5" ht="16" x14ac:dyDescent="0.2">
      <c r="A311" s="145"/>
      <c r="B311" s="251"/>
      <c r="C311" s="145"/>
      <c r="D311" s="145"/>
      <c r="E311" s="145"/>
    </row>
    <row r="312" spans="1:5" ht="16" x14ac:dyDescent="0.2">
      <c r="A312" s="28"/>
      <c r="B312" s="253"/>
      <c r="C312" s="145"/>
      <c r="D312" s="145"/>
      <c r="E312" s="145"/>
    </row>
    <row r="313" spans="1:5" ht="16" x14ac:dyDescent="0.2">
      <c r="A313" s="149"/>
      <c r="B313" s="253"/>
      <c r="C313" s="145"/>
      <c r="D313" s="145"/>
      <c r="E313" s="145"/>
    </row>
    <row r="314" spans="1:5" ht="16" x14ac:dyDescent="0.2">
      <c r="A314" s="28"/>
      <c r="B314" s="253"/>
      <c r="C314" s="145"/>
      <c r="D314" s="145"/>
      <c r="E314" s="145"/>
    </row>
    <row r="315" spans="1:5" ht="16" x14ac:dyDescent="0.2">
      <c r="A315" s="145"/>
      <c r="B315" s="253"/>
      <c r="C315" s="145"/>
      <c r="D315" s="145"/>
      <c r="E315" s="145"/>
    </row>
    <row r="316" spans="1:5" ht="16" x14ac:dyDescent="0.2">
      <c r="A316" s="145"/>
      <c r="B316" s="250"/>
      <c r="C316" s="145"/>
      <c r="D316" s="145"/>
      <c r="E316" s="145"/>
    </row>
    <row r="317" spans="1:5" ht="16" x14ac:dyDescent="0.2">
      <c r="A317" s="145"/>
      <c r="B317" s="251"/>
      <c r="C317" s="145"/>
      <c r="D317" s="145"/>
      <c r="E317" s="145"/>
    </row>
    <row r="318" spans="1:5" ht="16" x14ac:dyDescent="0.2">
      <c r="A318" s="145"/>
      <c r="B318" s="253"/>
      <c r="C318" s="145"/>
      <c r="D318" s="145"/>
      <c r="E318" s="145"/>
    </row>
    <row r="319" spans="1:5" ht="16" x14ac:dyDescent="0.2">
      <c r="A319" s="145"/>
      <c r="B319" s="253"/>
      <c r="C319" s="145"/>
      <c r="D319" s="145"/>
      <c r="E319" s="145"/>
    </row>
    <row r="320" spans="1:5" ht="16" x14ac:dyDescent="0.2">
      <c r="A320" s="145"/>
      <c r="B320" s="251"/>
      <c r="C320" s="145"/>
      <c r="D320" s="145"/>
      <c r="E320" s="145"/>
    </row>
    <row r="321" spans="1:5" ht="16" x14ac:dyDescent="0.2">
      <c r="A321" s="145"/>
      <c r="B321" s="253"/>
      <c r="C321" s="145"/>
      <c r="D321" s="145"/>
      <c r="E321" s="145"/>
    </row>
    <row r="322" spans="1:5" ht="16" x14ac:dyDescent="0.2">
      <c r="A322" s="145"/>
      <c r="B322" s="253"/>
      <c r="C322" s="145"/>
      <c r="D322" s="145"/>
      <c r="E322" s="145"/>
    </row>
    <row r="323" spans="1:5" ht="16" x14ac:dyDescent="0.2">
      <c r="A323" s="145"/>
      <c r="B323" s="253"/>
      <c r="C323" s="145"/>
      <c r="D323" s="145"/>
      <c r="E323" s="145"/>
    </row>
    <row r="324" spans="1:5" ht="16" x14ac:dyDescent="0.2">
      <c r="A324" s="145"/>
      <c r="B324" s="253"/>
      <c r="C324" s="145"/>
      <c r="D324" s="145"/>
      <c r="E324" s="145"/>
    </row>
    <row r="325" spans="1:5" ht="16" x14ac:dyDescent="0.2">
      <c r="A325" s="145"/>
      <c r="B325" s="253"/>
      <c r="C325" s="145"/>
      <c r="D325" s="145"/>
      <c r="E325" s="145"/>
    </row>
    <row r="326" spans="1:5" ht="16" x14ac:dyDescent="0.2">
      <c r="A326" s="145"/>
      <c r="B326" s="253"/>
      <c r="C326" s="145"/>
      <c r="D326" s="145"/>
      <c r="E326" s="145"/>
    </row>
    <row r="327" spans="1:5" ht="16" x14ac:dyDescent="0.2">
      <c r="A327" s="145"/>
      <c r="B327" s="253"/>
      <c r="C327" s="145"/>
      <c r="D327" s="145"/>
      <c r="E327" s="145"/>
    </row>
    <row r="328" spans="1:5" ht="16" x14ac:dyDescent="0.2">
      <c r="A328" s="145"/>
      <c r="B328" s="251"/>
      <c r="C328" s="145"/>
      <c r="D328" s="145"/>
      <c r="E328" s="145"/>
    </row>
    <row r="329" spans="1:5" ht="16" x14ac:dyDescent="0.2">
      <c r="A329" s="145"/>
      <c r="B329" s="251"/>
      <c r="C329" s="145"/>
      <c r="D329" s="145"/>
      <c r="E329" s="145"/>
    </row>
    <row r="330" spans="1:5" ht="16" x14ac:dyDescent="0.2">
      <c r="A330" s="149"/>
      <c r="B330" s="251"/>
      <c r="C330" s="145"/>
      <c r="D330" s="145"/>
      <c r="E330" s="145"/>
    </row>
    <row r="331" spans="1:5" ht="16" x14ac:dyDescent="0.2">
      <c r="A331" s="145"/>
      <c r="B331" s="253"/>
      <c r="C331" s="145"/>
      <c r="D331" s="145"/>
      <c r="E331" s="145"/>
    </row>
    <row r="332" spans="1:5" ht="16" x14ac:dyDescent="0.2">
      <c r="A332" s="256"/>
      <c r="B332" s="253"/>
      <c r="C332" s="145"/>
      <c r="D332" s="145"/>
      <c r="E332" s="145"/>
    </row>
    <row r="333" spans="1:5" ht="16" x14ac:dyDescent="0.2">
      <c r="A333" s="28"/>
      <c r="B333" s="253"/>
      <c r="C333" s="145"/>
      <c r="D333" s="145"/>
      <c r="E333" s="145"/>
    </row>
    <row r="334" spans="1:5" ht="16" x14ac:dyDescent="0.2">
      <c r="A334" s="145"/>
      <c r="B334" s="251"/>
      <c r="C334" s="145"/>
      <c r="D334" s="145"/>
      <c r="E334" s="145"/>
    </row>
    <row r="335" spans="1:5" ht="16" x14ac:dyDescent="0.2">
      <c r="A335" s="145"/>
      <c r="B335" s="251"/>
      <c r="C335" s="145"/>
      <c r="D335" s="145"/>
      <c r="E335" s="145"/>
    </row>
    <row r="336" spans="1:5" ht="16" x14ac:dyDescent="0.2">
      <c r="A336" s="145"/>
      <c r="B336" s="253"/>
      <c r="C336" s="145"/>
      <c r="D336" s="145"/>
      <c r="E336" s="145"/>
    </row>
    <row r="337" spans="1:5" ht="16" x14ac:dyDescent="0.2">
      <c r="A337" s="145"/>
      <c r="B337" s="251"/>
      <c r="C337" s="145"/>
      <c r="D337" s="145"/>
      <c r="E337" s="145"/>
    </row>
    <row r="338" spans="1:5" ht="16" x14ac:dyDescent="0.2">
      <c r="A338" s="145"/>
      <c r="B338" s="253"/>
      <c r="C338" s="145"/>
      <c r="D338" s="145"/>
      <c r="E338" s="145"/>
    </row>
    <row r="339" spans="1:5" ht="16" x14ac:dyDescent="0.2">
      <c r="A339" s="145"/>
      <c r="B339" s="251"/>
      <c r="C339" s="145"/>
      <c r="D339" s="145"/>
      <c r="E339" s="145"/>
    </row>
    <row r="340" spans="1:5" ht="16" x14ac:dyDescent="0.2">
      <c r="A340" s="206"/>
      <c r="B340" s="253"/>
      <c r="C340" s="145"/>
      <c r="D340" s="145"/>
      <c r="E340" s="145"/>
    </row>
    <row r="341" spans="1:5" ht="16" x14ac:dyDescent="0.2">
      <c r="A341" s="28"/>
      <c r="B341" s="253"/>
      <c r="C341" s="145"/>
      <c r="D341" s="145"/>
      <c r="E341" s="145"/>
    </row>
    <row r="342" spans="1:5" ht="16" x14ac:dyDescent="0.2">
      <c r="A342" s="207"/>
      <c r="B342" s="253"/>
      <c r="C342" s="145"/>
      <c r="D342" s="145"/>
      <c r="E342" s="145"/>
    </row>
    <row r="343" spans="1:5" ht="16" x14ac:dyDescent="0.2">
      <c r="A343" s="256"/>
      <c r="B343" s="253"/>
      <c r="C343" s="145"/>
      <c r="D343" s="145"/>
      <c r="E343" s="145"/>
    </row>
    <row r="344" spans="1:5" ht="16" x14ac:dyDescent="0.2">
      <c r="A344" s="145"/>
      <c r="B344" s="251"/>
      <c r="C344" s="145"/>
      <c r="D344" s="145"/>
      <c r="E344" s="145"/>
    </row>
    <row r="345" spans="1:5" ht="16" x14ac:dyDescent="0.2">
      <c r="A345" s="254"/>
      <c r="B345" s="253"/>
      <c r="C345" s="145"/>
      <c r="D345" s="145"/>
      <c r="E345" s="145"/>
    </row>
    <row r="346" spans="1:5" ht="16" x14ac:dyDescent="0.2">
      <c r="A346" s="28"/>
      <c r="B346" s="253"/>
      <c r="C346" s="145"/>
      <c r="D346" s="145"/>
      <c r="E346" s="145"/>
    </row>
    <row r="347" spans="1:5" ht="16" x14ac:dyDescent="0.2">
      <c r="A347" s="28"/>
      <c r="B347" s="253"/>
      <c r="C347" s="145"/>
      <c r="D347" s="145"/>
      <c r="E347" s="145"/>
    </row>
    <row r="348" spans="1:5" ht="16" x14ac:dyDescent="0.2">
      <c r="A348" s="255"/>
      <c r="B348" s="253"/>
      <c r="C348" s="145"/>
      <c r="D348" s="145"/>
      <c r="E348" s="145"/>
    </row>
    <row r="349" spans="1:5" ht="16" x14ac:dyDescent="0.2">
      <c r="A349" s="252"/>
      <c r="B349" s="253"/>
      <c r="C349" s="145"/>
      <c r="D349" s="254"/>
      <c r="E349" s="145"/>
    </row>
    <row r="350" spans="1:5" ht="16" x14ac:dyDescent="0.2">
      <c r="A350" s="255"/>
      <c r="B350" s="253"/>
      <c r="C350" s="145"/>
      <c r="D350" s="145"/>
      <c r="E350" s="145"/>
    </row>
    <row r="351" spans="1:5" ht="16" x14ac:dyDescent="0.2">
      <c r="A351" s="28"/>
      <c r="B351" s="253"/>
      <c r="C351" s="145"/>
      <c r="D351" s="145"/>
      <c r="E351" s="145"/>
    </row>
    <row r="352" spans="1:5" ht="16" x14ac:dyDescent="0.2">
      <c r="A352" s="255"/>
      <c r="B352" s="253"/>
      <c r="C352" s="145"/>
      <c r="D352" s="145"/>
      <c r="E352" s="145"/>
    </row>
    <row r="353" spans="1:5" ht="16" x14ac:dyDescent="0.2">
      <c r="A353" s="145"/>
      <c r="B353" s="250"/>
      <c r="C353" s="145"/>
      <c r="D353" s="145"/>
      <c r="E353" s="145"/>
    </row>
    <row r="354" spans="1:5" ht="16" x14ac:dyDescent="0.2">
      <c r="A354" s="207"/>
      <c r="B354" s="253"/>
      <c r="C354" s="145"/>
      <c r="D354" s="145"/>
      <c r="E354" s="145"/>
    </row>
    <row r="355" spans="1:5" ht="16" x14ac:dyDescent="0.2">
      <c r="A355" s="206"/>
      <c r="B355" s="253"/>
      <c r="C355" s="145"/>
      <c r="D355" s="145"/>
      <c r="E355" s="145"/>
    </row>
    <row r="356" spans="1:5" ht="16" x14ac:dyDescent="0.2">
      <c r="A356" s="28"/>
      <c r="B356" s="253"/>
      <c r="C356" s="145"/>
      <c r="D356" s="145"/>
      <c r="E356" s="145"/>
    </row>
    <row r="357" spans="1:5" ht="16" x14ac:dyDescent="0.2">
      <c r="A357" s="256"/>
      <c r="B357" s="253"/>
      <c r="C357" s="145"/>
      <c r="D357" s="145"/>
      <c r="E357" s="145"/>
    </row>
    <row r="358" spans="1:5" ht="16" x14ac:dyDescent="0.2">
      <c r="A358" s="28"/>
      <c r="B358" s="253"/>
      <c r="C358" s="145"/>
      <c r="D358" s="145"/>
      <c r="E358" s="145"/>
    </row>
    <row r="359" spans="1:5" ht="16" x14ac:dyDescent="0.2">
      <c r="A359" s="28"/>
      <c r="B359" s="253"/>
      <c r="C359" s="145"/>
      <c r="D359" s="145"/>
      <c r="E359" s="145"/>
    </row>
    <row r="360" spans="1:5" ht="16" x14ac:dyDescent="0.2">
      <c r="A360" s="206"/>
      <c r="B360" s="253"/>
      <c r="C360" s="145"/>
      <c r="D360" s="145"/>
      <c r="E360" s="145"/>
    </row>
    <row r="361" spans="1:5" ht="16" x14ac:dyDescent="0.2">
      <c r="A361" s="28"/>
      <c r="B361" s="253"/>
      <c r="C361" s="145"/>
      <c r="D361" s="145"/>
      <c r="E361" s="145"/>
    </row>
    <row r="362" spans="1:5" ht="16" x14ac:dyDescent="0.2">
      <c r="A362" s="206"/>
      <c r="B362" s="253"/>
      <c r="C362" s="145"/>
      <c r="D362" s="145"/>
      <c r="E362" s="145"/>
    </row>
    <row r="363" spans="1:5" ht="16" x14ac:dyDescent="0.2">
      <c r="A363" s="206"/>
      <c r="B363" s="253"/>
      <c r="C363" s="145"/>
      <c r="D363" s="145"/>
      <c r="E363" s="145"/>
    </row>
    <row r="364" spans="1:5" ht="16" x14ac:dyDescent="0.2">
      <c r="A364" s="206"/>
      <c r="B364" s="253"/>
      <c r="C364" s="145"/>
      <c r="D364" s="145"/>
      <c r="E364" s="145"/>
    </row>
    <row r="365" spans="1:5" ht="16" x14ac:dyDescent="0.2">
      <c r="A365" s="28"/>
      <c r="B365" s="253"/>
      <c r="C365" s="145"/>
      <c r="D365" s="145"/>
      <c r="E365" s="145"/>
    </row>
    <row r="366" spans="1:5" ht="16" x14ac:dyDescent="0.2">
      <c r="A366" s="145"/>
      <c r="B366" s="250"/>
      <c r="C366" s="145"/>
      <c r="D366" s="145"/>
      <c r="E366" s="145"/>
    </row>
    <row r="367" spans="1:5" ht="16" x14ac:dyDescent="0.2">
      <c r="A367" s="28"/>
      <c r="B367" s="253"/>
      <c r="C367" s="145"/>
      <c r="D367" s="145"/>
      <c r="E367" s="145"/>
    </row>
    <row r="368" spans="1:5" ht="16" x14ac:dyDescent="0.2">
      <c r="A368" s="145"/>
      <c r="B368" s="253"/>
      <c r="C368" s="145"/>
      <c r="D368" s="243"/>
      <c r="E368" s="145"/>
    </row>
    <row r="369" spans="1:5" ht="16" x14ac:dyDescent="0.2">
      <c r="A369" s="145"/>
      <c r="B369" s="253"/>
      <c r="C369" s="145"/>
      <c r="D369" s="145"/>
      <c r="E369" s="145"/>
    </row>
    <row r="370" spans="1:5" ht="16" x14ac:dyDescent="0.2">
      <c r="A370" s="145"/>
      <c r="B370" s="253"/>
      <c r="C370" s="145"/>
      <c r="D370" s="145"/>
      <c r="E370" s="145"/>
    </row>
    <row r="371" spans="1:5" ht="16" x14ac:dyDescent="0.2">
      <c r="A371" s="145"/>
      <c r="B371" s="251"/>
      <c r="C371" s="145"/>
      <c r="D371" s="145"/>
      <c r="E371" s="145"/>
    </row>
    <row r="372" spans="1:5" ht="16" x14ac:dyDescent="0.2">
      <c r="A372" s="145"/>
      <c r="B372" s="253"/>
      <c r="C372" s="145"/>
      <c r="D372" s="145"/>
      <c r="E372" s="145"/>
    </row>
    <row r="373" spans="1:5" ht="16" x14ac:dyDescent="0.2">
      <c r="A373" s="206"/>
      <c r="B373" s="253"/>
      <c r="C373" s="145"/>
      <c r="D373" s="145"/>
      <c r="E373" s="145"/>
    </row>
    <row r="374" spans="1:5" ht="16" x14ac:dyDescent="0.2">
      <c r="A374" s="256"/>
      <c r="B374" s="253"/>
      <c r="C374" s="145"/>
      <c r="D374" s="145"/>
      <c r="E374" s="145"/>
    </row>
    <row r="375" spans="1:5" ht="16" x14ac:dyDescent="0.2">
      <c r="A375" s="28"/>
      <c r="B375" s="253"/>
      <c r="C375" s="145"/>
      <c r="D375" s="145"/>
      <c r="E375" s="145"/>
    </row>
    <row r="376" spans="1:5" ht="16" x14ac:dyDescent="0.2">
      <c r="A376" s="145"/>
      <c r="B376" s="251"/>
      <c r="C376" s="145"/>
      <c r="D376" s="145"/>
      <c r="E376" s="145"/>
    </row>
    <row r="377" spans="1:5" ht="16" x14ac:dyDescent="0.2">
      <c r="A377" s="145"/>
      <c r="B377" s="251"/>
      <c r="C377" s="145"/>
      <c r="D377" s="145"/>
      <c r="E377" s="145"/>
    </row>
    <row r="378" spans="1:5" ht="16" x14ac:dyDescent="0.2">
      <c r="A378" s="145"/>
      <c r="B378" s="253"/>
      <c r="C378" s="145"/>
      <c r="D378" s="145"/>
      <c r="E378" s="145"/>
    </row>
    <row r="379" spans="1:5" ht="16" x14ac:dyDescent="0.2">
      <c r="A379" s="145"/>
      <c r="B379" s="251"/>
      <c r="C379" s="145"/>
      <c r="D379" s="145"/>
      <c r="E379" s="145"/>
    </row>
    <row r="380" spans="1:5" ht="16" x14ac:dyDescent="0.2">
      <c r="A380" s="145"/>
      <c r="B380" s="253"/>
      <c r="C380" s="145"/>
      <c r="D380" s="145"/>
      <c r="E380" s="145"/>
    </row>
    <row r="381" spans="1:5" ht="16" x14ac:dyDescent="0.2">
      <c r="A381" s="145"/>
      <c r="B381" s="251"/>
      <c r="C381" s="145"/>
      <c r="D381" s="145"/>
      <c r="E381" s="145"/>
    </row>
    <row r="382" spans="1:5" ht="16" x14ac:dyDescent="0.2">
      <c r="A382" s="145"/>
      <c r="B382" s="253"/>
      <c r="C382" s="145"/>
      <c r="D382" s="145"/>
      <c r="E382" s="145"/>
    </row>
    <row r="383" spans="1:5" ht="16" x14ac:dyDescent="0.2">
      <c r="A383" s="149"/>
      <c r="B383" s="253"/>
      <c r="C383" s="145"/>
      <c r="D383" s="145"/>
      <c r="E383" s="145"/>
    </row>
    <row r="384" spans="1:5" ht="16" x14ac:dyDescent="0.2">
      <c r="A384" s="145"/>
      <c r="B384" s="251"/>
      <c r="C384" s="145"/>
      <c r="D384" s="145"/>
      <c r="E384" s="145"/>
    </row>
    <row r="385" spans="1:5" ht="16" x14ac:dyDescent="0.2">
      <c r="A385" s="207"/>
      <c r="B385" s="253"/>
      <c r="C385" s="145"/>
      <c r="D385" s="145"/>
      <c r="E385" s="145"/>
    </row>
    <row r="386" spans="1:5" ht="16" x14ac:dyDescent="0.2">
      <c r="A386" s="145"/>
      <c r="B386" s="250"/>
      <c r="C386" s="145"/>
      <c r="D386" s="145"/>
      <c r="E386" s="145"/>
    </row>
    <row r="387" spans="1:5" ht="16" x14ac:dyDescent="0.2">
      <c r="A387" s="145"/>
      <c r="B387" s="251"/>
      <c r="C387" s="145"/>
      <c r="D387" s="145"/>
      <c r="E387" s="145"/>
    </row>
    <row r="388" spans="1:5" ht="16" x14ac:dyDescent="0.2">
      <c r="A388" s="256"/>
      <c r="B388" s="253"/>
      <c r="C388" s="145"/>
      <c r="D388" s="145"/>
      <c r="E388" s="145"/>
    </row>
    <row r="389" spans="1:5" ht="16" x14ac:dyDescent="0.2">
      <c r="A389" s="145"/>
      <c r="B389" s="253"/>
      <c r="C389" s="145"/>
      <c r="D389" s="145"/>
      <c r="E389" s="145"/>
    </row>
    <row r="390" spans="1:5" ht="16" x14ac:dyDescent="0.2">
      <c r="A390" s="145"/>
      <c r="B390" s="251"/>
      <c r="C390" s="145"/>
      <c r="D390" s="145"/>
      <c r="E390" s="145"/>
    </row>
    <row r="391" spans="1:5" ht="16" x14ac:dyDescent="0.2">
      <c r="A391" s="145"/>
      <c r="B391" s="253"/>
      <c r="C391" s="145"/>
      <c r="D391" s="145"/>
      <c r="E391" s="145"/>
    </row>
    <row r="392" spans="1:5" ht="16" x14ac:dyDescent="0.2">
      <c r="A392" s="145"/>
      <c r="B392" s="251"/>
      <c r="C392" s="145"/>
      <c r="D392" s="145"/>
      <c r="E392" s="145"/>
    </row>
    <row r="393" spans="1:5" ht="16" x14ac:dyDescent="0.2">
      <c r="A393" s="254"/>
      <c r="B393" s="253"/>
      <c r="C393" s="145"/>
      <c r="D393" s="145"/>
      <c r="E393" s="145"/>
    </row>
    <row r="394" spans="1:5" ht="16" x14ac:dyDescent="0.2">
      <c r="A394" s="149"/>
      <c r="B394" s="251"/>
      <c r="C394" s="145"/>
      <c r="D394" s="145"/>
      <c r="E394" s="145"/>
    </row>
    <row r="395" spans="1:5" ht="16" x14ac:dyDescent="0.2">
      <c r="A395" s="145"/>
      <c r="B395" s="253"/>
      <c r="C395" s="145"/>
      <c r="D395" s="145"/>
      <c r="E395" s="145"/>
    </row>
    <row r="396" spans="1:5" ht="16" x14ac:dyDescent="0.2">
      <c r="A396" s="145"/>
      <c r="B396" s="250"/>
      <c r="C396" s="145"/>
      <c r="D396" s="145"/>
      <c r="E396" s="145"/>
    </row>
    <row r="397" spans="1:5" ht="16" x14ac:dyDescent="0.2">
      <c r="A397" s="255"/>
      <c r="B397" s="253"/>
      <c r="C397" s="145"/>
      <c r="D397" s="145"/>
      <c r="E397" s="145"/>
    </row>
    <row r="398" spans="1:5" ht="16" x14ac:dyDescent="0.2">
      <c r="A398" s="145"/>
      <c r="B398" s="251"/>
      <c r="C398" s="145"/>
      <c r="D398" s="145"/>
      <c r="E398" s="145"/>
    </row>
    <row r="399" spans="1:5" ht="16" x14ac:dyDescent="0.2">
      <c r="A399" s="145"/>
      <c r="B399" s="251"/>
      <c r="C399" s="145"/>
      <c r="D399" s="145"/>
      <c r="E399" s="145"/>
    </row>
    <row r="400" spans="1:5" ht="16" x14ac:dyDescent="0.2">
      <c r="A400" s="252"/>
      <c r="B400" s="253"/>
      <c r="C400" s="145"/>
      <c r="D400" s="254"/>
      <c r="E400" s="145"/>
    </row>
    <row r="401" spans="1:5" ht="16" x14ac:dyDescent="0.2">
      <c r="A401" s="145"/>
      <c r="B401" s="251"/>
      <c r="C401" s="145"/>
      <c r="D401" s="145"/>
      <c r="E401" s="145"/>
    </row>
    <row r="402" spans="1:5" ht="16" x14ac:dyDescent="0.2">
      <c r="A402" s="145"/>
      <c r="B402" s="253"/>
      <c r="C402" s="145"/>
      <c r="D402" s="145"/>
      <c r="E402" s="145"/>
    </row>
    <row r="403" spans="1:5" ht="16" x14ac:dyDescent="0.2">
      <c r="A403" s="145"/>
      <c r="B403" s="251"/>
      <c r="C403" s="145"/>
      <c r="D403" s="145"/>
      <c r="E403" s="145"/>
    </row>
    <row r="404" spans="1:5" ht="16" x14ac:dyDescent="0.2">
      <c r="A404" s="145"/>
      <c r="B404" s="250"/>
      <c r="C404" s="145"/>
      <c r="D404" s="145"/>
      <c r="E404" s="145"/>
    </row>
    <row r="405" spans="1:5" ht="16" x14ac:dyDescent="0.2">
      <c r="A405" s="145"/>
      <c r="B405" s="251"/>
      <c r="C405" s="145"/>
      <c r="D405" s="145"/>
      <c r="E405" s="145"/>
    </row>
    <row r="406" spans="1:5" ht="16" x14ac:dyDescent="0.2">
      <c r="A406" s="145"/>
      <c r="B406" s="253"/>
      <c r="C406" s="145"/>
      <c r="D406" s="145"/>
      <c r="E406" s="145"/>
    </row>
    <row r="407" spans="1:5" ht="16" x14ac:dyDescent="0.2">
      <c r="A407" s="149"/>
      <c r="B407" s="251"/>
      <c r="C407" s="145"/>
      <c r="D407" s="145"/>
      <c r="E407" s="145"/>
    </row>
    <row r="408" spans="1:5" ht="16" x14ac:dyDescent="0.2">
      <c r="A408" s="149"/>
      <c r="B408" s="251"/>
      <c r="C408" s="145"/>
      <c r="D408" s="145"/>
      <c r="E408" s="145"/>
    </row>
    <row r="409" spans="1:5" ht="16" x14ac:dyDescent="0.2">
      <c r="A409" s="145"/>
      <c r="B409" s="251"/>
      <c r="C409" s="145"/>
      <c r="D409" s="145"/>
      <c r="E409" s="145"/>
    </row>
    <row r="410" spans="1:5" ht="16" x14ac:dyDescent="0.2">
      <c r="A410" s="255"/>
      <c r="B410" s="253"/>
      <c r="C410" s="145"/>
      <c r="D410" s="145"/>
      <c r="E410" s="145"/>
    </row>
    <row r="411" spans="1:5" ht="16" x14ac:dyDescent="0.2">
      <c r="A411" s="149"/>
      <c r="B411" s="251"/>
      <c r="C411" s="145"/>
      <c r="D411" s="145"/>
      <c r="E411" s="145"/>
    </row>
    <row r="412" spans="1:5" ht="16" x14ac:dyDescent="0.2">
      <c r="A412" s="145"/>
      <c r="B412" s="253"/>
      <c r="C412" s="145"/>
      <c r="D412" s="145"/>
      <c r="E412" s="145"/>
    </row>
    <row r="413" spans="1:5" ht="16" x14ac:dyDescent="0.2">
      <c r="A413" s="255"/>
      <c r="B413" s="253"/>
      <c r="C413" s="145"/>
      <c r="D413" s="145"/>
      <c r="E413" s="145"/>
    </row>
    <row r="414" spans="1:5" ht="16" x14ac:dyDescent="0.2">
      <c r="A414" s="149"/>
      <c r="B414" s="251"/>
      <c r="C414" s="145"/>
      <c r="D414" s="145"/>
      <c r="E414" s="145"/>
    </row>
    <row r="415" spans="1:5" ht="16" x14ac:dyDescent="0.2">
      <c r="A415" s="145"/>
      <c r="B415" s="251"/>
      <c r="C415" s="145"/>
      <c r="D415" s="145"/>
      <c r="E415" s="145"/>
    </row>
    <row r="416" spans="1:5" ht="16" x14ac:dyDescent="0.2">
      <c r="A416" s="149"/>
      <c r="B416" s="251"/>
      <c r="C416" s="145"/>
      <c r="D416" s="145"/>
      <c r="E416" s="145"/>
    </row>
    <row r="417" spans="1:5" ht="16" x14ac:dyDescent="0.2">
      <c r="A417" s="256"/>
      <c r="B417" s="253"/>
      <c r="C417" s="145"/>
      <c r="D417" s="145"/>
      <c r="E417" s="145"/>
    </row>
    <row r="418" spans="1:5" ht="16" x14ac:dyDescent="0.2">
      <c r="A418" s="145"/>
      <c r="B418" s="251"/>
      <c r="C418" s="145"/>
      <c r="D418" s="145"/>
      <c r="E418" s="145"/>
    </row>
    <row r="419" spans="1:5" ht="16" x14ac:dyDescent="0.2">
      <c r="A419" s="145"/>
      <c r="B419" s="253"/>
      <c r="C419" s="145"/>
      <c r="D419" s="145"/>
      <c r="E419" s="145"/>
    </row>
    <row r="420" spans="1:5" ht="16" x14ac:dyDescent="0.2">
      <c r="A420" s="145"/>
      <c r="B420" s="253"/>
      <c r="C420" s="145"/>
      <c r="D420" s="145"/>
      <c r="E420" s="145"/>
    </row>
    <row r="421" spans="1:5" ht="16" x14ac:dyDescent="0.2">
      <c r="A421" s="145"/>
      <c r="B421" s="250"/>
      <c r="C421" s="145"/>
      <c r="D421" s="145"/>
      <c r="E421" s="145"/>
    </row>
    <row r="422" spans="1:5" ht="16" x14ac:dyDescent="0.2">
      <c r="A422" s="145"/>
      <c r="B422" s="251"/>
      <c r="C422" s="145"/>
      <c r="D422" s="145"/>
      <c r="E422" s="145"/>
    </row>
    <row r="423" spans="1:5" ht="16" x14ac:dyDescent="0.2">
      <c r="A423" s="145"/>
      <c r="B423" s="253"/>
      <c r="C423" s="145"/>
      <c r="D423" s="145"/>
      <c r="E423" s="145"/>
    </row>
    <row r="424" spans="1:5" ht="16" x14ac:dyDescent="0.2">
      <c r="A424" s="145"/>
      <c r="B424" s="253"/>
      <c r="C424" s="145"/>
      <c r="D424" s="145"/>
      <c r="E424" s="145"/>
    </row>
    <row r="425" spans="1:5" ht="16" x14ac:dyDescent="0.2">
      <c r="A425" s="145"/>
      <c r="B425" s="251"/>
      <c r="C425" s="145"/>
      <c r="D425" s="145"/>
      <c r="E425" s="145"/>
    </row>
    <row r="426" spans="1:5" ht="16" x14ac:dyDescent="0.2">
      <c r="A426" s="145"/>
      <c r="B426" s="253"/>
      <c r="C426" s="145"/>
      <c r="D426" s="145"/>
      <c r="E426" s="145"/>
    </row>
    <row r="427" spans="1:5" ht="16" x14ac:dyDescent="0.2">
      <c r="A427" s="145"/>
      <c r="B427" s="253"/>
      <c r="C427" s="145"/>
      <c r="D427" s="145"/>
      <c r="E427" s="145"/>
    </row>
    <row r="428" spans="1:5" ht="16" x14ac:dyDescent="0.2">
      <c r="A428" s="145"/>
      <c r="B428" s="253"/>
      <c r="C428" s="145"/>
      <c r="D428" s="145"/>
      <c r="E428" s="145"/>
    </row>
    <row r="429" spans="1:5" ht="16" x14ac:dyDescent="0.2">
      <c r="A429" s="145"/>
      <c r="B429" s="253"/>
      <c r="C429" s="145"/>
      <c r="D429" s="145"/>
      <c r="E429" s="145"/>
    </row>
    <row r="430" spans="1:5" ht="16" x14ac:dyDescent="0.2">
      <c r="A430" s="145"/>
      <c r="B430" s="253"/>
      <c r="C430" s="145"/>
      <c r="D430" s="145"/>
      <c r="E430" s="145"/>
    </row>
    <row r="431" spans="1:5" ht="16" x14ac:dyDescent="0.2">
      <c r="A431" s="145"/>
      <c r="B431" s="253"/>
      <c r="C431" s="145"/>
      <c r="D431" s="145"/>
      <c r="E431" s="145"/>
    </row>
    <row r="432" spans="1:5" ht="16" x14ac:dyDescent="0.2">
      <c r="A432" s="145"/>
      <c r="B432" s="251"/>
      <c r="C432" s="145"/>
      <c r="D432" s="145"/>
      <c r="E432" s="145"/>
    </row>
    <row r="433" spans="1:5" ht="16" x14ac:dyDescent="0.2">
      <c r="A433" s="145"/>
      <c r="B433" s="253"/>
      <c r="C433" s="145"/>
      <c r="D433" s="145"/>
      <c r="E433" s="145"/>
    </row>
    <row r="434" spans="1:5" ht="16" x14ac:dyDescent="0.2">
      <c r="A434" s="206"/>
      <c r="B434" s="253"/>
      <c r="C434" s="145"/>
      <c r="D434" s="145"/>
      <c r="E434" s="145"/>
    </row>
    <row r="435" spans="1:5" ht="16" x14ac:dyDescent="0.2">
      <c r="A435" s="145"/>
      <c r="B435" s="250"/>
      <c r="C435" s="145"/>
      <c r="D435" s="145"/>
      <c r="E435" s="145"/>
    </row>
    <row r="436" spans="1:5" ht="16" x14ac:dyDescent="0.2">
      <c r="A436" s="145"/>
      <c r="B436" s="253"/>
      <c r="C436" s="145"/>
      <c r="D436" s="243"/>
      <c r="E436" s="145"/>
    </row>
    <row r="437" spans="1:5" ht="16" x14ac:dyDescent="0.2">
      <c r="A437" s="145"/>
      <c r="B437" s="253"/>
      <c r="C437" s="145"/>
      <c r="D437" s="145"/>
      <c r="E437" s="145"/>
    </row>
    <row r="438" spans="1:5" ht="16" x14ac:dyDescent="0.2">
      <c r="A438" s="145"/>
      <c r="B438" s="253"/>
      <c r="C438" s="145"/>
      <c r="D438" s="145"/>
      <c r="E438" s="145"/>
    </row>
    <row r="439" spans="1:5" ht="16" x14ac:dyDescent="0.2">
      <c r="A439" s="145"/>
      <c r="B439" s="251"/>
      <c r="C439" s="145"/>
      <c r="D439" s="145"/>
      <c r="E439" s="145"/>
    </row>
    <row r="440" spans="1:5" ht="16" x14ac:dyDescent="0.2">
      <c r="A440" s="145"/>
      <c r="B440" s="253"/>
      <c r="C440" s="145"/>
      <c r="D440" s="145"/>
      <c r="E440" s="145"/>
    </row>
    <row r="441" spans="1:5" ht="16" x14ac:dyDescent="0.2">
      <c r="A441" s="206"/>
      <c r="B441" s="253"/>
      <c r="C441" s="145"/>
      <c r="D441" s="145"/>
      <c r="E441" s="145"/>
    </row>
    <row r="442" spans="1:5" ht="16" x14ac:dyDescent="0.2">
      <c r="A442" s="28"/>
      <c r="B442" s="253"/>
      <c r="C442" s="145"/>
      <c r="D442" s="145"/>
      <c r="E442" s="145"/>
    </row>
    <row r="443" spans="1:5" ht="16" x14ac:dyDescent="0.2">
      <c r="A443" s="145"/>
      <c r="B443" s="251"/>
      <c r="C443" s="145"/>
      <c r="D443" s="145"/>
      <c r="E443" s="145"/>
    </row>
    <row r="444" spans="1:5" ht="16" x14ac:dyDescent="0.2">
      <c r="A444" s="28"/>
      <c r="B444" s="253"/>
      <c r="C444" s="145"/>
      <c r="D444" s="145"/>
      <c r="E444" s="145"/>
    </row>
    <row r="445" spans="1:5" ht="16" x14ac:dyDescent="0.2">
      <c r="A445" s="145"/>
      <c r="B445" s="253"/>
      <c r="C445" s="145"/>
      <c r="D445" s="145"/>
      <c r="E445" s="145"/>
    </row>
    <row r="446" spans="1:5" ht="16" x14ac:dyDescent="0.2">
      <c r="A446" s="206"/>
      <c r="B446" s="253"/>
      <c r="C446" s="145"/>
      <c r="D446" s="145"/>
      <c r="E446" s="145"/>
    </row>
    <row r="447" spans="1:5" ht="16" x14ac:dyDescent="0.2">
      <c r="A447" s="28"/>
      <c r="B447" s="253"/>
      <c r="C447" s="145"/>
      <c r="D447" s="145"/>
      <c r="E447" s="145"/>
    </row>
    <row r="448" spans="1:5" ht="16" x14ac:dyDescent="0.2">
      <c r="A448" s="145"/>
      <c r="B448" s="251"/>
      <c r="C448" s="145"/>
      <c r="D448" s="145"/>
      <c r="E448" s="145"/>
    </row>
    <row r="449" spans="1:5" ht="16" x14ac:dyDescent="0.2">
      <c r="A449" s="149"/>
      <c r="B449" s="251"/>
      <c r="C449" s="145"/>
      <c r="D449" s="145"/>
      <c r="E449" s="145"/>
    </row>
    <row r="450" spans="1:5" ht="16" x14ac:dyDescent="0.2">
      <c r="A450" s="28"/>
      <c r="B450" s="253"/>
      <c r="C450" s="145"/>
      <c r="D450" s="145"/>
      <c r="E450" s="145"/>
    </row>
    <row r="451" spans="1:5" ht="16" x14ac:dyDescent="0.2">
      <c r="A451" s="206"/>
      <c r="B451" s="253"/>
      <c r="C451" s="145"/>
      <c r="D451" s="145"/>
      <c r="E451" s="145"/>
    </row>
    <row r="452" spans="1:5" ht="16" x14ac:dyDescent="0.2">
      <c r="A452" s="206"/>
      <c r="B452" s="253"/>
      <c r="C452" s="145"/>
      <c r="D452" s="145"/>
      <c r="E452" s="145"/>
    </row>
    <row r="453" spans="1:5" ht="16" x14ac:dyDescent="0.2">
      <c r="A453" s="206"/>
      <c r="B453" s="253"/>
      <c r="C453" s="145"/>
      <c r="D453" s="145"/>
      <c r="E453" s="145"/>
    </row>
    <row r="454" spans="1:5" ht="16" x14ac:dyDescent="0.2">
      <c r="A454" s="145"/>
      <c r="B454" s="253"/>
      <c r="C454" s="145"/>
      <c r="D454" s="145"/>
      <c r="E454" s="145"/>
    </row>
    <row r="455" spans="1:5" ht="16" x14ac:dyDescent="0.2">
      <c r="A455" s="145"/>
      <c r="B455" s="250"/>
      <c r="C455" s="145"/>
      <c r="D455" s="145"/>
      <c r="E455" s="145"/>
    </row>
    <row r="456" spans="1:5" ht="16" x14ac:dyDescent="0.2">
      <c r="A456" s="145"/>
      <c r="B456" s="253"/>
      <c r="C456" s="145"/>
      <c r="D456" s="145"/>
      <c r="E456" s="145"/>
    </row>
    <row r="457" spans="1:5" ht="16" x14ac:dyDescent="0.2">
      <c r="A457" s="145"/>
      <c r="B457" s="251"/>
      <c r="C457" s="145"/>
      <c r="D457" s="145"/>
      <c r="E457" s="145"/>
    </row>
    <row r="458" spans="1:5" ht="16" x14ac:dyDescent="0.2">
      <c r="A458" s="206"/>
      <c r="B458" s="253"/>
      <c r="C458" s="145"/>
      <c r="D458" s="145"/>
      <c r="E458" s="145"/>
    </row>
    <row r="459" spans="1:5" ht="16" x14ac:dyDescent="0.2">
      <c r="A459" s="28"/>
      <c r="B459" s="253"/>
      <c r="C459" s="145"/>
      <c r="D459" s="145"/>
      <c r="E459" s="145"/>
    </row>
    <row r="460" spans="1:5" ht="16" x14ac:dyDescent="0.2">
      <c r="A460" s="145"/>
      <c r="B460" s="250"/>
      <c r="C460" s="145"/>
      <c r="D460" s="145"/>
      <c r="E460" s="145"/>
    </row>
    <row r="461" spans="1:5" ht="16" x14ac:dyDescent="0.2">
      <c r="A461" s="28"/>
      <c r="B461" s="253"/>
      <c r="C461" s="145"/>
      <c r="D461" s="145"/>
      <c r="E461" s="145"/>
    </row>
    <row r="462" spans="1:5" ht="16" x14ac:dyDescent="0.2">
      <c r="A462" s="145"/>
      <c r="B462" s="253"/>
      <c r="C462" s="145"/>
      <c r="D462" s="243"/>
      <c r="E462" s="145"/>
    </row>
    <row r="463" spans="1:5" ht="16" x14ac:dyDescent="0.2">
      <c r="A463" s="145"/>
      <c r="B463" s="253"/>
      <c r="C463" s="145"/>
      <c r="D463" s="145"/>
      <c r="E463" s="145"/>
    </row>
    <row r="464" spans="1:5" ht="16" x14ac:dyDescent="0.2">
      <c r="A464" s="145"/>
      <c r="B464" s="253"/>
      <c r="C464" s="145"/>
      <c r="D464" s="145"/>
      <c r="E464" s="145"/>
    </row>
    <row r="465" spans="1:5" ht="16" x14ac:dyDescent="0.2">
      <c r="A465" s="145"/>
      <c r="B465" s="251"/>
      <c r="C465" s="145"/>
      <c r="D465" s="145"/>
      <c r="E465" s="145"/>
    </row>
    <row r="466" spans="1:5" ht="16" x14ac:dyDescent="0.2">
      <c r="A466" s="145"/>
      <c r="B466" s="253"/>
      <c r="C466" s="145"/>
      <c r="D466" s="145"/>
      <c r="E466" s="145"/>
    </row>
    <row r="467" spans="1:5" ht="16" x14ac:dyDescent="0.2">
      <c r="A467" s="206"/>
      <c r="B467" s="253"/>
      <c r="C467" s="145"/>
      <c r="D467" s="145"/>
      <c r="E467" s="145"/>
    </row>
    <row r="468" spans="1:5" ht="16" x14ac:dyDescent="0.2">
      <c r="A468" s="28"/>
      <c r="B468" s="253"/>
      <c r="C468" s="145"/>
      <c r="D468" s="145"/>
      <c r="E468" s="145"/>
    </row>
    <row r="469" spans="1:5" ht="16" x14ac:dyDescent="0.2">
      <c r="A469" s="145"/>
      <c r="B469" s="250"/>
      <c r="C469" s="145"/>
      <c r="D469" s="145"/>
      <c r="E469" s="145"/>
    </row>
    <row r="470" spans="1:5" ht="16" x14ac:dyDescent="0.2">
      <c r="A470" s="206"/>
      <c r="B470" s="253"/>
      <c r="C470" s="145"/>
      <c r="D470" s="145"/>
      <c r="E470" s="145"/>
    </row>
    <row r="471" spans="1:5" ht="16" x14ac:dyDescent="0.2">
      <c r="A471" s="28"/>
      <c r="B471" s="253"/>
      <c r="C471" s="145"/>
      <c r="D471" s="145"/>
      <c r="E471" s="145"/>
    </row>
    <row r="472" spans="1:5" ht="16" x14ac:dyDescent="0.2">
      <c r="A472" s="145"/>
      <c r="B472" s="251"/>
      <c r="C472" s="145"/>
      <c r="D472" s="145"/>
      <c r="E472" s="145"/>
    </row>
    <row r="473" spans="1:5" ht="16" x14ac:dyDescent="0.2">
      <c r="A473" s="207"/>
      <c r="B473" s="253"/>
      <c r="C473" s="145"/>
      <c r="D473" s="145"/>
      <c r="E473" s="145"/>
    </row>
    <row r="474" spans="1:5" ht="16" x14ac:dyDescent="0.2">
      <c r="A474" s="145"/>
      <c r="B474" s="251"/>
      <c r="C474" s="145"/>
      <c r="D474" s="145"/>
      <c r="E474" s="145"/>
    </row>
    <row r="475" spans="1:5" ht="16" x14ac:dyDescent="0.2">
      <c r="A475" s="145"/>
      <c r="B475" s="250"/>
      <c r="C475" s="145"/>
      <c r="D475" s="145"/>
      <c r="E475" s="145"/>
    </row>
    <row r="476" spans="1:5" ht="16" x14ac:dyDescent="0.2">
      <c r="A476" s="256"/>
      <c r="B476" s="253"/>
      <c r="C476" s="145"/>
      <c r="D476" s="145"/>
      <c r="E476" s="145"/>
    </row>
    <row r="477" spans="1:5" ht="16" x14ac:dyDescent="0.2">
      <c r="A477" s="145"/>
      <c r="B477" s="253"/>
      <c r="C477" s="145"/>
      <c r="D477" s="145"/>
      <c r="E477" s="145"/>
    </row>
    <row r="478" spans="1:5" ht="16" x14ac:dyDescent="0.2">
      <c r="A478" s="145"/>
      <c r="B478" s="251"/>
      <c r="C478" s="145"/>
      <c r="D478" s="145"/>
      <c r="E478" s="145"/>
    </row>
    <row r="479" spans="1:5" ht="16" x14ac:dyDescent="0.2">
      <c r="A479" s="145"/>
      <c r="B479" s="253"/>
      <c r="C479" s="145"/>
      <c r="D479" s="145"/>
      <c r="E479" s="145"/>
    </row>
    <row r="480" spans="1:5" ht="16" x14ac:dyDescent="0.2">
      <c r="A480" s="145"/>
      <c r="B480" s="251"/>
      <c r="C480" s="145"/>
      <c r="D480" s="145"/>
      <c r="E480" s="145"/>
    </row>
    <row r="481" spans="1:5" ht="16" x14ac:dyDescent="0.2">
      <c r="A481" s="254"/>
      <c r="B481" s="253"/>
      <c r="C481" s="145"/>
      <c r="D481" s="145"/>
      <c r="E481" s="145"/>
    </row>
    <row r="482" spans="1:5" ht="16" x14ac:dyDescent="0.2">
      <c r="A482" s="149"/>
      <c r="B482" s="251"/>
      <c r="C482" s="145"/>
      <c r="D482" s="145"/>
      <c r="E482" s="145"/>
    </row>
    <row r="483" spans="1:5" ht="16" x14ac:dyDescent="0.2">
      <c r="A483" s="28"/>
      <c r="B483" s="253"/>
      <c r="C483" s="145"/>
      <c r="D483" s="145"/>
      <c r="E483" s="145"/>
    </row>
    <row r="484" spans="1:5" ht="16" x14ac:dyDescent="0.2">
      <c r="A484" s="145"/>
      <c r="B484" s="253"/>
      <c r="C484" s="145"/>
      <c r="D484" s="145"/>
      <c r="E484" s="145"/>
    </row>
    <row r="485" spans="1:5" ht="16" x14ac:dyDescent="0.2">
      <c r="A485" s="28"/>
      <c r="B485" s="253"/>
      <c r="C485" s="145"/>
      <c r="D485" s="145"/>
      <c r="E485" s="145"/>
    </row>
    <row r="486" spans="1:5" ht="16" x14ac:dyDescent="0.2">
      <c r="A486" s="255"/>
      <c r="B486" s="253"/>
      <c r="C486" s="145"/>
      <c r="D486" s="145"/>
      <c r="E486" s="145"/>
    </row>
    <row r="487" spans="1:5" ht="16" x14ac:dyDescent="0.2">
      <c r="A487" s="145"/>
      <c r="B487" s="251"/>
      <c r="C487" s="145"/>
      <c r="D487" s="145"/>
      <c r="E487" s="145"/>
    </row>
    <row r="488" spans="1:5" ht="16" x14ac:dyDescent="0.2">
      <c r="A488" s="145"/>
      <c r="B488" s="251"/>
      <c r="C488" s="145"/>
      <c r="D488" s="145"/>
      <c r="E488" s="145"/>
    </row>
    <row r="489" spans="1:5" ht="16" x14ac:dyDescent="0.2">
      <c r="A489" s="252"/>
      <c r="B489" s="253"/>
      <c r="C489" s="145"/>
      <c r="D489" s="254"/>
      <c r="E489" s="145"/>
    </row>
    <row r="490" spans="1:5" ht="16" x14ac:dyDescent="0.2">
      <c r="A490" s="145"/>
      <c r="B490" s="251"/>
      <c r="C490" s="145"/>
      <c r="D490" s="145"/>
      <c r="E490" s="145"/>
    </row>
    <row r="491" spans="1:5" ht="16" x14ac:dyDescent="0.2">
      <c r="A491" s="145"/>
      <c r="B491" s="253"/>
      <c r="C491" s="145"/>
      <c r="D491" s="145"/>
      <c r="E491" s="145"/>
    </row>
    <row r="492" spans="1:5" ht="16" x14ac:dyDescent="0.2">
      <c r="A492" s="149"/>
      <c r="B492" s="251"/>
      <c r="C492" s="145"/>
      <c r="D492" s="145"/>
      <c r="E492" s="145"/>
    </row>
    <row r="493" spans="1:5" ht="16" x14ac:dyDescent="0.2">
      <c r="A493" s="145"/>
      <c r="B493" s="251"/>
      <c r="C493" s="145"/>
      <c r="D493" s="145"/>
      <c r="E493" s="145"/>
    </row>
    <row r="494" spans="1:5" ht="16" x14ac:dyDescent="0.2">
      <c r="A494" s="255"/>
      <c r="B494" s="253"/>
      <c r="C494" s="145"/>
      <c r="D494" s="145"/>
      <c r="E494" s="145"/>
    </row>
    <row r="495" spans="1:5" ht="16" x14ac:dyDescent="0.2">
      <c r="A495" s="28"/>
      <c r="B495" s="253"/>
      <c r="C495" s="145"/>
      <c r="D495" s="145"/>
      <c r="E495" s="145"/>
    </row>
    <row r="496" spans="1:5" ht="16" x14ac:dyDescent="0.2">
      <c r="A496" s="145"/>
      <c r="B496" s="253"/>
      <c r="C496" s="145"/>
      <c r="D496" s="145"/>
      <c r="E496" s="145"/>
    </row>
    <row r="497" spans="1:5" ht="16" x14ac:dyDescent="0.2">
      <c r="A497" s="255"/>
      <c r="B497" s="253"/>
      <c r="C497" s="145"/>
      <c r="D497" s="145"/>
      <c r="E497" s="145"/>
    </row>
    <row r="498" spans="1:5" ht="16" x14ac:dyDescent="0.2">
      <c r="A498" s="207"/>
      <c r="B498" s="253"/>
      <c r="C498" s="145"/>
      <c r="D498" s="145"/>
      <c r="E498" s="145"/>
    </row>
    <row r="499" spans="1:5" ht="16" x14ac:dyDescent="0.2">
      <c r="A499" s="149"/>
      <c r="B499" s="251"/>
      <c r="C499" s="145"/>
      <c r="D499" s="145"/>
      <c r="E499" s="145"/>
    </row>
    <row r="500" spans="1:5" ht="16" x14ac:dyDescent="0.2">
      <c r="A500" s="206"/>
      <c r="B500" s="253"/>
      <c r="C500" s="145"/>
      <c r="D500" s="145"/>
      <c r="E500" s="145"/>
    </row>
    <row r="501" spans="1:5" ht="16" x14ac:dyDescent="0.2">
      <c r="A501" s="28"/>
      <c r="B501" s="253"/>
      <c r="C501" s="145"/>
      <c r="D501" s="145"/>
      <c r="E501" s="145"/>
    </row>
    <row r="502" spans="1:5" ht="16" x14ac:dyDescent="0.2">
      <c r="A502" s="145"/>
      <c r="B502" s="251"/>
      <c r="C502" s="145"/>
      <c r="D502" s="145"/>
      <c r="E502" s="145"/>
    </row>
    <row r="503" spans="1:5" ht="16" x14ac:dyDescent="0.2">
      <c r="A503" s="149"/>
      <c r="B503" s="251"/>
      <c r="C503" s="145"/>
      <c r="D503" s="145"/>
      <c r="E503" s="145"/>
    </row>
    <row r="504" spans="1:5" ht="16" x14ac:dyDescent="0.2">
      <c r="A504" s="256"/>
      <c r="B504" s="253"/>
      <c r="C504" s="145"/>
      <c r="D504" s="145"/>
      <c r="E504" s="145"/>
    </row>
    <row r="505" spans="1:5" ht="16" x14ac:dyDescent="0.2">
      <c r="A505" s="145"/>
      <c r="B505" s="251"/>
      <c r="C505" s="145"/>
      <c r="D505" s="145"/>
      <c r="E505" s="145"/>
    </row>
    <row r="506" spans="1:5" ht="16" x14ac:dyDescent="0.2">
      <c r="A506" s="28"/>
      <c r="B506" s="253"/>
      <c r="C506" s="145"/>
      <c r="D506" s="145"/>
      <c r="E506" s="145"/>
    </row>
    <row r="507" spans="1:5" ht="16" x14ac:dyDescent="0.2">
      <c r="A507" s="28"/>
      <c r="B507" s="253"/>
      <c r="C507" s="145"/>
      <c r="D507" s="145"/>
      <c r="E507" s="145"/>
    </row>
    <row r="508" spans="1:5" ht="16" x14ac:dyDescent="0.2">
      <c r="A508" s="206"/>
      <c r="B508" s="253"/>
      <c r="C508" s="145"/>
      <c r="D508" s="145"/>
      <c r="E508" s="145"/>
    </row>
    <row r="509" spans="1:5" ht="16" x14ac:dyDescent="0.2">
      <c r="A509" s="28"/>
      <c r="B509" s="253"/>
      <c r="C509" s="145"/>
      <c r="D509" s="145"/>
      <c r="E509" s="145"/>
    </row>
    <row r="510" spans="1:5" ht="16" x14ac:dyDescent="0.2">
      <c r="A510" s="206"/>
      <c r="B510" s="253"/>
      <c r="C510" s="145"/>
      <c r="D510" s="145"/>
      <c r="E510" s="145"/>
    </row>
    <row r="511" spans="1:5" ht="16" x14ac:dyDescent="0.2">
      <c r="A511" s="206"/>
      <c r="B511" s="253"/>
      <c r="C511" s="145"/>
      <c r="D511" s="145"/>
      <c r="E511" s="145"/>
    </row>
    <row r="512" spans="1:5" ht="16" x14ac:dyDescent="0.2">
      <c r="A512" s="145"/>
      <c r="B512" s="253"/>
      <c r="C512" s="145"/>
      <c r="D512" s="145"/>
      <c r="E512" s="145"/>
    </row>
    <row r="513" spans="1:5" ht="16" x14ac:dyDescent="0.2">
      <c r="A513" s="145"/>
      <c r="B513" s="253"/>
      <c r="C513" s="145"/>
      <c r="D513" s="145"/>
      <c r="E513" s="145"/>
    </row>
    <row r="514" spans="1:5" ht="16" x14ac:dyDescent="0.2">
      <c r="A514" s="145"/>
      <c r="B514" s="250"/>
      <c r="C514" s="145"/>
      <c r="D514" s="145"/>
      <c r="E514" s="145"/>
    </row>
    <row r="515" spans="1:5" ht="16" x14ac:dyDescent="0.2">
      <c r="A515" s="145"/>
      <c r="B515" s="251"/>
      <c r="C515" s="145"/>
      <c r="D515" s="145"/>
      <c r="E515" s="145"/>
    </row>
    <row r="516" spans="1:5" ht="16" x14ac:dyDescent="0.2">
      <c r="A516" s="145"/>
      <c r="B516" s="253"/>
      <c r="C516" s="145"/>
      <c r="D516" s="145"/>
      <c r="E516" s="145"/>
    </row>
    <row r="517" spans="1:5" ht="16" x14ac:dyDescent="0.2">
      <c r="A517" s="145"/>
      <c r="B517" s="253"/>
      <c r="C517" s="145"/>
      <c r="D517" s="145"/>
      <c r="E517" s="145"/>
    </row>
    <row r="518" spans="1:5" ht="16" x14ac:dyDescent="0.2">
      <c r="A518" s="145"/>
      <c r="B518" s="251"/>
      <c r="C518" s="145"/>
      <c r="D518" s="145"/>
      <c r="E518" s="145"/>
    </row>
    <row r="519" spans="1:5" ht="16" x14ac:dyDescent="0.2">
      <c r="A519" s="145"/>
      <c r="B519" s="253"/>
      <c r="C519" s="145"/>
      <c r="D519" s="145"/>
      <c r="E519" s="145"/>
    </row>
    <row r="520" spans="1:5" ht="16" x14ac:dyDescent="0.2">
      <c r="A520" s="145"/>
      <c r="B520" s="253"/>
      <c r="C520" s="145"/>
      <c r="D520" s="145"/>
      <c r="E520" s="145"/>
    </row>
    <row r="521" spans="1:5" ht="16" x14ac:dyDescent="0.2">
      <c r="A521" s="145"/>
      <c r="B521" s="253"/>
      <c r="C521" s="145"/>
      <c r="D521" s="145"/>
      <c r="E521" s="145"/>
    </row>
    <row r="522" spans="1:5" ht="16" x14ac:dyDescent="0.2">
      <c r="A522" s="145"/>
      <c r="B522" s="253"/>
      <c r="C522" s="145"/>
      <c r="D522" s="145"/>
      <c r="E522" s="145"/>
    </row>
    <row r="523" spans="1:5" ht="16" x14ac:dyDescent="0.2">
      <c r="A523" s="145"/>
      <c r="B523" s="253"/>
      <c r="C523" s="145"/>
      <c r="D523" s="145"/>
      <c r="E523" s="145"/>
    </row>
    <row r="524" spans="1:5" ht="16" x14ac:dyDescent="0.2">
      <c r="A524" s="145"/>
      <c r="B524" s="253"/>
      <c r="C524" s="145"/>
      <c r="D524" s="145"/>
      <c r="E524" s="145"/>
    </row>
    <row r="525" spans="1:5" ht="16" x14ac:dyDescent="0.2">
      <c r="A525" s="145"/>
      <c r="B525" s="251"/>
      <c r="C525" s="145"/>
      <c r="D525" s="145"/>
      <c r="E525" s="145"/>
    </row>
    <row r="526" spans="1:5" ht="16" x14ac:dyDescent="0.2">
      <c r="A526" s="145"/>
      <c r="B526" s="251"/>
      <c r="C526" s="145"/>
      <c r="D526" s="145"/>
      <c r="E526" s="145"/>
    </row>
    <row r="527" spans="1:5" ht="16" x14ac:dyDescent="0.2">
      <c r="A527" s="149"/>
      <c r="B527" s="251"/>
      <c r="C527" s="145"/>
      <c r="D527" s="145"/>
      <c r="E527" s="145"/>
    </row>
    <row r="528" spans="1:5" ht="16" x14ac:dyDescent="0.2">
      <c r="A528" s="145"/>
      <c r="B528" s="253"/>
      <c r="C528" s="145"/>
      <c r="D528" s="145"/>
      <c r="E528" s="145"/>
    </row>
    <row r="529" spans="1:5" ht="16" x14ac:dyDescent="0.2">
      <c r="A529" s="206"/>
      <c r="B529" s="253"/>
      <c r="C529" s="145"/>
      <c r="D529" s="145"/>
      <c r="E529" s="145"/>
    </row>
    <row r="530" spans="1:5" ht="16" x14ac:dyDescent="0.2">
      <c r="A530" s="28"/>
      <c r="B530" s="253"/>
      <c r="C530" s="145"/>
      <c r="D530" s="145"/>
      <c r="E530" s="145"/>
    </row>
    <row r="531" spans="1:5" ht="16" x14ac:dyDescent="0.2">
      <c r="A531" s="145"/>
      <c r="B531" s="250"/>
      <c r="C531" s="145"/>
      <c r="D531" s="145"/>
      <c r="E531" s="145"/>
    </row>
    <row r="532" spans="1:5" ht="16" x14ac:dyDescent="0.2">
      <c r="A532" s="28"/>
      <c r="B532" s="253"/>
      <c r="C532" s="145"/>
      <c r="D532" s="145"/>
      <c r="E532" s="145"/>
    </row>
    <row r="533" spans="1:5" ht="16" x14ac:dyDescent="0.2">
      <c r="A533" s="145"/>
      <c r="B533" s="253"/>
      <c r="C533" s="145"/>
      <c r="D533" s="243"/>
      <c r="E533" s="145"/>
    </row>
    <row r="534" spans="1:5" ht="16" x14ac:dyDescent="0.2">
      <c r="A534" s="145"/>
      <c r="B534" s="253"/>
      <c r="C534" s="145"/>
      <c r="D534" s="145"/>
      <c r="E534" s="145"/>
    </row>
    <row r="535" spans="1:5" ht="16" x14ac:dyDescent="0.2">
      <c r="A535" s="145"/>
      <c r="B535" s="253"/>
      <c r="C535" s="145"/>
      <c r="D535" s="145"/>
      <c r="E535" s="145"/>
    </row>
    <row r="536" spans="1:5" ht="16" x14ac:dyDescent="0.2">
      <c r="A536" s="145"/>
      <c r="B536" s="251"/>
      <c r="C536" s="145"/>
      <c r="D536" s="145"/>
      <c r="E536" s="145"/>
    </row>
    <row r="537" spans="1:5" ht="16" x14ac:dyDescent="0.2">
      <c r="A537" s="145"/>
      <c r="B537" s="253"/>
      <c r="C537" s="145"/>
      <c r="D537" s="145"/>
      <c r="E537" s="145"/>
    </row>
    <row r="538" spans="1:5" ht="16" x14ac:dyDescent="0.2">
      <c r="A538" s="206"/>
      <c r="B538" s="253"/>
      <c r="C538" s="145"/>
      <c r="D538" s="145"/>
      <c r="E538" s="145"/>
    </row>
    <row r="539" spans="1:5" ht="16" x14ac:dyDescent="0.2">
      <c r="A539" s="256"/>
      <c r="B539" s="253"/>
      <c r="C539" s="145"/>
      <c r="D539" s="145"/>
      <c r="E539" s="145"/>
    </row>
    <row r="540" spans="1:5" ht="16" x14ac:dyDescent="0.2">
      <c r="A540" s="28"/>
      <c r="B540" s="253"/>
      <c r="C540" s="145"/>
      <c r="D540" s="145"/>
      <c r="E540" s="145"/>
    </row>
    <row r="541" spans="1:5" ht="16" x14ac:dyDescent="0.2">
      <c r="A541" s="145"/>
      <c r="B541" s="251"/>
      <c r="C541" s="145"/>
      <c r="D541" s="145"/>
      <c r="E541" s="145"/>
    </row>
    <row r="542" spans="1:5" ht="16" x14ac:dyDescent="0.2">
      <c r="A542" s="145"/>
      <c r="B542" s="251"/>
      <c r="C542" s="145"/>
      <c r="D542" s="145"/>
      <c r="E542" s="145"/>
    </row>
    <row r="543" spans="1:5" ht="16" x14ac:dyDescent="0.2">
      <c r="A543" s="145"/>
      <c r="B543" s="253"/>
      <c r="C543" s="145"/>
      <c r="D543" s="145"/>
      <c r="E543" s="145"/>
    </row>
    <row r="544" spans="1:5" ht="16" x14ac:dyDescent="0.2">
      <c r="A544" s="145"/>
      <c r="B544" s="251"/>
      <c r="C544" s="145"/>
      <c r="D544" s="145"/>
      <c r="E544" s="145"/>
    </row>
    <row r="545" spans="1:5" ht="16" x14ac:dyDescent="0.2">
      <c r="A545" s="145"/>
      <c r="B545" s="253"/>
      <c r="C545" s="145"/>
      <c r="D545" s="145"/>
      <c r="E545" s="145"/>
    </row>
    <row r="546" spans="1:5" ht="16" x14ac:dyDescent="0.2">
      <c r="A546" s="145"/>
      <c r="B546" s="251"/>
      <c r="C546" s="145"/>
      <c r="D546" s="145"/>
      <c r="E546" s="145"/>
    </row>
  </sheetData>
  <sortState xmlns:xlrd2="http://schemas.microsoft.com/office/spreadsheetml/2017/richdata2" ref="A2:G546">
    <sortCondition ref="E274:E5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36"/>
  <sheetViews>
    <sheetView zoomScale="116" zoomScaleNormal="116" workbookViewId="0">
      <pane xSplit="2" topLeftCell="D1" activePane="topRight" state="frozen"/>
      <selection sqref="A1:XFD31"/>
      <selection pane="topRight" activeCell="U12" sqref="U12"/>
    </sheetView>
  </sheetViews>
  <sheetFormatPr baseColWidth="10" defaultColWidth="14.5" defaultRowHeight="15" customHeight="1" x14ac:dyDescent="0.15"/>
  <cols>
    <col min="1" max="1" width="14.5" style="8"/>
    <col min="2" max="2" width="12.6640625" style="7" bestFit="1" customWidth="1"/>
    <col min="3" max="3" width="8.1640625" style="8" bestFit="1" customWidth="1"/>
    <col min="4" max="4" width="14.5" style="8"/>
    <col min="5" max="5" width="14.5" style="10"/>
    <col min="6" max="9" width="14.5" style="10" customWidth="1"/>
    <col min="10" max="10" width="14.5" style="9"/>
    <col min="11" max="11" width="14.5" style="10" customWidth="1"/>
    <col min="12" max="12" width="9" style="8" bestFit="1" customWidth="1"/>
    <col min="13" max="13" width="8.83203125" style="8" bestFit="1" customWidth="1"/>
    <col min="14" max="15" width="7.6640625" style="8" bestFit="1" customWidth="1"/>
    <col min="16" max="17" width="8.83203125" style="8" bestFit="1" customWidth="1"/>
    <col min="18" max="18" width="9.1640625" style="8" bestFit="1" customWidth="1"/>
    <col min="19" max="19" width="9" style="8" bestFit="1" customWidth="1"/>
    <col min="20" max="20" width="9.33203125" style="8" bestFit="1" customWidth="1"/>
    <col min="21" max="21" width="8" style="8" bestFit="1" customWidth="1"/>
    <col min="22" max="22" width="8" style="8" customWidth="1"/>
    <col min="23" max="23" width="8.33203125" style="8" bestFit="1" customWidth="1"/>
    <col min="24" max="24" width="6.5" style="8" bestFit="1" customWidth="1"/>
    <col min="25" max="25" width="7.5" style="8" bestFit="1" customWidth="1"/>
    <col min="26" max="26" width="8.6640625" style="8" bestFit="1" customWidth="1"/>
    <col min="27" max="16384" width="14.5" style="8"/>
  </cols>
  <sheetData>
    <row r="1" spans="1:28" ht="15.75" customHeight="1" x14ac:dyDescent="0.15">
      <c r="A1" s="16" t="s">
        <v>0</v>
      </c>
      <c r="B1" s="41" t="s">
        <v>402</v>
      </c>
      <c r="C1" s="16" t="s">
        <v>400</v>
      </c>
      <c r="D1" s="16" t="s">
        <v>81</v>
      </c>
      <c r="E1" s="19" t="s">
        <v>442</v>
      </c>
      <c r="F1" s="19" t="s">
        <v>453</v>
      </c>
      <c r="G1" s="19" t="s">
        <v>456</v>
      </c>
      <c r="H1" s="19" t="s">
        <v>619</v>
      </c>
      <c r="I1" s="19" t="s">
        <v>624</v>
      </c>
      <c r="J1" s="19" t="s">
        <v>412</v>
      </c>
      <c r="K1" s="19" t="s">
        <v>449</v>
      </c>
      <c r="L1" s="16" t="s">
        <v>469</v>
      </c>
      <c r="M1" s="16" t="s">
        <v>448</v>
      </c>
      <c r="N1" s="16" t="s">
        <v>28</v>
      </c>
      <c r="O1" s="16" t="s">
        <v>6</v>
      </c>
      <c r="P1" s="16" t="s">
        <v>5</v>
      </c>
      <c r="Q1" s="16" t="s">
        <v>4</v>
      </c>
      <c r="R1" s="16" t="s">
        <v>441</v>
      </c>
      <c r="S1" s="16" t="s">
        <v>452</v>
      </c>
      <c r="T1" s="16" t="s">
        <v>440</v>
      </c>
      <c r="U1" s="16" t="s">
        <v>439</v>
      </c>
      <c r="V1" s="16" t="s">
        <v>590</v>
      </c>
      <c r="W1" s="16" t="s">
        <v>445</v>
      </c>
      <c r="X1" s="16" t="s">
        <v>444</v>
      </c>
      <c r="Y1" s="16" t="s">
        <v>443</v>
      </c>
      <c r="Z1" s="8" t="s">
        <v>446</v>
      </c>
      <c r="AA1" s="16" t="s">
        <v>447</v>
      </c>
      <c r="AB1" s="8" t="s">
        <v>807</v>
      </c>
    </row>
    <row r="2" spans="1:28" ht="15.75" customHeight="1" x14ac:dyDescent="0.15">
      <c r="A2" s="184" t="s">
        <v>46</v>
      </c>
      <c r="B2" s="183" t="s">
        <v>477</v>
      </c>
      <c r="C2" s="16" t="s">
        <v>401</v>
      </c>
      <c r="D2" s="16" t="s">
        <v>82</v>
      </c>
      <c r="E2" s="19" t="s">
        <v>494</v>
      </c>
      <c r="F2" s="10" t="s">
        <v>580</v>
      </c>
      <c r="G2" s="10" t="s">
        <v>620</v>
      </c>
      <c r="H2" s="10" t="s">
        <v>622</v>
      </c>
      <c r="I2" s="10" t="s">
        <v>904</v>
      </c>
      <c r="J2" s="17">
        <v>735</v>
      </c>
      <c r="K2" s="16">
        <v>735</v>
      </c>
      <c r="L2" s="16">
        <v>735</v>
      </c>
      <c r="M2" s="16">
        <v>735</v>
      </c>
      <c r="N2" s="16">
        <v>195</v>
      </c>
      <c r="O2" s="16">
        <v>163</v>
      </c>
      <c r="P2" s="18">
        <v>250.66666666666666</v>
      </c>
      <c r="Q2" s="8">
        <v>484</v>
      </c>
      <c r="R2" s="66">
        <f>P2/O2</f>
        <v>1.5378323108384457</v>
      </c>
      <c r="S2" s="67">
        <f>P2/N2</f>
        <v>1.2854700854700853</v>
      </c>
      <c r="T2" s="67">
        <f>O2/N2</f>
        <v>0.83589743589743593</v>
      </c>
      <c r="U2" s="67">
        <f t="shared" ref="U2:U7" si="0">O2/M2</f>
        <v>0.22176870748299321</v>
      </c>
      <c r="V2" s="67">
        <f>N2/M2</f>
        <v>0.26530612244897961</v>
      </c>
      <c r="W2" s="8">
        <v>1</v>
      </c>
      <c r="X2" s="8">
        <v>0</v>
      </c>
      <c r="Y2" s="8">
        <f t="shared" ref="Y2:Y36" si="1">SUM(W2,X2)</f>
        <v>1</v>
      </c>
      <c r="Z2" s="8">
        <v>1</v>
      </c>
      <c r="AA2" s="8">
        <v>0</v>
      </c>
      <c r="AB2" s="8">
        <v>0</v>
      </c>
    </row>
    <row r="3" spans="1:28" ht="15.75" customHeight="1" x14ac:dyDescent="0.15">
      <c r="A3" s="184" t="s">
        <v>46</v>
      </c>
      <c r="B3" s="183" t="s">
        <v>489</v>
      </c>
      <c r="C3" s="16" t="s">
        <v>401</v>
      </c>
      <c r="D3" s="16" t="s">
        <v>82</v>
      </c>
      <c r="E3" s="19" t="s">
        <v>494</v>
      </c>
      <c r="F3" s="10" t="s">
        <v>580</v>
      </c>
      <c r="G3" s="10" t="s">
        <v>620</v>
      </c>
      <c r="H3" s="10" t="s">
        <v>622</v>
      </c>
      <c r="I3" s="10" t="s">
        <v>904</v>
      </c>
      <c r="J3" s="17">
        <v>776</v>
      </c>
      <c r="K3" s="16">
        <v>776</v>
      </c>
      <c r="L3" s="16">
        <v>776</v>
      </c>
      <c r="M3" s="16">
        <v>776</v>
      </c>
      <c r="N3" s="16">
        <v>204</v>
      </c>
      <c r="O3" s="16">
        <v>151</v>
      </c>
      <c r="P3" s="18">
        <v>257.66666666666669</v>
      </c>
      <c r="Q3" s="8">
        <v>518</v>
      </c>
      <c r="R3" s="66">
        <f>P3/O3</f>
        <v>1.7064017660044151</v>
      </c>
      <c r="S3" s="67">
        <f>P3/N3</f>
        <v>1.2630718954248368</v>
      </c>
      <c r="T3" s="67">
        <f>O3/N3</f>
        <v>0.74019607843137258</v>
      </c>
      <c r="U3" s="67">
        <f t="shared" si="0"/>
        <v>0.19458762886597938</v>
      </c>
      <c r="V3" s="67">
        <f>N3/M3</f>
        <v>0.26288659793814434</v>
      </c>
      <c r="W3" s="8">
        <v>1</v>
      </c>
      <c r="X3" s="8">
        <v>0</v>
      </c>
      <c r="Y3" s="8">
        <f t="shared" si="1"/>
        <v>1</v>
      </c>
      <c r="Z3" s="8">
        <v>1</v>
      </c>
      <c r="AA3" s="8">
        <v>0</v>
      </c>
      <c r="AB3" s="8">
        <v>0</v>
      </c>
    </row>
    <row r="4" spans="1:28" ht="15.75" customHeight="1" x14ac:dyDescent="0.15">
      <c r="A4" s="184" t="s">
        <v>46</v>
      </c>
      <c r="B4" s="183" t="s">
        <v>491</v>
      </c>
      <c r="C4" s="16" t="s">
        <v>401</v>
      </c>
      <c r="D4" s="16" t="s">
        <v>82</v>
      </c>
      <c r="E4" s="19" t="s">
        <v>494</v>
      </c>
      <c r="F4" s="10" t="s">
        <v>580</v>
      </c>
      <c r="G4" s="10" t="s">
        <v>620</v>
      </c>
      <c r="H4" s="10" t="s">
        <v>622</v>
      </c>
      <c r="I4" s="10" t="s">
        <v>904</v>
      </c>
      <c r="J4" s="17">
        <v>796</v>
      </c>
      <c r="K4" s="16">
        <v>796</v>
      </c>
      <c r="L4" s="16">
        <v>796</v>
      </c>
      <c r="M4" s="16">
        <v>796</v>
      </c>
      <c r="N4" s="16">
        <v>197</v>
      </c>
      <c r="O4" s="16">
        <v>165</v>
      </c>
      <c r="P4" s="18">
        <v>256</v>
      </c>
      <c r="Q4" s="8">
        <v>491</v>
      </c>
      <c r="R4" s="66">
        <f>P4/O4</f>
        <v>1.5515151515151515</v>
      </c>
      <c r="S4" s="67">
        <f>P4/N4</f>
        <v>1.2994923857868019</v>
      </c>
      <c r="T4" s="67">
        <f>O4/N4</f>
        <v>0.8375634517766497</v>
      </c>
      <c r="U4" s="67">
        <f t="shared" si="0"/>
        <v>0.20728643216080403</v>
      </c>
      <c r="V4" s="67">
        <f>N4/M4</f>
        <v>0.24748743718592964</v>
      </c>
      <c r="W4" s="8">
        <v>1</v>
      </c>
      <c r="X4" s="8">
        <v>0</v>
      </c>
      <c r="Y4" s="8">
        <f t="shared" si="1"/>
        <v>1</v>
      </c>
      <c r="Z4" s="8">
        <v>1</v>
      </c>
      <c r="AA4" s="8">
        <v>0</v>
      </c>
      <c r="AB4" s="8">
        <v>0</v>
      </c>
    </row>
    <row r="5" spans="1:28" ht="15.75" customHeight="1" x14ac:dyDescent="0.15">
      <c r="A5" s="184" t="s">
        <v>46</v>
      </c>
      <c r="B5" s="183" t="s">
        <v>490</v>
      </c>
      <c r="C5" s="16" t="s">
        <v>401</v>
      </c>
      <c r="D5" s="16" t="s">
        <v>82</v>
      </c>
      <c r="E5" s="19" t="s">
        <v>494</v>
      </c>
      <c r="F5" s="10" t="s">
        <v>580</v>
      </c>
      <c r="G5" s="10" t="s">
        <v>620</v>
      </c>
      <c r="H5" s="10" t="s">
        <v>622</v>
      </c>
      <c r="I5" s="10" t="s">
        <v>904</v>
      </c>
      <c r="J5" s="17">
        <v>804</v>
      </c>
      <c r="K5" s="16">
        <v>804</v>
      </c>
      <c r="L5" s="16">
        <v>804</v>
      </c>
      <c r="M5" s="16">
        <v>804</v>
      </c>
      <c r="N5" s="16">
        <v>208</v>
      </c>
      <c r="O5" s="16">
        <v>183</v>
      </c>
      <c r="P5" s="18">
        <v>266</v>
      </c>
      <c r="Q5" s="8">
        <v>538</v>
      </c>
      <c r="R5" s="66">
        <f>P5/O5</f>
        <v>1.4535519125683061</v>
      </c>
      <c r="S5" s="67">
        <f>P5/N5</f>
        <v>1.2788461538461537</v>
      </c>
      <c r="T5" s="67">
        <f>O5/N5</f>
        <v>0.87980769230769229</v>
      </c>
      <c r="U5" s="67">
        <f t="shared" si="0"/>
        <v>0.22761194029850745</v>
      </c>
      <c r="V5" s="67">
        <f>N5/M5</f>
        <v>0.25870646766169153</v>
      </c>
      <c r="W5" s="8">
        <v>1</v>
      </c>
      <c r="X5" s="8">
        <v>0</v>
      </c>
      <c r="Y5" s="8">
        <f t="shared" si="1"/>
        <v>1</v>
      </c>
      <c r="Z5" s="8">
        <v>1</v>
      </c>
      <c r="AA5" s="8">
        <v>0</v>
      </c>
      <c r="AB5" s="8">
        <v>0</v>
      </c>
    </row>
    <row r="6" spans="1:28" ht="14" x14ac:dyDescent="0.15">
      <c r="A6" s="182" t="s">
        <v>46</v>
      </c>
      <c r="B6" s="183" t="s">
        <v>478</v>
      </c>
      <c r="C6" s="16" t="s">
        <v>401</v>
      </c>
      <c r="D6" s="7" t="s">
        <v>82</v>
      </c>
      <c r="E6" s="19" t="s">
        <v>494</v>
      </c>
      <c r="F6" s="10" t="s">
        <v>580</v>
      </c>
      <c r="G6" s="10" t="s">
        <v>621</v>
      </c>
      <c r="H6" s="10" t="s">
        <v>623</v>
      </c>
      <c r="I6" s="10" t="s">
        <v>904</v>
      </c>
      <c r="J6" s="9">
        <v>1235</v>
      </c>
      <c r="K6" s="9">
        <v>1235</v>
      </c>
      <c r="L6" s="9">
        <v>1235</v>
      </c>
      <c r="M6" s="9">
        <v>1235</v>
      </c>
      <c r="O6" s="8">
        <v>224</v>
      </c>
      <c r="R6" s="66"/>
      <c r="S6" s="67"/>
      <c r="T6" s="67"/>
      <c r="U6" s="67">
        <f t="shared" si="0"/>
        <v>0.18137651821862349</v>
      </c>
      <c r="V6" s="67"/>
      <c r="W6" s="8">
        <v>1</v>
      </c>
      <c r="X6" s="8">
        <v>0</v>
      </c>
      <c r="Y6" s="8">
        <f t="shared" si="1"/>
        <v>1</v>
      </c>
      <c r="Z6" s="8">
        <v>1</v>
      </c>
      <c r="AA6" s="8">
        <v>0</v>
      </c>
      <c r="AB6" s="8">
        <v>0</v>
      </c>
    </row>
    <row r="7" spans="1:28" ht="14" x14ac:dyDescent="0.15">
      <c r="A7" s="182" t="s">
        <v>46</v>
      </c>
      <c r="B7" s="183" t="s">
        <v>476</v>
      </c>
      <c r="C7" s="16" t="s">
        <v>401</v>
      </c>
      <c r="D7" s="7" t="s">
        <v>82</v>
      </c>
      <c r="E7" s="19" t="s">
        <v>494</v>
      </c>
      <c r="F7" s="10" t="s">
        <v>580</v>
      </c>
      <c r="G7" s="10" t="s">
        <v>621</v>
      </c>
      <c r="H7" s="10" t="s">
        <v>623</v>
      </c>
      <c r="I7" s="10" t="s">
        <v>904</v>
      </c>
      <c r="J7" s="9">
        <v>1312</v>
      </c>
      <c r="K7" s="9">
        <v>1312</v>
      </c>
      <c r="L7" s="9">
        <v>1312</v>
      </c>
      <c r="M7" s="9">
        <v>1312</v>
      </c>
      <c r="O7" s="8">
        <v>269</v>
      </c>
      <c r="P7" s="18">
        <v>337</v>
      </c>
      <c r="Q7" s="8">
        <v>975</v>
      </c>
      <c r="R7" s="66">
        <f t="shared" ref="R7:R24" si="2">P7/O7</f>
        <v>1.2527881040892193</v>
      </c>
      <c r="S7" s="67"/>
      <c r="T7" s="67"/>
      <c r="U7" s="67">
        <f t="shared" si="0"/>
        <v>0.20503048780487804</v>
      </c>
      <c r="V7" s="67"/>
      <c r="W7" s="8">
        <v>1</v>
      </c>
      <c r="X7" s="8">
        <v>0</v>
      </c>
      <c r="Y7" s="8">
        <f t="shared" si="1"/>
        <v>1</v>
      </c>
      <c r="Z7" s="8">
        <v>1</v>
      </c>
      <c r="AA7" s="8">
        <v>0</v>
      </c>
      <c r="AB7" s="8">
        <v>0</v>
      </c>
    </row>
    <row r="8" spans="1:28" ht="14" x14ac:dyDescent="0.15">
      <c r="A8" s="7" t="s">
        <v>46</v>
      </c>
      <c r="B8" s="7" t="s">
        <v>192</v>
      </c>
      <c r="C8" s="16" t="s">
        <v>403</v>
      </c>
      <c r="D8" s="7" t="s">
        <v>82</v>
      </c>
      <c r="E8" s="19" t="s">
        <v>494</v>
      </c>
      <c r="F8" s="10" t="s">
        <v>580</v>
      </c>
      <c r="G8" s="10" t="s">
        <v>621</v>
      </c>
      <c r="H8" s="10" t="s">
        <v>622</v>
      </c>
      <c r="I8" s="10" t="s">
        <v>904</v>
      </c>
      <c r="J8" s="9">
        <v>1200</v>
      </c>
      <c r="K8" s="8">
        <v>1500</v>
      </c>
      <c r="N8" s="8">
        <v>107.3</v>
      </c>
      <c r="O8" s="8">
        <v>82.78</v>
      </c>
      <c r="P8" s="8">
        <v>133.58699999999999</v>
      </c>
      <c r="R8" s="66">
        <f t="shared" si="2"/>
        <v>1.6137593621647739</v>
      </c>
      <c r="S8" s="67">
        <f t="shared" ref="S8:S24" si="3">P8/N8</f>
        <v>1.2449860205032619</v>
      </c>
      <c r="T8" s="67">
        <f t="shared" ref="T8:T24" si="4">O8/N8</f>
        <v>0.77148182665424048</v>
      </c>
      <c r="V8" s="67"/>
      <c r="W8" s="8">
        <v>0</v>
      </c>
      <c r="X8" s="8">
        <v>0</v>
      </c>
      <c r="Y8" s="8">
        <f t="shared" si="1"/>
        <v>0</v>
      </c>
      <c r="Z8" s="8">
        <v>0</v>
      </c>
      <c r="AA8" s="8">
        <v>1</v>
      </c>
      <c r="AB8" s="8">
        <v>0</v>
      </c>
    </row>
    <row r="9" spans="1:28" ht="15" customHeight="1" x14ac:dyDescent="0.15">
      <c r="A9" s="7" t="s">
        <v>46</v>
      </c>
      <c r="B9" s="7" t="s">
        <v>164</v>
      </c>
      <c r="C9" s="16" t="s">
        <v>403</v>
      </c>
      <c r="D9" s="7" t="s">
        <v>82</v>
      </c>
      <c r="E9" s="19" t="s">
        <v>494</v>
      </c>
      <c r="F9" s="10" t="s">
        <v>580</v>
      </c>
      <c r="G9" s="10" t="s">
        <v>620</v>
      </c>
      <c r="H9" s="10" t="s">
        <v>622</v>
      </c>
      <c r="I9" s="10" t="s">
        <v>904</v>
      </c>
      <c r="J9" s="8">
        <v>700</v>
      </c>
      <c r="K9" s="8">
        <v>700</v>
      </c>
      <c r="N9" s="8">
        <v>211.64</v>
      </c>
      <c r="O9" s="8">
        <v>157.01</v>
      </c>
      <c r="P9" s="8">
        <v>262.17</v>
      </c>
      <c r="R9" s="66">
        <f t="shared" si="2"/>
        <v>1.6697662569263105</v>
      </c>
      <c r="S9" s="67">
        <f t="shared" si="3"/>
        <v>1.238754488754489</v>
      </c>
      <c r="T9" s="67">
        <f t="shared" si="4"/>
        <v>0.74187299187299183</v>
      </c>
      <c r="U9" s="67"/>
      <c r="V9" s="67"/>
      <c r="W9" s="8">
        <v>0</v>
      </c>
      <c r="X9" s="8">
        <v>0</v>
      </c>
      <c r="Y9" s="8">
        <f t="shared" si="1"/>
        <v>0</v>
      </c>
      <c r="Z9" s="8">
        <v>1</v>
      </c>
      <c r="AA9" s="8">
        <v>0</v>
      </c>
      <c r="AB9" s="8">
        <v>0</v>
      </c>
    </row>
    <row r="10" spans="1:28" ht="14" x14ac:dyDescent="0.15">
      <c r="A10" s="7" t="s">
        <v>46</v>
      </c>
      <c r="B10" s="7" t="s">
        <v>218</v>
      </c>
      <c r="C10" s="16" t="s">
        <v>403</v>
      </c>
      <c r="D10" s="7" t="s">
        <v>96</v>
      </c>
      <c r="E10" s="10" t="s">
        <v>374</v>
      </c>
      <c r="F10" s="10" t="s">
        <v>580</v>
      </c>
      <c r="G10" s="10" t="s">
        <v>621</v>
      </c>
      <c r="H10" s="10" t="s">
        <v>623</v>
      </c>
      <c r="I10" s="10" t="s">
        <v>903</v>
      </c>
      <c r="J10" s="8">
        <v>1500</v>
      </c>
      <c r="K10" s="8">
        <v>2000</v>
      </c>
      <c r="N10" s="8">
        <v>222.1</v>
      </c>
      <c r="O10" s="8">
        <v>168.1</v>
      </c>
      <c r="P10" s="8">
        <v>268.89999999999998</v>
      </c>
      <c r="R10" s="66">
        <f t="shared" si="2"/>
        <v>1.5996430696014277</v>
      </c>
      <c r="S10" s="67">
        <f t="shared" si="3"/>
        <v>1.2107158937415579</v>
      </c>
      <c r="T10" s="67">
        <f t="shared" si="4"/>
        <v>0.75686627645204863</v>
      </c>
      <c r="V10" s="67"/>
      <c r="W10" s="8">
        <v>0</v>
      </c>
      <c r="X10" s="8">
        <v>0</v>
      </c>
      <c r="Y10" s="8">
        <f t="shared" si="1"/>
        <v>0</v>
      </c>
      <c r="Z10" s="8">
        <v>0</v>
      </c>
      <c r="AA10" s="8">
        <v>0</v>
      </c>
      <c r="AB10" s="8">
        <v>0</v>
      </c>
    </row>
    <row r="11" spans="1:28" ht="15" customHeight="1" x14ac:dyDescent="0.15">
      <c r="A11" s="7" t="s">
        <v>46</v>
      </c>
      <c r="B11" s="7" t="s">
        <v>222</v>
      </c>
      <c r="C11" s="16" t="s">
        <v>403</v>
      </c>
      <c r="D11" s="7" t="s">
        <v>82</v>
      </c>
      <c r="E11" s="19" t="s">
        <v>494</v>
      </c>
      <c r="F11" s="10" t="s">
        <v>580</v>
      </c>
      <c r="G11" s="10" t="s">
        <v>621</v>
      </c>
      <c r="H11" s="10" t="s">
        <v>622</v>
      </c>
      <c r="I11" s="10" t="s">
        <v>904</v>
      </c>
      <c r="J11" s="9">
        <v>1200</v>
      </c>
      <c r="K11" s="8">
        <v>1500</v>
      </c>
      <c r="N11" s="8">
        <v>221.3</v>
      </c>
      <c r="O11" s="8">
        <v>168.76</v>
      </c>
      <c r="P11" s="8">
        <v>269.89999999999998</v>
      </c>
      <c r="R11" s="66">
        <f t="shared" si="2"/>
        <v>1.5993126333254326</v>
      </c>
      <c r="S11" s="67">
        <f t="shared" si="3"/>
        <v>1.2196113872571168</v>
      </c>
      <c r="T11" s="67">
        <f t="shared" si="4"/>
        <v>0.76258472661545407</v>
      </c>
      <c r="V11" s="67"/>
      <c r="W11" s="8">
        <v>0</v>
      </c>
      <c r="X11" s="8">
        <v>0</v>
      </c>
      <c r="Y11" s="8">
        <f t="shared" si="1"/>
        <v>0</v>
      </c>
      <c r="Z11" s="8">
        <v>0</v>
      </c>
      <c r="AA11" s="8">
        <v>1</v>
      </c>
      <c r="AB11" s="8">
        <v>0</v>
      </c>
    </row>
    <row r="12" spans="1:28" ht="15" customHeight="1" x14ac:dyDescent="0.15">
      <c r="A12" s="7" t="s">
        <v>46</v>
      </c>
      <c r="B12" s="7" t="s">
        <v>209</v>
      </c>
      <c r="C12" s="16" t="s">
        <v>403</v>
      </c>
      <c r="D12" s="7" t="s">
        <v>82</v>
      </c>
      <c r="E12" s="19" t="s">
        <v>494</v>
      </c>
      <c r="F12" s="10" t="s">
        <v>580</v>
      </c>
      <c r="G12" s="10" t="s">
        <v>621</v>
      </c>
      <c r="H12" s="10" t="s">
        <v>622</v>
      </c>
      <c r="I12" s="10" t="s">
        <v>904</v>
      </c>
      <c r="J12" s="8">
        <v>1060</v>
      </c>
      <c r="K12" s="8">
        <v>1000</v>
      </c>
      <c r="M12" s="8">
        <v>1000</v>
      </c>
      <c r="N12" s="8">
        <v>242.4</v>
      </c>
      <c r="O12" s="8">
        <v>208.4</v>
      </c>
      <c r="P12" s="8">
        <v>303.39999999999998</v>
      </c>
      <c r="Q12" s="8">
        <f>J12-P12</f>
        <v>756.6</v>
      </c>
      <c r="R12" s="66">
        <f t="shared" si="2"/>
        <v>1.4558541266794625</v>
      </c>
      <c r="S12" s="67">
        <f t="shared" si="3"/>
        <v>1.2516501650165015</v>
      </c>
      <c r="T12" s="67">
        <f t="shared" si="4"/>
        <v>0.85973597359735976</v>
      </c>
      <c r="U12" s="67">
        <f>O12/M12</f>
        <v>0.2084</v>
      </c>
      <c r="V12" s="67">
        <f>N12/M12</f>
        <v>0.2424</v>
      </c>
      <c r="W12" s="8">
        <v>0</v>
      </c>
      <c r="X12" s="8">
        <v>0</v>
      </c>
      <c r="Y12" s="8">
        <f t="shared" si="1"/>
        <v>0</v>
      </c>
      <c r="Z12" s="8">
        <v>0</v>
      </c>
      <c r="AA12" s="8">
        <v>0</v>
      </c>
      <c r="AB12" s="8">
        <v>0</v>
      </c>
    </row>
    <row r="13" spans="1:28" ht="15" customHeight="1" x14ac:dyDescent="0.15">
      <c r="A13" s="7" t="s">
        <v>46</v>
      </c>
      <c r="B13" s="7" t="s">
        <v>181</v>
      </c>
      <c r="C13" s="16" t="s">
        <v>403</v>
      </c>
      <c r="D13" s="7" t="s">
        <v>82</v>
      </c>
      <c r="E13" s="19" t="s">
        <v>494</v>
      </c>
      <c r="F13" s="10" t="s">
        <v>580</v>
      </c>
      <c r="G13" s="10" t="s">
        <v>620</v>
      </c>
      <c r="H13" s="10" t="s">
        <v>622</v>
      </c>
      <c r="I13" s="10" t="s">
        <v>904</v>
      </c>
      <c r="J13" s="8">
        <v>801.6</v>
      </c>
      <c r="K13" s="8">
        <v>800</v>
      </c>
      <c r="M13" s="8">
        <v>801.6</v>
      </c>
      <c r="N13" s="8">
        <v>258.55</v>
      </c>
      <c r="O13" s="8">
        <v>215.51</v>
      </c>
      <c r="P13" s="8">
        <v>309.3</v>
      </c>
      <c r="Q13" s="8">
        <f>M13-P13</f>
        <v>492.3</v>
      </c>
      <c r="R13" s="66">
        <f t="shared" si="2"/>
        <v>1.4352002227274838</v>
      </c>
      <c r="S13" s="67">
        <f t="shared" si="3"/>
        <v>1.1962869851092632</v>
      </c>
      <c r="T13" s="67">
        <f t="shared" si="4"/>
        <v>0.83353316573196667</v>
      </c>
      <c r="U13" s="67"/>
      <c r="V13" s="67"/>
      <c r="W13" s="8">
        <v>0</v>
      </c>
      <c r="X13" s="8">
        <v>1</v>
      </c>
      <c r="Y13" s="8">
        <f t="shared" si="1"/>
        <v>1</v>
      </c>
      <c r="Z13" s="8">
        <v>1</v>
      </c>
      <c r="AA13" s="8">
        <v>1</v>
      </c>
      <c r="AB13" s="8">
        <v>0</v>
      </c>
    </row>
    <row r="14" spans="1:28" ht="15" customHeight="1" x14ac:dyDescent="0.15">
      <c r="A14" s="7" t="s">
        <v>46</v>
      </c>
      <c r="B14" s="7" t="s">
        <v>198</v>
      </c>
      <c r="C14" s="16" t="s">
        <v>403</v>
      </c>
      <c r="D14" s="7" t="s">
        <v>82</v>
      </c>
      <c r="E14" s="10" t="s">
        <v>374</v>
      </c>
      <c r="F14" s="10" t="s">
        <v>580</v>
      </c>
      <c r="G14" s="10" t="s">
        <v>621</v>
      </c>
      <c r="H14" s="10" t="s">
        <v>623</v>
      </c>
      <c r="I14" s="10" t="s">
        <v>903</v>
      </c>
      <c r="J14" s="8">
        <v>1500</v>
      </c>
      <c r="K14" s="8">
        <v>1500</v>
      </c>
      <c r="N14" s="8">
        <v>244.67</v>
      </c>
      <c r="O14" s="8">
        <v>219.11</v>
      </c>
      <c r="P14" s="8">
        <v>269.51</v>
      </c>
      <c r="R14" s="66">
        <f t="shared" si="2"/>
        <v>1.2300214504130345</v>
      </c>
      <c r="S14" s="67">
        <f t="shared" si="3"/>
        <v>1.1015245023909757</v>
      </c>
      <c r="T14" s="67">
        <f t="shared" si="4"/>
        <v>0.89553275840928603</v>
      </c>
      <c r="V14" s="67"/>
      <c r="W14" s="8">
        <v>0</v>
      </c>
      <c r="X14" s="8">
        <v>0</v>
      </c>
      <c r="Y14" s="8">
        <f t="shared" si="1"/>
        <v>0</v>
      </c>
      <c r="Z14" s="8">
        <v>0</v>
      </c>
      <c r="AA14" s="8">
        <v>1</v>
      </c>
      <c r="AB14" s="8">
        <v>0</v>
      </c>
    </row>
    <row r="15" spans="1:28" ht="15" customHeight="1" x14ac:dyDescent="0.15">
      <c r="A15" s="7" t="s">
        <v>46</v>
      </c>
      <c r="B15" s="7" t="s">
        <v>908</v>
      </c>
      <c r="C15" s="16" t="s">
        <v>403</v>
      </c>
      <c r="D15" s="7" t="s">
        <v>82</v>
      </c>
      <c r="E15" s="10" t="s">
        <v>203</v>
      </c>
      <c r="F15" s="10" t="s">
        <v>581</v>
      </c>
      <c r="G15" s="10" t="s">
        <v>621</v>
      </c>
      <c r="H15" s="10" t="s">
        <v>623</v>
      </c>
      <c r="I15" s="10" t="s">
        <v>903</v>
      </c>
      <c r="J15" s="9">
        <v>2300</v>
      </c>
      <c r="K15" s="9">
        <v>2300</v>
      </c>
      <c r="M15" s="8">
        <v>2300</v>
      </c>
      <c r="N15" s="8">
        <v>515.29999999999995</v>
      </c>
      <c r="O15" s="8">
        <v>402.85</v>
      </c>
      <c r="P15" s="8">
        <v>599.79999999999995</v>
      </c>
      <c r="Q15" s="8">
        <f>M15-P15</f>
        <v>1700.2</v>
      </c>
      <c r="R15" s="66">
        <f t="shared" si="2"/>
        <v>1.4888916470150177</v>
      </c>
      <c r="S15" s="67">
        <f t="shared" si="3"/>
        <v>1.1639821463225306</v>
      </c>
      <c r="T15" s="67">
        <f t="shared" si="4"/>
        <v>0.78177760527847862</v>
      </c>
      <c r="U15" s="67"/>
      <c r="V15" s="67"/>
      <c r="W15" s="8">
        <v>0</v>
      </c>
      <c r="X15" s="8">
        <v>1</v>
      </c>
      <c r="Y15" s="8">
        <f t="shared" si="1"/>
        <v>1</v>
      </c>
      <c r="Z15" s="8">
        <v>0</v>
      </c>
      <c r="AA15" s="8">
        <v>0</v>
      </c>
      <c r="AB15" s="8">
        <v>0</v>
      </c>
    </row>
    <row r="16" spans="1:28" ht="15" customHeight="1" x14ac:dyDescent="0.15">
      <c r="A16" s="7" t="s">
        <v>46</v>
      </c>
      <c r="B16" s="7" t="s">
        <v>168</v>
      </c>
      <c r="C16" s="16" t="s">
        <v>403</v>
      </c>
      <c r="D16" s="7" t="s">
        <v>82</v>
      </c>
      <c r="E16" s="19" t="s">
        <v>374</v>
      </c>
      <c r="F16" s="10" t="s">
        <v>580</v>
      </c>
      <c r="G16" s="10" t="s">
        <v>621</v>
      </c>
      <c r="H16" s="10" t="s">
        <v>623</v>
      </c>
      <c r="I16" s="10" t="s">
        <v>903</v>
      </c>
      <c r="J16" s="8">
        <v>1500</v>
      </c>
      <c r="K16" s="8">
        <v>1500</v>
      </c>
      <c r="N16" s="8">
        <v>609.4</v>
      </c>
      <c r="O16" s="8">
        <v>491.4</v>
      </c>
      <c r="P16" s="8">
        <v>767.5</v>
      </c>
      <c r="R16" s="66">
        <f t="shared" si="2"/>
        <v>1.561864061864062</v>
      </c>
      <c r="S16" s="67">
        <f t="shared" si="3"/>
        <v>1.2594355103380375</v>
      </c>
      <c r="T16" s="67">
        <f t="shared" si="4"/>
        <v>0.80636691828027562</v>
      </c>
      <c r="U16" s="67"/>
      <c r="V16" s="67"/>
      <c r="W16" s="8">
        <v>0</v>
      </c>
      <c r="X16" s="8">
        <v>0</v>
      </c>
      <c r="Y16" s="8">
        <f t="shared" si="1"/>
        <v>0</v>
      </c>
      <c r="Z16" s="8">
        <v>1</v>
      </c>
      <c r="AA16" s="8">
        <v>1</v>
      </c>
      <c r="AB16" s="8">
        <v>0</v>
      </c>
    </row>
    <row r="17" spans="1:28" ht="15" customHeight="1" x14ac:dyDescent="0.15">
      <c r="A17" s="7" t="s">
        <v>46</v>
      </c>
      <c r="B17" s="7" t="s">
        <v>201</v>
      </c>
      <c r="C17" s="16" t="s">
        <v>403</v>
      </c>
      <c r="D17" s="7" t="s">
        <v>82</v>
      </c>
      <c r="E17" s="10" t="s">
        <v>203</v>
      </c>
      <c r="F17" s="10" t="s">
        <v>581</v>
      </c>
      <c r="G17" s="10" t="s">
        <v>621</v>
      </c>
      <c r="H17" s="10" t="s">
        <v>623</v>
      </c>
      <c r="I17" s="10" t="s">
        <v>903</v>
      </c>
      <c r="J17" s="8">
        <v>2900</v>
      </c>
      <c r="K17" s="8">
        <v>2900</v>
      </c>
      <c r="N17" s="8">
        <v>905.4</v>
      </c>
      <c r="O17" s="8">
        <v>819.2</v>
      </c>
      <c r="P17" s="8">
        <v>1103.99</v>
      </c>
      <c r="R17" s="66">
        <f t="shared" si="2"/>
        <v>1.34764404296875</v>
      </c>
      <c r="S17" s="67">
        <f t="shared" si="3"/>
        <v>1.2193395184448863</v>
      </c>
      <c r="T17" s="67">
        <f t="shared" si="4"/>
        <v>0.90479346145350126</v>
      </c>
      <c r="V17" s="67"/>
      <c r="W17" s="8">
        <v>0</v>
      </c>
      <c r="X17" s="8">
        <v>0</v>
      </c>
      <c r="Y17" s="8">
        <f t="shared" si="1"/>
        <v>0</v>
      </c>
      <c r="Z17" s="8">
        <v>0</v>
      </c>
      <c r="AA17" s="8">
        <v>0</v>
      </c>
      <c r="AB17" s="8">
        <v>0</v>
      </c>
    </row>
    <row r="18" spans="1:28" ht="15" customHeight="1" x14ac:dyDescent="0.15">
      <c r="A18" s="7" t="s">
        <v>46</v>
      </c>
      <c r="B18" s="7" t="s">
        <v>163</v>
      </c>
      <c r="C18" s="16" t="s">
        <v>403</v>
      </c>
      <c r="D18" s="7" t="s">
        <v>82</v>
      </c>
      <c r="E18" s="19" t="s">
        <v>494</v>
      </c>
      <c r="F18" s="10" t="s">
        <v>580</v>
      </c>
      <c r="G18" s="10" t="s">
        <v>620</v>
      </c>
      <c r="H18" s="10" t="s">
        <v>622</v>
      </c>
      <c r="I18" s="10" t="s">
        <v>904</v>
      </c>
      <c r="J18" s="8">
        <f>329.65+248.94+207.51</f>
        <v>786.09999999999991</v>
      </c>
      <c r="K18" s="8">
        <v>700</v>
      </c>
      <c r="L18" s="8">
        <f>329.65+248.94+207.51</f>
        <v>786.09999999999991</v>
      </c>
      <c r="M18" s="8">
        <f>329.65+248.94+207.51</f>
        <v>786.09999999999991</v>
      </c>
      <c r="N18" s="8">
        <v>187.08</v>
      </c>
      <c r="O18" s="8">
        <v>137.79</v>
      </c>
      <c r="P18" s="8">
        <v>231.86</v>
      </c>
      <c r="Q18" s="8">
        <f t="shared" ref="Q18:Q24" si="5">M18-P18</f>
        <v>554.2399999999999</v>
      </c>
      <c r="R18" s="66">
        <f t="shared" si="2"/>
        <v>1.6827055664416868</v>
      </c>
      <c r="S18" s="67">
        <f t="shared" si="3"/>
        <v>1.2393628394269831</v>
      </c>
      <c r="T18" s="67">
        <f t="shared" si="4"/>
        <v>0.73652982681205892</v>
      </c>
      <c r="U18" s="67">
        <f t="shared" ref="U18:U36" si="6">O18/M18</f>
        <v>0.1752830428698639</v>
      </c>
      <c r="V18" s="67">
        <f t="shared" ref="V18:V36" si="7">N18/M18</f>
        <v>0.23798498918712635</v>
      </c>
      <c r="W18" s="8">
        <v>0</v>
      </c>
      <c r="X18" s="8">
        <v>1</v>
      </c>
      <c r="Y18" s="8">
        <f t="shared" si="1"/>
        <v>1</v>
      </c>
      <c r="Z18" s="8">
        <v>1</v>
      </c>
      <c r="AA18" s="8">
        <v>0</v>
      </c>
      <c r="AB18" s="8">
        <v>1</v>
      </c>
    </row>
    <row r="19" spans="1:28" ht="15" customHeight="1" x14ac:dyDescent="0.15">
      <c r="A19" s="7" t="s">
        <v>46</v>
      </c>
      <c r="B19" s="7" t="s">
        <v>594</v>
      </c>
      <c r="C19" s="16" t="s">
        <v>403</v>
      </c>
      <c r="D19" s="7" t="s">
        <v>82</v>
      </c>
      <c r="E19" s="10" t="s">
        <v>494</v>
      </c>
      <c r="F19" s="10" t="s">
        <v>580</v>
      </c>
      <c r="G19" s="10" t="s">
        <v>620</v>
      </c>
      <c r="H19" s="10" t="s">
        <v>622</v>
      </c>
      <c r="I19" s="10" t="s">
        <v>904</v>
      </c>
      <c r="J19" s="9">
        <v>870</v>
      </c>
      <c r="K19" s="9">
        <v>890</v>
      </c>
      <c r="L19" s="8">
        <v>870</v>
      </c>
      <c r="M19" s="8">
        <v>870</v>
      </c>
      <c r="N19" s="8">
        <v>244</v>
      </c>
      <c r="O19" s="8">
        <v>198</v>
      </c>
      <c r="P19" s="8">
        <v>315</v>
      </c>
      <c r="Q19" s="8">
        <f t="shared" si="5"/>
        <v>555</v>
      </c>
      <c r="R19" s="66">
        <f t="shared" si="2"/>
        <v>1.5909090909090908</v>
      </c>
      <c r="S19" s="67">
        <f t="shared" si="3"/>
        <v>1.290983606557377</v>
      </c>
      <c r="T19" s="67">
        <f t="shared" si="4"/>
        <v>0.81147540983606559</v>
      </c>
      <c r="U19" s="67">
        <f t="shared" si="6"/>
        <v>0.22758620689655173</v>
      </c>
      <c r="V19" s="67">
        <f t="shared" si="7"/>
        <v>0.28045977011494255</v>
      </c>
      <c r="W19" s="8">
        <v>1</v>
      </c>
      <c r="X19" s="8">
        <v>0</v>
      </c>
      <c r="Y19" s="8">
        <f t="shared" si="1"/>
        <v>1</v>
      </c>
      <c r="Z19" s="8">
        <v>1</v>
      </c>
      <c r="AA19" s="8">
        <v>0</v>
      </c>
      <c r="AB19" s="8">
        <v>1</v>
      </c>
    </row>
    <row r="20" spans="1:28" ht="15" customHeight="1" x14ac:dyDescent="0.15">
      <c r="A20" s="7" t="s">
        <v>46</v>
      </c>
      <c r="B20" s="7" t="s">
        <v>224</v>
      </c>
      <c r="C20" s="16" t="s">
        <v>403</v>
      </c>
      <c r="D20" s="7" t="s">
        <v>82</v>
      </c>
      <c r="E20" s="19" t="s">
        <v>494</v>
      </c>
      <c r="F20" s="10" t="s">
        <v>580</v>
      </c>
      <c r="G20" s="10" t="s">
        <v>620</v>
      </c>
      <c r="H20" s="10" t="s">
        <v>622</v>
      </c>
      <c r="I20" s="10" t="s">
        <v>904</v>
      </c>
      <c r="J20" s="9">
        <v>908.46</v>
      </c>
      <c r="K20" s="8">
        <v>1000</v>
      </c>
      <c r="L20" s="8">
        <f>132.5+133.44+332.42+310.1</f>
        <v>908.46</v>
      </c>
      <c r="M20" s="8">
        <f>132.5+133.44+332.42+310.1</f>
        <v>908.46</v>
      </c>
      <c r="N20" s="8">
        <v>240</v>
      </c>
      <c r="O20" s="8">
        <v>188</v>
      </c>
      <c r="P20" s="8">
        <v>310.10000000000002</v>
      </c>
      <c r="Q20" s="8">
        <f t="shared" si="5"/>
        <v>598.36</v>
      </c>
      <c r="R20" s="66">
        <f t="shared" si="2"/>
        <v>1.6494680851063832</v>
      </c>
      <c r="S20" s="67">
        <f t="shared" si="3"/>
        <v>1.2920833333333335</v>
      </c>
      <c r="T20" s="67">
        <f t="shared" si="4"/>
        <v>0.78333333333333333</v>
      </c>
      <c r="U20" s="67">
        <f t="shared" si="6"/>
        <v>0.20694361887149682</v>
      </c>
      <c r="V20" s="67">
        <f t="shared" si="7"/>
        <v>0.2641833432402087</v>
      </c>
      <c r="W20" s="8">
        <v>0</v>
      </c>
      <c r="X20" s="8">
        <v>1</v>
      </c>
      <c r="Y20" s="8">
        <f t="shared" si="1"/>
        <v>1</v>
      </c>
      <c r="Z20" s="8">
        <v>1</v>
      </c>
      <c r="AA20" s="8">
        <v>0</v>
      </c>
      <c r="AB20" s="8">
        <v>1</v>
      </c>
    </row>
    <row r="21" spans="1:28" ht="15" customHeight="1" x14ac:dyDescent="0.15">
      <c r="A21" s="8" t="s">
        <v>46</v>
      </c>
      <c r="B21" s="7" t="s">
        <v>470</v>
      </c>
      <c r="C21" s="16" t="s">
        <v>458</v>
      </c>
      <c r="D21" s="7" t="s">
        <v>82</v>
      </c>
      <c r="E21" s="19" t="s">
        <v>494</v>
      </c>
      <c r="F21" s="10" t="s">
        <v>580</v>
      </c>
      <c r="G21" s="10" t="s">
        <v>620</v>
      </c>
      <c r="H21" s="10" t="s">
        <v>622</v>
      </c>
      <c r="I21" s="10" t="s">
        <v>904</v>
      </c>
      <c r="J21" s="9">
        <v>960</v>
      </c>
      <c r="K21" s="9">
        <v>960</v>
      </c>
      <c r="L21" s="9">
        <v>960</v>
      </c>
      <c r="M21" s="9">
        <v>960</v>
      </c>
      <c r="N21" s="8">
        <v>250</v>
      </c>
      <c r="O21" s="8">
        <v>193</v>
      </c>
      <c r="P21" s="8">
        <v>299</v>
      </c>
      <c r="Q21" s="8">
        <f t="shared" si="5"/>
        <v>661</v>
      </c>
      <c r="R21" s="66">
        <f t="shared" si="2"/>
        <v>1.5492227979274611</v>
      </c>
      <c r="S21" s="67">
        <f t="shared" si="3"/>
        <v>1.196</v>
      </c>
      <c r="T21" s="67">
        <f t="shared" si="4"/>
        <v>0.77200000000000002</v>
      </c>
      <c r="U21" s="67">
        <f t="shared" si="6"/>
        <v>0.20104166666666667</v>
      </c>
      <c r="V21" s="67">
        <f t="shared" si="7"/>
        <v>0.26041666666666669</v>
      </c>
      <c r="W21" s="8">
        <v>1</v>
      </c>
      <c r="X21" s="8">
        <v>0</v>
      </c>
      <c r="Y21" s="8">
        <f t="shared" si="1"/>
        <v>1</v>
      </c>
      <c r="Z21" s="8">
        <v>1</v>
      </c>
      <c r="AA21" s="8">
        <v>0</v>
      </c>
      <c r="AB21" s="8">
        <v>1</v>
      </c>
    </row>
    <row r="22" spans="1:28" ht="15" customHeight="1" x14ac:dyDescent="0.15">
      <c r="A22" s="8" t="s">
        <v>46</v>
      </c>
      <c r="B22" s="7" t="s">
        <v>474</v>
      </c>
      <c r="C22" s="16" t="s">
        <v>458</v>
      </c>
      <c r="D22" s="7" t="s">
        <v>82</v>
      </c>
      <c r="E22" s="19" t="s">
        <v>494</v>
      </c>
      <c r="F22" s="10" t="s">
        <v>580</v>
      </c>
      <c r="G22" s="10" t="s">
        <v>620</v>
      </c>
      <c r="H22" s="10" t="s">
        <v>622</v>
      </c>
      <c r="I22" s="10" t="s">
        <v>904</v>
      </c>
      <c r="J22" s="9">
        <v>970</v>
      </c>
      <c r="K22" s="9">
        <v>970</v>
      </c>
      <c r="L22" s="9">
        <v>970</v>
      </c>
      <c r="M22" s="9">
        <v>970</v>
      </c>
      <c r="N22" s="8">
        <v>267</v>
      </c>
      <c r="O22" s="8">
        <v>200</v>
      </c>
      <c r="P22" s="9">
        <v>336</v>
      </c>
      <c r="Q22" s="8">
        <f t="shared" si="5"/>
        <v>634</v>
      </c>
      <c r="R22" s="66">
        <f t="shared" si="2"/>
        <v>1.68</v>
      </c>
      <c r="S22" s="67">
        <f t="shared" si="3"/>
        <v>1.2584269662921348</v>
      </c>
      <c r="T22" s="67">
        <f t="shared" si="4"/>
        <v>0.74906367041198507</v>
      </c>
      <c r="U22" s="67">
        <f t="shared" si="6"/>
        <v>0.20618556701030927</v>
      </c>
      <c r="V22" s="67">
        <f t="shared" si="7"/>
        <v>0.27525773195876291</v>
      </c>
      <c r="W22" s="8">
        <v>1</v>
      </c>
      <c r="X22" s="8">
        <v>0</v>
      </c>
      <c r="Y22" s="8">
        <f t="shared" si="1"/>
        <v>1</v>
      </c>
      <c r="Z22" s="8">
        <v>1</v>
      </c>
      <c r="AA22" s="8">
        <v>0</v>
      </c>
      <c r="AB22" s="8">
        <v>1</v>
      </c>
    </row>
    <row r="23" spans="1:28" ht="15" customHeight="1" x14ac:dyDescent="0.15">
      <c r="A23" s="8" t="s">
        <v>46</v>
      </c>
      <c r="B23" s="7" t="s">
        <v>467</v>
      </c>
      <c r="C23" s="16" t="s">
        <v>458</v>
      </c>
      <c r="D23" s="7" t="s">
        <v>82</v>
      </c>
      <c r="E23" s="19" t="s">
        <v>494</v>
      </c>
      <c r="F23" s="10" t="s">
        <v>580</v>
      </c>
      <c r="G23" s="10" t="s">
        <v>620</v>
      </c>
      <c r="H23" s="10" t="s">
        <v>622</v>
      </c>
      <c r="I23" s="10" t="s">
        <v>904</v>
      </c>
      <c r="J23" s="9">
        <v>1000</v>
      </c>
      <c r="K23" s="9">
        <v>1000</v>
      </c>
      <c r="L23" s="9">
        <v>1000</v>
      </c>
      <c r="M23" s="9">
        <v>1000</v>
      </c>
      <c r="N23" s="8">
        <v>283</v>
      </c>
      <c r="O23" s="8">
        <v>229</v>
      </c>
      <c r="P23" s="8">
        <v>355</v>
      </c>
      <c r="Q23" s="8">
        <f t="shared" si="5"/>
        <v>645</v>
      </c>
      <c r="R23" s="66">
        <f t="shared" si="2"/>
        <v>1.5502183406113537</v>
      </c>
      <c r="S23" s="67">
        <f t="shared" si="3"/>
        <v>1.2544169611307421</v>
      </c>
      <c r="T23" s="67">
        <f t="shared" si="4"/>
        <v>0.80918727915194344</v>
      </c>
      <c r="U23" s="67">
        <f t="shared" si="6"/>
        <v>0.22900000000000001</v>
      </c>
      <c r="V23" s="67">
        <f t="shared" si="7"/>
        <v>0.28299999999999997</v>
      </c>
      <c r="W23" s="8">
        <v>1</v>
      </c>
      <c r="X23" s="8">
        <v>0</v>
      </c>
      <c r="Y23" s="8">
        <f t="shared" si="1"/>
        <v>1</v>
      </c>
      <c r="Z23" s="8">
        <v>1</v>
      </c>
      <c r="AA23" s="8">
        <v>0</v>
      </c>
      <c r="AB23" s="8">
        <v>1</v>
      </c>
    </row>
    <row r="24" spans="1:28" ht="15" customHeight="1" x14ac:dyDescent="0.15">
      <c r="A24" s="8" t="s">
        <v>46</v>
      </c>
      <c r="B24" s="7" t="s">
        <v>466</v>
      </c>
      <c r="C24" s="16" t="s">
        <v>458</v>
      </c>
      <c r="D24" s="7" t="s">
        <v>82</v>
      </c>
      <c r="E24" s="19" t="s">
        <v>494</v>
      </c>
      <c r="F24" s="10" t="s">
        <v>580</v>
      </c>
      <c r="G24" s="10" t="s">
        <v>621</v>
      </c>
      <c r="H24" s="10" t="s">
        <v>622</v>
      </c>
      <c r="I24" s="10" t="s">
        <v>904</v>
      </c>
      <c r="J24" s="9">
        <v>1020</v>
      </c>
      <c r="K24" s="9">
        <v>1020</v>
      </c>
      <c r="L24" s="9">
        <v>1020</v>
      </c>
      <c r="M24" s="9">
        <v>1020</v>
      </c>
      <c r="N24" s="8">
        <v>270</v>
      </c>
      <c r="O24" s="8">
        <v>217</v>
      </c>
      <c r="P24" s="8">
        <v>316</v>
      </c>
      <c r="Q24" s="8">
        <f t="shared" si="5"/>
        <v>704</v>
      </c>
      <c r="R24" s="66">
        <f t="shared" si="2"/>
        <v>1.4562211981566819</v>
      </c>
      <c r="S24" s="67">
        <f t="shared" si="3"/>
        <v>1.1703703703703703</v>
      </c>
      <c r="T24" s="67">
        <f t="shared" si="4"/>
        <v>0.8037037037037037</v>
      </c>
      <c r="U24" s="67">
        <f t="shared" si="6"/>
        <v>0.21274509803921568</v>
      </c>
      <c r="V24" s="67">
        <f t="shared" si="7"/>
        <v>0.26470588235294118</v>
      </c>
      <c r="W24" s="8">
        <v>1</v>
      </c>
      <c r="X24" s="8">
        <v>0</v>
      </c>
      <c r="Y24" s="8">
        <f t="shared" si="1"/>
        <v>1</v>
      </c>
      <c r="Z24" s="8">
        <v>1</v>
      </c>
      <c r="AA24" s="8">
        <v>0</v>
      </c>
      <c r="AB24" s="8">
        <v>1</v>
      </c>
    </row>
    <row r="25" spans="1:28" ht="15" customHeight="1" x14ac:dyDescent="0.15">
      <c r="A25" s="8" t="s">
        <v>46</v>
      </c>
      <c r="B25" s="7" t="s">
        <v>468</v>
      </c>
      <c r="C25" s="16" t="s">
        <v>458</v>
      </c>
      <c r="D25" s="7" t="s">
        <v>82</v>
      </c>
      <c r="E25" s="19" t="s">
        <v>494</v>
      </c>
      <c r="F25" s="10" t="s">
        <v>580</v>
      </c>
      <c r="G25" s="10" t="s">
        <v>621</v>
      </c>
      <c r="H25" s="10" t="s">
        <v>622</v>
      </c>
      <c r="I25" s="10" t="s">
        <v>904</v>
      </c>
      <c r="J25" s="9">
        <v>1050</v>
      </c>
      <c r="K25" s="9">
        <v>1050</v>
      </c>
      <c r="L25" s="9">
        <v>1050</v>
      </c>
      <c r="M25" s="9">
        <v>1050</v>
      </c>
      <c r="N25" s="8">
        <v>280</v>
      </c>
      <c r="O25" s="8">
        <v>204.39999999999998</v>
      </c>
      <c r="R25" s="66"/>
      <c r="S25" s="67"/>
      <c r="T25" s="67"/>
      <c r="U25" s="67">
        <f t="shared" si="6"/>
        <v>0.19466666666666665</v>
      </c>
      <c r="V25" s="67">
        <f t="shared" si="7"/>
        <v>0.26666666666666666</v>
      </c>
      <c r="W25" s="8">
        <v>1</v>
      </c>
      <c r="X25" s="8">
        <v>0</v>
      </c>
      <c r="Y25" s="8">
        <f t="shared" si="1"/>
        <v>1</v>
      </c>
      <c r="Z25" s="8">
        <v>1</v>
      </c>
      <c r="AA25" s="8">
        <v>0</v>
      </c>
      <c r="AB25" s="8">
        <v>1</v>
      </c>
    </row>
    <row r="26" spans="1:28" ht="15" customHeight="1" x14ac:dyDescent="0.15">
      <c r="A26" s="8" t="s">
        <v>46</v>
      </c>
      <c r="B26" s="7" t="s">
        <v>471</v>
      </c>
      <c r="C26" s="16" t="s">
        <v>458</v>
      </c>
      <c r="D26" s="7" t="s">
        <v>82</v>
      </c>
      <c r="E26" s="19" t="s">
        <v>494</v>
      </c>
      <c r="F26" s="10" t="s">
        <v>580</v>
      </c>
      <c r="G26" s="10" t="s">
        <v>621</v>
      </c>
      <c r="H26" s="10" t="s">
        <v>622</v>
      </c>
      <c r="I26" s="10" t="s">
        <v>904</v>
      </c>
      <c r="J26" s="9">
        <v>1065</v>
      </c>
      <c r="K26" s="9">
        <v>1065</v>
      </c>
      <c r="L26" s="9">
        <v>1065</v>
      </c>
      <c r="M26" s="9">
        <v>1065</v>
      </c>
      <c r="N26" s="8">
        <v>289</v>
      </c>
      <c r="O26" s="8">
        <v>210.97</v>
      </c>
      <c r="R26" s="66"/>
      <c r="S26" s="67"/>
      <c r="T26" s="67"/>
      <c r="U26" s="67">
        <f t="shared" si="6"/>
        <v>0.19809389671361502</v>
      </c>
      <c r="V26" s="67">
        <f t="shared" si="7"/>
        <v>0.27136150234741785</v>
      </c>
      <c r="W26" s="8">
        <v>1</v>
      </c>
      <c r="X26" s="8">
        <v>0</v>
      </c>
      <c r="Y26" s="8">
        <f t="shared" si="1"/>
        <v>1</v>
      </c>
      <c r="Z26" s="8">
        <v>1</v>
      </c>
      <c r="AA26" s="8">
        <v>0</v>
      </c>
      <c r="AB26" s="8">
        <v>1</v>
      </c>
    </row>
    <row r="27" spans="1:28" ht="15" customHeight="1" x14ac:dyDescent="0.15">
      <c r="A27" s="8" t="s">
        <v>46</v>
      </c>
      <c r="B27" s="7" t="s">
        <v>473</v>
      </c>
      <c r="C27" s="16" t="s">
        <v>458</v>
      </c>
      <c r="D27" s="7" t="s">
        <v>82</v>
      </c>
      <c r="E27" s="19" t="s">
        <v>494</v>
      </c>
      <c r="F27" s="10" t="s">
        <v>580</v>
      </c>
      <c r="G27" s="10" t="s">
        <v>621</v>
      </c>
      <c r="H27" s="10" t="s">
        <v>622</v>
      </c>
      <c r="I27" s="10" t="s">
        <v>904</v>
      </c>
      <c r="J27" s="9">
        <v>1100</v>
      </c>
      <c r="K27" s="9">
        <v>1100</v>
      </c>
      <c r="L27" s="9">
        <v>1100</v>
      </c>
      <c r="M27" s="9">
        <v>1100</v>
      </c>
      <c r="N27" s="8">
        <v>270</v>
      </c>
      <c r="O27" s="8">
        <v>207</v>
      </c>
      <c r="P27" s="8">
        <v>324</v>
      </c>
      <c r="Q27" s="8">
        <f>M27-P27</f>
        <v>776</v>
      </c>
      <c r="R27" s="66">
        <f t="shared" ref="R27:R36" si="8">P27/O27</f>
        <v>1.5652173913043479</v>
      </c>
      <c r="S27" s="67">
        <f t="shared" ref="S27:S36" si="9">P27/N27</f>
        <v>1.2</v>
      </c>
      <c r="T27" s="67">
        <f t="shared" ref="T27:T36" si="10">O27/N27</f>
        <v>0.76666666666666672</v>
      </c>
      <c r="U27" s="67">
        <f t="shared" si="6"/>
        <v>0.18818181818181817</v>
      </c>
      <c r="V27" s="67">
        <f t="shared" si="7"/>
        <v>0.24545454545454545</v>
      </c>
      <c r="W27" s="8">
        <v>1</v>
      </c>
      <c r="X27" s="8">
        <v>0</v>
      </c>
      <c r="Y27" s="8">
        <f t="shared" si="1"/>
        <v>1</v>
      </c>
      <c r="Z27" s="8">
        <v>1</v>
      </c>
      <c r="AA27" s="8">
        <v>0</v>
      </c>
      <c r="AB27" s="8">
        <v>1</v>
      </c>
    </row>
    <row r="28" spans="1:28" ht="15" customHeight="1" x14ac:dyDescent="0.15">
      <c r="A28" s="7" t="s">
        <v>46</v>
      </c>
      <c r="B28" s="7" t="s">
        <v>204</v>
      </c>
      <c r="C28" s="16" t="s">
        <v>403</v>
      </c>
      <c r="D28" s="7" t="s">
        <v>82</v>
      </c>
      <c r="E28" s="19" t="s">
        <v>494</v>
      </c>
      <c r="F28" s="10" t="s">
        <v>580</v>
      </c>
      <c r="G28" s="10" t="s">
        <v>621</v>
      </c>
      <c r="H28" s="10" t="s">
        <v>623</v>
      </c>
      <c r="I28" s="10" t="s">
        <v>904</v>
      </c>
      <c r="J28" s="9">
        <v>1235.4099999999999</v>
      </c>
      <c r="K28" s="8">
        <v>1300</v>
      </c>
      <c r="L28" s="8">
        <f>(51.132+35.915+36.494)*10</f>
        <v>1235.4099999999999</v>
      </c>
      <c r="M28" s="8">
        <f>(51.132+35.915+36.494)*10</f>
        <v>1235.4099999999999</v>
      </c>
      <c r="N28" s="8">
        <v>294.89999999999998</v>
      </c>
      <c r="O28" s="8">
        <v>233.4</v>
      </c>
      <c r="P28" s="8">
        <v>364.95</v>
      </c>
      <c r="Q28" s="8">
        <f>M28-P28</f>
        <v>870.45999999999981</v>
      </c>
      <c r="R28" s="66">
        <f t="shared" si="8"/>
        <v>1.5636246786632391</v>
      </c>
      <c r="S28" s="67">
        <f t="shared" si="9"/>
        <v>1.2375381485249237</v>
      </c>
      <c r="T28" s="67">
        <f t="shared" si="10"/>
        <v>0.79145473041709058</v>
      </c>
      <c r="U28" s="67">
        <f t="shared" si="6"/>
        <v>0.18892513416598541</v>
      </c>
      <c r="V28" s="67">
        <f t="shared" si="7"/>
        <v>0.2387061785156345</v>
      </c>
      <c r="W28" s="8">
        <v>1</v>
      </c>
      <c r="X28" s="8">
        <v>0</v>
      </c>
      <c r="Y28" s="8">
        <f t="shared" si="1"/>
        <v>1</v>
      </c>
      <c r="Z28" s="8">
        <v>1</v>
      </c>
      <c r="AA28" s="8">
        <v>0</v>
      </c>
      <c r="AB28" s="8">
        <v>1</v>
      </c>
    </row>
    <row r="29" spans="1:28" ht="15" customHeight="1" x14ac:dyDescent="0.15">
      <c r="A29" s="7" t="s">
        <v>46</v>
      </c>
      <c r="B29" s="7" t="s">
        <v>175</v>
      </c>
      <c r="C29" s="16" t="s">
        <v>403</v>
      </c>
      <c r="D29" s="7" t="s">
        <v>148</v>
      </c>
      <c r="E29" s="19" t="s">
        <v>494</v>
      </c>
      <c r="F29" s="10" t="s">
        <v>580</v>
      </c>
      <c r="G29" s="10" t="s">
        <v>621</v>
      </c>
      <c r="H29" s="10" t="s">
        <v>623</v>
      </c>
      <c r="I29" s="10" t="s">
        <v>904</v>
      </c>
      <c r="J29" s="9">
        <v>1287.2</v>
      </c>
      <c r="K29" s="8">
        <v>1300</v>
      </c>
      <c r="L29" s="9">
        <v>1287.2</v>
      </c>
      <c r="M29" s="9">
        <v>1287.2</v>
      </c>
      <c r="N29" s="8">
        <v>321.26</v>
      </c>
      <c r="O29" s="8">
        <v>235.17</v>
      </c>
      <c r="P29" s="8">
        <v>400.98</v>
      </c>
      <c r="Q29" s="8">
        <f>M29-P29</f>
        <v>886.22</v>
      </c>
      <c r="R29" s="66">
        <f t="shared" si="8"/>
        <v>1.7050644214823321</v>
      </c>
      <c r="S29" s="67">
        <f t="shared" si="9"/>
        <v>1.2481479175745502</v>
      </c>
      <c r="T29" s="67">
        <f t="shared" si="10"/>
        <v>0.73202390587063437</v>
      </c>
      <c r="U29" s="67">
        <f t="shared" si="6"/>
        <v>0.18269888129272838</v>
      </c>
      <c r="V29" s="67">
        <f t="shared" si="7"/>
        <v>0.24958048477315101</v>
      </c>
      <c r="W29" s="8">
        <v>0</v>
      </c>
      <c r="X29" s="8">
        <v>1</v>
      </c>
      <c r="Y29" s="8">
        <f t="shared" si="1"/>
        <v>1</v>
      </c>
      <c r="Z29" s="8">
        <v>1</v>
      </c>
      <c r="AA29" s="8">
        <v>0</v>
      </c>
      <c r="AB29" s="8">
        <v>1</v>
      </c>
    </row>
    <row r="30" spans="1:28" ht="15" customHeight="1" x14ac:dyDescent="0.15">
      <c r="A30" s="7" t="s">
        <v>46</v>
      </c>
      <c r="B30" s="7" t="s">
        <v>212</v>
      </c>
      <c r="C30" s="16" t="s">
        <v>403</v>
      </c>
      <c r="D30" s="7" t="s">
        <v>82</v>
      </c>
      <c r="E30" s="19" t="s">
        <v>494</v>
      </c>
      <c r="F30" s="10" t="s">
        <v>580</v>
      </c>
      <c r="G30" s="10" t="s">
        <v>620</v>
      </c>
      <c r="H30" s="10" t="s">
        <v>622</v>
      </c>
      <c r="I30" s="10" t="s">
        <v>904</v>
      </c>
      <c r="J30" s="9">
        <v>1287.4000000000001</v>
      </c>
      <c r="K30" s="8">
        <v>1000</v>
      </c>
      <c r="L30" s="8">
        <f>Q30+P30</f>
        <v>1287.4000000000001</v>
      </c>
      <c r="M30" s="8">
        <f>P30+Q30</f>
        <v>1287.4000000000001</v>
      </c>
      <c r="N30" s="8">
        <v>313.3</v>
      </c>
      <c r="O30" s="8">
        <v>256.85000000000002</v>
      </c>
      <c r="P30" s="8">
        <v>387.4</v>
      </c>
      <c r="Q30" s="8">
        <v>900</v>
      </c>
      <c r="R30" s="66">
        <f t="shared" si="8"/>
        <v>1.5082733112711697</v>
      </c>
      <c r="S30" s="67">
        <f t="shared" si="9"/>
        <v>1.2365145228215766</v>
      </c>
      <c r="T30" s="67">
        <f t="shared" si="10"/>
        <v>0.81982125758059377</v>
      </c>
      <c r="U30" s="67">
        <f t="shared" si="6"/>
        <v>0.19951064160323131</v>
      </c>
      <c r="V30" s="67">
        <f t="shared" si="7"/>
        <v>0.24335870747242502</v>
      </c>
      <c r="W30" s="8">
        <v>0</v>
      </c>
      <c r="X30" s="8">
        <v>1</v>
      </c>
      <c r="Y30" s="8">
        <f t="shared" si="1"/>
        <v>1</v>
      </c>
      <c r="Z30" s="8">
        <v>1</v>
      </c>
      <c r="AA30" s="8">
        <v>1</v>
      </c>
      <c r="AB30" s="8">
        <v>1</v>
      </c>
    </row>
    <row r="31" spans="1:28" ht="15" customHeight="1" x14ac:dyDescent="0.15">
      <c r="A31" s="16" t="s">
        <v>46</v>
      </c>
      <c r="B31" s="41" t="s">
        <v>492</v>
      </c>
      <c r="C31" s="16" t="s">
        <v>401</v>
      </c>
      <c r="D31" s="16" t="s">
        <v>82</v>
      </c>
      <c r="E31" s="10" t="s">
        <v>374</v>
      </c>
      <c r="F31" s="10" t="s">
        <v>580</v>
      </c>
      <c r="G31" s="10" t="s">
        <v>621</v>
      </c>
      <c r="H31" s="10" t="s">
        <v>623</v>
      </c>
      <c r="I31" s="10" t="s">
        <v>904</v>
      </c>
      <c r="J31" s="9">
        <v>1430</v>
      </c>
      <c r="K31" s="9">
        <v>1430</v>
      </c>
      <c r="L31" s="9">
        <v>1430</v>
      </c>
      <c r="M31" s="9">
        <v>1430</v>
      </c>
      <c r="N31" s="16">
        <v>337</v>
      </c>
      <c r="O31" s="16">
        <v>280</v>
      </c>
      <c r="P31" s="18">
        <v>439.33333333333331</v>
      </c>
      <c r="Q31" s="8">
        <v>991</v>
      </c>
      <c r="R31" s="66">
        <f t="shared" si="8"/>
        <v>1.569047619047619</v>
      </c>
      <c r="S31" s="67">
        <f t="shared" si="9"/>
        <v>1.3036597428288823</v>
      </c>
      <c r="T31" s="67">
        <f t="shared" si="10"/>
        <v>0.83086053412462912</v>
      </c>
      <c r="U31" s="67">
        <f t="shared" si="6"/>
        <v>0.19580419580419581</v>
      </c>
      <c r="V31" s="67">
        <f t="shared" si="7"/>
        <v>0.23566433566433567</v>
      </c>
      <c r="W31" s="8">
        <v>1</v>
      </c>
      <c r="X31" s="8">
        <v>0</v>
      </c>
      <c r="Y31" s="8">
        <f t="shared" si="1"/>
        <v>1</v>
      </c>
      <c r="Z31" s="8">
        <v>1</v>
      </c>
      <c r="AA31" s="8">
        <v>0</v>
      </c>
      <c r="AB31" s="8">
        <v>1</v>
      </c>
    </row>
    <row r="32" spans="1:28" ht="15" customHeight="1" x14ac:dyDescent="0.15">
      <c r="A32" s="7" t="s">
        <v>46</v>
      </c>
      <c r="B32" s="7" t="s">
        <v>187</v>
      </c>
      <c r="C32" s="16" t="s">
        <v>403</v>
      </c>
      <c r="D32" s="7" t="s">
        <v>82</v>
      </c>
      <c r="E32" s="10" t="s">
        <v>374</v>
      </c>
      <c r="F32" s="10" t="s">
        <v>580</v>
      </c>
      <c r="G32" s="10" t="s">
        <v>621</v>
      </c>
      <c r="H32" s="10" t="s">
        <v>623</v>
      </c>
      <c r="I32" s="10" t="s">
        <v>904</v>
      </c>
      <c r="J32" s="9">
        <v>1460.1000000000001</v>
      </c>
      <c r="K32" s="8">
        <v>1500</v>
      </c>
      <c r="L32" s="8">
        <v>1460.1000000000001</v>
      </c>
      <c r="M32" s="8">
        <v>1460.1000000000001</v>
      </c>
      <c r="N32" s="8">
        <v>433.3</v>
      </c>
      <c r="O32" s="8">
        <v>336</v>
      </c>
      <c r="P32" s="8">
        <v>531.9</v>
      </c>
      <c r="Q32" s="8">
        <f>M32-P32</f>
        <v>928.20000000000016</v>
      </c>
      <c r="R32" s="66">
        <f t="shared" si="8"/>
        <v>1.5830357142857143</v>
      </c>
      <c r="S32" s="67">
        <f t="shared" si="9"/>
        <v>1.2275559658435264</v>
      </c>
      <c r="T32" s="67">
        <f t="shared" si="10"/>
        <v>0.7754442649434572</v>
      </c>
      <c r="U32" s="67">
        <f t="shared" si="6"/>
        <v>0.23012122457365933</v>
      </c>
      <c r="V32" s="67">
        <f t="shared" si="7"/>
        <v>0.29676049585644815</v>
      </c>
      <c r="W32" s="8">
        <v>0</v>
      </c>
      <c r="X32" s="8">
        <v>1</v>
      </c>
      <c r="Y32" s="8">
        <f t="shared" si="1"/>
        <v>1</v>
      </c>
      <c r="Z32" s="8">
        <v>1</v>
      </c>
      <c r="AA32" s="8">
        <v>0</v>
      </c>
      <c r="AB32" s="8">
        <v>1</v>
      </c>
    </row>
    <row r="33" spans="1:28" ht="15" customHeight="1" x14ac:dyDescent="0.15">
      <c r="A33" s="7" t="s">
        <v>46</v>
      </c>
      <c r="B33" s="7" t="s">
        <v>591</v>
      </c>
      <c r="C33" s="16" t="s">
        <v>403</v>
      </c>
      <c r="D33" s="7" t="s">
        <v>82</v>
      </c>
      <c r="E33" s="10" t="s">
        <v>203</v>
      </c>
      <c r="F33" s="10" t="s">
        <v>581</v>
      </c>
      <c r="G33" s="10" t="s">
        <v>621</v>
      </c>
      <c r="H33" s="10" t="s">
        <v>623</v>
      </c>
      <c r="I33" s="10" t="s">
        <v>903</v>
      </c>
      <c r="J33" s="9">
        <v>2505</v>
      </c>
      <c r="K33" s="9">
        <v>2200</v>
      </c>
      <c r="L33" s="9">
        <v>2505</v>
      </c>
      <c r="M33" s="9">
        <v>2505</v>
      </c>
      <c r="N33" s="9">
        <v>712.8</v>
      </c>
      <c r="O33" s="9">
        <v>575</v>
      </c>
      <c r="P33" s="9">
        <v>928.5</v>
      </c>
      <c r="Q33" s="9">
        <f>M33-P33</f>
        <v>1576.5</v>
      </c>
      <c r="R33" s="66">
        <f t="shared" si="8"/>
        <v>1.6147826086956523</v>
      </c>
      <c r="S33" s="67">
        <f t="shared" si="9"/>
        <v>1.3026094276094278</v>
      </c>
      <c r="T33" s="67">
        <f t="shared" si="10"/>
        <v>0.80667789001122336</v>
      </c>
      <c r="U33" s="67">
        <f t="shared" si="6"/>
        <v>0.22954091816367264</v>
      </c>
      <c r="V33" s="67">
        <f t="shared" si="7"/>
        <v>0.28455089820359281</v>
      </c>
      <c r="W33" s="9">
        <v>0</v>
      </c>
      <c r="X33" s="9">
        <v>1</v>
      </c>
      <c r="Y33" s="8">
        <f t="shared" si="1"/>
        <v>1</v>
      </c>
      <c r="Z33" s="8">
        <v>1</v>
      </c>
      <c r="AA33" s="8">
        <v>1</v>
      </c>
      <c r="AB33" s="8">
        <v>1</v>
      </c>
    </row>
    <row r="34" spans="1:28" ht="15" customHeight="1" x14ac:dyDescent="0.15">
      <c r="A34" s="7" t="s">
        <v>46</v>
      </c>
      <c r="B34" s="7" t="s">
        <v>599</v>
      </c>
      <c r="C34" s="16" t="s">
        <v>403</v>
      </c>
      <c r="D34" s="7" t="s">
        <v>82</v>
      </c>
      <c r="E34" s="10" t="s">
        <v>203</v>
      </c>
      <c r="F34" s="10" t="s">
        <v>581</v>
      </c>
      <c r="G34" s="10" t="s">
        <v>621</v>
      </c>
      <c r="H34" s="10" t="s">
        <v>623</v>
      </c>
      <c r="I34" s="10" t="s">
        <v>903</v>
      </c>
      <c r="J34" s="8">
        <v>2556</v>
      </c>
      <c r="K34" s="8">
        <v>3000</v>
      </c>
      <c r="L34" s="8">
        <v>2556</v>
      </c>
      <c r="M34" s="8">
        <v>2556</v>
      </c>
      <c r="N34" s="8">
        <v>764</v>
      </c>
      <c r="O34" s="8">
        <v>639</v>
      </c>
      <c r="P34" s="8">
        <v>952</v>
      </c>
      <c r="Q34" s="8">
        <f>M34-P34</f>
        <v>1604</v>
      </c>
      <c r="R34" s="66">
        <f t="shared" si="8"/>
        <v>1.4898278560250391</v>
      </c>
      <c r="S34" s="67">
        <f t="shared" si="9"/>
        <v>1.2460732984293195</v>
      </c>
      <c r="T34" s="67">
        <f t="shared" si="10"/>
        <v>0.83638743455497377</v>
      </c>
      <c r="U34" s="67">
        <f t="shared" si="6"/>
        <v>0.25</v>
      </c>
      <c r="V34" s="67">
        <f t="shared" si="7"/>
        <v>0.29890453834115804</v>
      </c>
      <c r="W34" s="8">
        <v>0</v>
      </c>
      <c r="X34" s="8">
        <v>1</v>
      </c>
      <c r="Y34" s="8">
        <f t="shared" si="1"/>
        <v>1</v>
      </c>
      <c r="Z34" s="8">
        <v>1</v>
      </c>
      <c r="AA34" s="8">
        <v>0</v>
      </c>
      <c r="AB34" s="8">
        <v>1</v>
      </c>
    </row>
    <row r="35" spans="1:28" ht="15" customHeight="1" x14ac:dyDescent="0.15">
      <c r="A35" s="16" t="s">
        <v>46</v>
      </c>
      <c r="B35" s="41" t="s">
        <v>493</v>
      </c>
      <c r="C35" s="16" t="s">
        <v>401</v>
      </c>
      <c r="D35" s="16" t="s">
        <v>82</v>
      </c>
      <c r="E35" s="10" t="s">
        <v>203</v>
      </c>
      <c r="F35" s="10" t="s">
        <v>581</v>
      </c>
      <c r="G35" s="10" t="s">
        <v>621</v>
      </c>
      <c r="H35" s="10" t="s">
        <v>623</v>
      </c>
      <c r="I35" s="10" t="s">
        <v>903</v>
      </c>
      <c r="J35" s="9">
        <v>2590</v>
      </c>
      <c r="K35" s="16">
        <v>2590</v>
      </c>
      <c r="L35" s="16">
        <v>2590</v>
      </c>
      <c r="M35" s="16">
        <v>2590</v>
      </c>
      <c r="N35" s="16">
        <v>601</v>
      </c>
      <c r="O35" s="16">
        <v>518</v>
      </c>
      <c r="P35" s="18">
        <v>820</v>
      </c>
      <c r="Q35" s="16">
        <v>1770</v>
      </c>
      <c r="R35" s="66">
        <f t="shared" si="8"/>
        <v>1.583011583011583</v>
      </c>
      <c r="S35" s="67">
        <f t="shared" si="9"/>
        <v>1.3643926788685523</v>
      </c>
      <c r="T35" s="67">
        <f t="shared" si="10"/>
        <v>0.86189683860232946</v>
      </c>
      <c r="U35" s="67">
        <f t="shared" si="6"/>
        <v>0.2</v>
      </c>
      <c r="V35" s="67">
        <f t="shared" si="7"/>
        <v>0.23204633204633204</v>
      </c>
      <c r="W35" s="8">
        <v>1</v>
      </c>
      <c r="X35" s="8">
        <v>0</v>
      </c>
      <c r="Y35" s="8">
        <f t="shared" si="1"/>
        <v>1</v>
      </c>
      <c r="Z35" s="8">
        <v>1</v>
      </c>
      <c r="AA35" s="8">
        <v>0</v>
      </c>
      <c r="AB35" s="8">
        <v>1</v>
      </c>
    </row>
    <row r="36" spans="1:28" ht="15" customHeight="1" x14ac:dyDescent="0.15">
      <c r="A36" s="7" t="s">
        <v>46</v>
      </c>
      <c r="B36" s="7" t="s">
        <v>592</v>
      </c>
      <c r="C36" s="16" t="s">
        <v>403</v>
      </c>
      <c r="D36" s="7" t="s">
        <v>82</v>
      </c>
      <c r="E36" s="10" t="s">
        <v>203</v>
      </c>
      <c r="F36" s="10" t="s">
        <v>581</v>
      </c>
      <c r="G36" s="10" t="s">
        <v>621</v>
      </c>
      <c r="H36" s="10" t="s">
        <v>623</v>
      </c>
      <c r="I36" s="10" t="s">
        <v>903</v>
      </c>
      <c r="J36" s="9">
        <v>2914</v>
      </c>
      <c r="K36" s="9">
        <v>2200</v>
      </c>
      <c r="L36" s="9">
        <v>2914</v>
      </c>
      <c r="M36" s="9">
        <v>2914</v>
      </c>
      <c r="N36" s="9">
        <v>755</v>
      </c>
      <c r="O36" s="9">
        <v>677</v>
      </c>
      <c r="P36" s="9">
        <v>982.9</v>
      </c>
      <c r="Q36" s="9">
        <f>M36-P36</f>
        <v>1931.1</v>
      </c>
      <c r="R36" s="66">
        <f t="shared" si="8"/>
        <v>1.4518463810930575</v>
      </c>
      <c r="S36" s="67">
        <f t="shared" si="9"/>
        <v>1.3018543046357616</v>
      </c>
      <c r="T36" s="67">
        <f t="shared" si="10"/>
        <v>0.89668874172185431</v>
      </c>
      <c r="U36" s="67">
        <f t="shared" si="6"/>
        <v>0.23232669869595057</v>
      </c>
      <c r="V36" s="67">
        <f t="shared" si="7"/>
        <v>0.25909402882635552</v>
      </c>
      <c r="W36" s="9">
        <v>0</v>
      </c>
      <c r="X36" s="9">
        <v>1</v>
      </c>
      <c r="Y36" s="8">
        <f t="shared" si="1"/>
        <v>1</v>
      </c>
      <c r="Z36" s="8">
        <v>1</v>
      </c>
      <c r="AA36" s="8">
        <v>1</v>
      </c>
      <c r="AB36" s="8">
        <v>1</v>
      </c>
    </row>
  </sheetData>
  <sortState xmlns:xlrd2="http://schemas.microsoft.com/office/spreadsheetml/2017/richdata2" ref="A2:AB39">
    <sortCondition ref="AB1:AB39"/>
  </sortState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86E1-2E6D-2541-BE8C-16B6D1575FC7}">
  <dimension ref="A1:AD49"/>
  <sheetViews>
    <sheetView zoomScale="43" workbookViewId="0">
      <selection activeCell="V9" sqref="V9"/>
    </sheetView>
  </sheetViews>
  <sheetFormatPr baseColWidth="10" defaultRowHeight="14" x14ac:dyDescent="0.15"/>
  <cols>
    <col min="1" max="1" width="10.83203125" style="64"/>
    <col min="2" max="2" width="11.83203125" style="64" bestFit="1" customWidth="1"/>
    <col min="3" max="3" width="10.83203125" style="64"/>
    <col min="4" max="4" width="10.83203125" style="77"/>
    <col min="5" max="6" width="10.83203125" style="76"/>
    <col min="7" max="11" width="10.83203125" style="64"/>
    <col min="12" max="12" width="11.6640625" style="64" bestFit="1" customWidth="1"/>
    <col min="13" max="13" width="10.83203125" style="64"/>
    <col min="14" max="14" width="10.83203125" style="64" customWidth="1"/>
    <col min="15" max="18" width="12.6640625" style="64" bestFit="1" customWidth="1"/>
    <col min="19" max="19" width="11.1640625" style="64" bestFit="1" customWidth="1"/>
    <col min="20" max="20" width="12.5" style="64" customWidth="1"/>
    <col min="21" max="22" width="11.1640625" style="64" bestFit="1" customWidth="1"/>
    <col min="23" max="16384" width="10.83203125" style="64"/>
  </cols>
  <sheetData>
    <row r="1" spans="1:29" ht="15.75" customHeight="1" x14ac:dyDescent="0.15">
      <c r="A1" s="16" t="s">
        <v>0</v>
      </c>
      <c r="B1" s="16" t="s">
        <v>402</v>
      </c>
      <c r="C1" s="16" t="s">
        <v>400</v>
      </c>
      <c r="D1" s="17" t="s">
        <v>81</v>
      </c>
      <c r="E1" s="19" t="s">
        <v>442</v>
      </c>
      <c r="F1" s="19" t="s">
        <v>583</v>
      </c>
      <c r="G1" s="19" t="s">
        <v>831</v>
      </c>
      <c r="H1" s="19" t="s">
        <v>453</v>
      </c>
      <c r="I1" s="19" t="s">
        <v>456</v>
      </c>
      <c r="J1" s="19" t="s">
        <v>619</v>
      </c>
      <c r="K1" s="19" t="s">
        <v>624</v>
      </c>
      <c r="L1" s="19" t="s">
        <v>412</v>
      </c>
      <c r="M1" s="19" t="s">
        <v>449</v>
      </c>
      <c r="N1" s="16" t="s">
        <v>448</v>
      </c>
      <c r="O1" s="16" t="s">
        <v>28</v>
      </c>
      <c r="P1" s="16" t="s">
        <v>6</v>
      </c>
      <c r="Q1" s="16" t="s">
        <v>5</v>
      </c>
      <c r="R1" s="16" t="s">
        <v>4</v>
      </c>
      <c r="S1" s="16" t="s">
        <v>441</v>
      </c>
      <c r="T1" s="16" t="s">
        <v>452</v>
      </c>
      <c r="U1" s="16" t="s">
        <v>440</v>
      </c>
      <c r="V1" s="16" t="s">
        <v>439</v>
      </c>
      <c r="W1" s="16" t="s">
        <v>445</v>
      </c>
      <c r="X1" s="16" t="s">
        <v>444</v>
      </c>
      <c r="Y1" s="16" t="s">
        <v>443</v>
      </c>
      <c r="Z1" s="64" t="s">
        <v>446</v>
      </c>
      <c r="AA1" s="16" t="s">
        <v>447</v>
      </c>
      <c r="AB1" s="64" t="s">
        <v>807</v>
      </c>
    </row>
    <row r="2" spans="1:29" ht="15.75" customHeight="1" x14ac:dyDescent="0.15">
      <c r="A2" s="69" t="s">
        <v>16</v>
      </c>
      <c r="B2" s="16" t="s">
        <v>828</v>
      </c>
      <c r="C2" s="70" t="s">
        <v>403</v>
      </c>
      <c r="D2" s="9" t="s">
        <v>82</v>
      </c>
      <c r="E2" s="10" t="s">
        <v>494</v>
      </c>
      <c r="F2" s="10" t="s">
        <v>580</v>
      </c>
      <c r="G2" s="10" t="s">
        <v>829</v>
      </c>
      <c r="H2" s="10" t="s">
        <v>626</v>
      </c>
      <c r="I2" s="10" t="s">
        <v>634</v>
      </c>
      <c r="J2" s="10" t="s">
        <v>830</v>
      </c>
      <c r="K2" s="10" t="s">
        <v>454</v>
      </c>
      <c r="L2" s="17">
        <v>593</v>
      </c>
      <c r="M2" s="19"/>
      <c r="N2" s="17"/>
      <c r="O2" s="16">
        <v>156</v>
      </c>
      <c r="P2" s="16">
        <v>148</v>
      </c>
      <c r="Q2" s="16">
        <v>210</v>
      </c>
      <c r="R2" s="16">
        <v>386</v>
      </c>
      <c r="S2" s="42">
        <f t="shared" ref="S2:S12" si="0">Q2/P2</f>
        <v>1.4189189189189189</v>
      </c>
      <c r="T2" s="71">
        <f t="shared" ref="T2:T12" si="1">Q2/O2</f>
        <v>1.3461538461538463</v>
      </c>
      <c r="U2" s="43">
        <f t="shared" ref="U2:U27" si="2">P2/O2</f>
        <v>0.94871794871794868</v>
      </c>
      <c r="V2" s="43"/>
      <c r="W2" s="64">
        <v>0</v>
      </c>
      <c r="X2" s="16">
        <v>1</v>
      </c>
      <c r="Y2" s="16">
        <v>0</v>
      </c>
      <c r="Z2" s="16">
        <v>1</v>
      </c>
      <c r="AA2" s="64">
        <v>0</v>
      </c>
      <c r="AB2" s="16">
        <v>0</v>
      </c>
    </row>
    <row r="3" spans="1:29" ht="15.75" customHeight="1" x14ac:dyDescent="0.15">
      <c r="A3" s="69" t="s">
        <v>16</v>
      </c>
      <c r="B3" s="7" t="s">
        <v>63</v>
      </c>
      <c r="C3" s="70" t="s">
        <v>403</v>
      </c>
      <c r="D3" s="9" t="s">
        <v>82</v>
      </c>
      <c r="E3" s="10" t="s">
        <v>494</v>
      </c>
      <c r="F3" s="10" t="s">
        <v>580</v>
      </c>
      <c r="G3" s="10" t="s">
        <v>829</v>
      </c>
      <c r="H3" s="10" t="s">
        <v>626</v>
      </c>
      <c r="I3" s="10" t="s">
        <v>634</v>
      </c>
      <c r="J3" s="10" t="s">
        <v>830</v>
      </c>
      <c r="K3" s="10" t="s">
        <v>454</v>
      </c>
      <c r="L3" s="8">
        <v>633</v>
      </c>
      <c r="M3" s="8">
        <v>633</v>
      </c>
      <c r="N3" s="8">
        <v>633</v>
      </c>
      <c r="O3" s="8">
        <v>138.19999999999999</v>
      </c>
      <c r="P3" s="8">
        <v>132.80000000000001</v>
      </c>
      <c r="Q3" s="8">
        <v>185</v>
      </c>
      <c r="R3" s="8">
        <f>N3-Q3</f>
        <v>448</v>
      </c>
      <c r="S3" s="42">
        <f t="shared" si="0"/>
        <v>1.3930722891566263</v>
      </c>
      <c r="T3" s="71">
        <f t="shared" si="1"/>
        <v>1.3386396526772795</v>
      </c>
      <c r="U3" s="43">
        <f t="shared" si="2"/>
        <v>0.96092619392185252</v>
      </c>
      <c r="V3" s="43">
        <f t="shared" ref="V3:V40" si="3">P3/N3</f>
        <v>0.20979462875197474</v>
      </c>
      <c r="W3" s="8">
        <v>1</v>
      </c>
      <c r="X3" s="64">
        <v>0</v>
      </c>
      <c r="Y3" s="8">
        <f>SUM(W3,X3)</f>
        <v>1</v>
      </c>
      <c r="Z3" s="8">
        <v>1</v>
      </c>
      <c r="AA3" s="8">
        <v>1</v>
      </c>
      <c r="AB3" s="64">
        <v>1</v>
      </c>
    </row>
    <row r="4" spans="1:29" ht="14" customHeight="1" x14ac:dyDescent="0.15">
      <c r="A4" s="69" t="s">
        <v>16</v>
      </c>
      <c r="B4" s="16" t="s">
        <v>825</v>
      </c>
      <c r="C4" s="16" t="s">
        <v>403</v>
      </c>
      <c r="D4" s="9" t="s">
        <v>82</v>
      </c>
      <c r="E4" s="10" t="s">
        <v>494</v>
      </c>
      <c r="F4" s="10" t="s">
        <v>580</v>
      </c>
      <c r="G4" s="10" t="s">
        <v>829</v>
      </c>
      <c r="H4" s="10" t="s">
        <v>626</v>
      </c>
      <c r="I4" s="10" t="s">
        <v>634</v>
      </c>
      <c r="J4" s="10" t="s">
        <v>830</v>
      </c>
      <c r="K4" s="10" t="s">
        <v>454</v>
      </c>
      <c r="L4" s="17">
        <v>660.93000000000006</v>
      </c>
      <c r="M4" s="17">
        <v>670</v>
      </c>
      <c r="N4" s="16">
        <f>Q4+R4</f>
        <v>660.93000000000006</v>
      </c>
      <c r="O4" s="16">
        <v>149.1</v>
      </c>
      <c r="P4" s="16">
        <v>144</v>
      </c>
      <c r="Q4" s="16">
        <v>198.5</v>
      </c>
      <c r="R4" s="16">
        <f>131.05+113.75+57.64+87.69+72.3</f>
        <v>462.43</v>
      </c>
      <c r="S4" s="42">
        <f t="shared" si="0"/>
        <v>1.3784722222222223</v>
      </c>
      <c r="T4" s="71">
        <f t="shared" si="1"/>
        <v>1.3313212608987257</v>
      </c>
      <c r="U4" s="43">
        <f t="shared" si="2"/>
        <v>0.96579476861167002</v>
      </c>
      <c r="V4" s="43">
        <f t="shared" si="3"/>
        <v>0.21787481276383275</v>
      </c>
      <c r="W4" s="16">
        <v>1</v>
      </c>
      <c r="X4" s="16">
        <v>0</v>
      </c>
      <c r="Y4" s="16">
        <v>1</v>
      </c>
      <c r="Z4" s="64">
        <v>1</v>
      </c>
      <c r="AA4" s="16">
        <v>0</v>
      </c>
      <c r="AB4" s="64">
        <v>1</v>
      </c>
      <c r="AC4" s="8"/>
    </row>
    <row r="5" spans="1:29" ht="14" customHeight="1" x14ac:dyDescent="0.15">
      <c r="A5" s="86" t="s">
        <v>16</v>
      </c>
      <c r="B5" s="86" t="s">
        <v>521</v>
      </c>
      <c r="C5" s="70" t="s">
        <v>401</v>
      </c>
      <c r="D5" s="68" t="s">
        <v>82</v>
      </c>
      <c r="E5" s="74" t="s">
        <v>494</v>
      </c>
      <c r="F5" s="10" t="s">
        <v>580</v>
      </c>
      <c r="G5" s="10" t="s">
        <v>829</v>
      </c>
      <c r="H5" s="10" t="s">
        <v>626</v>
      </c>
      <c r="I5" s="10" t="s">
        <v>634</v>
      </c>
      <c r="J5" s="10" t="s">
        <v>830</v>
      </c>
      <c r="K5" s="10" t="s">
        <v>454</v>
      </c>
      <c r="L5" s="70">
        <v>716</v>
      </c>
      <c r="M5" s="70">
        <v>716</v>
      </c>
      <c r="N5" s="70">
        <v>716</v>
      </c>
      <c r="O5" s="70">
        <v>156</v>
      </c>
      <c r="P5" s="70">
        <v>150</v>
      </c>
      <c r="Q5" s="75">
        <v>211.33333333333334</v>
      </c>
      <c r="R5" s="64">
        <v>505</v>
      </c>
      <c r="S5" s="42">
        <f t="shared" si="0"/>
        <v>1.4088888888888889</v>
      </c>
      <c r="T5" s="71">
        <f t="shared" si="1"/>
        <v>1.3547008547008548</v>
      </c>
      <c r="U5" s="43">
        <f t="shared" si="2"/>
        <v>0.96153846153846156</v>
      </c>
      <c r="V5" s="43">
        <f t="shared" si="3"/>
        <v>0.20949720670391062</v>
      </c>
      <c r="W5" s="64">
        <v>1</v>
      </c>
      <c r="X5" s="64">
        <v>0</v>
      </c>
      <c r="Y5" s="8">
        <f t="shared" ref="Y5:Y11" si="4">SUM(W5,X5)</f>
        <v>1</v>
      </c>
      <c r="Z5" s="8">
        <v>1</v>
      </c>
      <c r="AA5" s="64">
        <v>1</v>
      </c>
      <c r="AB5" s="8">
        <v>1</v>
      </c>
      <c r="AC5" s="8"/>
    </row>
    <row r="6" spans="1:29" ht="14" customHeight="1" x14ac:dyDescent="0.15">
      <c r="A6" s="86" t="s">
        <v>16</v>
      </c>
      <c r="B6" s="86" t="s">
        <v>520</v>
      </c>
      <c r="C6" s="70" t="s">
        <v>401</v>
      </c>
      <c r="D6" s="68" t="s">
        <v>82</v>
      </c>
      <c r="E6" s="74" t="s">
        <v>494</v>
      </c>
      <c r="F6" s="10" t="s">
        <v>580</v>
      </c>
      <c r="G6" s="10" t="s">
        <v>829</v>
      </c>
      <c r="H6" s="10" t="s">
        <v>626</v>
      </c>
      <c r="I6" s="10" t="s">
        <v>634</v>
      </c>
      <c r="J6" s="10" t="s">
        <v>830</v>
      </c>
      <c r="K6" s="10" t="s">
        <v>454</v>
      </c>
      <c r="L6" s="70">
        <v>770</v>
      </c>
      <c r="M6" s="70">
        <v>770</v>
      </c>
      <c r="N6" s="70">
        <v>770</v>
      </c>
      <c r="O6" s="70">
        <v>153</v>
      </c>
      <c r="P6" s="70">
        <v>148</v>
      </c>
      <c r="Q6" s="75">
        <v>203.33333333333334</v>
      </c>
      <c r="R6" s="64">
        <v>566</v>
      </c>
      <c r="S6" s="42">
        <f t="shared" si="0"/>
        <v>1.3738738738738738</v>
      </c>
      <c r="T6" s="71">
        <f t="shared" si="1"/>
        <v>1.3289760348583879</v>
      </c>
      <c r="U6" s="43">
        <f t="shared" si="2"/>
        <v>0.9673202614379085</v>
      </c>
      <c r="V6" s="43">
        <f t="shared" si="3"/>
        <v>0.19220779220779222</v>
      </c>
      <c r="W6" s="8">
        <v>1</v>
      </c>
      <c r="X6" s="8">
        <v>0</v>
      </c>
      <c r="Y6" s="8">
        <f t="shared" si="4"/>
        <v>1</v>
      </c>
      <c r="Z6" s="8">
        <v>1</v>
      </c>
      <c r="AA6" s="64">
        <v>0</v>
      </c>
      <c r="AB6" s="8">
        <v>1</v>
      </c>
      <c r="AC6" s="8"/>
    </row>
    <row r="7" spans="1:29" ht="14" customHeight="1" x14ac:dyDescent="0.15">
      <c r="A7" s="7" t="s">
        <v>16</v>
      </c>
      <c r="B7" s="70" t="s">
        <v>615</v>
      </c>
      <c r="C7" s="8" t="s">
        <v>403</v>
      </c>
      <c r="D7" s="9" t="s">
        <v>148</v>
      </c>
      <c r="E7" s="10" t="s">
        <v>374</v>
      </c>
      <c r="F7" s="10" t="s">
        <v>580</v>
      </c>
      <c r="G7" s="10" t="s">
        <v>829</v>
      </c>
      <c r="H7" s="10" t="s">
        <v>626</v>
      </c>
      <c r="I7" s="10" t="s">
        <v>634</v>
      </c>
      <c r="J7" s="10" t="s">
        <v>830</v>
      </c>
      <c r="K7" s="10" t="s">
        <v>454</v>
      </c>
      <c r="L7" s="64">
        <v>1168</v>
      </c>
      <c r="N7" s="64">
        <v>1168</v>
      </c>
      <c r="O7" s="64">
        <v>246.77</v>
      </c>
      <c r="P7" s="64">
        <v>237.59</v>
      </c>
      <c r="Q7" s="64">
        <v>323.43</v>
      </c>
      <c r="R7" s="64">
        <f>N7-Q7</f>
        <v>844.56999999999994</v>
      </c>
      <c r="S7" s="71">
        <f t="shared" si="0"/>
        <v>1.3612946672839765</v>
      </c>
      <c r="T7" s="71">
        <f t="shared" si="1"/>
        <v>1.3106536450946225</v>
      </c>
      <c r="U7" s="71">
        <f t="shared" si="2"/>
        <v>0.9627993678323945</v>
      </c>
      <c r="V7" s="43">
        <f t="shared" si="3"/>
        <v>0.20341609589041096</v>
      </c>
      <c r="W7" s="8">
        <v>0</v>
      </c>
      <c r="X7" s="64">
        <v>1</v>
      </c>
      <c r="Y7" s="8">
        <f t="shared" si="4"/>
        <v>1</v>
      </c>
      <c r="Z7" s="8">
        <v>1</v>
      </c>
      <c r="AA7" s="8">
        <v>0</v>
      </c>
      <c r="AB7" s="64">
        <v>1</v>
      </c>
      <c r="AC7" s="8"/>
    </row>
    <row r="8" spans="1:29" ht="14" customHeight="1" x14ac:dyDescent="0.15">
      <c r="A8" s="69" t="s">
        <v>16</v>
      </c>
      <c r="B8" s="7" t="s">
        <v>254</v>
      </c>
      <c r="C8" s="70" t="s">
        <v>403</v>
      </c>
      <c r="D8" s="9" t="s">
        <v>82</v>
      </c>
      <c r="E8" s="10" t="s">
        <v>374</v>
      </c>
      <c r="F8" s="10" t="s">
        <v>580</v>
      </c>
      <c r="G8" s="10" t="s">
        <v>829</v>
      </c>
      <c r="H8" s="10" t="s">
        <v>626</v>
      </c>
      <c r="I8" s="10" t="s">
        <v>634</v>
      </c>
      <c r="J8" s="10" t="s">
        <v>830</v>
      </c>
      <c r="K8" s="10" t="s">
        <v>454</v>
      </c>
      <c r="L8" s="85">
        <v>1176.5999999999999</v>
      </c>
      <c r="M8" s="8">
        <v>1200</v>
      </c>
      <c r="N8" s="85">
        <v>1176.5999999999999</v>
      </c>
      <c r="O8" s="85">
        <v>268.64</v>
      </c>
      <c r="P8" s="85">
        <v>258.58999999999997</v>
      </c>
      <c r="Q8" s="85">
        <v>350.59</v>
      </c>
      <c r="R8" s="85">
        <f>436.54+118.99+260.92</f>
        <v>816.45</v>
      </c>
      <c r="S8" s="71">
        <f t="shared" si="0"/>
        <v>1.3557755520321746</v>
      </c>
      <c r="T8" s="71">
        <f t="shared" si="1"/>
        <v>1.3050550923168553</v>
      </c>
      <c r="U8" s="71">
        <f t="shared" si="2"/>
        <v>0.96258933889219767</v>
      </c>
      <c r="V8" s="43">
        <f t="shared" si="3"/>
        <v>0.21977732449430562</v>
      </c>
      <c r="W8" s="8">
        <v>0</v>
      </c>
      <c r="X8" s="64">
        <v>1</v>
      </c>
      <c r="Y8" s="8">
        <f t="shared" si="4"/>
        <v>1</v>
      </c>
      <c r="Z8" s="8">
        <v>1</v>
      </c>
      <c r="AA8" s="8">
        <v>1</v>
      </c>
      <c r="AB8" s="64">
        <v>1</v>
      </c>
      <c r="AC8" s="8"/>
    </row>
    <row r="9" spans="1:29" x14ac:dyDescent="0.15">
      <c r="A9" s="69" t="s">
        <v>16</v>
      </c>
      <c r="B9" s="7" t="s">
        <v>252</v>
      </c>
      <c r="C9" s="70" t="s">
        <v>403</v>
      </c>
      <c r="D9" s="9" t="s">
        <v>82</v>
      </c>
      <c r="E9" s="10" t="s">
        <v>374</v>
      </c>
      <c r="F9" s="10" t="s">
        <v>580</v>
      </c>
      <c r="G9" s="10" t="s">
        <v>829</v>
      </c>
      <c r="H9" s="10" t="s">
        <v>626</v>
      </c>
      <c r="I9" s="10" t="s">
        <v>634</v>
      </c>
      <c r="J9" s="10" t="s">
        <v>830</v>
      </c>
      <c r="K9" s="10" t="s">
        <v>454</v>
      </c>
      <c r="L9" s="85">
        <v>1193.83</v>
      </c>
      <c r="M9" s="8">
        <v>1100</v>
      </c>
      <c r="N9" s="85">
        <f>275.53+236.33+480.72+201.25</f>
        <v>1193.83</v>
      </c>
      <c r="O9" s="85">
        <v>200.03200000000001</v>
      </c>
      <c r="P9" s="85">
        <v>191.74</v>
      </c>
      <c r="Q9" s="85">
        <v>263.52999999999997</v>
      </c>
      <c r="R9" s="85">
        <f>N9-Q9</f>
        <v>930.3</v>
      </c>
      <c r="S9" s="71">
        <f t="shared" si="0"/>
        <v>1.3744132679670384</v>
      </c>
      <c r="T9" s="71">
        <f t="shared" si="1"/>
        <v>1.3174392097264436</v>
      </c>
      <c r="U9" s="71">
        <f t="shared" si="2"/>
        <v>0.9585466325387938</v>
      </c>
      <c r="V9" s="43">
        <f t="shared" si="3"/>
        <v>0.16060913195346072</v>
      </c>
      <c r="W9" s="8">
        <v>0</v>
      </c>
      <c r="X9" s="64">
        <v>1</v>
      </c>
      <c r="Y9" s="8">
        <f t="shared" si="4"/>
        <v>1</v>
      </c>
      <c r="Z9" s="8">
        <v>1</v>
      </c>
      <c r="AA9" s="8">
        <v>1</v>
      </c>
      <c r="AB9" s="64">
        <v>1</v>
      </c>
      <c r="AC9" s="8"/>
    </row>
    <row r="10" spans="1:29" ht="14" customHeight="1" x14ac:dyDescent="0.15">
      <c r="A10" s="7" t="s">
        <v>16</v>
      </c>
      <c r="B10" s="70" t="s">
        <v>606</v>
      </c>
      <c r="C10" s="8" t="s">
        <v>403</v>
      </c>
      <c r="D10" s="9" t="s">
        <v>148</v>
      </c>
      <c r="E10" s="10" t="s">
        <v>374</v>
      </c>
      <c r="F10" s="10" t="s">
        <v>580</v>
      </c>
      <c r="G10" s="10" t="s">
        <v>829</v>
      </c>
      <c r="H10" s="10" t="s">
        <v>626</v>
      </c>
      <c r="I10" s="10" t="s">
        <v>634</v>
      </c>
      <c r="J10" s="10" t="s">
        <v>830</v>
      </c>
      <c r="K10" s="10" t="s">
        <v>454</v>
      </c>
      <c r="L10" s="64">
        <v>1196.7</v>
      </c>
      <c r="N10" s="64">
        <v>1196.7</v>
      </c>
      <c r="O10" s="8">
        <v>257.60000000000002</v>
      </c>
      <c r="P10" s="8">
        <v>241.12</v>
      </c>
      <c r="Q10" s="8">
        <v>324.56</v>
      </c>
      <c r="R10" s="8">
        <f>N10-Q10</f>
        <v>872.1400000000001</v>
      </c>
      <c r="S10" s="42">
        <f t="shared" si="0"/>
        <v>1.3460517584605176</v>
      </c>
      <c r="T10" s="71">
        <f t="shared" si="1"/>
        <v>1.2599378881987577</v>
      </c>
      <c r="U10" s="43">
        <f t="shared" si="2"/>
        <v>0.93602484472049685</v>
      </c>
      <c r="V10" s="43">
        <f t="shared" si="3"/>
        <v>0.20148742374864209</v>
      </c>
      <c r="W10" s="8">
        <v>0</v>
      </c>
      <c r="X10" s="64">
        <v>1</v>
      </c>
      <c r="Y10" s="8">
        <f t="shared" si="4"/>
        <v>1</v>
      </c>
      <c r="Z10" s="8">
        <v>1</v>
      </c>
      <c r="AA10" s="8">
        <v>0</v>
      </c>
      <c r="AB10" s="64">
        <v>1</v>
      </c>
      <c r="AC10" s="8"/>
    </row>
    <row r="11" spans="1:29" ht="14" customHeight="1" x14ac:dyDescent="0.15">
      <c r="A11" s="69" t="s">
        <v>16</v>
      </c>
      <c r="B11" s="7" t="s">
        <v>244</v>
      </c>
      <c r="C11" s="70" t="s">
        <v>403</v>
      </c>
      <c r="D11" s="9" t="s">
        <v>82</v>
      </c>
      <c r="E11" s="10" t="s">
        <v>374</v>
      </c>
      <c r="F11" s="10" t="s">
        <v>580</v>
      </c>
      <c r="G11" s="10" t="s">
        <v>829</v>
      </c>
      <c r="H11" s="10" t="s">
        <v>626</v>
      </c>
      <c r="I11" s="10" t="s">
        <v>634</v>
      </c>
      <c r="J11" s="10" t="s">
        <v>830</v>
      </c>
      <c r="K11" s="10" t="s">
        <v>454</v>
      </c>
      <c r="L11" s="8">
        <v>1199.5</v>
      </c>
      <c r="M11" s="8">
        <v>1500</v>
      </c>
      <c r="N11" s="8">
        <f>Q11+R11</f>
        <v>1199.5</v>
      </c>
      <c r="O11" s="8">
        <v>228.3</v>
      </c>
      <c r="P11" s="8">
        <v>216.7</v>
      </c>
      <c r="Q11" s="8">
        <v>301.39999999999998</v>
      </c>
      <c r="R11" s="8">
        <f>137.1+220.6+122.7+130.5+287.2</f>
        <v>898.09999999999991</v>
      </c>
      <c r="S11" s="42">
        <f t="shared" si="0"/>
        <v>1.3908629441624365</v>
      </c>
      <c r="T11" s="71">
        <f t="shared" si="1"/>
        <v>1.3201927288655277</v>
      </c>
      <c r="U11" s="43">
        <f t="shared" si="2"/>
        <v>0.94918966272448524</v>
      </c>
      <c r="V11" s="43">
        <f t="shared" si="3"/>
        <v>0.1806586077532305</v>
      </c>
      <c r="W11" s="8">
        <v>1</v>
      </c>
      <c r="X11" s="64">
        <v>0</v>
      </c>
      <c r="Y11" s="8">
        <f t="shared" si="4"/>
        <v>1</v>
      </c>
      <c r="Z11" s="8">
        <v>1</v>
      </c>
      <c r="AA11" s="8">
        <v>1</v>
      </c>
      <c r="AB11" s="64">
        <v>1</v>
      </c>
      <c r="AC11" s="8"/>
    </row>
    <row r="12" spans="1:29" x14ac:dyDescent="0.15">
      <c r="A12" s="7" t="s">
        <v>16</v>
      </c>
      <c r="B12" s="70" t="s">
        <v>666</v>
      </c>
      <c r="C12" s="64" t="s">
        <v>403</v>
      </c>
      <c r="D12" s="9" t="s">
        <v>82</v>
      </c>
      <c r="E12" s="10" t="s">
        <v>374</v>
      </c>
      <c r="F12" s="10" t="s">
        <v>580</v>
      </c>
      <c r="G12" s="10" t="s">
        <v>829</v>
      </c>
      <c r="H12" s="10" t="s">
        <v>626</v>
      </c>
      <c r="I12" s="10" t="s">
        <v>634</v>
      </c>
      <c r="J12" s="10" t="s">
        <v>830</v>
      </c>
      <c r="K12" s="10" t="s">
        <v>454</v>
      </c>
      <c r="L12" s="64">
        <v>1207.3</v>
      </c>
      <c r="N12" s="64">
        <v>1207.3</v>
      </c>
      <c r="O12" s="8">
        <v>229.34</v>
      </c>
      <c r="P12" s="8">
        <v>223.06</v>
      </c>
      <c r="Q12" s="8">
        <v>301.64</v>
      </c>
      <c r="R12" s="8">
        <f>N12-Q12</f>
        <v>905.66</v>
      </c>
      <c r="S12" s="42">
        <f t="shared" si="0"/>
        <v>1.3522818972473774</v>
      </c>
      <c r="T12" s="71">
        <f t="shared" si="1"/>
        <v>1.3152524635911746</v>
      </c>
      <c r="U12" s="43">
        <f t="shared" si="2"/>
        <v>0.97261707508502659</v>
      </c>
      <c r="V12" s="43">
        <f t="shared" si="3"/>
        <v>0.18475938043568294</v>
      </c>
      <c r="W12" s="8">
        <v>0</v>
      </c>
      <c r="X12" s="64">
        <v>1</v>
      </c>
      <c r="Y12" s="8">
        <v>1</v>
      </c>
      <c r="Z12" s="8">
        <v>1</v>
      </c>
      <c r="AA12" s="8">
        <v>0</v>
      </c>
      <c r="AB12" s="64">
        <v>1</v>
      </c>
      <c r="AC12" s="8"/>
    </row>
    <row r="13" spans="1:29" ht="14" customHeight="1" x14ac:dyDescent="0.15">
      <c r="A13" s="7" t="s">
        <v>16</v>
      </c>
      <c r="B13" s="7" t="s">
        <v>809</v>
      </c>
      <c r="C13" s="64" t="s">
        <v>824</v>
      </c>
      <c r="D13" s="9" t="s">
        <v>148</v>
      </c>
      <c r="E13" s="22" t="s">
        <v>374</v>
      </c>
      <c r="F13" s="10" t="s">
        <v>580</v>
      </c>
      <c r="G13" s="10" t="s">
        <v>832</v>
      </c>
      <c r="H13" s="10" t="s">
        <v>626</v>
      </c>
      <c r="I13" s="10" t="s">
        <v>634</v>
      </c>
      <c r="J13" s="64" t="s">
        <v>833</v>
      </c>
      <c r="K13" s="10" t="s">
        <v>454</v>
      </c>
      <c r="L13" s="64">
        <v>1333</v>
      </c>
      <c r="M13" s="64">
        <v>1333</v>
      </c>
      <c r="N13" s="64">
        <v>1333</v>
      </c>
      <c r="O13" s="64">
        <v>277</v>
      </c>
      <c r="P13" s="64">
        <v>261</v>
      </c>
      <c r="U13" s="71">
        <f t="shared" si="2"/>
        <v>0.9422382671480144</v>
      </c>
      <c r="V13" s="71">
        <f t="shared" si="3"/>
        <v>0.19579894973743436</v>
      </c>
      <c r="W13" s="64">
        <v>1</v>
      </c>
      <c r="X13" s="64">
        <v>0</v>
      </c>
      <c r="Y13" s="8">
        <f t="shared" ref="Y13:Y30" si="5">SUM(W13,X13)</f>
        <v>1</v>
      </c>
      <c r="Z13" s="64">
        <v>1</v>
      </c>
      <c r="AA13" s="64">
        <v>0</v>
      </c>
      <c r="AB13" s="64">
        <v>1</v>
      </c>
      <c r="AC13" s="8"/>
    </row>
    <row r="14" spans="1:29" ht="14" customHeight="1" x14ac:dyDescent="0.15">
      <c r="A14" s="69" t="s">
        <v>16</v>
      </c>
      <c r="B14" s="70" t="s">
        <v>605</v>
      </c>
      <c r="C14" s="70" t="s">
        <v>403</v>
      </c>
      <c r="D14" s="9" t="s">
        <v>82</v>
      </c>
      <c r="E14" s="22" t="s">
        <v>374</v>
      </c>
      <c r="F14" s="10" t="s">
        <v>580</v>
      </c>
      <c r="G14" s="10" t="s">
        <v>832</v>
      </c>
      <c r="H14" s="10" t="s">
        <v>626</v>
      </c>
      <c r="I14" s="10" t="s">
        <v>634</v>
      </c>
      <c r="J14" s="64" t="s">
        <v>833</v>
      </c>
      <c r="K14" s="10" t="s">
        <v>454</v>
      </c>
      <c r="L14" s="64">
        <v>1348</v>
      </c>
      <c r="N14" s="64">
        <f>R14+Q14</f>
        <v>1348</v>
      </c>
      <c r="O14" s="8">
        <v>293.10000000000002</v>
      </c>
      <c r="P14" s="8">
        <v>281.10000000000002</v>
      </c>
      <c r="Q14" s="8">
        <v>371</v>
      </c>
      <c r="R14" s="8">
        <v>977</v>
      </c>
      <c r="S14" s="42">
        <f>Q14/P14</f>
        <v>1.319815012451085</v>
      </c>
      <c r="T14" s="71">
        <f>Q14/O14</f>
        <v>1.2657795974070283</v>
      </c>
      <c r="U14" s="43">
        <f t="shared" si="2"/>
        <v>0.95905834186284544</v>
      </c>
      <c r="V14" s="43">
        <f t="shared" si="3"/>
        <v>0.20853115727002969</v>
      </c>
      <c r="W14" s="8">
        <v>0</v>
      </c>
      <c r="X14" s="64">
        <v>1</v>
      </c>
      <c r="Y14" s="8">
        <f t="shared" si="5"/>
        <v>1</v>
      </c>
      <c r="Z14" s="8">
        <v>1</v>
      </c>
      <c r="AA14" s="8">
        <v>0</v>
      </c>
      <c r="AB14" s="64">
        <v>1</v>
      </c>
      <c r="AC14" s="8"/>
    </row>
    <row r="15" spans="1:29" x14ac:dyDescent="0.15">
      <c r="A15" s="7" t="s">
        <v>16</v>
      </c>
      <c r="B15" s="64" t="s">
        <v>818</v>
      </c>
      <c r="C15" s="64" t="s">
        <v>824</v>
      </c>
      <c r="D15" s="77" t="s">
        <v>148</v>
      </c>
      <c r="E15" s="22" t="s">
        <v>374</v>
      </c>
      <c r="F15" s="10" t="s">
        <v>580</v>
      </c>
      <c r="G15" s="10" t="s">
        <v>832</v>
      </c>
      <c r="H15" s="10" t="s">
        <v>626</v>
      </c>
      <c r="I15" s="10" t="s">
        <v>634</v>
      </c>
      <c r="J15" s="10" t="s">
        <v>830</v>
      </c>
      <c r="K15" s="10" t="s">
        <v>454</v>
      </c>
      <c r="L15" s="64">
        <v>1360</v>
      </c>
      <c r="M15" s="64">
        <v>1360</v>
      </c>
      <c r="N15" s="64">
        <v>1360</v>
      </c>
      <c r="O15" s="64">
        <v>277</v>
      </c>
      <c r="P15" s="64">
        <v>264</v>
      </c>
      <c r="U15" s="71">
        <f t="shared" si="2"/>
        <v>0.95306859205776173</v>
      </c>
      <c r="V15" s="71">
        <f t="shared" si="3"/>
        <v>0.19411764705882353</v>
      </c>
      <c r="W15" s="64">
        <v>1</v>
      </c>
      <c r="X15" s="64">
        <v>0</v>
      </c>
      <c r="Y15" s="8">
        <f t="shared" si="5"/>
        <v>1</v>
      </c>
      <c r="Z15" s="64">
        <v>1</v>
      </c>
      <c r="AA15" s="64">
        <v>0</v>
      </c>
      <c r="AB15" s="64">
        <v>1</v>
      </c>
      <c r="AC15" s="8"/>
    </row>
    <row r="16" spans="1:29" ht="14" customHeight="1" x14ac:dyDescent="0.15">
      <c r="A16" s="7" t="s">
        <v>16</v>
      </c>
      <c r="B16" s="7" t="s">
        <v>814</v>
      </c>
      <c r="C16" s="64" t="s">
        <v>824</v>
      </c>
      <c r="D16" s="9" t="s">
        <v>148</v>
      </c>
      <c r="E16" s="22" t="s">
        <v>374</v>
      </c>
      <c r="F16" s="10" t="s">
        <v>580</v>
      </c>
      <c r="G16" s="10" t="s">
        <v>832</v>
      </c>
      <c r="H16" s="10" t="s">
        <v>626</v>
      </c>
      <c r="I16" s="10" t="s">
        <v>634</v>
      </c>
      <c r="J16" s="10" t="s">
        <v>830</v>
      </c>
      <c r="K16" s="10" t="s">
        <v>454</v>
      </c>
      <c r="L16" s="64">
        <v>1408</v>
      </c>
      <c r="M16" s="64">
        <v>1408</v>
      </c>
      <c r="N16" s="64">
        <v>1408</v>
      </c>
      <c r="O16" s="64">
        <v>285</v>
      </c>
      <c r="P16" s="64">
        <v>273</v>
      </c>
      <c r="U16" s="71">
        <f t="shared" si="2"/>
        <v>0.95789473684210524</v>
      </c>
      <c r="V16" s="71">
        <f t="shared" si="3"/>
        <v>0.19389204545454544</v>
      </c>
      <c r="W16" s="64">
        <v>1</v>
      </c>
      <c r="X16" s="64">
        <v>0</v>
      </c>
      <c r="Y16" s="8">
        <f t="shared" si="5"/>
        <v>1</v>
      </c>
      <c r="Z16" s="64">
        <v>1</v>
      </c>
      <c r="AA16" s="64">
        <v>0</v>
      </c>
      <c r="AB16" s="64">
        <v>1</v>
      </c>
      <c r="AC16" s="8"/>
    </row>
    <row r="17" spans="1:30" x14ac:dyDescent="0.15">
      <c r="A17" s="7" t="s">
        <v>16</v>
      </c>
      <c r="B17" s="64" t="s">
        <v>820</v>
      </c>
      <c r="C17" s="64" t="s">
        <v>824</v>
      </c>
      <c r="D17" s="77" t="s">
        <v>148</v>
      </c>
      <c r="E17" s="22" t="s">
        <v>374</v>
      </c>
      <c r="F17" s="10" t="s">
        <v>580</v>
      </c>
      <c r="G17" s="10" t="s">
        <v>832</v>
      </c>
      <c r="H17" s="10" t="s">
        <v>626</v>
      </c>
      <c r="I17" s="10" t="s">
        <v>634</v>
      </c>
      <c r="J17" s="10" t="s">
        <v>830</v>
      </c>
      <c r="K17" s="10" t="s">
        <v>454</v>
      </c>
      <c r="L17" s="64">
        <v>1416</v>
      </c>
      <c r="M17" s="64">
        <v>1416</v>
      </c>
      <c r="N17" s="64">
        <v>1416</v>
      </c>
      <c r="O17" s="64">
        <v>296</v>
      </c>
      <c r="P17" s="64">
        <v>285</v>
      </c>
      <c r="U17" s="71">
        <f t="shared" si="2"/>
        <v>0.96283783783783783</v>
      </c>
      <c r="V17" s="71">
        <f t="shared" si="3"/>
        <v>0.20127118644067796</v>
      </c>
      <c r="W17" s="64">
        <v>1</v>
      </c>
      <c r="X17" s="64">
        <v>0</v>
      </c>
      <c r="Y17" s="8">
        <f t="shared" si="5"/>
        <v>1</v>
      </c>
      <c r="Z17" s="64">
        <v>1</v>
      </c>
      <c r="AA17" s="64">
        <v>0</v>
      </c>
      <c r="AB17" s="64">
        <v>1</v>
      </c>
      <c r="AC17" s="8"/>
    </row>
    <row r="18" spans="1:30" x14ac:dyDescent="0.15">
      <c r="A18" s="7" t="s">
        <v>16</v>
      </c>
      <c r="B18" s="7" t="s">
        <v>813</v>
      </c>
      <c r="C18" s="64" t="s">
        <v>824</v>
      </c>
      <c r="D18" s="9" t="s">
        <v>148</v>
      </c>
      <c r="E18" s="22" t="s">
        <v>374</v>
      </c>
      <c r="F18" s="10" t="s">
        <v>580</v>
      </c>
      <c r="G18" s="10" t="s">
        <v>832</v>
      </c>
      <c r="H18" s="10" t="s">
        <v>626</v>
      </c>
      <c r="I18" s="10" t="s">
        <v>634</v>
      </c>
      <c r="J18" s="10" t="s">
        <v>830</v>
      </c>
      <c r="K18" s="10" t="s">
        <v>454</v>
      </c>
      <c r="L18" s="64">
        <v>1427</v>
      </c>
      <c r="M18" s="64">
        <v>1427</v>
      </c>
      <c r="N18" s="64">
        <v>1427</v>
      </c>
      <c r="O18" s="64">
        <v>288</v>
      </c>
      <c r="P18" s="64">
        <v>272</v>
      </c>
      <c r="U18" s="71">
        <f t="shared" si="2"/>
        <v>0.94444444444444442</v>
      </c>
      <c r="V18" s="71">
        <f t="shared" si="3"/>
        <v>0.19060967063770148</v>
      </c>
      <c r="W18" s="64">
        <v>1</v>
      </c>
      <c r="X18" s="64">
        <v>0</v>
      </c>
      <c r="Y18" s="8">
        <f t="shared" si="5"/>
        <v>1</v>
      </c>
      <c r="Z18" s="64">
        <v>1</v>
      </c>
      <c r="AA18" s="64">
        <v>0</v>
      </c>
      <c r="AB18" s="64">
        <v>1</v>
      </c>
    </row>
    <row r="19" spans="1:30" x14ac:dyDescent="0.15">
      <c r="A19" s="69" t="s">
        <v>16</v>
      </c>
      <c r="B19" s="70" t="s">
        <v>607</v>
      </c>
      <c r="C19" s="8" t="s">
        <v>403</v>
      </c>
      <c r="D19" s="9" t="s">
        <v>148</v>
      </c>
      <c r="E19" s="22" t="s">
        <v>374</v>
      </c>
      <c r="F19" s="10" t="s">
        <v>580</v>
      </c>
      <c r="G19" s="10" t="s">
        <v>832</v>
      </c>
      <c r="H19" s="10" t="s">
        <v>626</v>
      </c>
      <c r="I19" s="10" t="s">
        <v>634</v>
      </c>
      <c r="J19" s="10" t="s">
        <v>830</v>
      </c>
      <c r="K19" s="10" t="s">
        <v>454</v>
      </c>
      <c r="L19" s="64">
        <v>1439.3</v>
      </c>
      <c r="N19" s="64">
        <v>1439.3</v>
      </c>
      <c r="O19" s="8">
        <v>281.7</v>
      </c>
      <c r="P19" s="8">
        <v>270</v>
      </c>
      <c r="Q19" s="8">
        <v>341.2</v>
      </c>
      <c r="R19" s="8">
        <f>N19-Q19</f>
        <v>1098.0999999999999</v>
      </c>
      <c r="S19" s="42">
        <f>Q19/P19</f>
        <v>1.2637037037037036</v>
      </c>
      <c r="T19" s="71">
        <f>Q19/O19</f>
        <v>1.2112176073837415</v>
      </c>
      <c r="U19" s="43">
        <f t="shared" si="2"/>
        <v>0.95846645367412142</v>
      </c>
      <c r="V19" s="43">
        <f t="shared" si="3"/>
        <v>0.18759119016188425</v>
      </c>
      <c r="W19" s="8">
        <v>0</v>
      </c>
      <c r="X19" s="64">
        <v>1</v>
      </c>
      <c r="Y19" s="8">
        <f t="shared" si="5"/>
        <v>1</v>
      </c>
      <c r="Z19" s="8">
        <v>1</v>
      </c>
      <c r="AA19" s="8">
        <v>0</v>
      </c>
      <c r="AB19" s="64">
        <v>1</v>
      </c>
    </row>
    <row r="20" spans="1:30" ht="14" customHeight="1" x14ac:dyDescent="0.15">
      <c r="A20" s="7" t="s">
        <v>16</v>
      </c>
      <c r="B20" s="7" t="s">
        <v>808</v>
      </c>
      <c r="C20" s="64" t="s">
        <v>824</v>
      </c>
      <c r="D20" s="68" t="s">
        <v>148</v>
      </c>
      <c r="E20" s="22" t="s">
        <v>374</v>
      </c>
      <c r="F20" s="10" t="s">
        <v>580</v>
      </c>
      <c r="G20" s="10" t="s">
        <v>832</v>
      </c>
      <c r="H20" s="10" t="s">
        <v>626</v>
      </c>
      <c r="I20" s="10" t="s">
        <v>634</v>
      </c>
      <c r="J20" s="10" t="s">
        <v>830</v>
      </c>
      <c r="K20" s="10" t="s">
        <v>454</v>
      </c>
      <c r="L20" s="9">
        <v>1450</v>
      </c>
      <c r="M20" s="9">
        <v>1450</v>
      </c>
      <c r="N20" s="9">
        <v>1450</v>
      </c>
      <c r="O20" s="9">
        <v>294</v>
      </c>
      <c r="P20" s="9">
        <v>273</v>
      </c>
      <c r="U20" s="71">
        <f t="shared" si="2"/>
        <v>0.9285714285714286</v>
      </c>
      <c r="V20" s="71">
        <f t="shared" si="3"/>
        <v>0.18827586206896552</v>
      </c>
      <c r="W20" s="64">
        <v>1</v>
      </c>
      <c r="X20" s="64">
        <v>0</v>
      </c>
      <c r="Y20" s="8">
        <f t="shared" si="5"/>
        <v>1</v>
      </c>
      <c r="Z20" s="64">
        <v>1</v>
      </c>
      <c r="AA20" s="64">
        <v>0</v>
      </c>
      <c r="AB20" s="64">
        <v>1</v>
      </c>
    </row>
    <row r="21" spans="1:30" s="21" customFormat="1" ht="16" customHeight="1" x14ac:dyDescent="0.15">
      <c r="A21" s="7" t="s">
        <v>16</v>
      </c>
      <c r="B21" s="64" t="s">
        <v>816</v>
      </c>
      <c r="C21" s="64" t="s">
        <v>824</v>
      </c>
      <c r="D21" s="77" t="s">
        <v>148</v>
      </c>
      <c r="E21" s="22" t="s">
        <v>374</v>
      </c>
      <c r="F21" s="10" t="s">
        <v>580</v>
      </c>
      <c r="G21" s="10" t="s">
        <v>832</v>
      </c>
      <c r="H21" s="10" t="s">
        <v>626</v>
      </c>
      <c r="I21" s="10" t="s">
        <v>634</v>
      </c>
      <c r="J21" s="10" t="s">
        <v>830</v>
      </c>
      <c r="K21" s="10" t="s">
        <v>454</v>
      </c>
      <c r="L21" s="64">
        <v>1476</v>
      </c>
      <c r="M21" s="64">
        <v>1476</v>
      </c>
      <c r="N21" s="64">
        <v>1476</v>
      </c>
      <c r="O21" s="64">
        <v>310</v>
      </c>
      <c r="P21" s="64">
        <v>288</v>
      </c>
      <c r="Q21" s="64"/>
      <c r="R21" s="64"/>
      <c r="S21" s="64"/>
      <c r="T21" s="64"/>
      <c r="U21" s="71">
        <f t="shared" si="2"/>
        <v>0.92903225806451617</v>
      </c>
      <c r="V21" s="71">
        <f t="shared" si="3"/>
        <v>0.1951219512195122</v>
      </c>
      <c r="W21" s="64">
        <v>1</v>
      </c>
      <c r="X21" s="64">
        <v>0</v>
      </c>
      <c r="Y21" s="8">
        <f t="shared" si="5"/>
        <v>1</v>
      </c>
      <c r="Z21" s="64">
        <v>1</v>
      </c>
      <c r="AA21" s="64">
        <v>0</v>
      </c>
      <c r="AB21" s="64">
        <v>1</v>
      </c>
      <c r="AC21" s="8"/>
      <c r="AD21" s="8"/>
    </row>
    <row r="22" spans="1:30" x14ac:dyDescent="0.15">
      <c r="A22" s="7" t="s">
        <v>16</v>
      </c>
      <c r="B22" s="64" t="s">
        <v>817</v>
      </c>
      <c r="C22" s="64" t="s">
        <v>824</v>
      </c>
      <c r="D22" s="77" t="s">
        <v>148</v>
      </c>
      <c r="E22" s="22" t="s">
        <v>374</v>
      </c>
      <c r="F22" s="10" t="s">
        <v>580</v>
      </c>
      <c r="G22" s="10" t="s">
        <v>832</v>
      </c>
      <c r="H22" s="10" t="s">
        <v>626</v>
      </c>
      <c r="I22" s="10" t="s">
        <v>634</v>
      </c>
      <c r="J22" s="10" t="s">
        <v>830</v>
      </c>
      <c r="K22" s="10" t="s">
        <v>454</v>
      </c>
      <c r="L22" s="64">
        <v>1495</v>
      </c>
      <c r="M22" s="64">
        <v>1495</v>
      </c>
      <c r="N22" s="64">
        <v>1495</v>
      </c>
      <c r="O22" s="64">
        <v>296</v>
      </c>
      <c r="P22" s="64">
        <v>289</v>
      </c>
      <c r="U22" s="71">
        <f t="shared" si="2"/>
        <v>0.97635135135135132</v>
      </c>
      <c r="V22" s="71">
        <f t="shared" si="3"/>
        <v>0.19331103678929765</v>
      </c>
      <c r="W22" s="64">
        <v>1</v>
      </c>
      <c r="X22" s="64">
        <v>0</v>
      </c>
      <c r="Y22" s="8">
        <f t="shared" si="5"/>
        <v>1</v>
      </c>
      <c r="Z22" s="64">
        <v>1</v>
      </c>
      <c r="AA22" s="64">
        <v>0</v>
      </c>
      <c r="AB22" s="64">
        <v>1</v>
      </c>
    </row>
    <row r="23" spans="1:30" x14ac:dyDescent="0.15">
      <c r="A23" s="185" t="s">
        <v>16</v>
      </c>
      <c r="B23" s="185" t="s">
        <v>475</v>
      </c>
      <c r="C23" s="70" t="s">
        <v>401</v>
      </c>
      <c r="D23" s="9" t="s">
        <v>82</v>
      </c>
      <c r="E23" s="10" t="s">
        <v>374</v>
      </c>
      <c r="F23" s="10" t="s">
        <v>580</v>
      </c>
      <c r="G23" s="10" t="s">
        <v>832</v>
      </c>
      <c r="H23" s="10" t="s">
        <v>627</v>
      </c>
      <c r="I23" s="10" t="s">
        <v>634</v>
      </c>
      <c r="J23" s="10" t="s">
        <v>830</v>
      </c>
      <c r="K23" s="10" t="s">
        <v>454</v>
      </c>
      <c r="L23" s="64">
        <v>1500</v>
      </c>
      <c r="M23" s="64">
        <v>1500</v>
      </c>
      <c r="N23" s="64">
        <v>1500</v>
      </c>
      <c r="O23" s="64">
        <v>265</v>
      </c>
      <c r="P23" s="64">
        <v>259</v>
      </c>
      <c r="U23" s="43">
        <f t="shared" si="2"/>
        <v>0.97735849056603774</v>
      </c>
      <c r="V23" s="43">
        <f t="shared" si="3"/>
        <v>0.17266666666666666</v>
      </c>
      <c r="W23" s="8">
        <v>1</v>
      </c>
      <c r="X23" s="64">
        <v>0</v>
      </c>
      <c r="Y23" s="8">
        <f t="shared" si="5"/>
        <v>1</v>
      </c>
      <c r="Z23" s="8">
        <v>1</v>
      </c>
      <c r="AA23" s="8">
        <v>0</v>
      </c>
      <c r="AB23" s="64">
        <v>0</v>
      </c>
    </row>
    <row r="24" spans="1:30" x14ac:dyDescent="0.15">
      <c r="A24" s="7" t="s">
        <v>16</v>
      </c>
      <c r="B24" s="7" t="s">
        <v>810</v>
      </c>
      <c r="C24" s="64" t="s">
        <v>824</v>
      </c>
      <c r="D24" s="9" t="s">
        <v>148</v>
      </c>
      <c r="E24" s="10" t="s">
        <v>374</v>
      </c>
      <c r="F24" s="10" t="s">
        <v>580</v>
      </c>
      <c r="G24" s="10" t="s">
        <v>832</v>
      </c>
      <c r="H24" s="10" t="s">
        <v>627</v>
      </c>
      <c r="I24" s="10" t="s">
        <v>640</v>
      </c>
      <c r="J24" s="10" t="s">
        <v>830</v>
      </c>
      <c r="K24" s="10" t="s">
        <v>454</v>
      </c>
      <c r="L24" s="64">
        <v>1622</v>
      </c>
      <c r="M24" s="64">
        <v>1622</v>
      </c>
      <c r="N24" s="64">
        <v>1622</v>
      </c>
      <c r="O24" s="64">
        <v>320</v>
      </c>
      <c r="P24" s="64">
        <v>306</v>
      </c>
      <c r="U24" s="71">
        <f t="shared" si="2"/>
        <v>0.95625000000000004</v>
      </c>
      <c r="V24" s="71">
        <f t="shared" si="3"/>
        <v>0.18865598027127004</v>
      </c>
      <c r="W24" s="64">
        <v>1</v>
      </c>
      <c r="X24" s="64">
        <v>0</v>
      </c>
      <c r="Y24" s="8">
        <f t="shared" si="5"/>
        <v>1</v>
      </c>
      <c r="Z24" s="64">
        <v>1</v>
      </c>
      <c r="AA24" s="64">
        <v>0</v>
      </c>
      <c r="AB24" s="64">
        <v>1</v>
      </c>
    </row>
    <row r="25" spans="1:30" ht="14" customHeight="1" x14ac:dyDescent="0.15">
      <c r="A25" s="7" t="s">
        <v>16</v>
      </c>
      <c r="B25" s="64" t="s">
        <v>815</v>
      </c>
      <c r="C25" s="64" t="s">
        <v>824</v>
      </c>
      <c r="D25" s="77" t="s">
        <v>148</v>
      </c>
      <c r="E25" s="10" t="s">
        <v>374</v>
      </c>
      <c r="F25" s="10" t="s">
        <v>580</v>
      </c>
      <c r="G25" s="10" t="s">
        <v>832</v>
      </c>
      <c r="H25" s="10" t="s">
        <v>627</v>
      </c>
      <c r="I25" s="10" t="s">
        <v>640</v>
      </c>
      <c r="J25" s="10" t="s">
        <v>830</v>
      </c>
      <c r="K25" s="10" t="s">
        <v>454</v>
      </c>
      <c r="L25" s="64">
        <v>1651</v>
      </c>
      <c r="M25" s="64">
        <v>1651</v>
      </c>
      <c r="N25" s="64">
        <v>1651</v>
      </c>
      <c r="O25" s="64">
        <v>316</v>
      </c>
      <c r="P25" s="64">
        <v>305</v>
      </c>
      <c r="U25" s="71">
        <f t="shared" si="2"/>
        <v>0.96518987341772156</v>
      </c>
      <c r="V25" s="71">
        <f t="shared" si="3"/>
        <v>0.18473652331920049</v>
      </c>
      <c r="W25" s="64">
        <v>1</v>
      </c>
      <c r="X25" s="64">
        <v>0</v>
      </c>
      <c r="Y25" s="8">
        <f t="shared" si="5"/>
        <v>1</v>
      </c>
      <c r="Z25" s="64">
        <v>1</v>
      </c>
      <c r="AA25" s="64">
        <v>0</v>
      </c>
      <c r="AB25" s="64">
        <v>1</v>
      </c>
    </row>
    <row r="26" spans="1:30" x14ac:dyDescent="0.15">
      <c r="A26" s="7" t="s">
        <v>16</v>
      </c>
      <c r="B26" s="64" t="s">
        <v>822</v>
      </c>
      <c r="C26" s="64" t="s">
        <v>824</v>
      </c>
      <c r="D26" s="77" t="s">
        <v>148</v>
      </c>
      <c r="E26" s="10" t="s">
        <v>374</v>
      </c>
      <c r="F26" s="10" t="s">
        <v>580</v>
      </c>
      <c r="G26" s="10" t="s">
        <v>832</v>
      </c>
      <c r="H26" s="10" t="s">
        <v>627</v>
      </c>
      <c r="I26" s="10" t="s">
        <v>640</v>
      </c>
      <c r="J26" s="10" t="s">
        <v>830</v>
      </c>
      <c r="K26" s="10" t="s">
        <v>454</v>
      </c>
      <c r="L26" s="64">
        <v>1744</v>
      </c>
      <c r="M26" s="64">
        <v>1744</v>
      </c>
      <c r="N26" s="64">
        <v>1744</v>
      </c>
      <c r="O26" s="64">
        <v>335</v>
      </c>
      <c r="P26" s="64">
        <v>313</v>
      </c>
      <c r="U26" s="71">
        <f t="shared" si="2"/>
        <v>0.93432835820895521</v>
      </c>
      <c r="V26" s="71">
        <f t="shared" si="3"/>
        <v>0.17947247706422018</v>
      </c>
      <c r="W26" s="64">
        <v>1</v>
      </c>
      <c r="X26" s="64">
        <v>0</v>
      </c>
      <c r="Y26" s="8">
        <f t="shared" si="5"/>
        <v>1</v>
      </c>
      <c r="Z26" s="64">
        <v>1</v>
      </c>
      <c r="AA26" s="64">
        <v>0</v>
      </c>
      <c r="AB26" s="64">
        <v>1</v>
      </c>
    </row>
    <row r="27" spans="1:30" x14ac:dyDescent="0.15">
      <c r="A27" s="7" t="s">
        <v>16</v>
      </c>
      <c r="B27" s="64" t="s">
        <v>811</v>
      </c>
      <c r="C27" s="64" t="s">
        <v>824</v>
      </c>
      <c r="D27" s="9" t="s">
        <v>148</v>
      </c>
      <c r="E27" s="10" t="s">
        <v>374</v>
      </c>
      <c r="F27" s="10" t="s">
        <v>580</v>
      </c>
      <c r="G27" s="10" t="s">
        <v>832</v>
      </c>
      <c r="H27" s="10" t="s">
        <v>627</v>
      </c>
      <c r="I27" s="10" t="s">
        <v>640</v>
      </c>
      <c r="J27" s="64" t="s">
        <v>833</v>
      </c>
      <c r="K27" s="10" t="s">
        <v>454</v>
      </c>
      <c r="L27" s="64">
        <v>1774</v>
      </c>
      <c r="M27" s="64">
        <v>1774</v>
      </c>
      <c r="N27" s="64">
        <v>1774</v>
      </c>
      <c r="O27" s="64">
        <v>340</v>
      </c>
      <c r="P27" s="64">
        <v>333</v>
      </c>
      <c r="U27" s="71">
        <f t="shared" si="2"/>
        <v>0.97941176470588232</v>
      </c>
      <c r="V27" s="71">
        <f t="shared" si="3"/>
        <v>0.18771138669673054</v>
      </c>
      <c r="W27" s="64">
        <v>1</v>
      </c>
      <c r="X27" s="64">
        <v>0</v>
      </c>
      <c r="Y27" s="8">
        <f t="shared" si="5"/>
        <v>1</v>
      </c>
      <c r="Z27" s="64">
        <v>1</v>
      </c>
      <c r="AA27" s="64">
        <v>0</v>
      </c>
      <c r="AB27" s="64">
        <v>1</v>
      </c>
    </row>
    <row r="28" spans="1:30" ht="14" customHeight="1" x14ac:dyDescent="0.2">
      <c r="A28" s="86" t="s">
        <v>16</v>
      </c>
      <c r="B28" s="84" t="s">
        <v>18</v>
      </c>
      <c r="C28" s="70" t="s">
        <v>401</v>
      </c>
      <c r="D28" s="9" t="s">
        <v>82</v>
      </c>
      <c r="E28" s="10" t="s">
        <v>374</v>
      </c>
      <c r="F28" s="10" t="s">
        <v>580</v>
      </c>
      <c r="G28" s="10" t="s">
        <v>832</v>
      </c>
      <c r="H28" s="10" t="s">
        <v>627</v>
      </c>
      <c r="I28" s="10" t="s">
        <v>640</v>
      </c>
      <c r="J28" s="64" t="s">
        <v>833</v>
      </c>
      <c r="K28" s="10" t="s">
        <v>454</v>
      </c>
      <c r="L28" s="72">
        <v>1780</v>
      </c>
      <c r="M28" s="72">
        <v>1780</v>
      </c>
      <c r="N28" s="72">
        <v>1780</v>
      </c>
      <c r="O28" s="72"/>
      <c r="P28" s="73">
        <v>290</v>
      </c>
      <c r="Q28" s="21"/>
      <c r="R28" s="21"/>
      <c r="S28" s="8"/>
      <c r="T28" s="8"/>
      <c r="U28" s="42"/>
      <c r="V28" s="43">
        <f t="shared" si="3"/>
        <v>0.16292134831460675</v>
      </c>
      <c r="W28" s="8">
        <v>1</v>
      </c>
      <c r="X28" s="64">
        <v>0</v>
      </c>
      <c r="Y28" s="8">
        <f t="shared" si="5"/>
        <v>1</v>
      </c>
      <c r="Z28" s="8">
        <v>1</v>
      </c>
      <c r="AA28" s="8">
        <v>0</v>
      </c>
      <c r="AB28" s="64">
        <v>0</v>
      </c>
    </row>
    <row r="29" spans="1:30" x14ac:dyDescent="0.15">
      <c r="A29" s="7" t="s">
        <v>16</v>
      </c>
      <c r="B29" s="64" t="s">
        <v>823</v>
      </c>
      <c r="C29" s="64" t="s">
        <v>824</v>
      </c>
      <c r="D29" s="77" t="s">
        <v>148</v>
      </c>
      <c r="E29" s="10" t="s">
        <v>374</v>
      </c>
      <c r="F29" s="10" t="s">
        <v>580</v>
      </c>
      <c r="G29" s="10" t="s">
        <v>832</v>
      </c>
      <c r="H29" s="10" t="s">
        <v>627</v>
      </c>
      <c r="I29" s="10" t="s">
        <v>640</v>
      </c>
      <c r="J29" s="64" t="s">
        <v>833</v>
      </c>
      <c r="K29" s="10" t="s">
        <v>454</v>
      </c>
      <c r="L29" s="64">
        <v>1780</v>
      </c>
      <c r="M29" s="64">
        <v>1780</v>
      </c>
      <c r="N29" s="64">
        <v>1780</v>
      </c>
      <c r="O29" s="64">
        <v>341</v>
      </c>
      <c r="P29" s="64">
        <v>330</v>
      </c>
      <c r="U29" s="71">
        <f t="shared" ref="U29:U49" si="6">P29/O29</f>
        <v>0.967741935483871</v>
      </c>
      <c r="V29" s="71">
        <f t="shared" si="3"/>
        <v>0.1853932584269663</v>
      </c>
      <c r="W29" s="64">
        <v>1</v>
      </c>
      <c r="X29" s="64">
        <v>0</v>
      </c>
      <c r="Y29" s="8">
        <f t="shared" si="5"/>
        <v>1</v>
      </c>
      <c r="Z29" s="64">
        <v>1</v>
      </c>
      <c r="AA29" s="64">
        <v>0</v>
      </c>
      <c r="AB29" s="64">
        <v>1</v>
      </c>
    </row>
    <row r="30" spans="1:30" ht="14" customHeight="1" x14ac:dyDescent="0.15">
      <c r="A30" s="7" t="s">
        <v>16</v>
      </c>
      <c r="B30" s="64" t="s">
        <v>819</v>
      </c>
      <c r="C30" s="64" t="s">
        <v>824</v>
      </c>
      <c r="D30" s="77" t="s">
        <v>148</v>
      </c>
      <c r="E30" s="10" t="s">
        <v>374</v>
      </c>
      <c r="F30" s="10" t="s">
        <v>580</v>
      </c>
      <c r="G30" s="10" t="s">
        <v>832</v>
      </c>
      <c r="H30" s="10" t="s">
        <v>627</v>
      </c>
      <c r="I30" s="10" t="s">
        <v>640</v>
      </c>
      <c r="J30" s="64" t="s">
        <v>833</v>
      </c>
      <c r="K30" s="10" t="s">
        <v>454</v>
      </c>
      <c r="L30" s="64">
        <v>1830</v>
      </c>
      <c r="M30" s="64">
        <v>1830</v>
      </c>
      <c r="N30" s="64">
        <v>1830</v>
      </c>
      <c r="O30" s="64">
        <v>367</v>
      </c>
      <c r="P30" s="64">
        <v>347</v>
      </c>
      <c r="U30" s="71">
        <f t="shared" si="6"/>
        <v>0.94550408719346046</v>
      </c>
      <c r="V30" s="71">
        <f t="shared" si="3"/>
        <v>0.18961748633879782</v>
      </c>
      <c r="W30" s="64">
        <v>1</v>
      </c>
      <c r="X30" s="64">
        <v>0</v>
      </c>
      <c r="Y30" s="8">
        <f t="shared" si="5"/>
        <v>1</v>
      </c>
      <c r="Z30" s="64">
        <v>1</v>
      </c>
      <c r="AA30" s="64">
        <v>0</v>
      </c>
      <c r="AB30" s="64">
        <v>1</v>
      </c>
    </row>
    <row r="31" spans="1:30" x14ac:dyDescent="0.15">
      <c r="A31" s="69" t="s">
        <v>16</v>
      </c>
      <c r="B31" s="70" t="s">
        <v>714</v>
      </c>
      <c r="C31" s="8" t="s">
        <v>458</v>
      </c>
      <c r="D31" s="9" t="s">
        <v>82</v>
      </c>
      <c r="E31" s="10" t="s">
        <v>293</v>
      </c>
      <c r="F31" s="10" t="s">
        <v>580</v>
      </c>
      <c r="G31" s="10" t="s">
        <v>832</v>
      </c>
      <c r="H31" s="10" t="s">
        <v>627</v>
      </c>
      <c r="I31" s="10" t="s">
        <v>640</v>
      </c>
      <c r="J31" s="64" t="s">
        <v>833</v>
      </c>
      <c r="K31" s="10" t="s">
        <v>454</v>
      </c>
      <c r="L31" s="64">
        <v>1890</v>
      </c>
      <c r="M31" s="64">
        <v>1890</v>
      </c>
      <c r="N31" s="64">
        <v>1890</v>
      </c>
      <c r="O31" s="64">
        <v>351</v>
      </c>
      <c r="P31" s="64">
        <v>325</v>
      </c>
      <c r="Q31" s="64">
        <v>445</v>
      </c>
      <c r="R31" s="64">
        <f>N31-Q31</f>
        <v>1445</v>
      </c>
      <c r="S31" s="42">
        <f>Q31/P31</f>
        <v>1.3692307692307693</v>
      </c>
      <c r="T31" s="71">
        <f>Q31/O31</f>
        <v>1.2678062678062678</v>
      </c>
      <c r="U31" s="43">
        <f t="shared" si="6"/>
        <v>0.92592592592592593</v>
      </c>
      <c r="V31" s="43">
        <f t="shared" si="3"/>
        <v>0.17195767195767195</v>
      </c>
      <c r="W31" s="64">
        <v>1</v>
      </c>
      <c r="X31" s="64">
        <v>0</v>
      </c>
      <c r="Y31" s="64">
        <v>1</v>
      </c>
      <c r="Z31" s="64">
        <v>1</v>
      </c>
      <c r="AA31" s="64">
        <v>0</v>
      </c>
      <c r="AB31" s="64">
        <v>1</v>
      </c>
    </row>
    <row r="32" spans="1:30" x14ac:dyDescent="0.15">
      <c r="A32" s="7" t="s">
        <v>16</v>
      </c>
      <c r="B32" s="64" t="s">
        <v>812</v>
      </c>
      <c r="C32" s="64" t="s">
        <v>824</v>
      </c>
      <c r="D32" s="9" t="s">
        <v>148</v>
      </c>
      <c r="E32" s="10" t="s">
        <v>374</v>
      </c>
      <c r="F32" s="10" t="s">
        <v>580</v>
      </c>
      <c r="G32" s="10" t="s">
        <v>832</v>
      </c>
      <c r="H32" s="10" t="s">
        <v>627</v>
      </c>
      <c r="I32" s="10" t="s">
        <v>640</v>
      </c>
      <c r="J32" s="64" t="s">
        <v>833</v>
      </c>
      <c r="K32" s="10" t="s">
        <v>454</v>
      </c>
      <c r="L32" s="64">
        <v>1911</v>
      </c>
      <c r="M32" s="64">
        <v>1911</v>
      </c>
      <c r="N32" s="64">
        <v>1911</v>
      </c>
      <c r="O32" s="64">
        <v>385</v>
      </c>
      <c r="P32" s="64">
        <v>362</v>
      </c>
      <c r="U32" s="71">
        <f t="shared" si="6"/>
        <v>0.94025974025974024</v>
      </c>
      <c r="V32" s="71">
        <f t="shared" si="3"/>
        <v>0.18942961800104657</v>
      </c>
      <c r="W32" s="64">
        <v>1</v>
      </c>
      <c r="X32" s="64">
        <v>0</v>
      </c>
      <c r="Y32" s="8">
        <f>SUM(W32,X32)</f>
        <v>1</v>
      </c>
      <c r="Z32" s="64">
        <v>1</v>
      </c>
      <c r="AA32" s="64">
        <v>0</v>
      </c>
      <c r="AB32" s="64">
        <v>1</v>
      </c>
    </row>
    <row r="33" spans="1:28" x14ac:dyDescent="0.15">
      <c r="A33" s="69" t="s">
        <v>16</v>
      </c>
      <c r="B33" s="70" t="s">
        <v>715</v>
      </c>
      <c r="C33" s="8" t="s">
        <v>458</v>
      </c>
      <c r="D33" s="9" t="s">
        <v>82</v>
      </c>
      <c r="E33" s="10" t="s">
        <v>293</v>
      </c>
      <c r="F33" s="10" t="s">
        <v>580</v>
      </c>
      <c r="G33" s="10" t="s">
        <v>832</v>
      </c>
      <c r="H33" s="10" t="s">
        <v>627</v>
      </c>
      <c r="I33" s="10" t="s">
        <v>640</v>
      </c>
      <c r="J33" s="64" t="s">
        <v>833</v>
      </c>
      <c r="K33" s="10" t="s">
        <v>454</v>
      </c>
      <c r="L33" s="85">
        <v>1940</v>
      </c>
      <c r="M33" s="85">
        <v>1940</v>
      </c>
      <c r="N33" s="85">
        <v>1940</v>
      </c>
      <c r="O33" s="85">
        <v>349</v>
      </c>
      <c r="P33" s="85">
        <v>333</v>
      </c>
      <c r="Q33" s="85"/>
      <c r="R33" s="85"/>
      <c r="S33" s="71"/>
      <c r="T33" s="71"/>
      <c r="U33" s="71">
        <f t="shared" si="6"/>
        <v>0.95415472779369626</v>
      </c>
      <c r="V33" s="43">
        <f t="shared" si="3"/>
        <v>0.17164948453608248</v>
      </c>
      <c r="W33" s="64">
        <v>1</v>
      </c>
      <c r="X33" s="64">
        <v>0</v>
      </c>
      <c r="Y33" s="64">
        <f>SUM(W33,X33)</f>
        <v>1</v>
      </c>
      <c r="Z33" s="64">
        <v>1</v>
      </c>
      <c r="AA33" s="64">
        <v>0</v>
      </c>
      <c r="AB33" s="64">
        <v>1</v>
      </c>
    </row>
    <row r="34" spans="1:28" x14ac:dyDescent="0.15">
      <c r="A34" s="7" t="s">
        <v>16</v>
      </c>
      <c r="B34" s="64" t="s">
        <v>821</v>
      </c>
      <c r="C34" s="64" t="s">
        <v>824</v>
      </c>
      <c r="D34" s="77" t="s">
        <v>148</v>
      </c>
      <c r="E34" s="10" t="s">
        <v>293</v>
      </c>
      <c r="F34" s="10" t="s">
        <v>580</v>
      </c>
      <c r="G34" s="10" t="s">
        <v>832</v>
      </c>
      <c r="H34" s="10" t="s">
        <v>627</v>
      </c>
      <c r="I34" s="10" t="s">
        <v>640</v>
      </c>
      <c r="J34" s="64" t="s">
        <v>833</v>
      </c>
      <c r="K34" s="10" t="s">
        <v>454</v>
      </c>
      <c r="L34" s="64">
        <v>1980</v>
      </c>
      <c r="M34" s="64">
        <v>1980</v>
      </c>
      <c r="N34" s="64">
        <v>1980</v>
      </c>
      <c r="O34" s="64">
        <v>378</v>
      </c>
      <c r="P34" s="64">
        <v>361</v>
      </c>
      <c r="U34" s="71">
        <f t="shared" si="6"/>
        <v>0.955026455026455</v>
      </c>
      <c r="V34" s="71">
        <f t="shared" si="3"/>
        <v>0.18232323232323233</v>
      </c>
      <c r="W34" s="64">
        <v>1</v>
      </c>
      <c r="X34" s="64">
        <v>0</v>
      </c>
      <c r="Y34" s="8">
        <f>SUM(W34,X34)</f>
        <v>1</v>
      </c>
      <c r="Z34" s="64">
        <v>1</v>
      </c>
      <c r="AA34" s="64">
        <v>0</v>
      </c>
      <c r="AB34" s="64">
        <v>1</v>
      </c>
    </row>
    <row r="35" spans="1:28" x14ac:dyDescent="0.15">
      <c r="A35" s="69" t="s">
        <v>16</v>
      </c>
      <c r="B35" s="70" t="s">
        <v>604</v>
      </c>
      <c r="C35" s="70" t="s">
        <v>403</v>
      </c>
      <c r="D35" s="9" t="s">
        <v>96</v>
      </c>
      <c r="E35" s="10" t="s">
        <v>293</v>
      </c>
      <c r="F35" s="10" t="s">
        <v>580</v>
      </c>
      <c r="G35" s="10" t="s">
        <v>832</v>
      </c>
      <c r="H35" s="10" t="s">
        <v>627</v>
      </c>
      <c r="I35" s="10" t="s">
        <v>640</v>
      </c>
      <c r="J35" s="64" t="s">
        <v>833</v>
      </c>
      <c r="K35" s="10" t="s">
        <v>454</v>
      </c>
      <c r="L35" s="64">
        <v>1985.9</v>
      </c>
      <c r="M35" s="64">
        <v>1800</v>
      </c>
      <c r="N35" s="64">
        <v>1985.9</v>
      </c>
      <c r="O35" s="8">
        <v>357.36</v>
      </c>
      <c r="P35" s="8">
        <v>342.19</v>
      </c>
      <c r="Q35" s="8">
        <v>467.4</v>
      </c>
      <c r="R35" s="8">
        <f>N35-Q35</f>
        <v>1518.5</v>
      </c>
      <c r="S35" s="42">
        <f>Q35/P35</f>
        <v>1.3659078289838977</v>
      </c>
      <c r="T35" s="71">
        <f>Q35/O35</f>
        <v>1.3079247817327064</v>
      </c>
      <c r="U35" s="43">
        <f t="shared" si="6"/>
        <v>0.95754980971569281</v>
      </c>
      <c r="V35" s="43">
        <f t="shared" si="3"/>
        <v>0.17230978397703811</v>
      </c>
      <c r="W35" s="8">
        <v>0</v>
      </c>
      <c r="X35" s="64">
        <v>1</v>
      </c>
      <c r="Y35" s="64">
        <v>1</v>
      </c>
      <c r="Z35" s="8">
        <v>1</v>
      </c>
      <c r="AA35" s="8">
        <v>1</v>
      </c>
      <c r="AB35" s="64">
        <v>1</v>
      </c>
    </row>
    <row r="36" spans="1:28" x14ac:dyDescent="0.15">
      <c r="A36" s="7" t="s">
        <v>16</v>
      </c>
      <c r="B36" s="70" t="s">
        <v>617</v>
      </c>
      <c r="C36" s="8" t="s">
        <v>403</v>
      </c>
      <c r="D36" s="9" t="s">
        <v>82</v>
      </c>
      <c r="E36" s="10" t="s">
        <v>293</v>
      </c>
      <c r="F36" s="10" t="s">
        <v>580</v>
      </c>
      <c r="G36" s="10" t="s">
        <v>832</v>
      </c>
      <c r="H36" s="10" t="s">
        <v>627</v>
      </c>
      <c r="I36" s="10" t="s">
        <v>640</v>
      </c>
      <c r="J36" s="64" t="s">
        <v>833</v>
      </c>
      <c r="K36" s="10" t="s">
        <v>455</v>
      </c>
      <c r="L36" s="64">
        <v>2030</v>
      </c>
      <c r="N36" s="64">
        <v>2030</v>
      </c>
      <c r="O36" s="64">
        <v>364</v>
      </c>
      <c r="P36" s="64">
        <v>349.6</v>
      </c>
      <c r="U36" s="71">
        <f t="shared" si="6"/>
        <v>0.96043956043956047</v>
      </c>
      <c r="V36" s="71">
        <f t="shared" si="3"/>
        <v>0.17221674876847293</v>
      </c>
      <c r="W36" s="64">
        <v>1</v>
      </c>
      <c r="X36" s="64">
        <v>0</v>
      </c>
      <c r="Y36" s="8">
        <f t="shared" ref="Y36:Y41" si="7">SUM(W36,X36)</f>
        <v>1</v>
      </c>
      <c r="Z36" s="64">
        <v>1</v>
      </c>
      <c r="AA36" s="64">
        <v>0</v>
      </c>
      <c r="AB36" s="64">
        <v>1</v>
      </c>
    </row>
    <row r="37" spans="1:28" x14ac:dyDescent="0.15">
      <c r="A37" s="7" t="s">
        <v>16</v>
      </c>
      <c r="B37" s="70" t="s">
        <v>616</v>
      </c>
      <c r="C37" s="8" t="s">
        <v>403</v>
      </c>
      <c r="D37" s="9" t="s">
        <v>82</v>
      </c>
      <c r="E37" s="10" t="s">
        <v>293</v>
      </c>
      <c r="F37" s="10" t="s">
        <v>580</v>
      </c>
      <c r="G37" s="10" t="s">
        <v>832</v>
      </c>
      <c r="H37" s="10" t="s">
        <v>627</v>
      </c>
      <c r="I37" s="10" t="s">
        <v>640</v>
      </c>
      <c r="J37" s="64" t="s">
        <v>833</v>
      </c>
      <c r="K37" s="10" t="s">
        <v>455</v>
      </c>
      <c r="L37" s="64">
        <v>2298</v>
      </c>
      <c r="N37" s="64">
        <v>2298</v>
      </c>
      <c r="O37" s="64">
        <v>369.7</v>
      </c>
      <c r="P37" s="64">
        <v>357</v>
      </c>
      <c r="U37" s="71">
        <f t="shared" si="6"/>
        <v>0.96564782255883153</v>
      </c>
      <c r="V37" s="71">
        <f t="shared" si="3"/>
        <v>0.15535248041775457</v>
      </c>
      <c r="W37" s="64">
        <v>1</v>
      </c>
      <c r="X37" s="64">
        <v>0</v>
      </c>
      <c r="Y37" s="8">
        <f t="shared" si="7"/>
        <v>1</v>
      </c>
      <c r="Z37" s="64">
        <v>1</v>
      </c>
      <c r="AA37" s="64">
        <v>0</v>
      </c>
      <c r="AB37" s="64">
        <v>1</v>
      </c>
    </row>
    <row r="38" spans="1:28" x14ac:dyDescent="0.15">
      <c r="A38" s="64" t="s">
        <v>16</v>
      </c>
      <c r="B38" s="64" t="s">
        <v>415</v>
      </c>
      <c r="C38" s="70" t="s">
        <v>458</v>
      </c>
      <c r="D38" s="9" t="s">
        <v>82</v>
      </c>
      <c r="E38" s="10" t="s">
        <v>203</v>
      </c>
      <c r="F38" s="10" t="s">
        <v>581</v>
      </c>
      <c r="G38" s="10" t="s">
        <v>832</v>
      </c>
      <c r="H38" s="10" t="s">
        <v>627</v>
      </c>
      <c r="I38" s="10" t="s">
        <v>640</v>
      </c>
      <c r="J38" s="64" t="s">
        <v>833</v>
      </c>
      <c r="K38" s="10" t="s">
        <v>455</v>
      </c>
      <c r="L38" s="64">
        <v>2790</v>
      </c>
      <c r="M38" s="64">
        <v>2790</v>
      </c>
      <c r="N38" s="64">
        <v>2790</v>
      </c>
      <c r="O38" s="64">
        <v>480</v>
      </c>
      <c r="P38" s="64">
        <v>456</v>
      </c>
      <c r="Q38" s="64">
        <v>662</v>
      </c>
      <c r="R38" s="8">
        <f>L38-Q38</f>
        <v>2128</v>
      </c>
      <c r="S38" s="42">
        <f t="shared" ref="S38:S49" si="8">Q38/P38</f>
        <v>1.4517543859649122</v>
      </c>
      <c r="T38" s="71">
        <f t="shared" ref="T38:T49" si="9">Q38/O38</f>
        <v>1.3791666666666667</v>
      </c>
      <c r="U38" s="43">
        <f t="shared" si="6"/>
        <v>0.95</v>
      </c>
      <c r="V38" s="43">
        <f t="shared" si="3"/>
        <v>0.16344086021505377</v>
      </c>
      <c r="W38" s="8">
        <v>1</v>
      </c>
      <c r="X38" s="64">
        <v>0</v>
      </c>
      <c r="Y38" s="8">
        <f t="shared" si="7"/>
        <v>1</v>
      </c>
      <c r="Z38" s="8">
        <v>1</v>
      </c>
      <c r="AA38" s="8">
        <v>0</v>
      </c>
      <c r="AB38" s="64">
        <v>1</v>
      </c>
    </row>
    <row r="39" spans="1:28" x14ac:dyDescent="0.15">
      <c r="A39" s="69" t="s">
        <v>16</v>
      </c>
      <c r="B39" s="7" t="s">
        <v>50</v>
      </c>
      <c r="C39" s="70" t="s">
        <v>403</v>
      </c>
      <c r="D39" s="9" t="s">
        <v>82</v>
      </c>
      <c r="E39" s="10" t="s">
        <v>203</v>
      </c>
      <c r="F39" s="10" t="s">
        <v>581</v>
      </c>
      <c r="G39" s="10" t="s">
        <v>832</v>
      </c>
      <c r="H39" s="10" t="s">
        <v>627</v>
      </c>
      <c r="I39" s="10" t="s">
        <v>640</v>
      </c>
      <c r="J39" s="64" t="s">
        <v>833</v>
      </c>
      <c r="K39" s="10" t="s">
        <v>455</v>
      </c>
      <c r="L39" s="8">
        <v>2873</v>
      </c>
      <c r="M39" s="8">
        <v>3048</v>
      </c>
      <c r="N39" s="8">
        <v>2873</v>
      </c>
      <c r="O39" s="8">
        <v>546</v>
      </c>
      <c r="P39" s="8">
        <v>528</v>
      </c>
      <c r="Q39" s="8">
        <v>715</v>
      </c>
      <c r="R39" s="8">
        <f>N39-Q39</f>
        <v>2158</v>
      </c>
      <c r="S39" s="42">
        <f t="shared" si="8"/>
        <v>1.3541666666666667</v>
      </c>
      <c r="T39" s="71">
        <f t="shared" si="9"/>
        <v>1.3095238095238095</v>
      </c>
      <c r="U39" s="43">
        <f t="shared" si="6"/>
        <v>0.96703296703296704</v>
      </c>
      <c r="V39" s="43">
        <f t="shared" si="3"/>
        <v>0.18378002088409329</v>
      </c>
      <c r="W39" s="8">
        <v>0</v>
      </c>
      <c r="X39" s="64">
        <v>1</v>
      </c>
      <c r="Y39" s="8">
        <f t="shared" si="7"/>
        <v>1</v>
      </c>
      <c r="Z39" s="8">
        <v>1</v>
      </c>
      <c r="AA39" s="8">
        <v>0</v>
      </c>
      <c r="AB39" s="64">
        <v>1</v>
      </c>
    </row>
    <row r="40" spans="1:28" ht="14" customHeight="1" x14ac:dyDescent="0.15">
      <c r="A40" s="69" t="s">
        <v>16</v>
      </c>
      <c r="B40" s="7" t="s">
        <v>58</v>
      </c>
      <c r="C40" s="70" t="s">
        <v>403</v>
      </c>
      <c r="D40" s="9" t="s">
        <v>965</v>
      </c>
      <c r="E40" s="10" t="s">
        <v>203</v>
      </c>
      <c r="F40" s="10" t="s">
        <v>581</v>
      </c>
      <c r="G40" s="10" t="s">
        <v>832</v>
      </c>
      <c r="H40" s="10" t="s">
        <v>627</v>
      </c>
      <c r="I40" s="10" t="s">
        <v>640</v>
      </c>
      <c r="J40" s="64" t="s">
        <v>833</v>
      </c>
      <c r="K40" s="10" t="s">
        <v>455</v>
      </c>
      <c r="L40" s="8">
        <v>2949</v>
      </c>
      <c r="M40" s="8">
        <v>2900</v>
      </c>
      <c r="N40" s="8">
        <v>2949</v>
      </c>
      <c r="O40" s="8">
        <v>508.6</v>
      </c>
      <c r="P40" s="8">
        <v>487.4</v>
      </c>
      <c r="Q40" s="8">
        <v>645.79999999999995</v>
      </c>
      <c r="R40" s="8">
        <f>N40-Q40</f>
        <v>2303.1999999999998</v>
      </c>
      <c r="S40" s="42">
        <f t="shared" si="8"/>
        <v>1.3249897414854328</v>
      </c>
      <c r="T40" s="71">
        <f t="shared" si="9"/>
        <v>1.269760125835627</v>
      </c>
      <c r="U40" s="43">
        <f t="shared" si="6"/>
        <v>0.95831694848603999</v>
      </c>
      <c r="V40" s="43">
        <f t="shared" si="3"/>
        <v>0.16527636486944727</v>
      </c>
      <c r="W40" s="8">
        <v>1</v>
      </c>
      <c r="X40" s="64">
        <v>0</v>
      </c>
      <c r="Y40" s="8">
        <f t="shared" si="7"/>
        <v>1</v>
      </c>
      <c r="Z40" s="8">
        <v>1</v>
      </c>
      <c r="AA40" s="8">
        <v>0</v>
      </c>
      <c r="AB40" s="64">
        <v>1</v>
      </c>
    </row>
    <row r="41" spans="1:28" x14ac:dyDescent="0.15">
      <c r="A41" s="69" t="s">
        <v>16</v>
      </c>
      <c r="B41" s="7" t="s">
        <v>256</v>
      </c>
      <c r="C41" s="70" t="s">
        <v>403</v>
      </c>
      <c r="D41" s="9" t="s">
        <v>148</v>
      </c>
      <c r="E41" s="10" t="s">
        <v>494</v>
      </c>
      <c r="F41" s="10" t="s">
        <v>580</v>
      </c>
      <c r="G41" s="10" t="s">
        <v>829</v>
      </c>
      <c r="H41" s="10" t="s">
        <v>626</v>
      </c>
      <c r="I41" s="10" t="s">
        <v>634</v>
      </c>
      <c r="J41" s="10" t="s">
        <v>830</v>
      </c>
      <c r="K41" s="10" t="s">
        <v>454</v>
      </c>
      <c r="L41" s="9"/>
      <c r="M41" s="8">
        <v>400</v>
      </c>
      <c r="N41" s="8"/>
      <c r="O41" s="8">
        <v>125.6</v>
      </c>
      <c r="P41" s="8">
        <v>119.3</v>
      </c>
      <c r="Q41" s="8">
        <v>165.6</v>
      </c>
      <c r="R41" s="8"/>
      <c r="S41" s="42">
        <f t="shared" si="8"/>
        <v>1.3880972338642079</v>
      </c>
      <c r="T41" s="71">
        <f t="shared" si="9"/>
        <v>1.3184713375796178</v>
      </c>
      <c r="U41" s="43">
        <f t="shared" si="6"/>
        <v>0.94984076433121023</v>
      </c>
      <c r="V41" s="43"/>
      <c r="W41" s="8">
        <v>0</v>
      </c>
      <c r="X41" s="64">
        <v>0</v>
      </c>
      <c r="Y41" s="8">
        <f t="shared" si="7"/>
        <v>0</v>
      </c>
      <c r="Z41" s="8">
        <v>0</v>
      </c>
      <c r="AA41" s="8">
        <v>0</v>
      </c>
      <c r="AB41" s="8">
        <v>0</v>
      </c>
    </row>
    <row r="42" spans="1:28" x14ac:dyDescent="0.15">
      <c r="A42" s="69" t="s">
        <v>16</v>
      </c>
      <c r="B42" s="70" t="s">
        <v>596</v>
      </c>
      <c r="C42" s="70" t="s">
        <v>403</v>
      </c>
      <c r="D42" s="9" t="s">
        <v>96</v>
      </c>
      <c r="E42" s="22" t="s">
        <v>374</v>
      </c>
      <c r="F42" s="10" t="s">
        <v>580</v>
      </c>
      <c r="G42" s="10" t="s">
        <v>832</v>
      </c>
      <c r="H42" s="10" t="s">
        <v>627</v>
      </c>
      <c r="I42" s="10"/>
      <c r="J42" s="10" t="s">
        <v>830</v>
      </c>
      <c r="K42" s="10" t="s">
        <v>454</v>
      </c>
      <c r="M42" s="8">
        <v>1600</v>
      </c>
      <c r="N42" s="64">
        <f>Q42+R42</f>
        <v>753.4</v>
      </c>
      <c r="O42" s="8">
        <v>158.9</v>
      </c>
      <c r="P42" s="8">
        <v>153.19999999999999</v>
      </c>
      <c r="Q42" s="8">
        <v>207.1</v>
      </c>
      <c r="R42" s="8">
        <v>546.29999999999995</v>
      </c>
      <c r="S42" s="42">
        <f t="shared" si="8"/>
        <v>1.3518276762402088</v>
      </c>
      <c r="T42" s="71">
        <f t="shared" si="9"/>
        <v>1.3033354310887351</v>
      </c>
      <c r="U42" s="43">
        <f t="shared" si="6"/>
        <v>0.9641283826305852</v>
      </c>
      <c r="V42" s="43">
        <f>P42/N42</f>
        <v>0.20334483674011147</v>
      </c>
      <c r="W42" s="8">
        <v>0</v>
      </c>
      <c r="X42" s="64">
        <v>0</v>
      </c>
      <c r="Y42" s="8">
        <v>0</v>
      </c>
      <c r="Z42" s="8">
        <v>0</v>
      </c>
      <c r="AA42" s="8">
        <v>0</v>
      </c>
      <c r="AB42" s="8">
        <v>0</v>
      </c>
    </row>
    <row r="43" spans="1:28" x14ac:dyDescent="0.15">
      <c r="A43" s="69" t="s">
        <v>16</v>
      </c>
      <c r="B43" s="7" t="s">
        <v>595</v>
      </c>
      <c r="C43" s="70" t="s">
        <v>403</v>
      </c>
      <c r="D43" s="9" t="s">
        <v>148</v>
      </c>
      <c r="E43" s="22" t="s">
        <v>374</v>
      </c>
      <c r="F43" s="10" t="s">
        <v>580</v>
      </c>
      <c r="G43" s="10" t="s">
        <v>829</v>
      </c>
      <c r="H43" s="10" t="s">
        <v>626</v>
      </c>
      <c r="I43" s="10" t="s">
        <v>634</v>
      </c>
      <c r="J43" s="10" t="s">
        <v>830</v>
      </c>
      <c r="K43" s="10" t="s">
        <v>454</v>
      </c>
      <c r="M43" s="8">
        <v>1200</v>
      </c>
      <c r="N43" s="64">
        <f>Q43+R43</f>
        <v>883</v>
      </c>
      <c r="O43" s="8">
        <v>189.6</v>
      </c>
      <c r="P43" s="8">
        <v>179.5</v>
      </c>
      <c r="Q43" s="8">
        <v>239</v>
      </c>
      <c r="R43" s="8">
        <v>644</v>
      </c>
      <c r="S43" s="42">
        <f t="shared" si="8"/>
        <v>1.3314763231197773</v>
      </c>
      <c r="T43" s="71">
        <f t="shared" si="9"/>
        <v>1.260548523206751</v>
      </c>
      <c r="U43" s="43">
        <f t="shared" si="6"/>
        <v>0.94672995780590719</v>
      </c>
      <c r="V43" s="43">
        <f>P43/N43</f>
        <v>0.20328425821064552</v>
      </c>
      <c r="W43" s="8">
        <v>0</v>
      </c>
      <c r="X43" s="64">
        <v>0</v>
      </c>
      <c r="Y43" s="8">
        <v>0</v>
      </c>
      <c r="Z43" s="8">
        <v>0</v>
      </c>
      <c r="AA43" s="8">
        <v>0</v>
      </c>
      <c r="AB43" s="8">
        <v>0</v>
      </c>
    </row>
    <row r="44" spans="1:28" x14ac:dyDescent="0.15">
      <c r="A44" s="69" t="s">
        <v>16</v>
      </c>
      <c r="B44" s="7" t="s">
        <v>255</v>
      </c>
      <c r="C44" s="70" t="s">
        <v>403</v>
      </c>
      <c r="D44" s="9" t="s">
        <v>82</v>
      </c>
      <c r="E44" s="10" t="s">
        <v>293</v>
      </c>
      <c r="F44" s="10" t="s">
        <v>580</v>
      </c>
      <c r="G44" s="10" t="s">
        <v>832</v>
      </c>
      <c r="H44" s="10" t="s">
        <v>627</v>
      </c>
      <c r="I44" s="10" t="s">
        <v>640</v>
      </c>
      <c r="J44" s="64" t="s">
        <v>833</v>
      </c>
      <c r="K44" s="10" t="s">
        <v>455</v>
      </c>
      <c r="L44" s="8"/>
      <c r="M44" s="8">
        <v>2200</v>
      </c>
      <c r="N44" s="8"/>
      <c r="O44" s="8">
        <v>244.3</v>
      </c>
      <c r="P44" s="8">
        <v>234.4</v>
      </c>
      <c r="Q44" s="8">
        <v>313.5</v>
      </c>
      <c r="R44" s="8"/>
      <c r="S44" s="42">
        <f t="shared" si="8"/>
        <v>1.3374573378839589</v>
      </c>
      <c r="T44" s="71">
        <f t="shared" si="9"/>
        <v>1.2832582889889479</v>
      </c>
      <c r="U44" s="43">
        <f t="shared" si="6"/>
        <v>0.95947605403192793</v>
      </c>
      <c r="V44" s="43"/>
      <c r="W44" s="8">
        <v>0</v>
      </c>
      <c r="X44" s="64">
        <v>0</v>
      </c>
      <c r="Y44" s="8">
        <f t="shared" ref="Y44:Y49" si="10">SUM(W44,X44)</f>
        <v>0</v>
      </c>
      <c r="Z44" s="8">
        <v>0</v>
      </c>
      <c r="AA44" s="8">
        <v>1</v>
      </c>
      <c r="AB44" s="8">
        <v>0</v>
      </c>
    </row>
    <row r="45" spans="1:28" x14ac:dyDescent="0.15">
      <c r="A45" s="69" t="s">
        <v>16</v>
      </c>
      <c r="B45" s="7" t="s">
        <v>232</v>
      </c>
      <c r="C45" s="70" t="s">
        <v>403</v>
      </c>
      <c r="D45" s="9" t="s">
        <v>82</v>
      </c>
      <c r="E45" s="10" t="s">
        <v>494</v>
      </c>
      <c r="F45" s="10" t="s">
        <v>580</v>
      </c>
      <c r="G45" s="10" t="s">
        <v>829</v>
      </c>
      <c r="H45" s="10" t="s">
        <v>626</v>
      </c>
      <c r="I45" s="10" t="s">
        <v>634</v>
      </c>
      <c r="J45" s="10" t="s">
        <v>830</v>
      </c>
      <c r="K45" s="10" t="s">
        <v>454</v>
      </c>
      <c r="L45" s="8"/>
      <c r="M45" s="8">
        <v>1000</v>
      </c>
      <c r="N45" s="8"/>
      <c r="O45" s="8">
        <v>435.23</v>
      </c>
      <c r="P45" s="8">
        <v>415.43</v>
      </c>
      <c r="Q45" s="8">
        <v>558.69000000000005</v>
      </c>
      <c r="R45" s="8"/>
      <c r="S45" s="42">
        <f t="shared" si="8"/>
        <v>1.3448475074019692</v>
      </c>
      <c r="T45" s="71">
        <f t="shared" si="9"/>
        <v>1.2836661075753051</v>
      </c>
      <c r="U45" s="43">
        <f t="shared" si="6"/>
        <v>0.95450681248994784</v>
      </c>
      <c r="V45" s="43"/>
      <c r="W45" s="8">
        <v>0</v>
      </c>
      <c r="X45" s="64">
        <v>0</v>
      </c>
      <c r="Y45" s="8">
        <f t="shared" si="10"/>
        <v>0</v>
      </c>
      <c r="Z45" s="8">
        <v>0</v>
      </c>
      <c r="AA45" s="8">
        <v>0</v>
      </c>
      <c r="AB45" s="8">
        <v>0</v>
      </c>
    </row>
    <row r="46" spans="1:28" x14ac:dyDescent="0.15">
      <c r="A46" s="69" t="s">
        <v>16</v>
      </c>
      <c r="B46" s="7" t="s">
        <v>227</v>
      </c>
      <c r="C46" s="70" t="s">
        <v>403</v>
      </c>
      <c r="D46" s="9" t="s">
        <v>82</v>
      </c>
      <c r="E46" s="10" t="s">
        <v>374</v>
      </c>
      <c r="F46" s="10" t="s">
        <v>580</v>
      </c>
      <c r="G46" s="10" t="s">
        <v>832</v>
      </c>
      <c r="H46" s="10"/>
      <c r="I46" s="10" t="s">
        <v>634</v>
      </c>
      <c r="J46" s="10" t="s">
        <v>830</v>
      </c>
      <c r="K46" s="10" t="s">
        <v>454</v>
      </c>
      <c r="L46" s="8"/>
      <c r="M46" s="8">
        <v>1500</v>
      </c>
      <c r="N46" s="8"/>
      <c r="O46" s="8">
        <v>808.1</v>
      </c>
      <c r="P46" s="8">
        <v>776.1</v>
      </c>
      <c r="Q46" s="8">
        <v>1039.5</v>
      </c>
      <c r="R46" s="8"/>
      <c r="S46" s="42">
        <f t="shared" si="8"/>
        <v>1.3393892539621182</v>
      </c>
      <c r="T46" s="71">
        <f t="shared" si="9"/>
        <v>1.2863506991708946</v>
      </c>
      <c r="U46" s="43">
        <f t="shared" si="6"/>
        <v>0.96040094047766367</v>
      </c>
      <c r="V46" s="43"/>
      <c r="W46" s="8">
        <v>0</v>
      </c>
      <c r="X46" s="64">
        <v>0</v>
      </c>
      <c r="Y46" s="8">
        <f t="shared" si="10"/>
        <v>0</v>
      </c>
      <c r="Z46" s="8">
        <v>0</v>
      </c>
      <c r="AA46" s="8">
        <v>0</v>
      </c>
      <c r="AB46" s="8">
        <v>0</v>
      </c>
    </row>
    <row r="47" spans="1:28" x14ac:dyDescent="0.15">
      <c r="A47" s="69" t="s">
        <v>16</v>
      </c>
      <c r="B47" s="7" t="s">
        <v>243</v>
      </c>
      <c r="C47" s="70" t="s">
        <v>403</v>
      </c>
      <c r="D47" s="9" t="s">
        <v>82</v>
      </c>
      <c r="E47" s="10" t="s">
        <v>374</v>
      </c>
      <c r="F47" s="10" t="s">
        <v>580</v>
      </c>
      <c r="G47" s="10" t="s">
        <v>829</v>
      </c>
      <c r="H47" s="10" t="s">
        <v>626</v>
      </c>
      <c r="I47" s="10" t="s">
        <v>634</v>
      </c>
      <c r="J47" s="10" t="s">
        <v>830</v>
      </c>
      <c r="K47" s="10" t="s">
        <v>454</v>
      </c>
      <c r="L47" s="8"/>
      <c r="M47" s="8">
        <v>1200</v>
      </c>
      <c r="N47" s="8"/>
      <c r="O47" s="8">
        <v>831.7</v>
      </c>
      <c r="P47" s="8">
        <v>804.6</v>
      </c>
      <c r="Q47" s="8">
        <v>1068.3</v>
      </c>
      <c r="R47" s="8"/>
      <c r="S47" s="42">
        <f t="shared" si="8"/>
        <v>1.3277404921700222</v>
      </c>
      <c r="T47" s="71">
        <f t="shared" si="9"/>
        <v>1.2844775760490561</v>
      </c>
      <c r="U47" s="43">
        <f t="shared" si="6"/>
        <v>0.96741613562582662</v>
      </c>
      <c r="V47" s="43"/>
      <c r="W47" s="8">
        <v>0</v>
      </c>
      <c r="X47" s="64">
        <v>0</v>
      </c>
      <c r="Y47" s="8">
        <f t="shared" si="10"/>
        <v>0</v>
      </c>
      <c r="Z47" s="8">
        <v>0</v>
      </c>
      <c r="AA47" s="8">
        <v>0</v>
      </c>
      <c r="AB47" s="8">
        <v>0</v>
      </c>
    </row>
    <row r="48" spans="1:28" x14ac:dyDescent="0.15">
      <c r="A48" s="69" t="s">
        <v>16</v>
      </c>
      <c r="B48" s="7" t="s">
        <v>250</v>
      </c>
      <c r="C48" s="70" t="s">
        <v>403</v>
      </c>
      <c r="D48" s="9" t="s">
        <v>82</v>
      </c>
      <c r="E48" s="10" t="s">
        <v>494</v>
      </c>
      <c r="F48" s="10" t="s">
        <v>580</v>
      </c>
      <c r="G48" s="10" t="s">
        <v>829</v>
      </c>
      <c r="H48" s="10" t="s">
        <v>626</v>
      </c>
      <c r="I48" s="10" t="s">
        <v>634</v>
      </c>
      <c r="J48" s="10" t="s">
        <v>830</v>
      </c>
      <c r="K48" s="10" t="s">
        <v>454</v>
      </c>
      <c r="L48" s="8"/>
      <c r="M48" s="8">
        <v>1000</v>
      </c>
      <c r="N48" s="8"/>
      <c r="O48" s="8">
        <v>1056.5999999999999</v>
      </c>
      <c r="P48" s="8">
        <v>1003.5</v>
      </c>
      <c r="Q48" s="8">
        <v>1355.2</v>
      </c>
      <c r="R48" s="8"/>
      <c r="S48" s="42">
        <f t="shared" si="8"/>
        <v>1.3504733432984555</v>
      </c>
      <c r="T48" s="71">
        <f t="shared" si="9"/>
        <v>1.2826045807306456</v>
      </c>
      <c r="U48" s="43">
        <f t="shared" si="6"/>
        <v>0.9497444633730836</v>
      </c>
      <c r="V48" s="43"/>
      <c r="W48" s="8">
        <v>0</v>
      </c>
      <c r="X48" s="64">
        <v>0</v>
      </c>
      <c r="Y48" s="8">
        <f t="shared" si="10"/>
        <v>0</v>
      </c>
      <c r="Z48" s="8">
        <v>0</v>
      </c>
      <c r="AA48" s="8">
        <v>0</v>
      </c>
      <c r="AB48" s="8">
        <v>0</v>
      </c>
    </row>
    <row r="49" spans="1:28" x14ac:dyDescent="0.15">
      <c r="A49" s="69" t="s">
        <v>16</v>
      </c>
      <c r="B49" s="7" t="s">
        <v>238</v>
      </c>
      <c r="C49" s="70" t="s">
        <v>403</v>
      </c>
      <c r="D49" s="9" t="s">
        <v>148</v>
      </c>
      <c r="E49" s="10" t="s">
        <v>293</v>
      </c>
      <c r="F49" s="10" t="s">
        <v>580</v>
      </c>
      <c r="G49" s="10" t="s">
        <v>832</v>
      </c>
      <c r="H49" s="10" t="s">
        <v>627</v>
      </c>
      <c r="I49" s="10" t="s">
        <v>640</v>
      </c>
      <c r="J49" s="64" t="s">
        <v>833</v>
      </c>
      <c r="K49" s="10"/>
      <c r="L49" s="8"/>
      <c r="M49" s="8">
        <v>2000</v>
      </c>
      <c r="N49" s="8"/>
      <c r="O49" s="8">
        <v>3404.8</v>
      </c>
      <c r="P49" s="8">
        <v>3288.2</v>
      </c>
      <c r="Q49" s="8">
        <v>4420.5</v>
      </c>
      <c r="R49" s="8"/>
      <c r="S49" s="42">
        <f t="shared" si="8"/>
        <v>1.3443525333008941</v>
      </c>
      <c r="T49" s="71">
        <f t="shared" si="9"/>
        <v>1.298314144736842</v>
      </c>
      <c r="U49" s="43">
        <f t="shared" si="6"/>
        <v>0.96575422932330812</v>
      </c>
      <c r="V49" s="43"/>
      <c r="W49" s="8">
        <v>0</v>
      </c>
      <c r="X49" s="64">
        <v>0</v>
      </c>
      <c r="Y49" s="8">
        <f t="shared" si="10"/>
        <v>0</v>
      </c>
      <c r="Z49" s="8">
        <v>0</v>
      </c>
      <c r="AA49" s="8">
        <v>0</v>
      </c>
      <c r="AB49" s="8">
        <v>0</v>
      </c>
    </row>
  </sheetData>
  <sortState xmlns:xlrd2="http://schemas.microsoft.com/office/spreadsheetml/2017/richdata2" ref="A2:AB49">
    <sortCondition ref="L1:L49"/>
  </sortState>
  <phoneticPr fontId="23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E47B-B3EC-A947-A753-5AAD2F524260}">
  <dimension ref="A1:AG212"/>
  <sheetViews>
    <sheetView zoomScale="94" zoomScaleNormal="106" workbookViewId="0">
      <selection activeCell="P8" sqref="P8"/>
    </sheetView>
  </sheetViews>
  <sheetFormatPr baseColWidth="10" defaultRowHeight="15" x14ac:dyDescent="0.2"/>
  <cols>
    <col min="1" max="1" width="10.83203125" style="28"/>
    <col min="2" max="2" width="12.33203125" style="28" customWidth="1"/>
    <col min="3" max="3" width="10.83203125" style="28"/>
    <col min="4" max="4" width="10.83203125" style="35" customWidth="1"/>
    <col min="5" max="5" width="11.83203125" style="35" bestFit="1" customWidth="1"/>
    <col min="6" max="6" width="10.83203125" style="28"/>
    <col min="7" max="9" width="11" style="28" bestFit="1" customWidth="1"/>
    <col min="10" max="15" width="10.83203125" style="28"/>
    <col min="16" max="17" width="11" style="141" bestFit="1" customWidth="1"/>
    <col min="18" max="19" width="10.83203125" style="141" customWidth="1"/>
    <col min="20" max="20" width="11" style="141" bestFit="1" customWidth="1"/>
    <col min="21" max="21" width="11.1640625" style="141" customWidth="1"/>
    <col min="22" max="23" width="11" style="28" bestFit="1" customWidth="1"/>
    <col min="24" max="27" width="11.83203125" style="28" bestFit="1" customWidth="1"/>
    <col min="28" max="30" width="10.83203125" style="28"/>
    <col min="31" max="31" width="12.5" style="28" bestFit="1" customWidth="1"/>
    <col min="32" max="16384" width="10.83203125" style="28"/>
  </cols>
  <sheetData>
    <row r="1" spans="1:33" ht="15.75" customHeight="1" x14ac:dyDescent="0.2">
      <c r="A1" s="207" t="s">
        <v>0</v>
      </c>
      <c r="B1" s="207" t="s">
        <v>402</v>
      </c>
      <c r="C1" s="207" t="s">
        <v>400</v>
      </c>
      <c r="D1" s="208" t="s">
        <v>81</v>
      </c>
      <c r="E1" s="208" t="s">
        <v>442</v>
      </c>
      <c r="F1" s="208" t="s">
        <v>583</v>
      </c>
      <c r="G1" s="208" t="s">
        <v>589</v>
      </c>
      <c r="H1" s="208" t="s">
        <v>450</v>
      </c>
      <c r="I1" s="208" t="s">
        <v>451</v>
      </c>
      <c r="J1" s="208" t="s">
        <v>630</v>
      </c>
      <c r="K1" s="208" t="s">
        <v>632</v>
      </c>
      <c r="L1" s="208" t="s">
        <v>633</v>
      </c>
      <c r="M1" s="208" t="s">
        <v>635</v>
      </c>
      <c r="N1" s="208" t="s">
        <v>636</v>
      </c>
      <c r="O1" s="208" t="s">
        <v>637</v>
      </c>
      <c r="P1" s="73" t="s">
        <v>412</v>
      </c>
      <c r="Q1" s="73" t="s">
        <v>449</v>
      </c>
      <c r="R1" s="73" t="s">
        <v>469</v>
      </c>
      <c r="S1" s="73" t="s">
        <v>448</v>
      </c>
      <c r="T1" s="73" t="s">
        <v>28</v>
      </c>
      <c r="U1" s="73" t="s">
        <v>6</v>
      </c>
      <c r="V1" s="207" t="s">
        <v>5</v>
      </c>
      <c r="W1" s="207" t="s">
        <v>4</v>
      </c>
      <c r="X1" s="207" t="s">
        <v>441</v>
      </c>
      <c r="Y1" s="207" t="s">
        <v>452</v>
      </c>
      <c r="Z1" s="207" t="s">
        <v>440</v>
      </c>
      <c r="AA1" s="207" t="s">
        <v>439</v>
      </c>
      <c r="AB1" s="207" t="s">
        <v>445</v>
      </c>
      <c r="AC1" s="207" t="s">
        <v>444</v>
      </c>
      <c r="AD1" s="207" t="s">
        <v>443</v>
      </c>
      <c r="AE1" s="28" t="s">
        <v>446</v>
      </c>
      <c r="AF1" s="207" t="s">
        <v>447</v>
      </c>
      <c r="AG1" s="207" t="s">
        <v>807</v>
      </c>
    </row>
    <row r="2" spans="1:33" x14ac:dyDescent="0.2">
      <c r="A2" s="206" t="s">
        <v>465</v>
      </c>
      <c r="B2" s="28" t="s">
        <v>421</v>
      </c>
      <c r="C2" s="28" t="s">
        <v>458</v>
      </c>
      <c r="D2" s="35" t="s">
        <v>82</v>
      </c>
      <c r="E2" s="35" t="s">
        <v>494</v>
      </c>
      <c r="F2" s="35" t="s">
        <v>580</v>
      </c>
      <c r="G2" s="35" t="s">
        <v>620</v>
      </c>
      <c r="H2" s="208" t="s">
        <v>638</v>
      </c>
      <c r="I2" s="208" t="s">
        <v>457</v>
      </c>
      <c r="J2" s="35" t="s">
        <v>626</v>
      </c>
      <c r="K2" s="208" t="s">
        <v>634</v>
      </c>
      <c r="L2" s="208" t="s">
        <v>629</v>
      </c>
      <c r="M2" s="35" t="s">
        <v>631</v>
      </c>
      <c r="N2" s="35" t="s">
        <v>454</v>
      </c>
      <c r="O2" s="35" t="s">
        <v>834</v>
      </c>
      <c r="P2" s="141">
        <v>825</v>
      </c>
      <c r="Q2" s="141">
        <v>825</v>
      </c>
      <c r="R2" s="141">
        <v>825</v>
      </c>
      <c r="S2" s="141">
        <v>825</v>
      </c>
      <c r="T2" s="141">
        <v>205</v>
      </c>
      <c r="U2" s="73">
        <v>193</v>
      </c>
      <c r="V2" s="207">
        <v>255</v>
      </c>
      <c r="X2" s="213">
        <f>V2/U2</f>
        <v>1.3212435233160622</v>
      </c>
      <c r="Y2" s="214">
        <f>V2/T2</f>
        <v>1.2439024390243902</v>
      </c>
      <c r="Z2" s="214">
        <f t="shared" ref="Z2:Z28" si="0">U2/T2</f>
        <v>0.94146341463414629</v>
      </c>
      <c r="AA2" s="214">
        <f>U2/S2</f>
        <v>0.23393939393939395</v>
      </c>
      <c r="AB2" s="215">
        <v>1</v>
      </c>
      <c r="AC2" s="215">
        <v>0</v>
      </c>
      <c r="AD2" s="215">
        <f>SUM(AB2:AC2)</f>
        <v>1</v>
      </c>
      <c r="AE2" s="215">
        <v>1</v>
      </c>
      <c r="AF2" s="216">
        <v>0</v>
      </c>
      <c r="AG2" s="215">
        <v>1</v>
      </c>
    </row>
    <row r="3" spans="1:33" ht="14" customHeight="1" x14ac:dyDescent="0.2">
      <c r="A3" s="206" t="s">
        <v>465</v>
      </c>
      <c r="B3" s="28" t="s">
        <v>282</v>
      </c>
      <c r="C3" s="207" t="s">
        <v>403</v>
      </c>
      <c r="D3" s="35" t="s">
        <v>96</v>
      </c>
      <c r="E3" s="35" t="s">
        <v>494</v>
      </c>
      <c r="F3" s="35" t="s">
        <v>580</v>
      </c>
      <c r="G3" s="35" t="s">
        <v>620</v>
      </c>
      <c r="H3" s="208" t="s">
        <v>638</v>
      </c>
      <c r="I3" s="208" t="s">
        <v>457</v>
      </c>
      <c r="J3" s="35" t="s">
        <v>626</v>
      </c>
      <c r="K3" s="208" t="s">
        <v>634</v>
      </c>
      <c r="L3" s="208" t="s">
        <v>629</v>
      </c>
      <c r="M3" s="35" t="s">
        <v>631</v>
      </c>
      <c r="N3" s="35" t="s">
        <v>454</v>
      </c>
      <c r="O3" s="35" t="s">
        <v>834</v>
      </c>
      <c r="P3" s="141">
        <v>872.2</v>
      </c>
      <c r="Q3" s="141">
        <v>800</v>
      </c>
      <c r="R3" s="141">
        <v>872.2</v>
      </c>
      <c r="S3" s="141">
        <v>872.2</v>
      </c>
      <c r="T3" s="141">
        <v>213.9</v>
      </c>
      <c r="U3" s="141">
        <v>205</v>
      </c>
      <c r="V3" s="28">
        <v>272.2</v>
      </c>
      <c r="W3" s="212">
        <v>600</v>
      </c>
      <c r="X3" s="213">
        <f>V3/U3</f>
        <v>1.3278048780487803</v>
      </c>
      <c r="Y3" s="214">
        <f>V3/T3</f>
        <v>1.2725572697522205</v>
      </c>
      <c r="Z3" s="214">
        <f t="shared" si="0"/>
        <v>0.95839177185600744</v>
      </c>
      <c r="AA3" s="214">
        <f>U3/S3</f>
        <v>0.23503783535886263</v>
      </c>
      <c r="AB3" s="215">
        <v>1</v>
      </c>
      <c r="AC3" s="215">
        <v>0</v>
      </c>
      <c r="AD3" s="215">
        <f>SUM(AB3:AC3)</f>
        <v>1</v>
      </c>
      <c r="AE3" s="215">
        <v>1</v>
      </c>
      <c r="AF3" s="216">
        <v>0</v>
      </c>
      <c r="AG3" s="215">
        <v>1</v>
      </c>
    </row>
    <row r="4" spans="1:33" ht="15" customHeight="1" x14ac:dyDescent="0.2">
      <c r="A4" s="206" t="s">
        <v>465</v>
      </c>
      <c r="B4" t="s">
        <v>898</v>
      </c>
      <c r="C4" s="224" t="s">
        <v>824</v>
      </c>
      <c r="D4" s="35" t="s">
        <v>148</v>
      </c>
      <c r="E4" s="225" t="s">
        <v>494</v>
      </c>
      <c r="F4" s="35" t="s">
        <v>580</v>
      </c>
      <c r="G4" s="35" t="s">
        <v>620</v>
      </c>
      <c r="H4" s="208" t="s">
        <v>638</v>
      </c>
      <c r="I4" s="208" t="s">
        <v>457</v>
      </c>
      <c r="J4" s="35" t="s">
        <v>626</v>
      </c>
      <c r="K4" s="208" t="s">
        <v>634</v>
      </c>
      <c r="L4" s="208" t="s">
        <v>629</v>
      </c>
      <c r="M4" s="35" t="s">
        <v>631</v>
      </c>
      <c r="N4" s="35" t="s">
        <v>454</v>
      </c>
      <c r="O4" s="35" t="s">
        <v>834</v>
      </c>
      <c r="P4">
        <v>874</v>
      </c>
      <c r="Q4">
        <v>874</v>
      </c>
      <c r="R4">
        <v>874</v>
      </c>
      <c r="S4">
        <v>874</v>
      </c>
      <c r="T4">
        <v>228</v>
      </c>
      <c r="U4">
        <v>217</v>
      </c>
      <c r="Z4" s="214">
        <f t="shared" si="0"/>
        <v>0.95175438596491224</v>
      </c>
      <c r="AA4" s="214">
        <f>U4/S4</f>
        <v>0.2482837528604119</v>
      </c>
      <c r="AB4" s="28">
        <v>1</v>
      </c>
      <c r="AC4" s="28">
        <v>0</v>
      </c>
      <c r="AD4" s="28">
        <v>1</v>
      </c>
      <c r="AE4" s="28">
        <v>1</v>
      </c>
      <c r="AF4" s="28">
        <v>0</v>
      </c>
      <c r="AG4" s="28">
        <v>1</v>
      </c>
    </row>
    <row r="5" spans="1:33" ht="15" customHeight="1" x14ac:dyDescent="0.2">
      <c r="A5" s="209" t="s">
        <v>465</v>
      </c>
      <c r="B5" s="210" t="s">
        <v>528</v>
      </c>
      <c r="C5" s="210" t="s">
        <v>401</v>
      </c>
      <c r="D5" s="208" t="s">
        <v>82</v>
      </c>
      <c r="E5" s="208" t="s">
        <v>494</v>
      </c>
      <c r="F5" s="35" t="s">
        <v>580</v>
      </c>
      <c r="G5" s="35" t="s">
        <v>620</v>
      </c>
      <c r="H5" s="208" t="s">
        <v>638</v>
      </c>
      <c r="I5" s="208" t="s">
        <v>457</v>
      </c>
      <c r="J5" s="35" t="s">
        <v>626</v>
      </c>
      <c r="K5" s="208" t="s">
        <v>634</v>
      </c>
      <c r="L5" s="208" t="s">
        <v>629</v>
      </c>
      <c r="M5" s="35" t="s">
        <v>631</v>
      </c>
      <c r="N5" s="35" t="s">
        <v>454</v>
      </c>
      <c r="O5" s="35" t="s">
        <v>834</v>
      </c>
      <c r="P5" s="73">
        <v>899</v>
      </c>
      <c r="Q5" s="73">
        <v>899</v>
      </c>
      <c r="R5" s="73">
        <v>899</v>
      </c>
      <c r="S5" s="73">
        <v>899</v>
      </c>
      <c r="T5" s="73">
        <v>228</v>
      </c>
      <c r="U5" s="73">
        <v>219</v>
      </c>
      <c r="V5" s="211">
        <v>298.33333333333331</v>
      </c>
      <c r="W5" s="212">
        <f>R5-V5</f>
        <v>600.66666666666674</v>
      </c>
      <c r="X5" s="213">
        <f>V5/U5</f>
        <v>1.3622526636225265</v>
      </c>
      <c r="Y5" s="214">
        <f>V5/T5</f>
        <v>1.3084795321637426</v>
      </c>
      <c r="Z5" s="214">
        <f t="shared" si="0"/>
        <v>0.96052631578947367</v>
      </c>
      <c r="AA5" s="214">
        <f>U5/S5</f>
        <v>0.24360400444938821</v>
      </c>
      <c r="AB5" s="215">
        <v>1</v>
      </c>
      <c r="AC5" s="215">
        <v>0</v>
      </c>
      <c r="AD5" s="215">
        <f>SUM(AB5:AC5)</f>
        <v>1</v>
      </c>
      <c r="AE5" s="215">
        <v>1</v>
      </c>
      <c r="AF5" s="216">
        <v>0</v>
      </c>
      <c r="AG5" s="215">
        <v>0</v>
      </c>
    </row>
    <row r="6" spans="1:33" ht="15" customHeight="1" x14ac:dyDescent="0.2">
      <c r="A6" s="206" t="s">
        <v>465</v>
      </c>
      <c r="B6" s="28" t="s">
        <v>289</v>
      </c>
      <c r="C6" s="207" t="s">
        <v>403</v>
      </c>
      <c r="D6" s="35" t="s">
        <v>148</v>
      </c>
      <c r="E6" s="35" t="s">
        <v>494</v>
      </c>
      <c r="F6" s="35" t="s">
        <v>580</v>
      </c>
      <c r="G6" s="35" t="s">
        <v>620</v>
      </c>
      <c r="H6" s="208" t="s">
        <v>638</v>
      </c>
      <c r="I6" s="208" t="s">
        <v>457</v>
      </c>
      <c r="J6" s="35" t="s">
        <v>626</v>
      </c>
      <c r="K6" s="208" t="s">
        <v>634</v>
      </c>
      <c r="L6" s="208" t="s">
        <v>629</v>
      </c>
      <c r="M6" s="35" t="s">
        <v>631</v>
      </c>
      <c r="N6" s="35" t="s">
        <v>454</v>
      </c>
      <c r="O6" s="35" t="s">
        <v>834</v>
      </c>
      <c r="P6" s="141">
        <v>899.05</v>
      </c>
      <c r="Q6" s="141">
        <v>1000</v>
      </c>
      <c r="R6" s="141">
        <v>899.05</v>
      </c>
      <c r="S6" s="142">
        <f>V6+W6</f>
        <v>899.05</v>
      </c>
      <c r="T6" s="141">
        <v>228.37</v>
      </c>
      <c r="U6" s="141">
        <v>219.7</v>
      </c>
      <c r="V6" s="28">
        <v>291.58</v>
      </c>
      <c r="W6" s="212">
        <f>275.79+331.68</f>
        <v>607.47</v>
      </c>
      <c r="X6" s="213">
        <f>V6/U6</f>
        <v>1.3271734182976787</v>
      </c>
      <c r="Y6" s="214">
        <f>V6/T6</f>
        <v>1.2767876691334237</v>
      </c>
      <c r="Z6" s="214">
        <f t="shared" si="0"/>
        <v>0.96203529360248707</v>
      </c>
      <c r="AA6" s="214">
        <f>U6/S6</f>
        <v>0.24436905622601635</v>
      </c>
      <c r="AB6" s="215">
        <v>0</v>
      </c>
      <c r="AC6" s="215">
        <v>1</v>
      </c>
      <c r="AD6" s="215">
        <f>SUM(AB6:AC6)</f>
        <v>1</v>
      </c>
      <c r="AE6" s="215">
        <v>1</v>
      </c>
      <c r="AF6" s="216">
        <v>1</v>
      </c>
      <c r="AG6" s="217">
        <v>1</v>
      </c>
    </row>
    <row r="7" spans="1:33" ht="15" customHeight="1" x14ac:dyDescent="0.2">
      <c r="A7" s="207" t="s">
        <v>19</v>
      </c>
      <c r="B7" s="28" t="s">
        <v>360</v>
      </c>
      <c r="C7" s="207" t="s">
        <v>403</v>
      </c>
      <c r="D7" s="35" t="s">
        <v>82</v>
      </c>
      <c r="E7" s="35" t="s">
        <v>494</v>
      </c>
      <c r="F7" s="35" t="s">
        <v>580</v>
      </c>
      <c r="G7" s="35" t="s">
        <v>620</v>
      </c>
      <c r="H7" s="208" t="s">
        <v>638</v>
      </c>
      <c r="I7" s="208" t="s">
        <v>457</v>
      </c>
      <c r="J7" s="35" t="s">
        <v>626</v>
      </c>
      <c r="K7" s="208" t="s">
        <v>634</v>
      </c>
      <c r="L7" s="208" t="s">
        <v>629</v>
      </c>
      <c r="M7" s="35" t="s">
        <v>631</v>
      </c>
      <c r="N7" s="35" t="s">
        <v>454</v>
      </c>
      <c r="O7" s="35" t="s">
        <v>834</v>
      </c>
      <c r="P7" s="141">
        <v>906.8</v>
      </c>
      <c r="R7" s="141">
        <v>906.8</v>
      </c>
      <c r="S7" s="141">
        <v>906.8</v>
      </c>
      <c r="T7" s="141">
        <v>260.02999999999997</v>
      </c>
      <c r="U7" s="141">
        <v>252</v>
      </c>
      <c r="V7" s="28">
        <v>319.86</v>
      </c>
      <c r="W7" s="28">
        <f>S7-V7</f>
        <v>586.93999999999994</v>
      </c>
      <c r="X7" s="213">
        <f>V7/U7</f>
        <v>1.2692857142857144</v>
      </c>
      <c r="Y7" s="214">
        <f>V7/T7</f>
        <v>1.2300888359035498</v>
      </c>
      <c r="Z7" s="214">
        <f t="shared" si="0"/>
        <v>0.96911894781371388</v>
      </c>
      <c r="AA7" s="214"/>
      <c r="AB7" s="215">
        <v>1</v>
      </c>
      <c r="AC7" s="215">
        <v>0</v>
      </c>
      <c r="AD7" s="28">
        <v>1</v>
      </c>
      <c r="AE7" s="215">
        <v>1</v>
      </c>
      <c r="AF7" s="216">
        <v>0</v>
      </c>
      <c r="AG7" s="215">
        <v>1</v>
      </c>
    </row>
    <row r="8" spans="1:33" ht="14" customHeight="1" x14ac:dyDescent="0.2">
      <c r="A8" s="206" t="s">
        <v>465</v>
      </c>
      <c r="B8" t="s">
        <v>855</v>
      </c>
      <c r="C8" s="224" t="s">
        <v>824</v>
      </c>
      <c r="D8" s="35" t="s">
        <v>148</v>
      </c>
      <c r="E8" s="225" t="s">
        <v>494</v>
      </c>
      <c r="F8" s="35" t="s">
        <v>580</v>
      </c>
      <c r="G8" s="35" t="s">
        <v>620</v>
      </c>
      <c r="H8" s="208" t="s">
        <v>638</v>
      </c>
      <c r="I8" s="208" t="s">
        <v>457</v>
      </c>
      <c r="J8" s="35" t="s">
        <v>626</v>
      </c>
      <c r="K8" s="208" t="s">
        <v>634</v>
      </c>
      <c r="L8" s="208" t="s">
        <v>629</v>
      </c>
      <c r="M8" s="35" t="s">
        <v>631</v>
      </c>
      <c r="N8" s="35" t="s">
        <v>454</v>
      </c>
      <c r="O8" s="35" t="s">
        <v>834</v>
      </c>
      <c r="P8" s="147">
        <v>980</v>
      </c>
      <c r="Q8" s="147">
        <v>980</v>
      </c>
      <c r="R8" s="147">
        <v>980</v>
      </c>
      <c r="S8" s="147">
        <v>980</v>
      </c>
      <c r="T8" s="147">
        <v>243</v>
      </c>
      <c r="U8" s="147">
        <v>232</v>
      </c>
      <c r="Z8" s="214">
        <f t="shared" si="0"/>
        <v>0.95473251028806583</v>
      </c>
      <c r="AA8" s="214">
        <f t="shared" ref="AA8:AA39" si="1">U8/S8</f>
        <v>0.23673469387755103</v>
      </c>
      <c r="AB8" s="28">
        <v>1</v>
      </c>
      <c r="AC8" s="28">
        <v>0</v>
      </c>
      <c r="AD8" s="28">
        <v>1</v>
      </c>
      <c r="AE8" s="28">
        <v>1</v>
      </c>
      <c r="AF8" s="28">
        <v>0</v>
      </c>
      <c r="AG8" s="28">
        <v>1</v>
      </c>
    </row>
    <row r="9" spans="1:33" ht="14" customHeight="1" x14ac:dyDescent="0.2">
      <c r="A9" s="209" t="s">
        <v>465</v>
      </c>
      <c r="B9" s="210" t="s">
        <v>527</v>
      </c>
      <c r="C9" s="210" t="s">
        <v>401</v>
      </c>
      <c r="D9" s="208" t="s">
        <v>82</v>
      </c>
      <c r="E9" s="208" t="s">
        <v>494</v>
      </c>
      <c r="F9" s="35" t="s">
        <v>580</v>
      </c>
      <c r="G9" s="35" t="s">
        <v>620</v>
      </c>
      <c r="H9" s="208" t="s">
        <v>638</v>
      </c>
      <c r="I9" s="208" t="s">
        <v>457</v>
      </c>
      <c r="J9" s="35" t="s">
        <v>626</v>
      </c>
      <c r="K9" s="208" t="s">
        <v>634</v>
      </c>
      <c r="L9" s="208" t="s">
        <v>629</v>
      </c>
      <c r="M9" s="35" t="s">
        <v>631</v>
      </c>
      <c r="N9" s="35" t="s">
        <v>454</v>
      </c>
      <c r="O9" s="35" t="s">
        <v>834</v>
      </c>
      <c r="P9" s="73">
        <v>990</v>
      </c>
      <c r="Q9" s="73">
        <v>990</v>
      </c>
      <c r="R9" s="73">
        <v>990</v>
      </c>
      <c r="S9" s="73">
        <v>990</v>
      </c>
      <c r="T9" s="73">
        <v>238</v>
      </c>
      <c r="U9" s="73">
        <v>229</v>
      </c>
      <c r="V9" s="211">
        <v>319</v>
      </c>
      <c r="W9" s="207">
        <v>689</v>
      </c>
      <c r="X9" s="213">
        <f>V9/U9</f>
        <v>1.3930131004366813</v>
      </c>
      <c r="Y9" s="214">
        <f>V9/T9</f>
        <v>1.3403361344537814</v>
      </c>
      <c r="Z9" s="214">
        <f t="shared" si="0"/>
        <v>0.96218487394957986</v>
      </c>
      <c r="AA9" s="214">
        <f t="shared" si="1"/>
        <v>0.2313131313131313</v>
      </c>
      <c r="AB9" s="215">
        <v>1</v>
      </c>
      <c r="AC9" s="215">
        <v>0</v>
      </c>
      <c r="AD9" s="215">
        <f>SUM(AB9:AC9)</f>
        <v>1</v>
      </c>
      <c r="AE9" s="215">
        <v>1</v>
      </c>
      <c r="AF9" s="216">
        <v>0</v>
      </c>
      <c r="AG9" s="215">
        <v>0</v>
      </c>
    </row>
    <row r="10" spans="1:33" ht="14" customHeight="1" x14ac:dyDescent="0.2">
      <c r="A10" s="206" t="s">
        <v>465</v>
      </c>
      <c r="B10" s="28" t="s">
        <v>365</v>
      </c>
      <c r="C10" s="207" t="s">
        <v>403</v>
      </c>
      <c r="D10" s="35" t="s">
        <v>148</v>
      </c>
      <c r="E10" s="35" t="s">
        <v>494</v>
      </c>
      <c r="F10" s="35" t="s">
        <v>580</v>
      </c>
      <c r="G10" s="35" t="s">
        <v>620</v>
      </c>
      <c r="H10" s="208" t="s">
        <v>638</v>
      </c>
      <c r="I10" s="208" t="s">
        <v>457</v>
      </c>
      <c r="J10" s="35" t="s">
        <v>626</v>
      </c>
      <c r="K10" s="208" t="s">
        <v>634</v>
      </c>
      <c r="L10" s="208" t="s">
        <v>629</v>
      </c>
      <c r="M10" s="35" t="s">
        <v>631</v>
      </c>
      <c r="N10" s="35" t="s">
        <v>454</v>
      </c>
      <c r="O10" s="35" t="s">
        <v>834</v>
      </c>
      <c r="P10" s="141">
        <v>992.24</v>
      </c>
      <c r="Q10" s="141">
        <v>1000</v>
      </c>
      <c r="R10" s="141">
        <v>992.24</v>
      </c>
      <c r="S10" s="141">
        <v>992.24</v>
      </c>
      <c r="T10" s="141">
        <v>241.81</v>
      </c>
      <c r="U10" s="141">
        <v>225.16</v>
      </c>
      <c r="V10" s="28">
        <v>298.48</v>
      </c>
      <c r="W10" s="212">
        <f>S10-V10</f>
        <v>693.76</v>
      </c>
      <c r="X10" s="213">
        <f>V10/U10</f>
        <v>1.3256351039260972</v>
      </c>
      <c r="Y10" s="214">
        <f>V10/T10</f>
        <v>1.2343575534510567</v>
      </c>
      <c r="Z10" s="214">
        <f t="shared" si="0"/>
        <v>0.93114428683677264</v>
      </c>
      <c r="AA10" s="214">
        <f t="shared" si="1"/>
        <v>0.22692090623236313</v>
      </c>
      <c r="AB10" s="215">
        <v>0</v>
      </c>
      <c r="AC10" s="215">
        <v>1</v>
      </c>
      <c r="AD10" s="215">
        <f>SUM(AB10:AC10)</f>
        <v>1</v>
      </c>
      <c r="AE10" s="215">
        <v>1</v>
      </c>
      <c r="AF10" s="216">
        <v>0</v>
      </c>
      <c r="AG10" s="215">
        <v>1</v>
      </c>
    </row>
    <row r="11" spans="1:33" ht="14" customHeight="1" x14ac:dyDescent="0.2">
      <c r="A11" s="206" t="s">
        <v>465</v>
      </c>
      <c r="B11" t="s">
        <v>857</v>
      </c>
      <c r="C11" s="224" t="s">
        <v>824</v>
      </c>
      <c r="D11" s="35" t="s">
        <v>148</v>
      </c>
      <c r="E11" s="225" t="s">
        <v>494</v>
      </c>
      <c r="F11" s="35" t="s">
        <v>580</v>
      </c>
      <c r="G11" s="35" t="s">
        <v>621</v>
      </c>
      <c r="H11" s="208" t="s">
        <v>638</v>
      </c>
      <c r="I11" s="208" t="s">
        <v>457</v>
      </c>
      <c r="J11" s="35" t="s">
        <v>626</v>
      </c>
      <c r="K11" s="208" t="s">
        <v>634</v>
      </c>
      <c r="L11" s="208" t="s">
        <v>629</v>
      </c>
      <c r="M11" s="35" t="s">
        <v>631</v>
      </c>
      <c r="N11" s="35" t="s">
        <v>454</v>
      </c>
      <c r="O11" s="35" t="s">
        <v>834</v>
      </c>
      <c r="P11" s="147">
        <v>1022</v>
      </c>
      <c r="Q11" s="147">
        <v>1022</v>
      </c>
      <c r="R11" s="147">
        <v>1022</v>
      </c>
      <c r="S11" s="147">
        <v>1022</v>
      </c>
      <c r="T11" s="147">
        <v>247</v>
      </c>
      <c r="U11" s="147">
        <v>237</v>
      </c>
      <c r="Z11" s="214">
        <f t="shared" si="0"/>
        <v>0.95951417004048578</v>
      </c>
      <c r="AA11" s="214">
        <f t="shared" si="1"/>
        <v>0.2318982387475538</v>
      </c>
      <c r="AB11" s="28">
        <v>1</v>
      </c>
      <c r="AC11" s="28">
        <v>0</v>
      </c>
      <c r="AD11" s="28">
        <v>1</v>
      </c>
      <c r="AE11" s="28">
        <v>1</v>
      </c>
      <c r="AF11" s="28">
        <v>0</v>
      </c>
      <c r="AG11" s="28">
        <v>1</v>
      </c>
    </row>
    <row r="12" spans="1:33" ht="14" customHeight="1" x14ac:dyDescent="0.2">
      <c r="A12" s="206" t="s">
        <v>465</v>
      </c>
      <c r="B12" t="s">
        <v>844</v>
      </c>
      <c r="C12" s="224" t="s">
        <v>824</v>
      </c>
      <c r="D12" s="35" t="s">
        <v>148</v>
      </c>
      <c r="E12" s="225" t="s">
        <v>494</v>
      </c>
      <c r="F12" s="35" t="s">
        <v>580</v>
      </c>
      <c r="G12" s="35" t="s">
        <v>621</v>
      </c>
      <c r="H12" s="208" t="s">
        <v>638</v>
      </c>
      <c r="I12" s="208" t="s">
        <v>457</v>
      </c>
      <c r="J12" s="35" t="s">
        <v>626</v>
      </c>
      <c r="K12" s="208" t="s">
        <v>634</v>
      </c>
      <c r="L12" s="208" t="s">
        <v>629</v>
      </c>
      <c r="M12" s="35" t="s">
        <v>631</v>
      </c>
      <c r="N12" s="35" t="s">
        <v>454</v>
      </c>
      <c r="O12" s="35" t="s">
        <v>834</v>
      </c>
      <c r="P12" s="147">
        <v>1028</v>
      </c>
      <c r="Q12" s="147">
        <v>1028</v>
      </c>
      <c r="R12" s="147">
        <v>1028</v>
      </c>
      <c r="S12" s="147">
        <v>1028</v>
      </c>
      <c r="T12" s="147">
        <v>248</v>
      </c>
      <c r="U12" s="147">
        <v>237</v>
      </c>
      <c r="Z12" s="214">
        <f t="shared" si="0"/>
        <v>0.95564516129032262</v>
      </c>
      <c r="AA12" s="214">
        <f t="shared" si="1"/>
        <v>0.23054474708171208</v>
      </c>
      <c r="AB12" s="28">
        <v>1</v>
      </c>
      <c r="AC12" s="28">
        <v>0</v>
      </c>
      <c r="AD12" s="28">
        <v>1</v>
      </c>
      <c r="AE12" s="28">
        <v>1</v>
      </c>
      <c r="AF12" s="28">
        <v>0</v>
      </c>
      <c r="AG12" s="28">
        <v>1</v>
      </c>
    </row>
    <row r="13" spans="1:33" ht="14" customHeight="1" x14ac:dyDescent="0.2">
      <c r="A13" s="206" t="s">
        <v>465</v>
      </c>
      <c r="B13" t="s">
        <v>860</v>
      </c>
      <c r="C13" s="224" t="s">
        <v>824</v>
      </c>
      <c r="D13" s="35" t="s">
        <v>148</v>
      </c>
      <c r="E13" s="35" t="s">
        <v>494</v>
      </c>
      <c r="F13" s="35" t="s">
        <v>580</v>
      </c>
      <c r="G13" s="35" t="s">
        <v>621</v>
      </c>
      <c r="H13" s="208" t="s">
        <v>638</v>
      </c>
      <c r="I13" s="208" t="s">
        <v>457</v>
      </c>
      <c r="J13" s="35" t="s">
        <v>626</v>
      </c>
      <c r="K13" s="208" t="s">
        <v>634</v>
      </c>
      <c r="L13" s="208" t="s">
        <v>629</v>
      </c>
      <c r="M13" s="35" t="s">
        <v>631</v>
      </c>
      <c r="N13" s="35" t="s">
        <v>454</v>
      </c>
      <c r="O13" s="35" t="s">
        <v>834</v>
      </c>
      <c r="P13" s="147">
        <v>1029</v>
      </c>
      <c r="Q13" s="147">
        <v>1029</v>
      </c>
      <c r="R13" s="147">
        <v>1029</v>
      </c>
      <c r="S13" s="147">
        <v>1029</v>
      </c>
      <c r="T13" s="147">
        <v>250</v>
      </c>
      <c r="U13" s="147">
        <v>241</v>
      </c>
      <c r="Z13" s="214">
        <f t="shared" si="0"/>
        <v>0.96399999999999997</v>
      </c>
      <c r="AA13" s="214">
        <f t="shared" si="1"/>
        <v>0.23420796890184645</v>
      </c>
      <c r="AB13" s="28">
        <v>1</v>
      </c>
      <c r="AC13" s="28">
        <v>0</v>
      </c>
      <c r="AD13" s="28">
        <v>1</v>
      </c>
      <c r="AE13" s="28">
        <v>1</v>
      </c>
      <c r="AF13" s="28">
        <v>0</v>
      </c>
      <c r="AG13" s="28">
        <v>1</v>
      </c>
    </row>
    <row r="14" spans="1:33" ht="14" customHeight="1" x14ac:dyDescent="0.2">
      <c r="A14" s="206" t="s">
        <v>465</v>
      </c>
      <c r="B14" t="s">
        <v>897</v>
      </c>
      <c r="C14" s="224" t="s">
        <v>824</v>
      </c>
      <c r="D14" s="35" t="s">
        <v>148</v>
      </c>
      <c r="E14" s="35" t="s">
        <v>494</v>
      </c>
      <c r="F14" s="35" t="s">
        <v>580</v>
      </c>
      <c r="G14" s="35" t="s">
        <v>621</v>
      </c>
      <c r="H14" s="208" t="s">
        <v>638</v>
      </c>
      <c r="I14" s="208" t="s">
        <v>457</v>
      </c>
      <c r="J14" s="35" t="s">
        <v>626</v>
      </c>
      <c r="K14" s="208" t="s">
        <v>634</v>
      </c>
      <c r="L14" s="208" t="s">
        <v>629</v>
      </c>
      <c r="M14" s="35" t="s">
        <v>631</v>
      </c>
      <c r="N14" s="35" t="s">
        <v>454</v>
      </c>
      <c r="O14" s="35" t="s">
        <v>834</v>
      </c>
      <c r="P14">
        <v>1031</v>
      </c>
      <c r="Q14">
        <v>1031</v>
      </c>
      <c r="R14">
        <v>1031</v>
      </c>
      <c r="S14">
        <v>1031</v>
      </c>
      <c r="T14">
        <v>244</v>
      </c>
      <c r="U14">
        <v>234</v>
      </c>
      <c r="Z14" s="214">
        <f t="shared" si="0"/>
        <v>0.95901639344262291</v>
      </c>
      <c r="AA14" s="214">
        <f t="shared" si="1"/>
        <v>0.22696411251212414</v>
      </c>
      <c r="AB14" s="28">
        <v>1</v>
      </c>
      <c r="AC14" s="28">
        <v>0</v>
      </c>
      <c r="AD14" s="28">
        <v>1</v>
      </c>
      <c r="AE14" s="28">
        <v>1</v>
      </c>
      <c r="AF14" s="28">
        <v>0</v>
      </c>
      <c r="AG14" s="28">
        <v>1</v>
      </c>
    </row>
    <row r="15" spans="1:33" ht="14" customHeight="1" x14ac:dyDescent="0.2">
      <c r="A15" s="206" t="s">
        <v>465</v>
      </c>
      <c r="B15" t="s">
        <v>861</v>
      </c>
      <c r="C15" s="224" t="s">
        <v>824</v>
      </c>
      <c r="D15" s="35" t="s">
        <v>148</v>
      </c>
      <c r="E15" s="35" t="s">
        <v>494</v>
      </c>
      <c r="F15" s="35" t="s">
        <v>580</v>
      </c>
      <c r="G15" s="35" t="s">
        <v>621</v>
      </c>
      <c r="H15" s="208" t="s">
        <v>638</v>
      </c>
      <c r="I15" s="208" t="s">
        <v>457</v>
      </c>
      <c r="J15" s="35" t="s">
        <v>626</v>
      </c>
      <c r="K15" s="208" t="s">
        <v>634</v>
      </c>
      <c r="L15" s="208" t="s">
        <v>629</v>
      </c>
      <c r="M15" s="35" t="s">
        <v>631</v>
      </c>
      <c r="N15" s="35" t="s">
        <v>454</v>
      </c>
      <c r="O15" s="35" t="s">
        <v>834</v>
      </c>
      <c r="P15" s="147">
        <v>1055</v>
      </c>
      <c r="Q15" s="147">
        <v>1055</v>
      </c>
      <c r="R15" s="147">
        <v>1055</v>
      </c>
      <c r="S15" s="147">
        <v>1055</v>
      </c>
      <c r="T15" s="147">
        <v>265</v>
      </c>
      <c r="U15" s="147">
        <v>252</v>
      </c>
      <c r="Z15" s="214">
        <f t="shared" si="0"/>
        <v>0.95094339622641511</v>
      </c>
      <c r="AA15" s="214">
        <f t="shared" si="1"/>
        <v>0.23886255924170616</v>
      </c>
      <c r="AB15" s="28">
        <v>1</v>
      </c>
      <c r="AC15" s="28">
        <v>0</v>
      </c>
      <c r="AD15" s="28">
        <v>1</v>
      </c>
      <c r="AE15" s="28">
        <v>1</v>
      </c>
      <c r="AF15" s="28">
        <v>0</v>
      </c>
      <c r="AG15" s="28">
        <v>1</v>
      </c>
    </row>
    <row r="16" spans="1:33" ht="14" customHeight="1" x14ac:dyDescent="0.2">
      <c r="A16" s="206" t="s">
        <v>465</v>
      </c>
      <c r="B16" t="s">
        <v>887</v>
      </c>
      <c r="C16" s="224" t="s">
        <v>824</v>
      </c>
      <c r="D16" s="35" t="s">
        <v>148</v>
      </c>
      <c r="E16" s="225" t="s">
        <v>494</v>
      </c>
      <c r="F16" s="35" t="s">
        <v>580</v>
      </c>
      <c r="G16" s="35" t="s">
        <v>621</v>
      </c>
      <c r="H16" s="208" t="s">
        <v>638</v>
      </c>
      <c r="I16" s="208" t="s">
        <v>457</v>
      </c>
      <c r="J16" s="35" t="s">
        <v>626</v>
      </c>
      <c r="K16" s="208" t="s">
        <v>634</v>
      </c>
      <c r="L16" s="208" t="s">
        <v>629</v>
      </c>
      <c r="M16" s="35" t="s">
        <v>631</v>
      </c>
      <c r="N16" s="35" t="s">
        <v>454</v>
      </c>
      <c r="O16" s="35" t="s">
        <v>834</v>
      </c>
      <c r="P16">
        <v>1056</v>
      </c>
      <c r="Q16">
        <v>1056</v>
      </c>
      <c r="R16">
        <v>1056</v>
      </c>
      <c r="S16">
        <v>1056</v>
      </c>
      <c r="T16">
        <v>257</v>
      </c>
      <c r="U16">
        <v>244</v>
      </c>
      <c r="Z16" s="214">
        <f t="shared" si="0"/>
        <v>0.94941634241245132</v>
      </c>
      <c r="AA16" s="214">
        <f t="shared" si="1"/>
        <v>0.23106060606060605</v>
      </c>
      <c r="AB16" s="28">
        <v>1</v>
      </c>
      <c r="AC16" s="28">
        <v>0</v>
      </c>
      <c r="AD16" s="28">
        <v>1</v>
      </c>
      <c r="AE16" s="28">
        <v>1</v>
      </c>
      <c r="AF16" s="28">
        <v>0</v>
      </c>
      <c r="AG16" s="28">
        <v>1</v>
      </c>
    </row>
    <row r="17" spans="1:33" ht="14" customHeight="1" x14ac:dyDescent="0.2">
      <c r="A17" s="206" t="s">
        <v>465</v>
      </c>
      <c r="B17" t="s">
        <v>845</v>
      </c>
      <c r="C17" s="224" t="s">
        <v>824</v>
      </c>
      <c r="D17" s="35" t="s">
        <v>148</v>
      </c>
      <c r="E17" s="225" t="s">
        <v>494</v>
      </c>
      <c r="F17" s="35" t="s">
        <v>580</v>
      </c>
      <c r="G17" s="35" t="s">
        <v>621</v>
      </c>
      <c r="H17" s="208" t="s">
        <v>638</v>
      </c>
      <c r="I17" s="208" t="s">
        <v>457</v>
      </c>
      <c r="J17" s="35" t="s">
        <v>626</v>
      </c>
      <c r="K17" s="208" t="s">
        <v>634</v>
      </c>
      <c r="L17" s="208" t="s">
        <v>629</v>
      </c>
      <c r="M17" s="35" t="s">
        <v>631</v>
      </c>
      <c r="N17" s="35" t="s">
        <v>454</v>
      </c>
      <c r="O17" s="35" t="s">
        <v>834</v>
      </c>
      <c r="P17" s="147">
        <v>1059</v>
      </c>
      <c r="Q17" s="147">
        <v>1059</v>
      </c>
      <c r="R17" s="147">
        <v>1059</v>
      </c>
      <c r="S17" s="147">
        <v>1059</v>
      </c>
      <c r="T17" s="147">
        <v>255</v>
      </c>
      <c r="U17" s="147">
        <v>247</v>
      </c>
      <c r="Z17" s="214">
        <f t="shared" si="0"/>
        <v>0.96862745098039216</v>
      </c>
      <c r="AA17" s="214">
        <f t="shared" si="1"/>
        <v>0.23323890462700661</v>
      </c>
      <c r="AB17" s="28">
        <v>1</v>
      </c>
      <c r="AC17" s="28">
        <v>0</v>
      </c>
      <c r="AD17" s="28">
        <v>1</v>
      </c>
      <c r="AE17" s="28">
        <v>1</v>
      </c>
      <c r="AF17" s="28">
        <v>0</v>
      </c>
      <c r="AG17" s="28">
        <v>1</v>
      </c>
    </row>
    <row r="18" spans="1:33" ht="14" customHeight="1" x14ac:dyDescent="0.2">
      <c r="A18" s="206" t="s">
        <v>465</v>
      </c>
      <c r="B18" t="s">
        <v>858</v>
      </c>
      <c r="C18" s="224" t="s">
        <v>824</v>
      </c>
      <c r="D18" s="35" t="s">
        <v>148</v>
      </c>
      <c r="E18" s="225" t="s">
        <v>494</v>
      </c>
      <c r="F18" s="35" t="s">
        <v>580</v>
      </c>
      <c r="G18" s="35" t="s">
        <v>621</v>
      </c>
      <c r="H18" s="208" t="s">
        <v>638</v>
      </c>
      <c r="I18" s="208" t="s">
        <v>457</v>
      </c>
      <c r="J18" s="35" t="s">
        <v>626</v>
      </c>
      <c r="K18" s="208" t="s">
        <v>634</v>
      </c>
      <c r="L18" s="208" t="s">
        <v>629</v>
      </c>
      <c r="M18" s="35" t="s">
        <v>631</v>
      </c>
      <c r="N18" s="35" t="s">
        <v>454</v>
      </c>
      <c r="O18" s="35" t="s">
        <v>834</v>
      </c>
      <c r="P18" s="147">
        <v>1062</v>
      </c>
      <c r="Q18" s="147">
        <v>1062</v>
      </c>
      <c r="R18" s="147">
        <v>1062</v>
      </c>
      <c r="S18" s="147">
        <v>1062</v>
      </c>
      <c r="T18" s="147">
        <v>275</v>
      </c>
      <c r="U18" s="147">
        <v>266</v>
      </c>
      <c r="Z18" s="214">
        <f t="shared" si="0"/>
        <v>0.96727272727272728</v>
      </c>
      <c r="AA18" s="214">
        <f t="shared" si="1"/>
        <v>0.2504708097928437</v>
      </c>
      <c r="AB18" s="28">
        <v>1</v>
      </c>
      <c r="AC18" s="28">
        <v>0</v>
      </c>
      <c r="AD18" s="28">
        <v>1</v>
      </c>
      <c r="AE18" s="28">
        <v>1</v>
      </c>
      <c r="AF18" s="28">
        <v>0</v>
      </c>
      <c r="AG18" s="28">
        <v>1</v>
      </c>
    </row>
    <row r="19" spans="1:33" ht="14" customHeight="1" x14ac:dyDescent="0.2">
      <c r="A19" s="206" t="s">
        <v>465</v>
      </c>
      <c r="B19" s="28" t="s">
        <v>422</v>
      </c>
      <c r="C19" s="28" t="s">
        <v>458</v>
      </c>
      <c r="D19" s="35" t="s">
        <v>82</v>
      </c>
      <c r="E19" s="35" t="s">
        <v>494</v>
      </c>
      <c r="F19" s="35" t="s">
        <v>580</v>
      </c>
      <c r="G19" s="35" t="s">
        <v>621</v>
      </c>
      <c r="H19" s="208" t="s">
        <v>638</v>
      </c>
      <c r="I19" s="208" t="s">
        <v>457</v>
      </c>
      <c r="J19" s="35" t="s">
        <v>626</v>
      </c>
      <c r="K19" s="208" t="s">
        <v>634</v>
      </c>
      <c r="L19" s="208" t="s">
        <v>629</v>
      </c>
      <c r="M19" s="35" t="s">
        <v>631</v>
      </c>
      <c r="N19" s="35" t="s">
        <v>454</v>
      </c>
      <c r="O19" s="35" t="s">
        <v>834</v>
      </c>
      <c r="P19" s="141">
        <v>1070</v>
      </c>
      <c r="Q19" s="141">
        <v>1070</v>
      </c>
      <c r="R19" s="141">
        <v>1070</v>
      </c>
      <c r="S19" s="141">
        <v>1070</v>
      </c>
      <c r="T19" s="141">
        <v>265</v>
      </c>
      <c r="U19" s="73">
        <v>257</v>
      </c>
      <c r="V19" s="207">
        <v>344</v>
      </c>
      <c r="X19" s="213">
        <f>V19/U19</f>
        <v>1.33852140077821</v>
      </c>
      <c r="Y19" s="214">
        <f>V19/T19</f>
        <v>1.2981132075471697</v>
      </c>
      <c r="Z19" s="214">
        <f t="shared" si="0"/>
        <v>0.96981132075471699</v>
      </c>
      <c r="AA19" s="214">
        <f t="shared" si="1"/>
        <v>0.24018691588785046</v>
      </c>
      <c r="AB19" s="215">
        <v>1</v>
      </c>
      <c r="AC19" s="215">
        <v>0</v>
      </c>
      <c r="AD19" s="215">
        <f>SUM(AB19:AC19)</f>
        <v>1</v>
      </c>
      <c r="AE19" s="215">
        <v>1</v>
      </c>
      <c r="AF19" s="216">
        <v>0</v>
      </c>
      <c r="AG19" s="215">
        <v>1</v>
      </c>
    </row>
    <row r="20" spans="1:33" x14ac:dyDescent="0.2">
      <c r="A20" s="206" t="s">
        <v>465</v>
      </c>
      <c r="B20" t="s">
        <v>892</v>
      </c>
      <c r="C20" s="224" t="s">
        <v>824</v>
      </c>
      <c r="D20" s="35" t="s">
        <v>148</v>
      </c>
      <c r="E20" s="35" t="s">
        <v>494</v>
      </c>
      <c r="F20" s="35" t="s">
        <v>580</v>
      </c>
      <c r="G20" s="35" t="s">
        <v>621</v>
      </c>
      <c r="H20" s="208" t="s">
        <v>638</v>
      </c>
      <c r="I20" s="208" t="s">
        <v>457</v>
      </c>
      <c r="J20" s="35" t="s">
        <v>626</v>
      </c>
      <c r="K20" s="208" t="s">
        <v>634</v>
      </c>
      <c r="L20" s="208" t="s">
        <v>629</v>
      </c>
      <c r="M20" s="35" t="s">
        <v>631</v>
      </c>
      <c r="N20" s="35" t="s">
        <v>454</v>
      </c>
      <c r="O20" s="35" t="s">
        <v>834</v>
      </c>
      <c r="P20">
        <v>1090</v>
      </c>
      <c r="Q20">
        <v>1090</v>
      </c>
      <c r="R20">
        <v>1090</v>
      </c>
      <c r="S20">
        <v>1090</v>
      </c>
      <c r="T20">
        <v>257</v>
      </c>
      <c r="U20">
        <v>248</v>
      </c>
      <c r="Z20" s="214">
        <f t="shared" si="0"/>
        <v>0.96498054474708173</v>
      </c>
      <c r="AA20" s="214">
        <f t="shared" si="1"/>
        <v>0.22752293577981653</v>
      </c>
      <c r="AB20" s="28">
        <v>1</v>
      </c>
      <c r="AC20" s="28">
        <v>0</v>
      </c>
      <c r="AD20" s="28">
        <v>1</v>
      </c>
      <c r="AE20" s="28">
        <v>1</v>
      </c>
      <c r="AF20" s="28">
        <v>0</v>
      </c>
      <c r="AG20" s="28">
        <v>1</v>
      </c>
    </row>
    <row r="21" spans="1:33" ht="14" customHeight="1" x14ac:dyDescent="0.2">
      <c r="A21" s="206" t="s">
        <v>465</v>
      </c>
      <c r="B21" t="s">
        <v>856</v>
      </c>
      <c r="C21" s="224" t="s">
        <v>824</v>
      </c>
      <c r="D21" s="35" t="s">
        <v>148</v>
      </c>
      <c r="E21" s="225" t="s">
        <v>494</v>
      </c>
      <c r="F21" s="35" t="s">
        <v>580</v>
      </c>
      <c r="G21" s="35" t="s">
        <v>621</v>
      </c>
      <c r="H21" s="208" t="s">
        <v>638</v>
      </c>
      <c r="I21" s="208" t="s">
        <v>457</v>
      </c>
      <c r="J21" s="35" t="s">
        <v>626</v>
      </c>
      <c r="K21" s="208" t="s">
        <v>634</v>
      </c>
      <c r="L21" s="208" t="s">
        <v>629</v>
      </c>
      <c r="M21" s="35" t="s">
        <v>631</v>
      </c>
      <c r="N21" s="35" t="s">
        <v>454</v>
      </c>
      <c r="O21" s="35" t="s">
        <v>834</v>
      </c>
      <c r="P21" s="147">
        <v>1098</v>
      </c>
      <c r="Q21" s="147">
        <v>1098</v>
      </c>
      <c r="R21" s="147">
        <v>1098</v>
      </c>
      <c r="S21" s="147">
        <v>1098</v>
      </c>
      <c r="T21" s="147">
        <v>273</v>
      </c>
      <c r="U21" s="147">
        <v>259</v>
      </c>
      <c r="Z21" s="214">
        <f t="shared" si="0"/>
        <v>0.94871794871794868</v>
      </c>
      <c r="AA21" s="214">
        <f t="shared" si="1"/>
        <v>0.23588342440801457</v>
      </c>
      <c r="AB21" s="28">
        <v>1</v>
      </c>
      <c r="AC21" s="28">
        <v>0</v>
      </c>
      <c r="AD21" s="28">
        <v>1</v>
      </c>
      <c r="AE21" s="28">
        <v>1</v>
      </c>
      <c r="AF21" s="28">
        <v>0</v>
      </c>
      <c r="AG21" s="28">
        <v>1</v>
      </c>
    </row>
    <row r="22" spans="1:33" ht="14" customHeight="1" x14ac:dyDescent="0.2">
      <c r="A22" s="206" t="s">
        <v>465</v>
      </c>
      <c r="B22" s="28" t="s">
        <v>306</v>
      </c>
      <c r="C22" s="207" t="s">
        <v>403</v>
      </c>
      <c r="D22" s="35" t="s">
        <v>148</v>
      </c>
      <c r="E22" s="35" t="s">
        <v>494</v>
      </c>
      <c r="F22" s="35" t="s">
        <v>580</v>
      </c>
      <c r="G22" s="35" t="s">
        <v>621</v>
      </c>
      <c r="H22" s="208" t="s">
        <v>638</v>
      </c>
      <c r="I22" s="208" t="s">
        <v>457</v>
      </c>
      <c r="J22" s="35" t="s">
        <v>626</v>
      </c>
      <c r="K22" s="208" t="s">
        <v>634</v>
      </c>
      <c r="L22" s="208" t="s">
        <v>629</v>
      </c>
      <c r="M22" s="35" t="s">
        <v>631</v>
      </c>
      <c r="N22" s="35" t="s">
        <v>454</v>
      </c>
      <c r="O22" s="35" t="s">
        <v>834</v>
      </c>
      <c r="P22" s="141">
        <v>1098.0999999999999</v>
      </c>
      <c r="Q22" s="141">
        <v>1000</v>
      </c>
      <c r="R22" s="141">
        <v>1098.0999999999999</v>
      </c>
      <c r="S22" s="141">
        <v>1098.0999999999999</v>
      </c>
      <c r="T22" s="141">
        <v>312.52</v>
      </c>
      <c r="U22" s="141">
        <v>299.73</v>
      </c>
      <c r="V22" s="28">
        <v>392.11</v>
      </c>
      <c r="W22" s="212">
        <v>733.4</v>
      </c>
      <c r="X22" s="213">
        <f>V22/U22</f>
        <v>1.308210722984019</v>
      </c>
      <c r="Y22" s="214">
        <f>V22/T22</f>
        <v>1.2546717010111355</v>
      </c>
      <c r="Z22" s="214">
        <f t="shared" si="0"/>
        <v>0.95907461922436976</v>
      </c>
      <c r="AA22" s="214">
        <f t="shared" si="1"/>
        <v>0.27295328294326571</v>
      </c>
      <c r="AB22" s="215">
        <v>0</v>
      </c>
      <c r="AC22" s="215">
        <v>1</v>
      </c>
      <c r="AD22" s="215">
        <f>SUM(AB22:AC22)</f>
        <v>1</v>
      </c>
      <c r="AE22" s="215">
        <v>1</v>
      </c>
      <c r="AF22" s="216">
        <v>0</v>
      </c>
      <c r="AG22" s="215">
        <v>1</v>
      </c>
    </row>
    <row r="23" spans="1:33" ht="16" x14ac:dyDescent="0.2">
      <c r="A23" s="206" t="s">
        <v>465</v>
      </c>
      <c r="B23" t="s">
        <v>863</v>
      </c>
      <c r="C23" s="224" t="s">
        <v>824</v>
      </c>
      <c r="D23" s="35" t="s">
        <v>148</v>
      </c>
      <c r="E23" s="225" t="s">
        <v>494</v>
      </c>
      <c r="F23" s="35" t="s">
        <v>580</v>
      </c>
      <c r="G23" s="35" t="s">
        <v>621</v>
      </c>
      <c r="H23" s="208" t="s">
        <v>638</v>
      </c>
      <c r="I23" s="208" t="s">
        <v>457</v>
      </c>
      <c r="J23" s="35" t="s">
        <v>626</v>
      </c>
      <c r="K23" s="208" t="s">
        <v>634</v>
      </c>
      <c r="L23" s="208" t="s">
        <v>629</v>
      </c>
      <c r="M23" s="35" t="s">
        <v>631</v>
      </c>
      <c r="N23" s="35" t="s">
        <v>454</v>
      </c>
      <c r="O23" s="35" t="s">
        <v>834</v>
      </c>
      <c r="P23" s="147">
        <v>1110</v>
      </c>
      <c r="Q23" s="147">
        <v>1110</v>
      </c>
      <c r="R23" s="147">
        <v>1110</v>
      </c>
      <c r="S23" s="147">
        <v>1110</v>
      </c>
      <c r="T23" s="147">
        <v>265</v>
      </c>
      <c r="U23" s="147">
        <v>255</v>
      </c>
      <c r="Z23" s="214">
        <f t="shared" si="0"/>
        <v>0.96226415094339623</v>
      </c>
      <c r="AA23" s="214">
        <f t="shared" si="1"/>
        <v>0.22972972972972974</v>
      </c>
      <c r="AB23" s="28">
        <v>1</v>
      </c>
      <c r="AC23" s="28">
        <v>0</v>
      </c>
      <c r="AD23" s="28">
        <v>1</v>
      </c>
      <c r="AE23" s="28">
        <v>1</v>
      </c>
      <c r="AF23" s="28">
        <v>0</v>
      </c>
      <c r="AG23" s="28">
        <v>1</v>
      </c>
    </row>
    <row r="24" spans="1:33" x14ac:dyDescent="0.2">
      <c r="A24" s="206" t="s">
        <v>465</v>
      </c>
      <c r="B24" t="s">
        <v>894</v>
      </c>
      <c r="C24" s="224" t="s">
        <v>824</v>
      </c>
      <c r="D24" s="35" t="s">
        <v>148</v>
      </c>
      <c r="E24" s="35" t="s">
        <v>494</v>
      </c>
      <c r="F24" s="35" t="s">
        <v>580</v>
      </c>
      <c r="G24" s="35" t="s">
        <v>621</v>
      </c>
      <c r="H24" s="208" t="s">
        <v>638</v>
      </c>
      <c r="I24" s="208" t="s">
        <v>457</v>
      </c>
      <c r="J24" s="35" t="s">
        <v>626</v>
      </c>
      <c r="K24" s="208" t="s">
        <v>634</v>
      </c>
      <c r="L24" s="208" t="s">
        <v>629</v>
      </c>
      <c r="M24" s="35" t="s">
        <v>631</v>
      </c>
      <c r="N24" s="35" t="s">
        <v>454</v>
      </c>
      <c r="O24" s="35" t="s">
        <v>834</v>
      </c>
      <c r="P24">
        <v>1111</v>
      </c>
      <c r="Q24">
        <v>1111</v>
      </c>
      <c r="R24">
        <v>1111</v>
      </c>
      <c r="S24">
        <v>1111</v>
      </c>
      <c r="T24">
        <v>264</v>
      </c>
      <c r="U24">
        <v>254</v>
      </c>
      <c r="Z24" s="214">
        <f t="shared" si="0"/>
        <v>0.96212121212121215</v>
      </c>
      <c r="AA24" s="214">
        <f t="shared" si="1"/>
        <v>0.22862286228622863</v>
      </c>
      <c r="AB24" s="28">
        <v>1</v>
      </c>
      <c r="AC24" s="28">
        <v>0</v>
      </c>
      <c r="AD24" s="28">
        <v>1</v>
      </c>
      <c r="AE24" s="28">
        <v>1</v>
      </c>
      <c r="AF24" s="28">
        <v>0</v>
      </c>
      <c r="AG24" s="28">
        <v>1</v>
      </c>
    </row>
    <row r="25" spans="1:33" ht="16" x14ac:dyDescent="0.2">
      <c r="A25" s="206" t="s">
        <v>465</v>
      </c>
      <c r="B25" t="s">
        <v>843</v>
      </c>
      <c r="C25" s="224" t="s">
        <v>824</v>
      </c>
      <c r="D25" s="35" t="s">
        <v>148</v>
      </c>
      <c r="E25" s="35" t="s">
        <v>494</v>
      </c>
      <c r="F25" s="35" t="s">
        <v>580</v>
      </c>
      <c r="G25" s="35" t="s">
        <v>621</v>
      </c>
      <c r="H25" s="208" t="s">
        <v>638</v>
      </c>
      <c r="I25" s="208" t="s">
        <v>457</v>
      </c>
      <c r="J25" s="35" t="s">
        <v>626</v>
      </c>
      <c r="K25" s="208" t="s">
        <v>634</v>
      </c>
      <c r="L25" s="208" t="s">
        <v>629</v>
      </c>
      <c r="M25" s="35" t="s">
        <v>631</v>
      </c>
      <c r="N25" s="35" t="s">
        <v>454</v>
      </c>
      <c r="O25" s="35" t="s">
        <v>834</v>
      </c>
      <c r="P25" s="147">
        <v>1126</v>
      </c>
      <c r="Q25" s="147">
        <v>1126</v>
      </c>
      <c r="R25" s="147">
        <v>1126</v>
      </c>
      <c r="S25" s="147">
        <v>1126</v>
      </c>
      <c r="T25" s="147">
        <v>272</v>
      </c>
      <c r="U25" s="147">
        <v>257</v>
      </c>
      <c r="Z25" s="214">
        <f t="shared" si="0"/>
        <v>0.94485294117647056</v>
      </c>
      <c r="AA25" s="214">
        <f t="shared" si="1"/>
        <v>0.22824156305506216</v>
      </c>
      <c r="AB25" s="28">
        <v>1</v>
      </c>
      <c r="AC25" s="28">
        <v>0</v>
      </c>
      <c r="AD25" s="28">
        <v>1</v>
      </c>
      <c r="AE25" s="28">
        <v>1</v>
      </c>
      <c r="AF25" s="28">
        <v>0</v>
      </c>
      <c r="AG25" s="28">
        <v>1</v>
      </c>
    </row>
    <row r="26" spans="1:33" ht="16" x14ac:dyDescent="0.2">
      <c r="A26" s="206" t="s">
        <v>465</v>
      </c>
      <c r="B26" t="s">
        <v>859</v>
      </c>
      <c r="C26" s="224" t="s">
        <v>824</v>
      </c>
      <c r="D26" s="35" t="s">
        <v>148</v>
      </c>
      <c r="E26" s="35" t="s">
        <v>494</v>
      </c>
      <c r="F26" s="35" t="s">
        <v>580</v>
      </c>
      <c r="G26" s="35" t="s">
        <v>621</v>
      </c>
      <c r="H26" s="208" t="s">
        <v>638</v>
      </c>
      <c r="I26" s="208" t="s">
        <v>457</v>
      </c>
      <c r="J26" s="35" t="s">
        <v>626</v>
      </c>
      <c r="K26" s="208" t="s">
        <v>634</v>
      </c>
      <c r="L26" s="208" t="s">
        <v>629</v>
      </c>
      <c r="M26" s="35" t="s">
        <v>631</v>
      </c>
      <c r="N26" s="35" t="s">
        <v>454</v>
      </c>
      <c r="O26" s="35" t="s">
        <v>834</v>
      </c>
      <c r="P26" s="147">
        <v>1135</v>
      </c>
      <c r="Q26" s="147">
        <v>1135</v>
      </c>
      <c r="R26" s="147">
        <v>1135</v>
      </c>
      <c r="S26" s="147">
        <v>1135</v>
      </c>
      <c r="T26" s="147">
        <v>275</v>
      </c>
      <c r="U26" s="147">
        <v>255</v>
      </c>
      <c r="Z26" s="214">
        <f t="shared" si="0"/>
        <v>0.92727272727272725</v>
      </c>
      <c r="AA26" s="214">
        <f t="shared" si="1"/>
        <v>0.22466960352422907</v>
      </c>
      <c r="AB26" s="28">
        <v>1</v>
      </c>
      <c r="AC26" s="28">
        <v>0</v>
      </c>
      <c r="AD26" s="28">
        <v>1</v>
      </c>
      <c r="AE26" s="28">
        <v>1</v>
      </c>
      <c r="AF26" s="28">
        <v>0</v>
      </c>
      <c r="AG26" s="28">
        <v>1</v>
      </c>
    </row>
    <row r="27" spans="1:33" x14ac:dyDescent="0.2">
      <c r="A27" s="206" t="s">
        <v>465</v>
      </c>
      <c r="B27" s="28" t="s">
        <v>435</v>
      </c>
      <c r="C27" s="28" t="s">
        <v>458</v>
      </c>
      <c r="D27" s="208" t="s">
        <v>82</v>
      </c>
      <c r="E27" s="35" t="s">
        <v>494</v>
      </c>
      <c r="F27" s="35" t="s">
        <v>580</v>
      </c>
      <c r="G27" s="35" t="s">
        <v>621</v>
      </c>
      <c r="H27" s="208" t="s">
        <v>638</v>
      </c>
      <c r="I27" s="208" t="s">
        <v>457</v>
      </c>
      <c r="J27" s="35" t="s">
        <v>626</v>
      </c>
      <c r="K27" s="208" t="s">
        <v>634</v>
      </c>
      <c r="L27" s="208" t="s">
        <v>629</v>
      </c>
      <c r="M27" s="35" t="s">
        <v>631</v>
      </c>
      <c r="N27" s="35" t="s">
        <v>454</v>
      </c>
      <c r="O27" s="35" t="s">
        <v>834</v>
      </c>
      <c r="P27" s="141">
        <v>1150</v>
      </c>
      <c r="Q27" s="141">
        <v>1150</v>
      </c>
      <c r="R27" s="141">
        <v>1150</v>
      </c>
      <c r="S27" s="141">
        <v>1150</v>
      </c>
      <c r="T27" s="141">
        <v>270</v>
      </c>
      <c r="U27" s="141">
        <v>258</v>
      </c>
      <c r="V27" s="141">
        <v>340</v>
      </c>
      <c r="W27" s="28">
        <f>Q27-V27</f>
        <v>810</v>
      </c>
      <c r="X27" s="213">
        <f>V27/U27</f>
        <v>1.317829457364341</v>
      </c>
      <c r="Y27" s="214">
        <f>V27/T27</f>
        <v>1.2592592592592593</v>
      </c>
      <c r="Z27" s="214">
        <f t="shared" si="0"/>
        <v>0.9555555555555556</v>
      </c>
      <c r="AA27" s="214">
        <f t="shared" si="1"/>
        <v>0.22434782608695653</v>
      </c>
      <c r="AB27" s="215">
        <v>1</v>
      </c>
      <c r="AC27" s="215">
        <v>0</v>
      </c>
      <c r="AD27" s="215">
        <f>SUM(AB27:AC27)</f>
        <v>1</v>
      </c>
      <c r="AE27" s="215">
        <v>1</v>
      </c>
      <c r="AF27" s="216">
        <v>0</v>
      </c>
      <c r="AG27" s="215">
        <v>1</v>
      </c>
    </row>
    <row r="28" spans="1:33" x14ac:dyDescent="0.2">
      <c r="A28" s="206" t="s">
        <v>465</v>
      </c>
      <c r="B28" s="28" t="s">
        <v>423</v>
      </c>
      <c r="C28" s="28" t="s">
        <v>458</v>
      </c>
      <c r="D28" s="208" t="s">
        <v>82</v>
      </c>
      <c r="E28" s="35" t="s">
        <v>494</v>
      </c>
      <c r="F28" s="35" t="s">
        <v>580</v>
      </c>
      <c r="G28" s="35" t="s">
        <v>621</v>
      </c>
      <c r="H28" s="208" t="s">
        <v>638</v>
      </c>
      <c r="I28" s="208" t="s">
        <v>457</v>
      </c>
      <c r="J28" s="35" t="s">
        <v>626</v>
      </c>
      <c r="K28" s="208" t="s">
        <v>634</v>
      </c>
      <c r="L28" s="208" t="s">
        <v>629</v>
      </c>
      <c r="M28" s="35" t="s">
        <v>631</v>
      </c>
      <c r="N28" s="35" t="s">
        <v>454</v>
      </c>
      <c r="O28" s="35" t="s">
        <v>834</v>
      </c>
      <c r="P28" s="141">
        <v>1150</v>
      </c>
      <c r="Q28" s="141">
        <v>1150</v>
      </c>
      <c r="R28" s="141">
        <v>1150</v>
      </c>
      <c r="S28" s="141">
        <v>1150</v>
      </c>
      <c r="T28" s="141">
        <v>275</v>
      </c>
      <c r="U28" s="141">
        <v>268</v>
      </c>
      <c r="X28" s="213"/>
      <c r="Y28" s="214"/>
      <c r="Z28" s="214">
        <f t="shared" si="0"/>
        <v>0.97454545454545449</v>
      </c>
      <c r="AA28" s="214">
        <f t="shared" si="1"/>
        <v>0.23304347826086957</v>
      </c>
      <c r="AB28" s="215">
        <v>1</v>
      </c>
      <c r="AC28" s="215">
        <v>0</v>
      </c>
      <c r="AD28" s="215">
        <f>SUM(AB28:AC28)</f>
        <v>1</v>
      </c>
      <c r="AE28" s="215">
        <v>1</v>
      </c>
      <c r="AF28" s="216">
        <v>0</v>
      </c>
      <c r="AG28" s="215">
        <v>1</v>
      </c>
    </row>
    <row r="29" spans="1:33" ht="14" customHeight="1" x14ac:dyDescent="0.2">
      <c r="A29" s="209" t="s">
        <v>465</v>
      </c>
      <c r="B29" s="210" t="s">
        <v>484</v>
      </c>
      <c r="C29" s="201" t="s">
        <v>401</v>
      </c>
      <c r="D29" s="35" t="s">
        <v>82</v>
      </c>
      <c r="E29" s="35" t="s">
        <v>494</v>
      </c>
      <c r="F29" s="35" t="s">
        <v>580</v>
      </c>
      <c r="G29" s="35" t="s">
        <v>621</v>
      </c>
      <c r="H29" s="208" t="s">
        <v>638</v>
      </c>
      <c r="I29" s="208" t="s">
        <v>457</v>
      </c>
      <c r="J29" s="35" t="s">
        <v>626</v>
      </c>
      <c r="K29" s="208" t="s">
        <v>634</v>
      </c>
      <c r="L29" s="208" t="s">
        <v>629</v>
      </c>
      <c r="M29" s="35" t="s">
        <v>631</v>
      </c>
      <c r="N29" s="35" t="s">
        <v>454</v>
      </c>
      <c r="O29" s="35" t="s">
        <v>834</v>
      </c>
      <c r="P29" s="73">
        <v>1160</v>
      </c>
      <c r="Q29" s="73">
        <v>1160</v>
      </c>
      <c r="R29" s="73">
        <v>1160</v>
      </c>
      <c r="S29" s="73">
        <v>1160</v>
      </c>
      <c r="U29" s="73">
        <v>275</v>
      </c>
      <c r="X29" s="213"/>
      <c r="Y29" s="214"/>
      <c r="Z29" s="214"/>
      <c r="AA29" s="214">
        <f t="shared" si="1"/>
        <v>0.23706896551724138</v>
      </c>
      <c r="AB29" s="215">
        <v>1</v>
      </c>
      <c r="AC29" s="215">
        <v>0</v>
      </c>
      <c r="AD29" s="215">
        <f>SUM(AB29:AC29)</f>
        <v>1</v>
      </c>
      <c r="AE29" s="215">
        <v>1</v>
      </c>
      <c r="AF29" s="216">
        <v>0</v>
      </c>
      <c r="AG29" s="215">
        <v>0</v>
      </c>
    </row>
    <row r="30" spans="1:33" ht="14" customHeight="1" x14ac:dyDescent="0.2">
      <c r="A30" s="206" t="s">
        <v>465</v>
      </c>
      <c r="B30" t="s">
        <v>847</v>
      </c>
      <c r="C30" s="224" t="s">
        <v>824</v>
      </c>
      <c r="D30" s="35" t="s">
        <v>148</v>
      </c>
      <c r="E30" s="35" t="s">
        <v>494</v>
      </c>
      <c r="F30" s="35" t="s">
        <v>580</v>
      </c>
      <c r="G30" s="35" t="s">
        <v>621</v>
      </c>
      <c r="H30" s="208" t="s">
        <v>638</v>
      </c>
      <c r="I30" s="208" t="s">
        <v>457</v>
      </c>
      <c r="J30" s="35" t="s">
        <v>626</v>
      </c>
      <c r="K30" s="208" t="s">
        <v>634</v>
      </c>
      <c r="L30" s="208" t="s">
        <v>629</v>
      </c>
      <c r="M30" s="35" t="s">
        <v>631</v>
      </c>
      <c r="N30" s="35" t="s">
        <v>454</v>
      </c>
      <c r="O30" s="35" t="s">
        <v>834</v>
      </c>
      <c r="P30" s="147">
        <v>1170</v>
      </c>
      <c r="Q30" s="147">
        <v>1170</v>
      </c>
      <c r="R30" s="147">
        <v>1170</v>
      </c>
      <c r="S30" s="147">
        <v>1170</v>
      </c>
      <c r="T30" s="147">
        <v>288</v>
      </c>
      <c r="U30" s="147">
        <v>276</v>
      </c>
      <c r="Z30" s="214">
        <f t="shared" ref="Z30:Z48" si="2">U30/T30</f>
        <v>0.95833333333333337</v>
      </c>
      <c r="AA30" s="214">
        <f t="shared" si="1"/>
        <v>0.23589743589743589</v>
      </c>
      <c r="AB30" s="28">
        <v>1</v>
      </c>
      <c r="AC30" s="28">
        <v>0</v>
      </c>
      <c r="AD30" s="28">
        <v>1</v>
      </c>
      <c r="AE30" s="28">
        <v>1</v>
      </c>
      <c r="AF30" s="28">
        <v>0</v>
      </c>
      <c r="AG30" s="28">
        <v>1</v>
      </c>
    </row>
    <row r="31" spans="1:33" x14ac:dyDescent="0.2">
      <c r="A31" s="206" t="s">
        <v>465</v>
      </c>
      <c r="B31" t="s">
        <v>895</v>
      </c>
      <c r="C31" s="224" t="s">
        <v>824</v>
      </c>
      <c r="D31" s="35" t="s">
        <v>148</v>
      </c>
      <c r="E31" s="35" t="s">
        <v>494</v>
      </c>
      <c r="F31" s="35" t="s">
        <v>580</v>
      </c>
      <c r="G31" s="35" t="s">
        <v>621</v>
      </c>
      <c r="H31" s="208" t="s">
        <v>638</v>
      </c>
      <c r="I31" s="208" t="s">
        <v>457</v>
      </c>
      <c r="J31" s="35" t="s">
        <v>626</v>
      </c>
      <c r="K31" s="208" t="s">
        <v>634</v>
      </c>
      <c r="L31" s="208" t="s">
        <v>629</v>
      </c>
      <c r="M31" s="35" t="s">
        <v>631</v>
      </c>
      <c r="N31" s="35" t="s">
        <v>454</v>
      </c>
      <c r="O31" s="35" t="s">
        <v>834</v>
      </c>
      <c r="P31">
        <v>1185</v>
      </c>
      <c r="Q31">
        <v>1185</v>
      </c>
      <c r="R31">
        <v>1185</v>
      </c>
      <c r="S31">
        <v>1185</v>
      </c>
      <c r="T31">
        <v>285</v>
      </c>
      <c r="U31">
        <v>273</v>
      </c>
      <c r="Z31" s="214">
        <f t="shared" si="2"/>
        <v>0.95789473684210524</v>
      </c>
      <c r="AA31" s="214">
        <f t="shared" si="1"/>
        <v>0.23037974683544304</v>
      </c>
      <c r="AB31" s="28">
        <v>1</v>
      </c>
      <c r="AC31" s="28">
        <v>0</v>
      </c>
      <c r="AD31" s="28">
        <v>1</v>
      </c>
      <c r="AE31" s="28">
        <v>1</v>
      </c>
      <c r="AF31" s="28">
        <v>0</v>
      </c>
      <c r="AG31" s="28">
        <v>1</v>
      </c>
    </row>
    <row r="32" spans="1:33" ht="16" x14ac:dyDescent="0.2">
      <c r="A32" s="206" t="s">
        <v>465</v>
      </c>
      <c r="B32" t="s">
        <v>852</v>
      </c>
      <c r="C32" s="224" t="s">
        <v>824</v>
      </c>
      <c r="D32" s="35" t="s">
        <v>148</v>
      </c>
      <c r="E32" s="35" t="s">
        <v>374</v>
      </c>
      <c r="F32" s="35" t="s">
        <v>580</v>
      </c>
      <c r="G32" s="35" t="s">
        <v>621</v>
      </c>
      <c r="H32" s="208" t="s">
        <v>639</v>
      </c>
      <c r="I32" s="208" t="s">
        <v>457</v>
      </c>
      <c r="J32" s="35" t="s">
        <v>626</v>
      </c>
      <c r="K32" s="208" t="s">
        <v>634</v>
      </c>
      <c r="L32" s="208" t="s">
        <v>629</v>
      </c>
      <c r="M32" s="35" t="s">
        <v>631</v>
      </c>
      <c r="N32" s="35" t="s">
        <v>454</v>
      </c>
      <c r="O32" s="35" t="s">
        <v>834</v>
      </c>
      <c r="P32" s="147">
        <v>1210</v>
      </c>
      <c r="Q32" s="147">
        <v>1210</v>
      </c>
      <c r="R32" s="147">
        <v>1210</v>
      </c>
      <c r="S32" s="147">
        <v>1210</v>
      </c>
      <c r="T32" s="147">
        <v>275</v>
      </c>
      <c r="U32" s="147">
        <v>262</v>
      </c>
      <c r="Z32" s="214">
        <f t="shared" si="2"/>
        <v>0.95272727272727276</v>
      </c>
      <c r="AA32" s="214">
        <f t="shared" si="1"/>
        <v>0.21652892561983472</v>
      </c>
      <c r="AB32" s="28">
        <v>1</v>
      </c>
      <c r="AC32" s="28">
        <v>0</v>
      </c>
      <c r="AD32" s="28">
        <v>1</v>
      </c>
      <c r="AE32" s="28">
        <v>1</v>
      </c>
      <c r="AF32" s="28">
        <v>0</v>
      </c>
      <c r="AG32" s="28">
        <v>1</v>
      </c>
    </row>
    <row r="33" spans="1:33" s="141" customFormat="1" ht="14" customHeight="1" x14ac:dyDescent="0.2">
      <c r="A33" s="206" t="s">
        <v>465</v>
      </c>
      <c r="B33" s="28" t="s">
        <v>327</v>
      </c>
      <c r="C33" s="207" t="s">
        <v>403</v>
      </c>
      <c r="D33" s="35" t="s">
        <v>82</v>
      </c>
      <c r="E33" s="35" t="s">
        <v>374</v>
      </c>
      <c r="F33" s="35" t="s">
        <v>580</v>
      </c>
      <c r="G33" s="35" t="s">
        <v>621</v>
      </c>
      <c r="H33" s="208" t="s">
        <v>639</v>
      </c>
      <c r="I33" s="208" t="s">
        <v>457</v>
      </c>
      <c r="J33" s="35" t="s">
        <v>626</v>
      </c>
      <c r="K33" s="208" t="s">
        <v>634</v>
      </c>
      <c r="L33" s="208" t="s">
        <v>629</v>
      </c>
      <c r="M33" s="35" t="s">
        <v>631</v>
      </c>
      <c r="N33" s="35" t="s">
        <v>454</v>
      </c>
      <c r="O33" s="35" t="s">
        <v>834</v>
      </c>
      <c r="P33" s="141">
        <v>1217.5999999999999</v>
      </c>
      <c r="Q33" s="141">
        <v>1200</v>
      </c>
      <c r="R33" s="141">
        <v>1217.5999999999999</v>
      </c>
      <c r="S33" s="141">
        <v>1217.5999999999999</v>
      </c>
      <c r="T33" s="141">
        <v>293.7</v>
      </c>
      <c r="U33" s="141">
        <v>278.2</v>
      </c>
      <c r="V33" s="28">
        <v>410.15</v>
      </c>
      <c r="W33" s="212">
        <v>807.44999999999993</v>
      </c>
      <c r="X33" s="213">
        <f>V33/U33</f>
        <v>1.4742990654205608</v>
      </c>
      <c r="Y33" s="214">
        <f>V33/T33</f>
        <v>1.3964930200885257</v>
      </c>
      <c r="Z33" s="214">
        <f t="shared" si="2"/>
        <v>0.94722505958461012</v>
      </c>
      <c r="AA33" s="214">
        <f t="shared" si="1"/>
        <v>0.22848226018396847</v>
      </c>
      <c r="AB33" s="215">
        <v>1</v>
      </c>
      <c r="AC33" s="215">
        <v>0</v>
      </c>
      <c r="AD33" s="215">
        <f>SUM(AB33:AC33)</f>
        <v>1</v>
      </c>
      <c r="AE33" s="215">
        <v>1</v>
      </c>
      <c r="AF33" s="216">
        <v>0</v>
      </c>
      <c r="AG33" s="215">
        <v>1</v>
      </c>
    </row>
    <row r="34" spans="1:33" ht="16" x14ac:dyDescent="0.2">
      <c r="A34" s="206" t="s">
        <v>465</v>
      </c>
      <c r="B34" t="s">
        <v>850</v>
      </c>
      <c r="C34" s="224" t="s">
        <v>824</v>
      </c>
      <c r="D34" s="35" t="s">
        <v>148</v>
      </c>
      <c r="E34" s="35" t="s">
        <v>374</v>
      </c>
      <c r="F34" s="35" t="s">
        <v>580</v>
      </c>
      <c r="G34" s="35" t="s">
        <v>621</v>
      </c>
      <c r="H34" s="208" t="s">
        <v>639</v>
      </c>
      <c r="I34" s="208" t="s">
        <v>457</v>
      </c>
      <c r="J34" s="35" t="s">
        <v>626</v>
      </c>
      <c r="K34" s="208" t="s">
        <v>634</v>
      </c>
      <c r="L34" s="208" t="s">
        <v>629</v>
      </c>
      <c r="M34" s="35" t="s">
        <v>631</v>
      </c>
      <c r="N34" s="35" t="s">
        <v>454</v>
      </c>
      <c r="O34" s="35" t="s">
        <v>834</v>
      </c>
      <c r="P34" s="147">
        <v>1240</v>
      </c>
      <c r="Q34" s="147">
        <v>1240</v>
      </c>
      <c r="R34" s="147">
        <v>1240</v>
      </c>
      <c r="S34" s="147">
        <v>1240</v>
      </c>
      <c r="T34" s="147">
        <v>285</v>
      </c>
      <c r="U34" s="147">
        <v>274</v>
      </c>
      <c r="Z34" s="214">
        <f t="shared" si="2"/>
        <v>0.96140350877192982</v>
      </c>
      <c r="AA34" s="214">
        <f t="shared" si="1"/>
        <v>0.22096774193548388</v>
      </c>
      <c r="AB34" s="28">
        <v>1</v>
      </c>
      <c r="AC34" s="28">
        <v>0</v>
      </c>
      <c r="AD34" s="28">
        <v>1</v>
      </c>
      <c r="AE34" s="28">
        <v>1</v>
      </c>
      <c r="AF34" s="28">
        <v>0</v>
      </c>
      <c r="AG34" s="28">
        <v>1</v>
      </c>
    </row>
    <row r="35" spans="1:33" ht="16" x14ac:dyDescent="0.2">
      <c r="A35" s="206" t="s">
        <v>465</v>
      </c>
      <c r="B35" t="s">
        <v>848</v>
      </c>
      <c r="C35" s="224" t="s">
        <v>824</v>
      </c>
      <c r="D35" s="35" t="s">
        <v>148</v>
      </c>
      <c r="E35" s="35" t="s">
        <v>374</v>
      </c>
      <c r="F35" s="35" t="s">
        <v>580</v>
      </c>
      <c r="G35" s="35" t="s">
        <v>621</v>
      </c>
      <c r="H35" s="208" t="s">
        <v>639</v>
      </c>
      <c r="I35" s="208" t="s">
        <v>457</v>
      </c>
      <c r="J35" s="35" t="s">
        <v>626</v>
      </c>
      <c r="K35" s="208" t="s">
        <v>634</v>
      </c>
      <c r="L35" s="208" t="s">
        <v>629</v>
      </c>
      <c r="M35" s="35" t="s">
        <v>631</v>
      </c>
      <c r="N35" s="35" t="s">
        <v>454</v>
      </c>
      <c r="O35" s="35" t="s">
        <v>834</v>
      </c>
      <c r="P35" s="147">
        <v>1244</v>
      </c>
      <c r="Q35" s="147">
        <v>1244</v>
      </c>
      <c r="R35" s="147">
        <v>1244</v>
      </c>
      <c r="S35" s="147">
        <v>1244</v>
      </c>
      <c r="T35" s="147">
        <v>302</v>
      </c>
      <c r="U35" s="147">
        <v>290</v>
      </c>
      <c r="Z35" s="214">
        <f t="shared" si="2"/>
        <v>0.96026490066225167</v>
      </c>
      <c r="AA35" s="214">
        <f t="shared" si="1"/>
        <v>0.23311897106109325</v>
      </c>
      <c r="AB35" s="28">
        <v>1</v>
      </c>
      <c r="AC35" s="28">
        <v>0</v>
      </c>
      <c r="AD35" s="28">
        <v>1</v>
      </c>
      <c r="AE35" s="28">
        <v>1</v>
      </c>
      <c r="AF35" s="28">
        <v>0</v>
      </c>
      <c r="AG35" s="28">
        <v>1</v>
      </c>
    </row>
    <row r="36" spans="1:33" x14ac:dyDescent="0.2">
      <c r="A36" s="206" t="s">
        <v>465</v>
      </c>
      <c r="B36" s="28" t="s">
        <v>416</v>
      </c>
      <c r="C36" s="28" t="s">
        <v>458</v>
      </c>
      <c r="D36" s="35" t="s">
        <v>82</v>
      </c>
      <c r="E36" s="35" t="s">
        <v>374</v>
      </c>
      <c r="F36" s="35" t="s">
        <v>580</v>
      </c>
      <c r="G36" s="35" t="s">
        <v>621</v>
      </c>
      <c r="H36" s="208" t="s">
        <v>639</v>
      </c>
      <c r="I36" s="208" t="s">
        <v>457</v>
      </c>
      <c r="J36" s="35" t="s">
        <v>626</v>
      </c>
      <c r="K36" s="208" t="s">
        <v>634</v>
      </c>
      <c r="L36" s="208" t="s">
        <v>629</v>
      </c>
      <c r="M36" s="35" t="s">
        <v>631</v>
      </c>
      <c r="N36" s="35" t="s">
        <v>454</v>
      </c>
      <c r="O36" s="35" t="s">
        <v>834</v>
      </c>
      <c r="P36" s="141">
        <v>1250</v>
      </c>
      <c r="Q36" s="141">
        <v>1250</v>
      </c>
      <c r="R36" s="141">
        <v>1250</v>
      </c>
      <c r="S36" s="141">
        <v>1250</v>
      </c>
      <c r="T36" s="141">
        <v>305</v>
      </c>
      <c r="U36" s="141">
        <v>297</v>
      </c>
      <c r="V36" s="207">
        <v>384</v>
      </c>
      <c r="X36" s="213">
        <f>V36/U36</f>
        <v>1.292929292929293</v>
      </c>
      <c r="Y36" s="214">
        <f>V36/T36</f>
        <v>1.2590163934426231</v>
      </c>
      <c r="Z36" s="214">
        <f t="shared" si="2"/>
        <v>0.97377049180327868</v>
      </c>
      <c r="AA36" s="214">
        <f t="shared" si="1"/>
        <v>0.23760000000000001</v>
      </c>
      <c r="AB36" s="215">
        <v>1</v>
      </c>
      <c r="AC36" s="215">
        <v>0</v>
      </c>
      <c r="AD36" s="215">
        <f>SUM(AB36:AC36)</f>
        <v>1</v>
      </c>
      <c r="AE36" s="215">
        <v>1</v>
      </c>
      <c r="AF36" s="216">
        <v>0</v>
      </c>
      <c r="AG36" s="215">
        <v>1</v>
      </c>
    </row>
    <row r="37" spans="1:33" x14ac:dyDescent="0.2">
      <c r="A37" s="206" t="s">
        <v>465</v>
      </c>
      <c r="B37" t="s">
        <v>893</v>
      </c>
      <c r="C37" s="224" t="s">
        <v>824</v>
      </c>
      <c r="D37" s="35" t="s">
        <v>148</v>
      </c>
      <c r="E37" s="35" t="s">
        <v>374</v>
      </c>
      <c r="F37" s="35" t="s">
        <v>580</v>
      </c>
      <c r="G37" s="35" t="s">
        <v>621</v>
      </c>
      <c r="H37" s="208" t="s">
        <v>639</v>
      </c>
      <c r="I37" s="208" t="s">
        <v>457</v>
      </c>
      <c r="J37" s="35" t="s">
        <v>626</v>
      </c>
      <c r="K37" s="208" t="s">
        <v>634</v>
      </c>
      <c r="L37" s="208" t="s">
        <v>629</v>
      </c>
      <c r="M37" s="35" t="s">
        <v>631</v>
      </c>
      <c r="N37" s="35" t="s">
        <v>454</v>
      </c>
      <c r="O37" s="35" t="s">
        <v>834</v>
      </c>
      <c r="P37">
        <v>1274</v>
      </c>
      <c r="Q37">
        <v>1274</v>
      </c>
      <c r="R37">
        <v>1274</v>
      </c>
      <c r="S37">
        <v>1274</v>
      </c>
      <c r="T37">
        <v>287</v>
      </c>
      <c r="U37">
        <v>277</v>
      </c>
      <c r="Z37" s="214">
        <f t="shared" si="2"/>
        <v>0.96515679442508706</v>
      </c>
      <c r="AA37" s="214">
        <f t="shared" si="1"/>
        <v>0.21742543171114601</v>
      </c>
      <c r="AB37" s="28">
        <v>1</v>
      </c>
      <c r="AC37" s="28">
        <v>0</v>
      </c>
      <c r="AD37" s="28">
        <v>1</v>
      </c>
      <c r="AE37" s="28">
        <v>1</v>
      </c>
      <c r="AF37" s="28">
        <v>0</v>
      </c>
      <c r="AG37" s="28">
        <v>1</v>
      </c>
    </row>
    <row r="38" spans="1:33" ht="16" x14ac:dyDescent="0.2">
      <c r="A38" s="206" t="s">
        <v>465</v>
      </c>
      <c r="B38" t="s">
        <v>853</v>
      </c>
      <c r="C38" s="224" t="s">
        <v>824</v>
      </c>
      <c r="D38" s="35" t="s">
        <v>148</v>
      </c>
      <c r="E38" s="35" t="s">
        <v>374</v>
      </c>
      <c r="F38" s="35" t="s">
        <v>580</v>
      </c>
      <c r="G38" s="35" t="s">
        <v>621</v>
      </c>
      <c r="H38" s="208" t="s">
        <v>639</v>
      </c>
      <c r="I38" s="208" t="s">
        <v>457</v>
      </c>
      <c r="J38" s="35" t="s">
        <v>626</v>
      </c>
      <c r="K38" s="208" t="s">
        <v>634</v>
      </c>
      <c r="L38" s="208" t="s">
        <v>629</v>
      </c>
      <c r="M38" s="35" t="s">
        <v>631</v>
      </c>
      <c r="N38" s="35" t="s">
        <v>454</v>
      </c>
      <c r="O38" s="35" t="s">
        <v>834</v>
      </c>
      <c r="P38" s="147">
        <v>1274</v>
      </c>
      <c r="Q38" s="147">
        <v>1274</v>
      </c>
      <c r="R38" s="147">
        <v>1274</v>
      </c>
      <c r="S38" s="147">
        <v>1274</v>
      </c>
      <c r="T38" s="147">
        <v>296</v>
      </c>
      <c r="U38" s="147">
        <v>284</v>
      </c>
      <c r="Z38" s="214">
        <f t="shared" si="2"/>
        <v>0.95945945945945943</v>
      </c>
      <c r="AA38" s="214">
        <f t="shared" si="1"/>
        <v>0.22291993720565148</v>
      </c>
      <c r="AB38" s="28">
        <v>1</v>
      </c>
      <c r="AC38" s="28">
        <v>0</v>
      </c>
      <c r="AD38" s="28">
        <v>1</v>
      </c>
      <c r="AE38" s="28">
        <v>1</v>
      </c>
      <c r="AF38" s="28">
        <v>0</v>
      </c>
      <c r="AG38" s="28">
        <v>1</v>
      </c>
    </row>
    <row r="39" spans="1:33" ht="15" customHeight="1" x14ac:dyDescent="0.2">
      <c r="A39" s="206" t="s">
        <v>465</v>
      </c>
      <c r="B39" t="s">
        <v>862</v>
      </c>
      <c r="C39" s="224" t="s">
        <v>824</v>
      </c>
      <c r="D39" s="35" t="s">
        <v>148</v>
      </c>
      <c r="E39" s="35" t="s">
        <v>374</v>
      </c>
      <c r="F39" s="35" t="s">
        <v>580</v>
      </c>
      <c r="G39" s="35" t="s">
        <v>621</v>
      </c>
      <c r="H39" s="208" t="s">
        <v>639</v>
      </c>
      <c r="I39" s="208" t="s">
        <v>457</v>
      </c>
      <c r="J39" s="35" t="s">
        <v>626</v>
      </c>
      <c r="K39" s="208" t="s">
        <v>634</v>
      </c>
      <c r="L39" s="208" t="s">
        <v>629</v>
      </c>
      <c r="M39" s="35" t="s">
        <v>631</v>
      </c>
      <c r="N39" s="35" t="s">
        <v>454</v>
      </c>
      <c r="O39" s="35" t="s">
        <v>834</v>
      </c>
      <c r="P39" s="147">
        <v>1280</v>
      </c>
      <c r="Q39" s="147">
        <v>1280</v>
      </c>
      <c r="R39" s="147">
        <v>1280</v>
      </c>
      <c r="S39" s="147">
        <v>1280</v>
      </c>
      <c r="T39" s="147">
        <v>290</v>
      </c>
      <c r="U39" s="147">
        <v>285</v>
      </c>
      <c r="Z39" s="214">
        <f t="shared" si="2"/>
        <v>0.98275862068965514</v>
      </c>
      <c r="AA39" s="214">
        <f t="shared" si="1"/>
        <v>0.22265625</v>
      </c>
      <c r="AB39" s="28">
        <v>1</v>
      </c>
      <c r="AC39" s="28">
        <v>0</v>
      </c>
      <c r="AD39" s="28">
        <v>1</v>
      </c>
      <c r="AE39" s="28">
        <v>1</v>
      </c>
      <c r="AF39" s="28">
        <v>0</v>
      </c>
      <c r="AG39" s="28">
        <v>1</v>
      </c>
    </row>
    <row r="40" spans="1:33" ht="16" customHeight="1" x14ac:dyDescent="0.2">
      <c r="A40" s="207" t="s">
        <v>19</v>
      </c>
      <c r="B40" s="206" t="s">
        <v>593</v>
      </c>
      <c r="C40" s="28" t="s">
        <v>403</v>
      </c>
      <c r="D40" s="35" t="s">
        <v>82</v>
      </c>
      <c r="E40" s="35" t="s">
        <v>374</v>
      </c>
      <c r="F40" s="35" t="s">
        <v>580</v>
      </c>
      <c r="G40" s="35" t="s">
        <v>621</v>
      </c>
      <c r="H40" s="208" t="s">
        <v>639</v>
      </c>
      <c r="I40" s="208" t="s">
        <v>457</v>
      </c>
      <c r="J40" s="35" t="s">
        <v>626</v>
      </c>
      <c r="K40" s="208" t="s">
        <v>634</v>
      </c>
      <c r="L40" s="208" t="s">
        <v>629</v>
      </c>
      <c r="M40" s="35" t="s">
        <v>631</v>
      </c>
      <c r="N40" s="35" t="s">
        <v>454</v>
      </c>
      <c r="O40" s="35" t="s">
        <v>834</v>
      </c>
      <c r="P40" s="141">
        <v>1284.8</v>
      </c>
      <c r="R40" s="141">
        <v>1284.8</v>
      </c>
      <c r="S40" s="141">
        <v>1284.8</v>
      </c>
      <c r="T40" s="141">
        <v>305.86</v>
      </c>
      <c r="U40" s="141">
        <v>292.95999999999998</v>
      </c>
      <c r="V40" s="28">
        <v>398.86</v>
      </c>
      <c r="W40" s="28">
        <f>S40-V40</f>
        <v>885.93999999999994</v>
      </c>
      <c r="X40" s="214">
        <f>V40/U40</f>
        <v>1.3614827962861826</v>
      </c>
      <c r="Y40" s="214">
        <f>V40/T40</f>
        <v>1.3040606813574838</v>
      </c>
      <c r="Z40" s="214">
        <f t="shared" si="2"/>
        <v>0.95782384097299411</v>
      </c>
      <c r="AA40" s="214">
        <f t="shared" ref="AA40:AA71" si="3">U40/S40</f>
        <v>0.22801992528019924</v>
      </c>
      <c r="AB40" s="28">
        <v>0</v>
      </c>
      <c r="AC40" s="28">
        <v>1</v>
      </c>
      <c r="AD40" s="28">
        <f>SUM(AB40:AC40)</f>
        <v>1</v>
      </c>
      <c r="AE40" s="28">
        <v>1</v>
      </c>
      <c r="AF40" s="28">
        <v>0</v>
      </c>
      <c r="AG40" s="215">
        <v>1</v>
      </c>
    </row>
    <row r="41" spans="1:33" ht="16" customHeight="1" x14ac:dyDescent="0.2">
      <c r="A41" s="206" t="s">
        <v>465</v>
      </c>
      <c r="B41" s="28" t="s">
        <v>301</v>
      </c>
      <c r="C41" s="207" t="s">
        <v>403</v>
      </c>
      <c r="D41" s="35" t="s">
        <v>82</v>
      </c>
      <c r="E41" s="35" t="s">
        <v>374</v>
      </c>
      <c r="F41" s="35" t="s">
        <v>580</v>
      </c>
      <c r="G41" s="35" t="s">
        <v>621</v>
      </c>
      <c r="H41" s="208" t="s">
        <v>639</v>
      </c>
      <c r="I41" s="208" t="s">
        <v>457</v>
      </c>
      <c r="J41" s="35" t="s">
        <v>626</v>
      </c>
      <c r="K41" s="208" t="s">
        <v>634</v>
      </c>
      <c r="L41" s="208" t="s">
        <v>629</v>
      </c>
      <c r="M41" s="35" t="s">
        <v>631</v>
      </c>
      <c r="N41" s="35" t="s">
        <v>454</v>
      </c>
      <c r="O41" s="35" t="s">
        <v>834</v>
      </c>
      <c r="P41" s="141">
        <v>1300</v>
      </c>
      <c r="Q41" s="141">
        <v>1300</v>
      </c>
      <c r="R41" s="141">
        <v>1300</v>
      </c>
      <c r="S41" s="141">
        <v>1300</v>
      </c>
      <c r="T41" s="141">
        <v>300</v>
      </c>
      <c r="U41" s="141">
        <v>285</v>
      </c>
      <c r="V41" s="28">
        <v>363.4</v>
      </c>
      <c r="W41" s="212">
        <v>936.6</v>
      </c>
      <c r="X41" s="213">
        <f>V41/U41</f>
        <v>1.2750877192982455</v>
      </c>
      <c r="Y41" s="214">
        <f>V41/T41</f>
        <v>1.2113333333333332</v>
      </c>
      <c r="Z41" s="214">
        <f t="shared" si="2"/>
        <v>0.95</v>
      </c>
      <c r="AA41" s="214">
        <f t="shared" si="3"/>
        <v>0.21923076923076923</v>
      </c>
      <c r="AB41" s="215">
        <v>0</v>
      </c>
      <c r="AC41" s="215">
        <v>1</v>
      </c>
      <c r="AD41" s="215">
        <f>SUM(AB41:AC41)</f>
        <v>1</v>
      </c>
      <c r="AE41" s="215">
        <v>1</v>
      </c>
      <c r="AF41" s="216">
        <v>0</v>
      </c>
      <c r="AG41" s="215">
        <v>1</v>
      </c>
    </row>
    <row r="42" spans="1:33" ht="16" customHeight="1" x14ac:dyDescent="0.2">
      <c r="A42" s="206" t="s">
        <v>465</v>
      </c>
      <c r="B42" t="s">
        <v>846</v>
      </c>
      <c r="C42" s="224" t="s">
        <v>824</v>
      </c>
      <c r="D42" s="35" t="s">
        <v>148</v>
      </c>
      <c r="E42" s="35" t="s">
        <v>374</v>
      </c>
      <c r="F42" s="35" t="s">
        <v>580</v>
      </c>
      <c r="G42" s="35" t="s">
        <v>621</v>
      </c>
      <c r="H42" s="208" t="s">
        <v>639</v>
      </c>
      <c r="I42" s="208" t="s">
        <v>457</v>
      </c>
      <c r="J42" s="35" t="s">
        <v>626</v>
      </c>
      <c r="K42" s="208" t="s">
        <v>634</v>
      </c>
      <c r="L42" s="208" t="s">
        <v>629</v>
      </c>
      <c r="M42" s="35" t="s">
        <v>631</v>
      </c>
      <c r="N42" s="35" t="s">
        <v>454</v>
      </c>
      <c r="O42" s="35" t="s">
        <v>834</v>
      </c>
      <c r="P42" s="147">
        <v>1312</v>
      </c>
      <c r="Q42" s="147">
        <v>1312</v>
      </c>
      <c r="R42" s="147">
        <v>1312</v>
      </c>
      <c r="S42" s="147">
        <v>1312</v>
      </c>
      <c r="T42" s="147">
        <v>307</v>
      </c>
      <c r="U42" s="147">
        <v>294</v>
      </c>
      <c r="Z42" s="214">
        <f t="shared" si="2"/>
        <v>0.95765472312703581</v>
      </c>
      <c r="AA42" s="214">
        <f t="shared" si="3"/>
        <v>0.22408536585365854</v>
      </c>
      <c r="AB42" s="28">
        <v>1</v>
      </c>
      <c r="AC42" s="28">
        <v>0</v>
      </c>
      <c r="AD42" s="28">
        <v>1</v>
      </c>
      <c r="AE42" s="28">
        <v>1</v>
      </c>
      <c r="AF42" s="28">
        <v>0</v>
      </c>
      <c r="AG42" s="28">
        <v>1</v>
      </c>
    </row>
    <row r="43" spans="1:33" ht="16" customHeight="1" x14ac:dyDescent="0.2">
      <c r="A43" s="206" t="s">
        <v>465</v>
      </c>
      <c r="B43" t="s">
        <v>890</v>
      </c>
      <c r="C43" s="224" t="s">
        <v>824</v>
      </c>
      <c r="D43" s="35" t="s">
        <v>148</v>
      </c>
      <c r="E43" s="35" t="s">
        <v>374</v>
      </c>
      <c r="F43" s="35" t="s">
        <v>580</v>
      </c>
      <c r="G43" s="35" t="s">
        <v>621</v>
      </c>
      <c r="H43" s="208" t="s">
        <v>639</v>
      </c>
      <c r="I43" s="208" t="s">
        <v>457</v>
      </c>
      <c r="J43" s="35" t="s">
        <v>626</v>
      </c>
      <c r="K43" s="208" t="s">
        <v>634</v>
      </c>
      <c r="L43" s="208" t="s">
        <v>629</v>
      </c>
      <c r="M43" s="35" t="s">
        <v>631</v>
      </c>
      <c r="N43" s="35" t="s">
        <v>454</v>
      </c>
      <c r="O43" s="35" t="s">
        <v>834</v>
      </c>
      <c r="P43">
        <v>1316</v>
      </c>
      <c r="Q43">
        <v>1316</v>
      </c>
      <c r="R43">
        <v>1316</v>
      </c>
      <c r="S43">
        <v>1316</v>
      </c>
      <c r="T43">
        <v>306</v>
      </c>
      <c r="U43">
        <v>292</v>
      </c>
      <c r="Z43" s="214">
        <f t="shared" si="2"/>
        <v>0.95424836601307195</v>
      </c>
      <c r="AA43" s="214">
        <f t="shared" si="3"/>
        <v>0.22188449848024316</v>
      </c>
      <c r="AB43" s="28">
        <v>1</v>
      </c>
      <c r="AC43" s="28">
        <v>0</v>
      </c>
      <c r="AD43" s="28">
        <v>1</v>
      </c>
      <c r="AE43" s="28">
        <v>1</v>
      </c>
      <c r="AF43" s="28">
        <v>0</v>
      </c>
      <c r="AG43" s="28">
        <v>1</v>
      </c>
    </row>
    <row r="44" spans="1:33" ht="15" customHeight="1" x14ac:dyDescent="0.2">
      <c r="A44" s="206" t="s">
        <v>465</v>
      </c>
      <c r="B44" t="s">
        <v>841</v>
      </c>
      <c r="C44" s="224" t="s">
        <v>824</v>
      </c>
      <c r="D44" s="35" t="s">
        <v>148</v>
      </c>
      <c r="E44" s="35" t="s">
        <v>374</v>
      </c>
      <c r="F44" s="35" t="s">
        <v>580</v>
      </c>
      <c r="G44" s="35" t="s">
        <v>621</v>
      </c>
      <c r="H44" s="208" t="s">
        <v>639</v>
      </c>
      <c r="I44" s="208" t="s">
        <v>457</v>
      </c>
      <c r="J44" s="35" t="s">
        <v>626</v>
      </c>
      <c r="K44" s="208" t="s">
        <v>634</v>
      </c>
      <c r="L44" s="208" t="s">
        <v>629</v>
      </c>
      <c r="M44" s="35" t="s">
        <v>631</v>
      </c>
      <c r="N44" s="35" t="s">
        <v>454</v>
      </c>
      <c r="O44" s="35" t="s">
        <v>834</v>
      </c>
      <c r="P44" s="147">
        <v>1325</v>
      </c>
      <c r="Q44" s="147">
        <v>1325</v>
      </c>
      <c r="R44" s="147">
        <v>1325</v>
      </c>
      <c r="S44" s="147">
        <v>1325</v>
      </c>
      <c r="T44" s="147">
        <v>310</v>
      </c>
      <c r="U44" s="147">
        <v>295</v>
      </c>
      <c r="Z44" s="214">
        <f t="shared" si="2"/>
        <v>0.95161290322580649</v>
      </c>
      <c r="AA44" s="214">
        <f t="shared" si="3"/>
        <v>0.22264150943396227</v>
      </c>
      <c r="AB44" s="28">
        <v>1</v>
      </c>
      <c r="AC44" s="28">
        <v>0</v>
      </c>
      <c r="AD44" s="28">
        <v>1</v>
      </c>
      <c r="AE44" s="28">
        <v>1</v>
      </c>
      <c r="AF44" s="28">
        <v>0</v>
      </c>
      <c r="AG44" s="28">
        <v>1</v>
      </c>
    </row>
    <row r="45" spans="1:33" ht="15" customHeight="1" x14ac:dyDescent="0.2">
      <c r="A45" s="206" t="s">
        <v>465</v>
      </c>
      <c r="B45" t="s">
        <v>854</v>
      </c>
      <c r="C45" s="224" t="s">
        <v>824</v>
      </c>
      <c r="D45" s="35" t="s">
        <v>148</v>
      </c>
      <c r="E45" s="35" t="s">
        <v>374</v>
      </c>
      <c r="F45" s="35" t="s">
        <v>580</v>
      </c>
      <c r="G45" s="35" t="s">
        <v>621</v>
      </c>
      <c r="H45" s="208" t="s">
        <v>639</v>
      </c>
      <c r="I45" s="208" t="s">
        <v>457</v>
      </c>
      <c r="J45" s="35" t="s">
        <v>626</v>
      </c>
      <c r="K45" s="208" t="s">
        <v>634</v>
      </c>
      <c r="L45" s="208" t="s">
        <v>629</v>
      </c>
      <c r="M45" s="35" t="s">
        <v>631</v>
      </c>
      <c r="N45" s="35" t="s">
        <v>454</v>
      </c>
      <c r="O45" s="35" t="s">
        <v>834</v>
      </c>
      <c r="P45" s="147">
        <v>1340</v>
      </c>
      <c r="Q45" s="147">
        <v>1340</v>
      </c>
      <c r="R45" s="147">
        <v>1340</v>
      </c>
      <c r="S45" s="147">
        <v>1340</v>
      </c>
      <c r="T45" s="147">
        <v>304</v>
      </c>
      <c r="U45" s="147">
        <v>296</v>
      </c>
      <c r="Z45" s="214">
        <f t="shared" si="2"/>
        <v>0.97368421052631582</v>
      </c>
      <c r="AA45" s="214">
        <f t="shared" si="3"/>
        <v>0.22089552238805971</v>
      </c>
      <c r="AB45" s="28">
        <v>1</v>
      </c>
      <c r="AC45" s="28">
        <v>0</v>
      </c>
      <c r="AD45" s="28">
        <v>1</v>
      </c>
      <c r="AE45" s="28">
        <v>1</v>
      </c>
      <c r="AF45" s="28">
        <v>0</v>
      </c>
      <c r="AG45" s="28">
        <v>1</v>
      </c>
    </row>
    <row r="46" spans="1:33" ht="15" customHeight="1" x14ac:dyDescent="0.2">
      <c r="A46" s="206" t="s">
        <v>465</v>
      </c>
      <c r="B46" s="28" t="s">
        <v>290</v>
      </c>
      <c r="C46" s="207" t="s">
        <v>403</v>
      </c>
      <c r="D46" s="35" t="s">
        <v>82</v>
      </c>
      <c r="E46" s="35" t="s">
        <v>374</v>
      </c>
      <c r="F46" s="35" t="s">
        <v>580</v>
      </c>
      <c r="G46" s="35" t="s">
        <v>621</v>
      </c>
      <c r="H46" s="208" t="s">
        <v>639</v>
      </c>
      <c r="I46" s="208" t="s">
        <v>457</v>
      </c>
      <c r="J46" s="35" t="s">
        <v>626</v>
      </c>
      <c r="K46" s="208" t="s">
        <v>634</v>
      </c>
      <c r="L46" s="208" t="s">
        <v>629</v>
      </c>
      <c r="M46" s="35" t="s">
        <v>631</v>
      </c>
      <c r="N46" s="35" t="s">
        <v>454</v>
      </c>
      <c r="O46" s="35" t="s">
        <v>834</v>
      </c>
      <c r="P46" s="141">
        <v>1369.3</v>
      </c>
      <c r="Q46" s="141">
        <v>1100</v>
      </c>
      <c r="R46" s="141">
        <v>1369.3</v>
      </c>
      <c r="S46" s="142">
        <f>V46+W46</f>
        <v>1369.3</v>
      </c>
      <c r="T46" s="141">
        <v>330.03</v>
      </c>
      <c r="U46" s="141">
        <v>319.3</v>
      </c>
      <c r="V46" s="28">
        <v>431.7</v>
      </c>
      <c r="W46" s="212">
        <f>251.94+296.32+389.34</f>
        <v>937.59999999999991</v>
      </c>
      <c r="X46" s="213">
        <f>V46/U46</f>
        <v>1.3520200438459129</v>
      </c>
      <c r="Y46" s="214">
        <f>V46/T46</f>
        <v>1.3080629033724207</v>
      </c>
      <c r="Z46" s="214">
        <f t="shared" si="2"/>
        <v>0.9674878041390178</v>
      </c>
      <c r="AA46" s="214">
        <f t="shared" si="3"/>
        <v>0.2331848389688162</v>
      </c>
      <c r="AB46" s="215">
        <v>0</v>
      </c>
      <c r="AC46" s="215">
        <v>1</v>
      </c>
      <c r="AD46" s="215">
        <f>SUM(AB46:AC46)</f>
        <v>1</v>
      </c>
      <c r="AE46" s="215">
        <v>1</v>
      </c>
      <c r="AF46" s="216">
        <v>1</v>
      </c>
      <c r="AG46" s="215">
        <v>1</v>
      </c>
    </row>
    <row r="47" spans="1:33" s="219" customFormat="1" ht="15" customHeight="1" x14ac:dyDescent="0.2">
      <c r="A47" s="206" t="s">
        <v>465</v>
      </c>
      <c r="B47" t="s">
        <v>839</v>
      </c>
      <c r="C47" s="224" t="s">
        <v>824</v>
      </c>
      <c r="D47" s="35" t="s">
        <v>148</v>
      </c>
      <c r="E47" s="35" t="s">
        <v>374</v>
      </c>
      <c r="F47" s="35" t="s">
        <v>580</v>
      </c>
      <c r="G47" s="35" t="s">
        <v>621</v>
      </c>
      <c r="H47" s="208" t="s">
        <v>639</v>
      </c>
      <c r="I47" s="208" t="s">
        <v>457</v>
      </c>
      <c r="J47" s="35" t="s">
        <v>626</v>
      </c>
      <c r="K47" s="208" t="s">
        <v>634</v>
      </c>
      <c r="L47" s="208" t="s">
        <v>629</v>
      </c>
      <c r="M47" s="35" t="s">
        <v>631</v>
      </c>
      <c r="N47" s="35" t="s">
        <v>454</v>
      </c>
      <c r="O47" s="35" t="s">
        <v>834</v>
      </c>
      <c r="P47" s="147">
        <v>1380</v>
      </c>
      <c r="Q47" s="147">
        <v>1380</v>
      </c>
      <c r="R47" s="147">
        <v>1380</v>
      </c>
      <c r="S47" s="147">
        <v>1380</v>
      </c>
      <c r="T47" s="147">
        <v>317</v>
      </c>
      <c r="U47" s="147">
        <v>300</v>
      </c>
      <c r="V47" s="28"/>
      <c r="W47" s="28"/>
      <c r="X47" s="28"/>
      <c r="Y47" s="28"/>
      <c r="Z47" s="214">
        <f t="shared" si="2"/>
        <v>0.94637223974763407</v>
      </c>
      <c r="AA47" s="214">
        <f t="shared" si="3"/>
        <v>0.21739130434782608</v>
      </c>
      <c r="AB47" s="28">
        <v>1</v>
      </c>
      <c r="AC47" s="28">
        <v>0</v>
      </c>
      <c r="AD47" s="28">
        <v>1</v>
      </c>
      <c r="AE47" s="28">
        <v>1</v>
      </c>
      <c r="AF47" s="28">
        <v>0</v>
      </c>
      <c r="AG47" s="28">
        <v>1</v>
      </c>
    </row>
    <row r="48" spans="1:33" ht="15" customHeight="1" x14ac:dyDescent="0.2">
      <c r="A48" s="206" t="s">
        <v>465</v>
      </c>
      <c r="B48" t="s">
        <v>849</v>
      </c>
      <c r="C48" s="224" t="s">
        <v>824</v>
      </c>
      <c r="D48" s="35" t="s">
        <v>148</v>
      </c>
      <c r="E48" s="35" t="s">
        <v>374</v>
      </c>
      <c r="F48" s="35" t="s">
        <v>580</v>
      </c>
      <c r="G48" s="35" t="s">
        <v>621</v>
      </c>
      <c r="H48" s="208" t="s">
        <v>639</v>
      </c>
      <c r="I48" s="35" t="s">
        <v>625</v>
      </c>
      <c r="J48" s="35" t="s">
        <v>626</v>
      </c>
      <c r="K48" s="208" t="s">
        <v>634</v>
      </c>
      <c r="L48" s="208" t="s">
        <v>629</v>
      </c>
      <c r="M48" s="35" t="s">
        <v>631</v>
      </c>
      <c r="N48" s="35" t="s">
        <v>454</v>
      </c>
      <c r="O48" s="35" t="s">
        <v>834</v>
      </c>
      <c r="P48" s="147">
        <v>1413</v>
      </c>
      <c r="Q48" s="147">
        <v>1413</v>
      </c>
      <c r="R48" s="147">
        <v>1413</v>
      </c>
      <c r="S48" s="147">
        <v>1413</v>
      </c>
      <c r="T48" s="147">
        <v>327</v>
      </c>
      <c r="U48" s="147">
        <v>311</v>
      </c>
      <c r="Z48" s="214">
        <f t="shared" si="2"/>
        <v>0.95107033639143734</v>
      </c>
      <c r="AA48" s="214">
        <f t="shared" si="3"/>
        <v>0.22009907997169142</v>
      </c>
      <c r="AB48" s="28">
        <v>1</v>
      </c>
      <c r="AC48" s="28">
        <v>0</v>
      </c>
      <c r="AD48" s="28">
        <v>1</v>
      </c>
      <c r="AE48" s="28">
        <v>1</v>
      </c>
      <c r="AF48" s="28">
        <v>0</v>
      </c>
      <c r="AG48" s="28">
        <v>1</v>
      </c>
    </row>
    <row r="49" spans="1:33" ht="15" customHeight="1" x14ac:dyDescent="0.2">
      <c r="A49" s="209" t="s">
        <v>465</v>
      </c>
      <c r="B49" s="210" t="s">
        <v>481</v>
      </c>
      <c r="C49" s="201" t="s">
        <v>401</v>
      </c>
      <c r="D49" s="35" t="s">
        <v>82</v>
      </c>
      <c r="E49" s="35" t="s">
        <v>374</v>
      </c>
      <c r="F49" s="35" t="s">
        <v>580</v>
      </c>
      <c r="G49" s="35" t="s">
        <v>621</v>
      </c>
      <c r="H49" s="208" t="s">
        <v>639</v>
      </c>
      <c r="I49" s="208" t="s">
        <v>625</v>
      </c>
      <c r="J49" s="35" t="s">
        <v>626</v>
      </c>
      <c r="K49" s="208" t="s">
        <v>634</v>
      </c>
      <c r="L49" s="208" t="s">
        <v>629</v>
      </c>
      <c r="M49" s="35" t="s">
        <v>631</v>
      </c>
      <c r="N49" s="35" t="s">
        <v>454</v>
      </c>
      <c r="O49" s="35" t="s">
        <v>834</v>
      </c>
      <c r="P49" s="73">
        <v>1420</v>
      </c>
      <c r="Q49" s="73">
        <v>1420</v>
      </c>
      <c r="R49" s="73">
        <v>1420</v>
      </c>
      <c r="S49" s="73">
        <v>1420</v>
      </c>
      <c r="U49" s="73">
        <v>313</v>
      </c>
      <c r="X49" s="213"/>
      <c r="Y49" s="214"/>
      <c r="Z49" s="214"/>
      <c r="AA49" s="214">
        <f t="shared" si="3"/>
        <v>0.22042253521126762</v>
      </c>
      <c r="AB49" s="215">
        <v>1</v>
      </c>
      <c r="AC49" s="215">
        <v>0</v>
      </c>
      <c r="AD49" s="215">
        <f>SUM(AB49:AC49)</f>
        <v>1</v>
      </c>
      <c r="AE49" s="215">
        <v>1</v>
      </c>
      <c r="AF49" s="216">
        <v>0</v>
      </c>
      <c r="AG49" s="215">
        <v>0</v>
      </c>
    </row>
    <row r="50" spans="1:33" x14ac:dyDescent="0.2">
      <c r="A50" s="206" t="s">
        <v>465</v>
      </c>
      <c r="B50" s="218" t="s">
        <v>344</v>
      </c>
      <c r="C50" s="207" t="s">
        <v>403</v>
      </c>
      <c r="D50" s="35" t="s">
        <v>82</v>
      </c>
      <c r="E50" s="35" t="s">
        <v>374</v>
      </c>
      <c r="F50" s="35" t="s">
        <v>580</v>
      </c>
      <c r="G50" s="35" t="s">
        <v>621</v>
      </c>
      <c r="H50" s="208" t="s">
        <v>639</v>
      </c>
      <c r="I50" s="208" t="s">
        <v>625</v>
      </c>
      <c r="J50" s="35" t="s">
        <v>626</v>
      </c>
      <c r="K50" s="208" t="s">
        <v>634</v>
      </c>
      <c r="L50" s="208" t="s">
        <v>629</v>
      </c>
      <c r="M50" s="35" t="s">
        <v>631</v>
      </c>
      <c r="N50" s="35" t="s">
        <v>454</v>
      </c>
      <c r="O50" s="35" t="s">
        <v>834</v>
      </c>
      <c r="P50" s="141">
        <v>1427.7</v>
      </c>
      <c r="Q50" s="141">
        <v>1800</v>
      </c>
      <c r="R50" s="141">
        <v>1427.7</v>
      </c>
      <c r="S50" s="142">
        <f>W50+V50</f>
        <v>1427.7000000000003</v>
      </c>
      <c r="T50" s="141">
        <v>336.5</v>
      </c>
      <c r="U50" s="141">
        <v>320.86</v>
      </c>
      <c r="V50" s="28">
        <v>440.1</v>
      </c>
      <c r="W50" s="212">
        <f>243.33+412.1+332.17</f>
        <v>987.60000000000014</v>
      </c>
      <c r="X50" s="213">
        <f>V50/U50</f>
        <v>1.3716262544411892</v>
      </c>
      <c r="Y50" s="214">
        <f>V50/T50</f>
        <v>1.3078751857355126</v>
      </c>
      <c r="Z50" s="214">
        <f>U50/T50</f>
        <v>0.95352154531946509</v>
      </c>
      <c r="AA50" s="214">
        <f t="shared" si="3"/>
        <v>0.22473909084541566</v>
      </c>
      <c r="AB50" s="215">
        <v>0</v>
      </c>
      <c r="AC50" s="215">
        <v>1</v>
      </c>
      <c r="AD50" s="215">
        <f>SUM(AB50:AC50)</f>
        <v>1</v>
      </c>
      <c r="AE50" s="215">
        <v>1</v>
      </c>
      <c r="AF50" s="216">
        <v>0</v>
      </c>
      <c r="AG50" s="215">
        <v>1</v>
      </c>
    </row>
    <row r="51" spans="1:33" ht="16" x14ac:dyDescent="0.2">
      <c r="A51" s="206" t="s">
        <v>465</v>
      </c>
      <c r="B51" t="s">
        <v>864</v>
      </c>
      <c r="C51" s="224" t="s">
        <v>824</v>
      </c>
      <c r="D51" s="35" t="s">
        <v>148</v>
      </c>
      <c r="E51" s="35" t="s">
        <v>374</v>
      </c>
      <c r="F51" s="35" t="s">
        <v>580</v>
      </c>
      <c r="G51" s="35" t="s">
        <v>621</v>
      </c>
      <c r="H51" s="208" t="s">
        <v>639</v>
      </c>
      <c r="I51" s="35" t="s">
        <v>625</v>
      </c>
      <c r="J51" s="35" t="s">
        <v>626</v>
      </c>
      <c r="K51" s="208" t="s">
        <v>634</v>
      </c>
      <c r="L51" s="208" t="s">
        <v>629</v>
      </c>
      <c r="M51" s="35" t="s">
        <v>631</v>
      </c>
      <c r="N51" s="35" t="s">
        <v>454</v>
      </c>
      <c r="O51" s="35" t="s">
        <v>834</v>
      </c>
      <c r="P51" s="147">
        <v>1460</v>
      </c>
      <c r="Q51" s="147">
        <v>1460</v>
      </c>
      <c r="R51" s="147">
        <v>1460</v>
      </c>
      <c r="S51" s="147">
        <v>1460</v>
      </c>
      <c r="T51" s="147">
        <v>331</v>
      </c>
      <c r="U51" s="147">
        <v>316</v>
      </c>
      <c r="Z51" s="214">
        <f>U51/T51</f>
        <v>0.9546827794561934</v>
      </c>
      <c r="AA51" s="214">
        <f t="shared" si="3"/>
        <v>0.21643835616438356</v>
      </c>
      <c r="AB51" s="28">
        <v>1</v>
      </c>
      <c r="AC51" s="28">
        <v>0</v>
      </c>
      <c r="AD51" s="28">
        <v>1</v>
      </c>
      <c r="AE51" s="28">
        <v>1</v>
      </c>
      <c r="AF51" s="28">
        <v>0</v>
      </c>
      <c r="AG51" s="28">
        <v>1</v>
      </c>
    </row>
    <row r="52" spans="1:33" x14ac:dyDescent="0.2">
      <c r="A52" s="206" t="s">
        <v>465</v>
      </c>
      <c r="B52" s="28" t="s">
        <v>310</v>
      </c>
      <c r="C52" s="207" t="s">
        <v>403</v>
      </c>
      <c r="D52" s="35" t="s">
        <v>82</v>
      </c>
      <c r="E52" s="35" t="s">
        <v>374</v>
      </c>
      <c r="F52" s="35" t="s">
        <v>580</v>
      </c>
      <c r="G52" s="35" t="s">
        <v>621</v>
      </c>
      <c r="H52" s="208" t="s">
        <v>639</v>
      </c>
      <c r="I52" s="208" t="s">
        <v>625</v>
      </c>
      <c r="J52" s="35" t="s">
        <v>626</v>
      </c>
      <c r="K52" s="208" t="s">
        <v>634</v>
      </c>
      <c r="L52" s="208" t="s">
        <v>629</v>
      </c>
      <c r="M52" s="35" t="s">
        <v>631</v>
      </c>
      <c r="N52" s="35" t="s">
        <v>454</v>
      </c>
      <c r="O52" s="35" t="s">
        <v>834</v>
      </c>
      <c r="P52" s="142">
        <f>489.03+252.1+310.1+413</f>
        <v>1464.23</v>
      </c>
      <c r="Q52" s="141">
        <v>1200</v>
      </c>
      <c r="R52" s="142">
        <f>489.03+252.1+310.1+413</f>
        <v>1464.23</v>
      </c>
      <c r="S52" s="142">
        <f>489.03+252.1+310.1+413</f>
        <v>1464.23</v>
      </c>
      <c r="T52" s="141">
        <v>413</v>
      </c>
      <c r="U52" s="141">
        <v>392.4</v>
      </c>
      <c r="V52" s="28">
        <v>528</v>
      </c>
      <c r="W52" s="212">
        <f>S52-V52</f>
        <v>936.23</v>
      </c>
      <c r="X52" s="213">
        <f>V52/U52</f>
        <v>1.345565749235474</v>
      </c>
      <c r="Y52" s="214">
        <f>V52/T52</f>
        <v>1.2784503631961259</v>
      </c>
      <c r="Z52" s="214">
        <f>U52/T52</f>
        <v>0.95012106537530261</v>
      </c>
      <c r="AA52" s="214">
        <f t="shared" si="3"/>
        <v>0.26799068452360625</v>
      </c>
      <c r="AB52" s="215">
        <v>0</v>
      </c>
      <c r="AC52" s="215">
        <v>1</v>
      </c>
      <c r="AD52" s="215">
        <f>SUM(AB52:AC52)</f>
        <v>1</v>
      </c>
      <c r="AE52" s="215">
        <v>1</v>
      </c>
      <c r="AF52" s="216">
        <v>0</v>
      </c>
      <c r="AG52" s="215">
        <v>1</v>
      </c>
    </row>
    <row r="53" spans="1:33" x14ac:dyDescent="0.2">
      <c r="A53" s="209" t="s">
        <v>465</v>
      </c>
      <c r="B53" s="210" t="s">
        <v>483</v>
      </c>
      <c r="C53" s="201" t="s">
        <v>401</v>
      </c>
      <c r="D53" s="35" t="s">
        <v>82</v>
      </c>
      <c r="E53" s="35" t="s">
        <v>374</v>
      </c>
      <c r="F53" s="35" t="s">
        <v>580</v>
      </c>
      <c r="G53" s="35" t="s">
        <v>621</v>
      </c>
      <c r="H53" s="208" t="s">
        <v>639</v>
      </c>
      <c r="I53" s="208" t="s">
        <v>625</v>
      </c>
      <c r="J53" s="35" t="s">
        <v>626</v>
      </c>
      <c r="K53" s="208" t="s">
        <v>634</v>
      </c>
      <c r="L53" s="208" t="s">
        <v>629</v>
      </c>
      <c r="M53" s="35" t="s">
        <v>631</v>
      </c>
      <c r="N53" s="35" t="s">
        <v>454</v>
      </c>
      <c r="O53" s="35" t="s">
        <v>834</v>
      </c>
      <c r="P53" s="73">
        <v>1465</v>
      </c>
      <c r="Q53" s="73">
        <v>1465</v>
      </c>
      <c r="R53" s="73">
        <v>1465</v>
      </c>
      <c r="S53" s="73">
        <v>1465</v>
      </c>
      <c r="U53" s="73">
        <v>338</v>
      </c>
      <c r="X53" s="213"/>
      <c r="Y53" s="214"/>
      <c r="Z53" s="214"/>
      <c r="AA53" s="214">
        <f t="shared" si="3"/>
        <v>0.23071672354948805</v>
      </c>
      <c r="AB53" s="215">
        <v>1</v>
      </c>
      <c r="AC53" s="215">
        <v>0</v>
      </c>
      <c r="AD53" s="215">
        <f>SUM(AB53:AC53)</f>
        <v>1</v>
      </c>
      <c r="AE53" s="215">
        <v>1</v>
      </c>
      <c r="AF53" s="216">
        <v>0</v>
      </c>
      <c r="AG53" s="215">
        <v>0</v>
      </c>
    </row>
    <row r="54" spans="1:33" ht="16" x14ac:dyDescent="0.2">
      <c r="A54" s="206" t="s">
        <v>465</v>
      </c>
      <c r="B54" t="s">
        <v>875</v>
      </c>
      <c r="C54" s="224" t="s">
        <v>824</v>
      </c>
      <c r="D54" s="35" t="s">
        <v>148</v>
      </c>
      <c r="E54" s="35" t="s">
        <v>374</v>
      </c>
      <c r="F54" s="35" t="s">
        <v>580</v>
      </c>
      <c r="G54" s="35" t="s">
        <v>621</v>
      </c>
      <c r="H54" s="208" t="s">
        <v>639</v>
      </c>
      <c r="I54" s="35" t="s">
        <v>625</v>
      </c>
      <c r="J54" s="35" t="s">
        <v>626</v>
      </c>
      <c r="K54" s="208" t="s">
        <v>634</v>
      </c>
      <c r="L54" s="208" t="s">
        <v>629</v>
      </c>
      <c r="M54" s="35" t="s">
        <v>631</v>
      </c>
      <c r="N54" s="35" t="s">
        <v>454</v>
      </c>
      <c r="O54" s="35" t="s">
        <v>834</v>
      </c>
      <c r="P54" s="147">
        <v>1490</v>
      </c>
      <c r="Q54" s="147">
        <v>1490</v>
      </c>
      <c r="R54" s="147">
        <v>1490</v>
      </c>
      <c r="S54" s="147">
        <v>1490</v>
      </c>
      <c r="T54" s="147">
        <v>358</v>
      </c>
      <c r="U54" s="147">
        <v>348</v>
      </c>
      <c r="Z54" s="214">
        <f>U54/T54</f>
        <v>0.97206703910614523</v>
      </c>
      <c r="AA54" s="214">
        <f t="shared" si="3"/>
        <v>0.23355704697986576</v>
      </c>
      <c r="AB54" s="28">
        <v>1</v>
      </c>
      <c r="AC54" s="28">
        <v>0</v>
      </c>
      <c r="AD54" s="28">
        <v>1</v>
      </c>
      <c r="AE54" s="28">
        <v>1</v>
      </c>
      <c r="AF54" s="28">
        <v>0</v>
      </c>
      <c r="AG54" s="28">
        <v>1</v>
      </c>
    </row>
    <row r="55" spans="1:33" x14ac:dyDescent="0.2">
      <c r="A55" s="209" t="s">
        <v>465</v>
      </c>
      <c r="B55" s="210" t="s">
        <v>485</v>
      </c>
      <c r="C55" s="201" t="s">
        <v>401</v>
      </c>
      <c r="D55" s="35" t="s">
        <v>82</v>
      </c>
      <c r="E55" s="35" t="s">
        <v>374</v>
      </c>
      <c r="F55" s="35" t="s">
        <v>580</v>
      </c>
      <c r="G55" s="35" t="s">
        <v>621</v>
      </c>
      <c r="H55" s="208" t="s">
        <v>639</v>
      </c>
      <c r="I55" s="208" t="s">
        <v>625</v>
      </c>
      <c r="J55" s="35" t="s">
        <v>626</v>
      </c>
      <c r="K55" s="208" t="s">
        <v>634</v>
      </c>
      <c r="L55" s="208" t="s">
        <v>629</v>
      </c>
      <c r="M55" s="35" t="s">
        <v>631</v>
      </c>
      <c r="N55" s="35" t="s">
        <v>454</v>
      </c>
      <c r="O55" s="35" t="s">
        <v>834</v>
      </c>
      <c r="P55" s="73">
        <v>1495</v>
      </c>
      <c r="Q55" s="73">
        <v>1495</v>
      </c>
      <c r="R55" s="73">
        <v>1495</v>
      </c>
      <c r="S55" s="73">
        <v>1495</v>
      </c>
      <c r="U55" s="73">
        <v>323</v>
      </c>
      <c r="X55" s="213"/>
      <c r="Y55" s="214"/>
      <c r="Z55" s="214"/>
      <c r="AA55" s="214">
        <f t="shared" si="3"/>
        <v>0.21605351170568562</v>
      </c>
      <c r="AB55" s="215">
        <v>1</v>
      </c>
      <c r="AC55" s="215">
        <v>0</v>
      </c>
      <c r="AD55" s="215">
        <f>SUM(AB55:AC55)</f>
        <v>1</v>
      </c>
      <c r="AE55" s="215">
        <v>1</v>
      </c>
      <c r="AF55" s="216">
        <v>0</v>
      </c>
      <c r="AG55" s="215">
        <v>0</v>
      </c>
    </row>
    <row r="56" spans="1:33" x14ac:dyDescent="0.2">
      <c r="A56" s="206" t="s">
        <v>465</v>
      </c>
      <c r="B56" s="28" t="s">
        <v>345</v>
      </c>
      <c r="C56" s="207" t="s">
        <v>403</v>
      </c>
      <c r="D56" s="35" t="s">
        <v>82</v>
      </c>
      <c r="E56" s="35" t="s">
        <v>374</v>
      </c>
      <c r="F56" s="35" t="s">
        <v>580</v>
      </c>
      <c r="G56" s="35" t="s">
        <v>621</v>
      </c>
      <c r="H56" s="208" t="s">
        <v>639</v>
      </c>
      <c r="I56" s="208" t="s">
        <v>625</v>
      </c>
      <c r="J56" s="35" t="s">
        <v>626</v>
      </c>
      <c r="K56" s="208" t="s">
        <v>634</v>
      </c>
      <c r="L56" s="208" t="s">
        <v>629</v>
      </c>
      <c r="M56" s="35" t="s">
        <v>631</v>
      </c>
      <c r="N56" s="35" t="s">
        <v>454</v>
      </c>
      <c r="O56" s="35" t="s">
        <v>834</v>
      </c>
      <c r="P56" s="141">
        <v>1499</v>
      </c>
      <c r="Q56" s="141">
        <v>1800</v>
      </c>
      <c r="R56" s="141">
        <v>1499</v>
      </c>
      <c r="S56" s="141">
        <v>1499</v>
      </c>
      <c r="T56" s="141">
        <v>382</v>
      </c>
      <c r="U56" s="141">
        <v>364</v>
      </c>
      <c r="V56" s="28">
        <v>493.3</v>
      </c>
      <c r="W56" s="212">
        <v>1005.7</v>
      </c>
      <c r="X56" s="213">
        <f>V56/U56</f>
        <v>1.3552197802197803</v>
      </c>
      <c r="Y56" s="214">
        <f>V56/T56</f>
        <v>1.2913612565445027</v>
      </c>
      <c r="Z56" s="214">
        <f t="shared" ref="Z56:Z79" si="4">U56/T56</f>
        <v>0.95287958115183247</v>
      </c>
      <c r="AA56" s="214">
        <f t="shared" si="3"/>
        <v>0.24282855236824549</v>
      </c>
      <c r="AB56" s="215">
        <v>0</v>
      </c>
      <c r="AC56" s="215">
        <v>1</v>
      </c>
      <c r="AD56" s="215">
        <f>SUM(AB56:AC56)</f>
        <v>1</v>
      </c>
      <c r="AE56" s="215">
        <v>1</v>
      </c>
      <c r="AF56" s="216">
        <v>0</v>
      </c>
      <c r="AG56" s="141">
        <v>1</v>
      </c>
    </row>
    <row r="57" spans="1:33" x14ac:dyDescent="0.2">
      <c r="A57" s="206" t="s">
        <v>465</v>
      </c>
      <c r="B57" s="28" t="s">
        <v>433</v>
      </c>
      <c r="C57" s="28" t="s">
        <v>458</v>
      </c>
      <c r="D57" s="208" t="s">
        <v>82</v>
      </c>
      <c r="E57" s="35" t="s">
        <v>374</v>
      </c>
      <c r="F57" s="35" t="s">
        <v>580</v>
      </c>
      <c r="G57" s="35" t="s">
        <v>621</v>
      </c>
      <c r="H57" s="208" t="s">
        <v>639</v>
      </c>
      <c r="I57" s="208" t="s">
        <v>625</v>
      </c>
      <c r="J57" s="35" t="s">
        <v>627</v>
      </c>
      <c r="K57" s="208" t="s">
        <v>634</v>
      </c>
      <c r="L57" s="208" t="s">
        <v>629</v>
      </c>
      <c r="M57" s="35" t="s">
        <v>631</v>
      </c>
      <c r="N57" s="35" t="s">
        <v>454</v>
      </c>
      <c r="O57" s="35" t="s">
        <v>834</v>
      </c>
      <c r="P57" s="141">
        <v>1520</v>
      </c>
      <c r="Q57" s="141">
        <v>1520</v>
      </c>
      <c r="R57" s="141">
        <v>1520</v>
      </c>
      <c r="S57" s="141">
        <v>1520</v>
      </c>
      <c r="T57" s="141">
        <v>335</v>
      </c>
      <c r="U57" s="141">
        <v>323</v>
      </c>
      <c r="V57" s="141"/>
      <c r="X57" s="213"/>
      <c r="Y57" s="214"/>
      <c r="Z57" s="214">
        <f t="shared" si="4"/>
        <v>0.9641791044776119</v>
      </c>
      <c r="AA57" s="214">
        <f t="shared" si="3"/>
        <v>0.21249999999999999</v>
      </c>
      <c r="AB57" s="215">
        <v>1</v>
      </c>
      <c r="AC57" s="215">
        <v>0</v>
      </c>
      <c r="AD57" s="215">
        <f>SUM(AB57:AC57)</f>
        <v>1</v>
      </c>
      <c r="AE57" s="215">
        <v>1</v>
      </c>
      <c r="AF57" s="216">
        <v>0</v>
      </c>
      <c r="AG57" s="215">
        <v>1</v>
      </c>
    </row>
    <row r="58" spans="1:33" ht="16" x14ac:dyDescent="0.2">
      <c r="A58" s="206" t="s">
        <v>465</v>
      </c>
      <c r="B58" t="s">
        <v>878</v>
      </c>
      <c r="C58" s="224" t="s">
        <v>824</v>
      </c>
      <c r="D58" s="35" t="s">
        <v>148</v>
      </c>
      <c r="E58" s="35" t="s">
        <v>374</v>
      </c>
      <c r="F58" s="35" t="s">
        <v>580</v>
      </c>
      <c r="G58" s="35" t="s">
        <v>621</v>
      </c>
      <c r="H58" s="208" t="s">
        <v>639</v>
      </c>
      <c r="I58" s="35" t="s">
        <v>625</v>
      </c>
      <c r="J58" s="35" t="s">
        <v>627</v>
      </c>
      <c r="K58" s="208" t="s">
        <v>634</v>
      </c>
      <c r="L58" s="208" t="s">
        <v>629</v>
      </c>
      <c r="M58" s="35" t="s">
        <v>631</v>
      </c>
      <c r="N58" s="35" t="s">
        <v>454</v>
      </c>
      <c r="O58" s="35" t="s">
        <v>834</v>
      </c>
      <c r="P58" s="147">
        <v>1520</v>
      </c>
      <c r="Q58" s="147">
        <v>1520</v>
      </c>
      <c r="R58" s="147">
        <v>1520</v>
      </c>
      <c r="S58" s="147">
        <v>1520</v>
      </c>
      <c r="T58" s="147">
        <v>356</v>
      </c>
      <c r="U58" s="147">
        <v>339</v>
      </c>
      <c r="Z58" s="214">
        <f t="shared" si="4"/>
        <v>0.952247191011236</v>
      </c>
      <c r="AA58" s="214">
        <f t="shared" si="3"/>
        <v>0.22302631578947368</v>
      </c>
      <c r="AB58" s="28">
        <v>1</v>
      </c>
      <c r="AC58" s="28">
        <v>0</v>
      </c>
      <c r="AD58" s="28">
        <v>1</v>
      </c>
      <c r="AE58" s="28">
        <v>1</v>
      </c>
      <c r="AF58" s="28">
        <v>0</v>
      </c>
      <c r="AG58" s="28">
        <v>1</v>
      </c>
    </row>
    <row r="59" spans="1:33" ht="16" x14ac:dyDescent="0.2">
      <c r="A59" s="206" t="s">
        <v>465</v>
      </c>
      <c r="B59" t="s">
        <v>868</v>
      </c>
      <c r="C59" s="224" t="s">
        <v>824</v>
      </c>
      <c r="D59" s="35" t="s">
        <v>148</v>
      </c>
      <c r="E59" s="35" t="s">
        <v>374</v>
      </c>
      <c r="F59" s="35" t="s">
        <v>580</v>
      </c>
      <c r="G59" s="35" t="s">
        <v>621</v>
      </c>
      <c r="H59" s="208" t="s">
        <v>639</v>
      </c>
      <c r="I59" s="35" t="s">
        <v>625</v>
      </c>
      <c r="J59" s="35" t="s">
        <v>627</v>
      </c>
      <c r="K59" s="208" t="s">
        <v>634</v>
      </c>
      <c r="L59" s="208" t="s">
        <v>629</v>
      </c>
      <c r="M59" s="35" t="s">
        <v>631</v>
      </c>
      <c r="N59" s="35" t="s">
        <v>454</v>
      </c>
      <c r="O59" s="35" t="s">
        <v>834</v>
      </c>
      <c r="P59" s="147">
        <v>1530</v>
      </c>
      <c r="Q59" s="147">
        <v>1530</v>
      </c>
      <c r="R59" s="147">
        <v>1530</v>
      </c>
      <c r="S59" s="147">
        <v>1530</v>
      </c>
      <c r="T59" s="147">
        <v>375</v>
      </c>
      <c r="U59" s="147">
        <v>352</v>
      </c>
      <c r="Z59" s="214">
        <f t="shared" si="4"/>
        <v>0.93866666666666665</v>
      </c>
      <c r="AA59" s="214">
        <f t="shared" si="3"/>
        <v>0.23006535947712417</v>
      </c>
      <c r="AB59" s="28">
        <v>1</v>
      </c>
      <c r="AC59" s="28">
        <v>0</v>
      </c>
      <c r="AD59" s="28">
        <v>1</v>
      </c>
      <c r="AE59" s="28">
        <v>1</v>
      </c>
      <c r="AF59" s="28">
        <v>0</v>
      </c>
      <c r="AG59" s="28">
        <v>1</v>
      </c>
    </row>
    <row r="60" spans="1:33" ht="16" x14ac:dyDescent="0.2">
      <c r="A60" s="206" t="s">
        <v>465</v>
      </c>
      <c r="B60" t="s">
        <v>874</v>
      </c>
      <c r="C60" s="224" t="s">
        <v>824</v>
      </c>
      <c r="D60" s="35" t="s">
        <v>148</v>
      </c>
      <c r="E60" s="35" t="s">
        <v>374</v>
      </c>
      <c r="F60" s="35" t="s">
        <v>580</v>
      </c>
      <c r="G60" s="35" t="s">
        <v>621</v>
      </c>
      <c r="H60" s="208" t="s">
        <v>639</v>
      </c>
      <c r="I60" s="35" t="s">
        <v>625</v>
      </c>
      <c r="J60" s="35" t="s">
        <v>627</v>
      </c>
      <c r="K60" s="208" t="s">
        <v>634</v>
      </c>
      <c r="L60" s="208" t="s">
        <v>629</v>
      </c>
      <c r="M60" s="35" t="s">
        <v>631</v>
      </c>
      <c r="N60" s="35" t="s">
        <v>454</v>
      </c>
      <c r="O60" s="35" t="s">
        <v>834</v>
      </c>
      <c r="P60" s="147">
        <v>1540</v>
      </c>
      <c r="Q60" s="147">
        <v>1540</v>
      </c>
      <c r="R60" s="147">
        <v>1540</v>
      </c>
      <c r="S60" s="147">
        <v>1540</v>
      </c>
      <c r="T60" s="147">
        <v>368</v>
      </c>
      <c r="U60" s="147">
        <v>350</v>
      </c>
      <c r="Z60" s="214">
        <f t="shared" si="4"/>
        <v>0.95108695652173914</v>
      </c>
      <c r="AA60" s="214">
        <f t="shared" si="3"/>
        <v>0.22727272727272727</v>
      </c>
      <c r="AB60" s="28">
        <v>1</v>
      </c>
      <c r="AC60" s="28">
        <v>0</v>
      </c>
      <c r="AD60" s="28">
        <v>1</v>
      </c>
      <c r="AE60" s="28">
        <v>1</v>
      </c>
      <c r="AF60" s="28">
        <v>0</v>
      </c>
      <c r="AG60" s="28">
        <v>1</v>
      </c>
    </row>
    <row r="61" spans="1:33" ht="16" x14ac:dyDescent="0.2">
      <c r="A61" s="206" t="s">
        <v>465</v>
      </c>
      <c r="B61" t="s">
        <v>879</v>
      </c>
      <c r="C61" s="224" t="s">
        <v>824</v>
      </c>
      <c r="D61" s="35" t="s">
        <v>148</v>
      </c>
      <c r="E61" s="35" t="s">
        <v>374</v>
      </c>
      <c r="F61" s="35" t="s">
        <v>580</v>
      </c>
      <c r="G61" s="35" t="s">
        <v>621</v>
      </c>
      <c r="H61" s="208" t="s">
        <v>639</v>
      </c>
      <c r="I61" s="35" t="s">
        <v>625</v>
      </c>
      <c r="J61" s="35" t="s">
        <v>627</v>
      </c>
      <c r="K61" s="208" t="s">
        <v>634</v>
      </c>
      <c r="L61" s="208" t="s">
        <v>629</v>
      </c>
      <c r="M61" s="35" t="s">
        <v>631</v>
      </c>
      <c r="N61" s="35" t="s">
        <v>454</v>
      </c>
      <c r="O61" s="35" t="s">
        <v>834</v>
      </c>
      <c r="P61" s="147">
        <v>1550</v>
      </c>
      <c r="Q61" s="147">
        <v>1550</v>
      </c>
      <c r="R61" s="147">
        <v>1550</v>
      </c>
      <c r="S61" s="147">
        <v>1550</v>
      </c>
      <c r="T61" s="147">
        <v>370</v>
      </c>
      <c r="U61" s="147">
        <v>355</v>
      </c>
      <c r="Z61" s="214">
        <f t="shared" si="4"/>
        <v>0.95945945945945943</v>
      </c>
      <c r="AA61" s="214">
        <f t="shared" si="3"/>
        <v>0.22903225806451613</v>
      </c>
      <c r="AB61" s="28">
        <v>1</v>
      </c>
      <c r="AC61" s="28">
        <v>0</v>
      </c>
      <c r="AD61" s="28">
        <v>1</v>
      </c>
      <c r="AE61" s="28">
        <v>1</v>
      </c>
      <c r="AF61" s="28">
        <v>0</v>
      </c>
      <c r="AG61" s="28">
        <v>1</v>
      </c>
    </row>
    <row r="62" spans="1:33" x14ac:dyDescent="0.2">
      <c r="A62" s="209" t="s">
        <v>465</v>
      </c>
      <c r="B62" s="210" t="s">
        <v>526</v>
      </c>
      <c r="C62" s="210" t="s">
        <v>401</v>
      </c>
      <c r="D62" s="208" t="s">
        <v>82</v>
      </c>
      <c r="E62" s="35" t="s">
        <v>374</v>
      </c>
      <c r="F62" s="35" t="s">
        <v>580</v>
      </c>
      <c r="G62" s="35" t="s">
        <v>621</v>
      </c>
      <c r="H62" s="208" t="s">
        <v>639</v>
      </c>
      <c r="I62" s="208" t="s">
        <v>625</v>
      </c>
      <c r="J62" s="35" t="s">
        <v>627</v>
      </c>
      <c r="K62" s="208" t="s">
        <v>634</v>
      </c>
      <c r="L62" s="208" t="s">
        <v>629</v>
      </c>
      <c r="M62" s="35" t="s">
        <v>631</v>
      </c>
      <c r="N62" s="35" t="s">
        <v>454</v>
      </c>
      <c r="O62" s="35" t="s">
        <v>834</v>
      </c>
      <c r="P62" s="141">
        <v>1553</v>
      </c>
      <c r="Q62" s="141">
        <v>1553</v>
      </c>
      <c r="R62" s="73">
        <v>1553</v>
      </c>
      <c r="S62" s="73">
        <v>1553</v>
      </c>
      <c r="T62" s="73">
        <v>362</v>
      </c>
      <c r="U62" s="73">
        <v>349</v>
      </c>
      <c r="V62" s="211">
        <v>478</v>
      </c>
      <c r="W62" s="212">
        <f>R62-V62</f>
        <v>1075</v>
      </c>
      <c r="X62" s="213">
        <f>V62/U62</f>
        <v>1.3696275071633237</v>
      </c>
      <c r="Y62" s="214">
        <f>V62/T62</f>
        <v>1.3204419889502763</v>
      </c>
      <c r="Z62" s="214">
        <f t="shared" si="4"/>
        <v>0.96408839779005528</v>
      </c>
      <c r="AA62" s="214">
        <f t="shared" si="3"/>
        <v>0.22472633612363169</v>
      </c>
      <c r="AB62" s="215">
        <v>1</v>
      </c>
      <c r="AC62" s="215">
        <v>0</v>
      </c>
      <c r="AD62" s="215">
        <f>SUM(AB62:AC62)</f>
        <v>1</v>
      </c>
      <c r="AE62" s="215">
        <v>1</v>
      </c>
      <c r="AF62" s="216">
        <v>0</v>
      </c>
      <c r="AG62" s="215">
        <v>0</v>
      </c>
    </row>
    <row r="63" spans="1:33" ht="16" x14ac:dyDescent="0.2">
      <c r="A63" s="206" t="s">
        <v>465</v>
      </c>
      <c r="B63" t="s">
        <v>866</v>
      </c>
      <c r="C63" s="224" t="s">
        <v>824</v>
      </c>
      <c r="D63" s="35" t="s">
        <v>148</v>
      </c>
      <c r="E63" s="35" t="s">
        <v>374</v>
      </c>
      <c r="F63" s="35" t="s">
        <v>580</v>
      </c>
      <c r="G63" s="35" t="s">
        <v>621</v>
      </c>
      <c r="H63" s="208" t="s">
        <v>639</v>
      </c>
      <c r="I63" s="35" t="s">
        <v>625</v>
      </c>
      <c r="J63" s="35" t="s">
        <v>627</v>
      </c>
      <c r="K63" s="208" t="s">
        <v>634</v>
      </c>
      <c r="L63" s="208" t="s">
        <v>629</v>
      </c>
      <c r="M63" s="35" t="s">
        <v>631</v>
      </c>
      <c r="N63" s="35" t="s">
        <v>454</v>
      </c>
      <c r="O63" s="35" t="s">
        <v>834</v>
      </c>
      <c r="P63" s="147">
        <v>1565</v>
      </c>
      <c r="Q63" s="147">
        <v>1565</v>
      </c>
      <c r="R63" s="147">
        <v>1565</v>
      </c>
      <c r="S63" s="147">
        <v>1565</v>
      </c>
      <c r="T63" s="147">
        <v>357</v>
      </c>
      <c r="U63" s="147">
        <v>344</v>
      </c>
      <c r="Z63" s="214">
        <f t="shared" si="4"/>
        <v>0.96358543417366949</v>
      </c>
      <c r="AA63" s="214">
        <f t="shared" si="3"/>
        <v>0.21980830670926518</v>
      </c>
      <c r="AB63" s="28">
        <v>1</v>
      </c>
      <c r="AC63" s="28">
        <v>0</v>
      </c>
      <c r="AD63" s="28">
        <v>1</v>
      </c>
      <c r="AE63" s="28">
        <v>1</v>
      </c>
      <c r="AF63" s="28">
        <v>0</v>
      </c>
      <c r="AG63" s="28">
        <v>1</v>
      </c>
    </row>
    <row r="64" spans="1:33" ht="16" x14ac:dyDescent="0.2">
      <c r="A64" s="206" t="s">
        <v>465</v>
      </c>
      <c r="B64" t="s">
        <v>871</v>
      </c>
      <c r="C64" s="224" t="s">
        <v>824</v>
      </c>
      <c r="D64" s="35" t="s">
        <v>148</v>
      </c>
      <c r="E64" s="35" t="s">
        <v>374</v>
      </c>
      <c r="F64" s="35" t="s">
        <v>580</v>
      </c>
      <c r="G64" s="35" t="s">
        <v>621</v>
      </c>
      <c r="H64" s="208" t="s">
        <v>639</v>
      </c>
      <c r="I64" s="35" t="s">
        <v>625</v>
      </c>
      <c r="J64" s="35" t="s">
        <v>627</v>
      </c>
      <c r="K64" s="208" t="s">
        <v>634</v>
      </c>
      <c r="L64" s="208" t="s">
        <v>629</v>
      </c>
      <c r="M64" s="35" t="s">
        <v>631</v>
      </c>
      <c r="N64" s="35" t="s">
        <v>454</v>
      </c>
      <c r="O64" s="35" t="s">
        <v>834</v>
      </c>
      <c r="P64" s="147">
        <v>1575</v>
      </c>
      <c r="Q64" s="147">
        <v>1575</v>
      </c>
      <c r="R64" s="147">
        <v>1575</v>
      </c>
      <c r="S64" s="147">
        <v>1575</v>
      </c>
      <c r="T64" s="147">
        <v>365</v>
      </c>
      <c r="U64" s="147">
        <v>346</v>
      </c>
      <c r="Z64" s="214">
        <f t="shared" si="4"/>
        <v>0.94794520547945205</v>
      </c>
      <c r="AA64" s="214">
        <f t="shared" si="3"/>
        <v>0.21968253968253967</v>
      </c>
      <c r="AB64" s="28">
        <v>1</v>
      </c>
      <c r="AC64" s="28">
        <v>0</v>
      </c>
      <c r="AD64" s="28">
        <v>1</v>
      </c>
      <c r="AE64" s="28">
        <v>1</v>
      </c>
      <c r="AF64" s="28">
        <v>0</v>
      </c>
      <c r="AG64" s="28">
        <v>1</v>
      </c>
    </row>
    <row r="65" spans="1:33" ht="16" x14ac:dyDescent="0.2">
      <c r="A65" s="206" t="s">
        <v>465</v>
      </c>
      <c r="B65" t="s">
        <v>870</v>
      </c>
      <c r="C65" s="224" t="s">
        <v>824</v>
      </c>
      <c r="D65" s="35" t="s">
        <v>148</v>
      </c>
      <c r="E65" s="35" t="s">
        <v>374</v>
      </c>
      <c r="F65" s="35" t="s">
        <v>580</v>
      </c>
      <c r="G65" s="35" t="s">
        <v>621</v>
      </c>
      <c r="H65" s="208" t="s">
        <v>639</v>
      </c>
      <c r="I65" s="35" t="s">
        <v>625</v>
      </c>
      <c r="J65" s="35" t="s">
        <v>627</v>
      </c>
      <c r="K65" s="208" t="s">
        <v>634</v>
      </c>
      <c r="L65" s="208" t="s">
        <v>629</v>
      </c>
      <c r="M65" s="35" t="s">
        <v>631</v>
      </c>
      <c r="N65" s="35" t="s">
        <v>454</v>
      </c>
      <c r="O65" s="35" t="s">
        <v>834</v>
      </c>
      <c r="P65" s="147">
        <v>1582</v>
      </c>
      <c r="Q65" s="147">
        <v>1582</v>
      </c>
      <c r="R65" s="147">
        <v>1582</v>
      </c>
      <c r="S65" s="147">
        <v>1582</v>
      </c>
      <c r="T65" s="147">
        <v>374</v>
      </c>
      <c r="U65" s="147">
        <v>356</v>
      </c>
      <c r="Z65" s="214">
        <f t="shared" si="4"/>
        <v>0.95187165775401072</v>
      </c>
      <c r="AA65" s="214">
        <f t="shared" si="3"/>
        <v>0.22503160556257901</v>
      </c>
      <c r="AB65" s="28">
        <v>1</v>
      </c>
      <c r="AC65" s="28">
        <v>0</v>
      </c>
      <c r="AD65" s="28">
        <v>1</v>
      </c>
      <c r="AE65" s="28">
        <v>1</v>
      </c>
      <c r="AF65" s="28">
        <v>0</v>
      </c>
      <c r="AG65" s="28">
        <v>1</v>
      </c>
    </row>
    <row r="66" spans="1:33" ht="16" x14ac:dyDescent="0.2">
      <c r="A66" s="206" t="s">
        <v>465</v>
      </c>
      <c r="B66" t="s">
        <v>865</v>
      </c>
      <c r="C66" s="224" t="s">
        <v>824</v>
      </c>
      <c r="D66" s="35" t="s">
        <v>148</v>
      </c>
      <c r="E66" s="35" t="s">
        <v>374</v>
      </c>
      <c r="F66" s="35" t="s">
        <v>580</v>
      </c>
      <c r="G66" s="35" t="s">
        <v>621</v>
      </c>
      <c r="H66" s="208" t="s">
        <v>639</v>
      </c>
      <c r="I66" s="35" t="s">
        <v>625</v>
      </c>
      <c r="J66" s="35" t="s">
        <v>627</v>
      </c>
      <c r="K66" s="208" t="s">
        <v>634</v>
      </c>
      <c r="L66" s="208" t="s">
        <v>629</v>
      </c>
      <c r="M66" s="35" t="s">
        <v>631</v>
      </c>
      <c r="N66" s="35" t="s">
        <v>454</v>
      </c>
      <c r="O66" s="35" t="s">
        <v>834</v>
      </c>
      <c r="P66" s="147">
        <v>1598</v>
      </c>
      <c r="Q66" s="147">
        <v>1598</v>
      </c>
      <c r="R66" s="147">
        <v>1598</v>
      </c>
      <c r="S66" s="147">
        <v>1598</v>
      </c>
      <c r="T66" s="147">
        <v>375</v>
      </c>
      <c r="U66" s="147">
        <v>359</v>
      </c>
      <c r="Z66" s="214">
        <f t="shared" si="4"/>
        <v>0.95733333333333337</v>
      </c>
      <c r="AA66" s="214">
        <f t="shared" si="3"/>
        <v>0.22465581977471841</v>
      </c>
      <c r="AB66" s="28">
        <v>1</v>
      </c>
      <c r="AC66" s="28">
        <v>0</v>
      </c>
      <c r="AD66" s="28">
        <v>1</v>
      </c>
      <c r="AE66" s="28">
        <v>1</v>
      </c>
      <c r="AF66" s="28">
        <v>0</v>
      </c>
      <c r="AG66" s="28">
        <v>1</v>
      </c>
    </row>
    <row r="67" spans="1:33" x14ac:dyDescent="0.2">
      <c r="A67" s="206" t="s">
        <v>465</v>
      </c>
      <c r="B67" s="28" t="s">
        <v>426</v>
      </c>
      <c r="C67" s="28" t="s">
        <v>458</v>
      </c>
      <c r="D67" s="208" t="s">
        <v>82</v>
      </c>
      <c r="E67" s="35" t="s">
        <v>374</v>
      </c>
      <c r="F67" s="35" t="s">
        <v>580</v>
      </c>
      <c r="G67" s="35" t="s">
        <v>621</v>
      </c>
      <c r="H67" s="208" t="s">
        <v>639</v>
      </c>
      <c r="I67" s="208" t="s">
        <v>625</v>
      </c>
      <c r="J67" s="35" t="s">
        <v>627</v>
      </c>
      <c r="K67" s="35" t="s">
        <v>640</v>
      </c>
      <c r="L67" s="208" t="s">
        <v>629</v>
      </c>
      <c r="M67" s="35" t="s">
        <v>631</v>
      </c>
      <c r="N67" s="35" t="s">
        <v>454</v>
      </c>
      <c r="O67" s="35" t="s">
        <v>834</v>
      </c>
      <c r="P67" s="141">
        <v>1620</v>
      </c>
      <c r="Q67" s="141">
        <v>1620</v>
      </c>
      <c r="R67" s="141">
        <v>1620</v>
      </c>
      <c r="S67" s="141">
        <v>1620</v>
      </c>
      <c r="T67" s="141">
        <v>390</v>
      </c>
      <c r="U67" s="141">
        <v>375</v>
      </c>
      <c r="V67" s="141">
        <v>504</v>
      </c>
      <c r="W67" s="28">
        <f>Q67-V67</f>
        <v>1116</v>
      </c>
      <c r="X67" s="213">
        <f>V67/U67</f>
        <v>1.3440000000000001</v>
      </c>
      <c r="Y67" s="214">
        <f>V67/T67</f>
        <v>1.2923076923076924</v>
      </c>
      <c r="Z67" s="214">
        <f t="shared" si="4"/>
        <v>0.96153846153846156</v>
      </c>
      <c r="AA67" s="214">
        <f t="shared" si="3"/>
        <v>0.23148148148148148</v>
      </c>
      <c r="AB67" s="215">
        <v>1</v>
      </c>
      <c r="AC67" s="215">
        <v>0</v>
      </c>
      <c r="AD67" s="215">
        <f>SUM(AB67:AC67)</f>
        <v>1</v>
      </c>
      <c r="AE67" s="215">
        <v>1</v>
      </c>
      <c r="AF67" s="216">
        <v>0</v>
      </c>
      <c r="AG67" s="215">
        <v>1</v>
      </c>
    </row>
    <row r="68" spans="1:33" ht="16" x14ac:dyDescent="0.2">
      <c r="A68" s="206" t="s">
        <v>465</v>
      </c>
      <c r="B68" t="s">
        <v>851</v>
      </c>
      <c r="C68" s="224" t="s">
        <v>824</v>
      </c>
      <c r="D68" s="35" t="s">
        <v>148</v>
      </c>
      <c r="E68" s="35" t="s">
        <v>374</v>
      </c>
      <c r="F68" s="35" t="s">
        <v>580</v>
      </c>
      <c r="G68" s="35" t="s">
        <v>621</v>
      </c>
      <c r="H68" s="208" t="s">
        <v>639</v>
      </c>
      <c r="I68" s="35" t="s">
        <v>625</v>
      </c>
      <c r="J68" s="35" t="s">
        <v>627</v>
      </c>
      <c r="K68" s="35" t="s">
        <v>640</v>
      </c>
      <c r="L68" s="208" t="s">
        <v>629</v>
      </c>
      <c r="M68" s="35" t="s">
        <v>631</v>
      </c>
      <c r="N68" s="35" t="s">
        <v>454</v>
      </c>
      <c r="O68" s="35" t="s">
        <v>834</v>
      </c>
      <c r="P68" s="147">
        <v>1622</v>
      </c>
      <c r="Q68" s="147">
        <v>1622</v>
      </c>
      <c r="R68" s="147">
        <v>1622</v>
      </c>
      <c r="S68" s="147">
        <v>1622</v>
      </c>
      <c r="T68" s="147">
        <v>362</v>
      </c>
      <c r="U68" s="147">
        <v>345</v>
      </c>
      <c r="Z68" s="214">
        <f t="shared" si="4"/>
        <v>0.95303867403314912</v>
      </c>
      <c r="AA68" s="214">
        <f t="shared" si="3"/>
        <v>0.21270036991368679</v>
      </c>
      <c r="AB68" s="28">
        <v>1</v>
      </c>
      <c r="AC68" s="28">
        <v>0</v>
      </c>
      <c r="AD68" s="28">
        <v>1</v>
      </c>
      <c r="AE68" s="28">
        <v>1</v>
      </c>
      <c r="AF68" s="28">
        <v>0</v>
      </c>
      <c r="AG68" s="28">
        <v>1</v>
      </c>
    </row>
    <row r="69" spans="1:33" x14ac:dyDescent="0.2">
      <c r="A69" s="206" t="s">
        <v>465</v>
      </c>
      <c r="B69" s="28" t="s">
        <v>459</v>
      </c>
      <c r="C69" s="28" t="s">
        <v>458</v>
      </c>
      <c r="D69" s="208" t="s">
        <v>82</v>
      </c>
      <c r="E69" s="35" t="s">
        <v>374</v>
      </c>
      <c r="F69" s="35" t="s">
        <v>580</v>
      </c>
      <c r="G69" s="35" t="s">
        <v>621</v>
      </c>
      <c r="H69" s="208" t="s">
        <v>639</v>
      </c>
      <c r="I69" s="208" t="s">
        <v>625</v>
      </c>
      <c r="J69" s="35" t="s">
        <v>627</v>
      </c>
      <c r="K69" s="35" t="s">
        <v>640</v>
      </c>
      <c r="L69" s="208" t="s">
        <v>629</v>
      </c>
      <c r="M69" s="35" t="s">
        <v>631</v>
      </c>
      <c r="N69" s="35" t="s">
        <v>454</v>
      </c>
      <c r="O69" s="35" t="s">
        <v>834</v>
      </c>
      <c r="P69" s="141">
        <v>1640</v>
      </c>
      <c r="Q69" s="141">
        <v>1640</v>
      </c>
      <c r="R69" s="141">
        <v>1640</v>
      </c>
      <c r="S69" s="141">
        <v>1640</v>
      </c>
      <c r="T69" s="141">
        <v>375</v>
      </c>
      <c r="U69" s="141">
        <v>358</v>
      </c>
      <c r="V69" s="141">
        <v>481</v>
      </c>
      <c r="W69" s="28">
        <f>Q69-V69</f>
        <v>1159</v>
      </c>
      <c r="X69" s="213">
        <f>V69/U69</f>
        <v>1.3435754189944134</v>
      </c>
      <c r="Y69" s="214">
        <f>V69/T69</f>
        <v>1.2826666666666666</v>
      </c>
      <c r="Z69" s="214">
        <f t="shared" si="4"/>
        <v>0.95466666666666666</v>
      </c>
      <c r="AA69" s="214">
        <f t="shared" si="3"/>
        <v>0.21829268292682927</v>
      </c>
      <c r="AB69" s="215">
        <v>1</v>
      </c>
      <c r="AC69" s="215">
        <v>0</v>
      </c>
      <c r="AD69" s="215">
        <f>SUM(AB69:AC69)</f>
        <v>1</v>
      </c>
      <c r="AE69" s="215">
        <v>1</v>
      </c>
      <c r="AF69" s="216">
        <v>0</v>
      </c>
      <c r="AG69" s="215">
        <v>1</v>
      </c>
    </row>
    <row r="70" spans="1:33" ht="16" x14ac:dyDescent="0.2">
      <c r="A70" s="206" t="s">
        <v>465</v>
      </c>
      <c r="B70" t="s">
        <v>882</v>
      </c>
      <c r="C70" s="224" t="s">
        <v>824</v>
      </c>
      <c r="D70" s="35" t="s">
        <v>148</v>
      </c>
      <c r="E70" s="35" t="s">
        <v>374</v>
      </c>
      <c r="F70" s="35" t="s">
        <v>580</v>
      </c>
      <c r="G70" s="35" t="s">
        <v>621</v>
      </c>
      <c r="H70" s="208" t="s">
        <v>639</v>
      </c>
      <c r="I70" s="35" t="s">
        <v>625</v>
      </c>
      <c r="J70" s="35" t="s">
        <v>627</v>
      </c>
      <c r="K70" s="35" t="s">
        <v>640</v>
      </c>
      <c r="L70" s="208" t="s">
        <v>629</v>
      </c>
      <c r="M70" s="35" t="s">
        <v>631</v>
      </c>
      <c r="N70" s="35" t="s">
        <v>454</v>
      </c>
      <c r="O70" s="35" t="s">
        <v>834</v>
      </c>
      <c r="P70" s="147">
        <v>1643</v>
      </c>
      <c r="Q70" s="147">
        <v>1643</v>
      </c>
      <c r="R70" s="147">
        <v>1643</v>
      </c>
      <c r="S70" s="147">
        <v>1643</v>
      </c>
      <c r="T70" s="147">
        <v>392</v>
      </c>
      <c r="U70" s="147">
        <v>376</v>
      </c>
      <c r="Z70" s="214">
        <f t="shared" si="4"/>
        <v>0.95918367346938771</v>
      </c>
      <c r="AA70" s="214">
        <f t="shared" si="3"/>
        <v>0.2288496652465003</v>
      </c>
      <c r="AB70" s="28">
        <v>1</v>
      </c>
      <c r="AC70" s="28">
        <v>0</v>
      </c>
      <c r="AD70" s="28">
        <v>1</v>
      </c>
      <c r="AE70" s="28">
        <v>1</v>
      </c>
      <c r="AF70" s="28">
        <v>0</v>
      </c>
      <c r="AG70" s="28">
        <v>1</v>
      </c>
    </row>
    <row r="71" spans="1:33" ht="16" x14ac:dyDescent="0.2">
      <c r="A71" s="206" t="s">
        <v>465</v>
      </c>
      <c r="B71" t="s">
        <v>873</v>
      </c>
      <c r="C71" s="224" t="s">
        <v>824</v>
      </c>
      <c r="D71" s="35" t="s">
        <v>148</v>
      </c>
      <c r="E71" s="35" t="s">
        <v>374</v>
      </c>
      <c r="F71" s="35" t="s">
        <v>580</v>
      </c>
      <c r="G71" s="35" t="s">
        <v>621</v>
      </c>
      <c r="H71" s="208" t="s">
        <v>639</v>
      </c>
      <c r="I71" s="35" t="s">
        <v>625</v>
      </c>
      <c r="J71" s="35" t="s">
        <v>627</v>
      </c>
      <c r="K71" s="35" t="s">
        <v>640</v>
      </c>
      <c r="L71" s="208" t="s">
        <v>629</v>
      </c>
      <c r="M71" s="35" t="s">
        <v>631</v>
      </c>
      <c r="N71" s="35" t="s">
        <v>454</v>
      </c>
      <c r="O71" s="35" t="s">
        <v>834</v>
      </c>
      <c r="P71" s="147">
        <v>1646</v>
      </c>
      <c r="Q71" s="147">
        <v>1646</v>
      </c>
      <c r="R71" s="147">
        <v>1646</v>
      </c>
      <c r="S71" s="147">
        <v>1646</v>
      </c>
      <c r="T71" s="147">
        <v>390</v>
      </c>
      <c r="U71" s="147">
        <v>370</v>
      </c>
      <c r="Z71" s="214">
        <f t="shared" si="4"/>
        <v>0.94871794871794868</v>
      </c>
      <c r="AA71" s="214">
        <f t="shared" si="3"/>
        <v>0.22478736330498178</v>
      </c>
      <c r="AB71" s="28">
        <v>1</v>
      </c>
      <c r="AC71" s="28">
        <v>0</v>
      </c>
      <c r="AD71" s="28">
        <v>1</v>
      </c>
      <c r="AE71" s="28">
        <v>1</v>
      </c>
      <c r="AF71" s="28">
        <v>0</v>
      </c>
      <c r="AG71" s="28">
        <v>1</v>
      </c>
    </row>
    <row r="72" spans="1:33" ht="16" x14ac:dyDescent="0.2">
      <c r="A72" s="206" t="s">
        <v>465</v>
      </c>
      <c r="B72" t="s">
        <v>877</v>
      </c>
      <c r="C72" s="224" t="s">
        <v>824</v>
      </c>
      <c r="D72" s="35" t="s">
        <v>148</v>
      </c>
      <c r="E72" s="35" t="s">
        <v>374</v>
      </c>
      <c r="F72" s="35" t="s">
        <v>580</v>
      </c>
      <c r="G72" s="35" t="s">
        <v>621</v>
      </c>
      <c r="H72" s="208" t="s">
        <v>639</v>
      </c>
      <c r="I72" s="35" t="s">
        <v>625</v>
      </c>
      <c r="J72" s="35" t="s">
        <v>627</v>
      </c>
      <c r="K72" s="35" t="s">
        <v>640</v>
      </c>
      <c r="L72" s="208" t="s">
        <v>629</v>
      </c>
      <c r="M72" s="35" t="s">
        <v>631</v>
      </c>
      <c r="N72" s="35" t="s">
        <v>454</v>
      </c>
      <c r="O72" s="35" t="s">
        <v>834</v>
      </c>
      <c r="P72" s="147">
        <v>1647</v>
      </c>
      <c r="Q72" s="147">
        <v>1647</v>
      </c>
      <c r="R72" s="147">
        <v>1647</v>
      </c>
      <c r="S72" s="147">
        <v>1647</v>
      </c>
      <c r="T72" s="147">
        <v>370</v>
      </c>
      <c r="U72" s="147">
        <v>353</v>
      </c>
      <c r="Z72" s="214">
        <f t="shared" si="4"/>
        <v>0.95405405405405408</v>
      </c>
      <c r="AA72" s="214">
        <f t="shared" ref="AA72:AA108" si="5">U72/S72</f>
        <v>0.2143290831815422</v>
      </c>
      <c r="AB72" s="28">
        <v>1</v>
      </c>
      <c r="AC72" s="28">
        <v>0</v>
      </c>
      <c r="AD72" s="28">
        <v>1</v>
      </c>
      <c r="AE72" s="28">
        <v>1</v>
      </c>
      <c r="AF72" s="28">
        <v>0</v>
      </c>
      <c r="AG72" s="28">
        <v>1</v>
      </c>
    </row>
    <row r="73" spans="1:33" x14ac:dyDescent="0.2">
      <c r="A73" s="206" t="s">
        <v>465</v>
      </c>
      <c r="B73" s="28" t="s">
        <v>427</v>
      </c>
      <c r="C73" s="28" t="s">
        <v>458</v>
      </c>
      <c r="D73" s="208" t="s">
        <v>82</v>
      </c>
      <c r="E73" s="35" t="s">
        <v>374</v>
      </c>
      <c r="F73" s="35" t="s">
        <v>580</v>
      </c>
      <c r="G73" s="35" t="s">
        <v>621</v>
      </c>
      <c r="H73" s="208" t="s">
        <v>639</v>
      </c>
      <c r="I73" s="208" t="s">
        <v>625</v>
      </c>
      <c r="J73" s="35" t="s">
        <v>627</v>
      </c>
      <c r="K73" s="35" t="s">
        <v>640</v>
      </c>
      <c r="L73" s="208" t="s">
        <v>629</v>
      </c>
      <c r="M73" s="35" t="s">
        <v>631</v>
      </c>
      <c r="N73" s="35" t="s">
        <v>454</v>
      </c>
      <c r="O73" s="35" t="s">
        <v>834</v>
      </c>
      <c r="P73" s="141">
        <v>1650</v>
      </c>
      <c r="Q73" s="141">
        <v>1650</v>
      </c>
      <c r="R73" s="141">
        <v>1650</v>
      </c>
      <c r="S73" s="141">
        <v>1650</v>
      </c>
      <c r="T73" s="141">
        <v>395</v>
      </c>
      <c r="U73" s="141">
        <v>375</v>
      </c>
      <c r="V73" s="141">
        <v>500</v>
      </c>
      <c r="W73" s="28">
        <f>Q73-V73</f>
        <v>1150</v>
      </c>
      <c r="X73" s="213">
        <f>V73/U73</f>
        <v>1.3333333333333333</v>
      </c>
      <c r="Y73" s="214">
        <f>V73/T73</f>
        <v>1.2658227848101267</v>
      </c>
      <c r="Z73" s="214">
        <f t="shared" si="4"/>
        <v>0.94936708860759489</v>
      </c>
      <c r="AA73" s="214">
        <f t="shared" si="5"/>
        <v>0.22727272727272727</v>
      </c>
      <c r="AB73" s="215">
        <v>1</v>
      </c>
      <c r="AC73" s="215">
        <v>0</v>
      </c>
      <c r="AD73" s="215">
        <f>SUM(AB73:AC73)</f>
        <v>1</v>
      </c>
      <c r="AE73" s="215">
        <v>1</v>
      </c>
      <c r="AF73" s="216">
        <v>0</v>
      </c>
      <c r="AG73" s="215">
        <v>1</v>
      </c>
    </row>
    <row r="74" spans="1:33" ht="16" x14ac:dyDescent="0.2">
      <c r="A74" s="206" t="s">
        <v>465</v>
      </c>
      <c r="B74" t="s">
        <v>876</v>
      </c>
      <c r="C74" s="224" t="s">
        <v>824</v>
      </c>
      <c r="D74" s="35" t="s">
        <v>148</v>
      </c>
      <c r="E74" s="35" t="s">
        <v>374</v>
      </c>
      <c r="F74" s="35" t="s">
        <v>580</v>
      </c>
      <c r="G74" s="35" t="s">
        <v>621</v>
      </c>
      <c r="H74" s="208" t="s">
        <v>639</v>
      </c>
      <c r="I74" s="35" t="s">
        <v>625</v>
      </c>
      <c r="J74" s="35" t="s">
        <v>627</v>
      </c>
      <c r="K74" s="35" t="s">
        <v>640</v>
      </c>
      <c r="L74" s="208" t="s">
        <v>629</v>
      </c>
      <c r="M74" s="35" t="s">
        <v>631</v>
      </c>
      <c r="N74" s="35" t="s">
        <v>454</v>
      </c>
      <c r="O74" s="35" t="s">
        <v>834</v>
      </c>
      <c r="P74" s="147">
        <v>1668</v>
      </c>
      <c r="Q74" s="147">
        <v>1668</v>
      </c>
      <c r="R74" s="147">
        <v>1668</v>
      </c>
      <c r="S74" s="147">
        <v>1668</v>
      </c>
      <c r="T74" s="147">
        <v>408</v>
      </c>
      <c r="U74" s="147">
        <v>392</v>
      </c>
      <c r="Z74" s="214">
        <f t="shared" si="4"/>
        <v>0.96078431372549022</v>
      </c>
      <c r="AA74" s="214">
        <f t="shared" si="5"/>
        <v>0.23501199040767387</v>
      </c>
      <c r="AB74" s="28">
        <v>1</v>
      </c>
      <c r="AC74" s="28">
        <v>0</v>
      </c>
      <c r="AD74" s="28">
        <v>1</v>
      </c>
      <c r="AE74" s="28">
        <v>1</v>
      </c>
      <c r="AF74" s="28">
        <v>0</v>
      </c>
      <c r="AG74" s="28">
        <v>1</v>
      </c>
    </row>
    <row r="75" spans="1:33" ht="16" x14ac:dyDescent="0.2">
      <c r="A75" s="206" t="s">
        <v>465</v>
      </c>
      <c r="B75" t="s">
        <v>883</v>
      </c>
      <c r="C75" s="224" t="s">
        <v>824</v>
      </c>
      <c r="D75" s="35" t="s">
        <v>148</v>
      </c>
      <c r="E75" s="35" t="s">
        <v>374</v>
      </c>
      <c r="F75" s="35" t="s">
        <v>580</v>
      </c>
      <c r="G75" s="35" t="s">
        <v>621</v>
      </c>
      <c r="H75" s="208" t="s">
        <v>639</v>
      </c>
      <c r="I75" s="35" t="s">
        <v>625</v>
      </c>
      <c r="J75" s="35" t="s">
        <v>627</v>
      </c>
      <c r="K75" s="35" t="s">
        <v>640</v>
      </c>
      <c r="L75" s="208" t="s">
        <v>629</v>
      </c>
      <c r="M75" s="35" t="s">
        <v>631</v>
      </c>
      <c r="N75" s="35" t="s">
        <v>454</v>
      </c>
      <c r="O75" s="35" t="s">
        <v>834</v>
      </c>
      <c r="P75" s="147">
        <v>1670</v>
      </c>
      <c r="Q75" s="147">
        <v>1670</v>
      </c>
      <c r="R75" s="147">
        <v>1670</v>
      </c>
      <c r="S75" s="147">
        <v>1670</v>
      </c>
      <c r="T75" s="147">
        <v>405</v>
      </c>
      <c r="U75" s="147">
        <v>391</v>
      </c>
      <c r="Z75" s="214">
        <f t="shared" si="4"/>
        <v>0.96543209876543212</v>
      </c>
      <c r="AA75" s="214">
        <f t="shared" si="5"/>
        <v>0.2341317365269461</v>
      </c>
      <c r="AB75" s="28">
        <v>1</v>
      </c>
      <c r="AC75" s="28">
        <v>0</v>
      </c>
      <c r="AD75" s="28">
        <v>1</v>
      </c>
      <c r="AE75" s="28">
        <v>1</v>
      </c>
      <c r="AF75" s="28">
        <v>0</v>
      </c>
      <c r="AG75" s="28">
        <v>1</v>
      </c>
    </row>
    <row r="76" spans="1:33" ht="16" x14ac:dyDescent="0.2">
      <c r="A76" s="206" t="s">
        <v>465</v>
      </c>
      <c r="B76" t="s">
        <v>872</v>
      </c>
      <c r="C76" s="224" t="s">
        <v>824</v>
      </c>
      <c r="D76" s="35" t="s">
        <v>148</v>
      </c>
      <c r="E76" s="35" t="s">
        <v>374</v>
      </c>
      <c r="F76" s="35" t="s">
        <v>580</v>
      </c>
      <c r="G76" s="35" t="s">
        <v>621</v>
      </c>
      <c r="H76" s="208" t="s">
        <v>639</v>
      </c>
      <c r="I76" s="35" t="s">
        <v>625</v>
      </c>
      <c r="J76" s="35" t="s">
        <v>627</v>
      </c>
      <c r="K76" s="35" t="s">
        <v>640</v>
      </c>
      <c r="L76" s="208" t="s">
        <v>629</v>
      </c>
      <c r="M76" s="35" t="s">
        <v>631</v>
      </c>
      <c r="N76" s="35" t="s">
        <v>454</v>
      </c>
      <c r="O76" s="35" t="s">
        <v>834</v>
      </c>
      <c r="P76" s="147">
        <v>1684</v>
      </c>
      <c r="Q76" s="147">
        <v>1684</v>
      </c>
      <c r="R76" s="147">
        <v>1684</v>
      </c>
      <c r="S76" s="147">
        <v>1684</v>
      </c>
      <c r="T76" s="147">
        <v>384</v>
      </c>
      <c r="U76" s="147">
        <v>375</v>
      </c>
      <c r="Z76" s="214">
        <f t="shared" si="4"/>
        <v>0.9765625</v>
      </c>
      <c r="AA76" s="214">
        <f t="shared" si="5"/>
        <v>0.22268408551068883</v>
      </c>
      <c r="AB76" s="28">
        <v>1</v>
      </c>
      <c r="AC76" s="28">
        <v>0</v>
      </c>
      <c r="AD76" s="28">
        <v>1</v>
      </c>
      <c r="AE76" s="28">
        <v>1</v>
      </c>
      <c r="AF76" s="28">
        <v>0</v>
      </c>
      <c r="AG76" s="28">
        <v>1</v>
      </c>
    </row>
    <row r="77" spans="1:33" ht="16" x14ac:dyDescent="0.2">
      <c r="A77" s="206" t="s">
        <v>465</v>
      </c>
      <c r="B77" t="s">
        <v>869</v>
      </c>
      <c r="C77" s="224" t="s">
        <v>824</v>
      </c>
      <c r="D77" s="35" t="s">
        <v>148</v>
      </c>
      <c r="E77" s="35" t="s">
        <v>374</v>
      </c>
      <c r="F77" s="35" t="s">
        <v>580</v>
      </c>
      <c r="G77" s="35" t="s">
        <v>621</v>
      </c>
      <c r="H77" s="208" t="s">
        <v>639</v>
      </c>
      <c r="I77" s="35" t="s">
        <v>625</v>
      </c>
      <c r="J77" s="35" t="s">
        <v>627</v>
      </c>
      <c r="K77" s="35" t="s">
        <v>640</v>
      </c>
      <c r="L77" s="208" t="s">
        <v>629</v>
      </c>
      <c r="M77" s="35" t="s">
        <v>631</v>
      </c>
      <c r="N77" s="35" t="s">
        <v>454</v>
      </c>
      <c r="O77" s="35" t="s">
        <v>834</v>
      </c>
      <c r="P77" s="147">
        <v>1686</v>
      </c>
      <c r="Q77" s="147">
        <v>1686</v>
      </c>
      <c r="R77" s="147">
        <v>1686</v>
      </c>
      <c r="S77" s="147">
        <v>1686</v>
      </c>
      <c r="T77" s="147">
        <v>390</v>
      </c>
      <c r="U77" s="147">
        <v>371</v>
      </c>
      <c r="Z77" s="214">
        <f t="shared" si="4"/>
        <v>0.95128205128205123</v>
      </c>
      <c r="AA77" s="214">
        <f t="shared" si="5"/>
        <v>0.22004744958481615</v>
      </c>
      <c r="AB77" s="28">
        <v>1</v>
      </c>
      <c r="AC77" s="28">
        <v>0</v>
      </c>
      <c r="AD77" s="28">
        <v>1</v>
      </c>
      <c r="AE77" s="28">
        <v>1</v>
      </c>
      <c r="AF77" s="28">
        <v>0</v>
      </c>
      <c r="AG77" s="28">
        <v>1</v>
      </c>
    </row>
    <row r="78" spans="1:33" ht="16" x14ac:dyDescent="0.2">
      <c r="A78" s="206" t="s">
        <v>465</v>
      </c>
      <c r="B78" t="s">
        <v>880</v>
      </c>
      <c r="C78" s="224" t="s">
        <v>824</v>
      </c>
      <c r="D78" s="35" t="s">
        <v>148</v>
      </c>
      <c r="E78" s="35" t="s">
        <v>374</v>
      </c>
      <c r="F78" s="35" t="s">
        <v>580</v>
      </c>
      <c r="G78" s="35" t="s">
        <v>621</v>
      </c>
      <c r="H78" s="208" t="s">
        <v>639</v>
      </c>
      <c r="I78" s="35" t="s">
        <v>625</v>
      </c>
      <c r="J78" s="35" t="s">
        <v>627</v>
      </c>
      <c r="K78" s="35" t="s">
        <v>640</v>
      </c>
      <c r="L78" s="208" t="s">
        <v>629</v>
      </c>
      <c r="M78" s="35" t="s">
        <v>631</v>
      </c>
      <c r="N78" s="35" t="s">
        <v>454</v>
      </c>
      <c r="O78" s="35" t="s">
        <v>834</v>
      </c>
      <c r="P78" s="147">
        <v>1695</v>
      </c>
      <c r="Q78" s="147">
        <v>1695</v>
      </c>
      <c r="R78" s="147">
        <v>1695</v>
      </c>
      <c r="S78" s="147">
        <v>1695</v>
      </c>
      <c r="T78" s="147">
        <v>385</v>
      </c>
      <c r="U78" s="147">
        <v>375</v>
      </c>
      <c r="Z78" s="214">
        <f t="shared" si="4"/>
        <v>0.97402597402597402</v>
      </c>
      <c r="AA78" s="214">
        <f t="shared" si="5"/>
        <v>0.22123893805309736</v>
      </c>
      <c r="AB78" s="28">
        <v>1</v>
      </c>
      <c r="AC78" s="28">
        <v>0</v>
      </c>
      <c r="AD78" s="28">
        <v>1</v>
      </c>
      <c r="AE78" s="28">
        <v>1</v>
      </c>
      <c r="AF78" s="28">
        <v>0</v>
      </c>
      <c r="AG78" s="28">
        <v>1</v>
      </c>
    </row>
    <row r="79" spans="1:33" x14ac:dyDescent="0.2">
      <c r="A79" s="206" t="s">
        <v>465</v>
      </c>
      <c r="B79" t="s">
        <v>891</v>
      </c>
      <c r="C79" s="224" t="s">
        <v>824</v>
      </c>
      <c r="D79" s="35" t="s">
        <v>148</v>
      </c>
      <c r="E79" s="35" t="s">
        <v>374</v>
      </c>
      <c r="F79" s="35" t="s">
        <v>580</v>
      </c>
      <c r="G79" s="35" t="s">
        <v>621</v>
      </c>
      <c r="H79" s="208" t="s">
        <v>639</v>
      </c>
      <c r="I79" s="35" t="s">
        <v>625</v>
      </c>
      <c r="J79" s="35" t="s">
        <v>627</v>
      </c>
      <c r="K79" s="35" t="s">
        <v>640</v>
      </c>
      <c r="L79" s="35" t="s">
        <v>628</v>
      </c>
      <c r="M79" s="35" t="s">
        <v>631</v>
      </c>
      <c r="N79" s="35" t="s">
        <v>454</v>
      </c>
      <c r="O79" s="35" t="s">
        <v>834</v>
      </c>
      <c r="P79">
        <v>1704</v>
      </c>
      <c r="Q79">
        <v>1704</v>
      </c>
      <c r="R79">
        <v>1704</v>
      </c>
      <c r="S79">
        <v>1704</v>
      </c>
      <c r="T79">
        <v>389</v>
      </c>
      <c r="U79">
        <v>372</v>
      </c>
      <c r="Z79" s="214">
        <f t="shared" si="4"/>
        <v>0.95629820051413883</v>
      </c>
      <c r="AA79" s="214">
        <f t="shared" si="5"/>
        <v>0.21830985915492956</v>
      </c>
      <c r="AB79" s="28">
        <v>1</v>
      </c>
      <c r="AC79" s="28">
        <v>0</v>
      </c>
      <c r="AD79" s="28">
        <v>1</v>
      </c>
      <c r="AE79" s="28">
        <v>1</v>
      </c>
      <c r="AF79" s="28">
        <v>0</v>
      </c>
      <c r="AG79" s="28">
        <v>1</v>
      </c>
    </row>
    <row r="80" spans="1:33" x14ac:dyDescent="0.2">
      <c r="A80" s="209" t="s">
        <v>465</v>
      </c>
      <c r="B80" s="210" t="s">
        <v>482</v>
      </c>
      <c r="C80" s="201" t="s">
        <v>401</v>
      </c>
      <c r="D80" s="35" t="s">
        <v>82</v>
      </c>
      <c r="E80" s="35" t="s">
        <v>374</v>
      </c>
      <c r="F80" s="35" t="s">
        <v>580</v>
      </c>
      <c r="G80" s="35" t="s">
        <v>621</v>
      </c>
      <c r="H80" s="208" t="s">
        <v>639</v>
      </c>
      <c r="I80" s="208" t="s">
        <v>625</v>
      </c>
      <c r="J80" s="35" t="s">
        <v>627</v>
      </c>
      <c r="K80" s="35" t="s">
        <v>640</v>
      </c>
      <c r="L80" s="35" t="s">
        <v>628</v>
      </c>
      <c r="M80" s="35" t="s">
        <v>631</v>
      </c>
      <c r="N80" s="35" t="s">
        <v>454</v>
      </c>
      <c r="O80" s="35" t="s">
        <v>834</v>
      </c>
      <c r="P80" s="73">
        <v>1708</v>
      </c>
      <c r="Q80" s="73">
        <v>1708</v>
      </c>
      <c r="R80" s="73">
        <v>1708</v>
      </c>
      <c r="S80" s="73">
        <v>1708</v>
      </c>
      <c r="U80" s="73">
        <v>367</v>
      </c>
      <c r="X80" s="213"/>
      <c r="Y80" s="214"/>
      <c r="Z80" s="214"/>
      <c r="AA80" s="214">
        <f t="shared" si="5"/>
        <v>0.21487119437939109</v>
      </c>
      <c r="AB80" s="215">
        <v>1</v>
      </c>
      <c r="AC80" s="215">
        <v>0</v>
      </c>
      <c r="AD80" s="215">
        <f>SUM(AB80:AC80)</f>
        <v>1</v>
      </c>
      <c r="AE80" s="215">
        <v>1</v>
      </c>
      <c r="AF80" s="216">
        <v>0</v>
      </c>
      <c r="AG80" s="215">
        <v>0</v>
      </c>
    </row>
    <row r="81" spans="1:33" x14ac:dyDescent="0.2">
      <c r="A81" s="206" t="s">
        <v>465</v>
      </c>
      <c r="B81" t="s">
        <v>885</v>
      </c>
      <c r="C81" s="224" t="s">
        <v>824</v>
      </c>
      <c r="D81" s="35" t="s">
        <v>148</v>
      </c>
      <c r="E81" s="35" t="s">
        <v>374</v>
      </c>
      <c r="F81" s="35" t="s">
        <v>580</v>
      </c>
      <c r="G81" s="35" t="s">
        <v>621</v>
      </c>
      <c r="H81" s="208" t="s">
        <v>639</v>
      </c>
      <c r="I81" s="35" t="s">
        <v>625</v>
      </c>
      <c r="J81" s="35" t="s">
        <v>627</v>
      </c>
      <c r="K81" s="35" t="s">
        <v>640</v>
      </c>
      <c r="L81" s="35" t="s">
        <v>628</v>
      </c>
      <c r="M81" s="35" t="s">
        <v>631</v>
      </c>
      <c r="N81" s="35" t="s">
        <v>454</v>
      </c>
      <c r="O81" s="35" t="s">
        <v>834</v>
      </c>
      <c r="P81">
        <v>1714</v>
      </c>
      <c r="Q81">
        <v>1714</v>
      </c>
      <c r="R81">
        <v>1714</v>
      </c>
      <c r="S81">
        <v>1714</v>
      </c>
      <c r="T81">
        <v>385</v>
      </c>
      <c r="U81">
        <v>369</v>
      </c>
      <c r="Z81" s="214">
        <f t="shared" ref="Z81:Z123" si="6">U81/T81</f>
        <v>0.95844155844155843</v>
      </c>
      <c r="AA81" s="214">
        <f t="shared" si="5"/>
        <v>0.21528588098016335</v>
      </c>
      <c r="AB81" s="28">
        <v>1</v>
      </c>
      <c r="AC81" s="28">
        <v>0</v>
      </c>
      <c r="AD81" s="28">
        <v>1</v>
      </c>
      <c r="AE81" s="28">
        <v>1</v>
      </c>
      <c r="AF81" s="28">
        <v>0</v>
      </c>
      <c r="AG81" s="28">
        <v>1</v>
      </c>
    </row>
    <row r="82" spans="1:33" x14ac:dyDescent="0.2">
      <c r="A82" s="206" t="s">
        <v>465</v>
      </c>
      <c r="B82" s="28" t="s">
        <v>664</v>
      </c>
      <c r="C82" s="207" t="s">
        <v>403</v>
      </c>
      <c r="D82" s="35" t="s">
        <v>82</v>
      </c>
      <c r="E82" s="35" t="s">
        <v>374</v>
      </c>
      <c r="F82" s="35" t="s">
        <v>580</v>
      </c>
      <c r="G82" s="35" t="s">
        <v>621</v>
      </c>
      <c r="H82" s="208" t="s">
        <v>639</v>
      </c>
      <c r="I82" s="208" t="s">
        <v>625</v>
      </c>
      <c r="J82" s="35" t="s">
        <v>627</v>
      </c>
      <c r="K82" s="35" t="s">
        <v>640</v>
      </c>
      <c r="L82" s="35" t="s">
        <v>628</v>
      </c>
      <c r="M82" s="35" t="s">
        <v>631</v>
      </c>
      <c r="N82" s="35" t="s">
        <v>454</v>
      </c>
      <c r="O82" s="35" t="s">
        <v>834</v>
      </c>
      <c r="P82" s="141">
        <v>1730.8</v>
      </c>
      <c r="Q82" s="141">
        <v>1800</v>
      </c>
      <c r="R82" s="141">
        <v>1730.8</v>
      </c>
      <c r="S82" s="141">
        <v>1730.8</v>
      </c>
      <c r="T82" s="141">
        <v>398.22</v>
      </c>
      <c r="U82" s="141">
        <v>367.94</v>
      </c>
      <c r="V82" s="28">
        <v>500.12</v>
      </c>
      <c r="W82" s="212">
        <f>S82-V82</f>
        <v>1230.6799999999998</v>
      </c>
      <c r="X82" s="213">
        <f>V82/U82</f>
        <v>1.3592433548948197</v>
      </c>
      <c r="Y82" s="214">
        <f>V82/T82</f>
        <v>1.2558887047360754</v>
      </c>
      <c r="Z82" s="214">
        <f t="shared" si="6"/>
        <v>0.92396162925016312</v>
      </c>
      <c r="AA82" s="214">
        <f t="shared" si="5"/>
        <v>0.21258377628842154</v>
      </c>
      <c r="AB82" s="215">
        <v>0</v>
      </c>
      <c r="AC82" s="215">
        <v>1</v>
      </c>
      <c r="AD82" s="215">
        <v>1</v>
      </c>
      <c r="AE82" s="215">
        <v>1</v>
      </c>
      <c r="AF82" s="216">
        <v>0</v>
      </c>
      <c r="AG82" s="215">
        <v>1</v>
      </c>
    </row>
    <row r="83" spans="1:33" x14ac:dyDescent="0.2">
      <c r="A83" s="206" t="s">
        <v>465</v>
      </c>
      <c r="B83" t="s">
        <v>884</v>
      </c>
      <c r="C83" s="224" t="s">
        <v>824</v>
      </c>
      <c r="D83" s="35" t="s">
        <v>148</v>
      </c>
      <c r="E83" s="35" t="s">
        <v>374</v>
      </c>
      <c r="F83" s="35" t="s">
        <v>580</v>
      </c>
      <c r="G83" s="35" t="s">
        <v>621</v>
      </c>
      <c r="H83" s="208" t="s">
        <v>639</v>
      </c>
      <c r="I83" s="35" t="s">
        <v>625</v>
      </c>
      <c r="J83" s="35" t="s">
        <v>627</v>
      </c>
      <c r="K83" s="35" t="s">
        <v>640</v>
      </c>
      <c r="L83" s="35" t="s">
        <v>628</v>
      </c>
      <c r="M83" s="35" t="s">
        <v>631</v>
      </c>
      <c r="N83" s="35" t="s">
        <v>454</v>
      </c>
      <c r="O83" s="35" t="s">
        <v>834</v>
      </c>
      <c r="P83">
        <v>1733</v>
      </c>
      <c r="Q83">
        <v>1733</v>
      </c>
      <c r="R83">
        <v>1733</v>
      </c>
      <c r="S83">
        <v>1733</v>
      </c>
      <c r="T83">
        <v>430</v>
      </c>
      <c r="U83">
        <v>410</v>
      </c>
      <c r="Z83" s="214">
        <f t="shared" si="6"/>
        <v>0.95348837209302328</v>
      </c>
      <c r="AA83" s="214">
        <f t="shared" si="5"/>
        <v>0.23658395845354876</v>
      </c>
      <c r="AB83" s="28">
        <v>1</v>
      </c>
      <c r="AC83" s="28">
        <v>0</v>
      </c>
      <c r="AD83" s="28">
        <v>1</v>
      </c>
      <c r="AE83" s="28">
        <v>1</v>
      </c>
      <c r="AF83" s="28">
        <v>0</v>
      </c>
      <c r="AG83" s="28">
        <v>1</v>
      </c>
    </row>
    <row r="84" spans="1:33" x14ac:dyDescent="0.2">
      <c r="A84" s="206" t="s">
        <v>465</v>
      </c>
      <c r="B84" t="s">
        <v>896</v>
      </c>
      <c r="C84" s="224" t="s">
        <v>824</v>
      </c>
      <c r="D84" s="35" t="s">
        <v>148</v>
      </c>
      <c r="E84" s="35" t="s">
        <v>374</v>
      </c>
      <c r="F84" s="35" t="s">
        <v>580</v>
      </c>
      <c r="G84" s="35" t="s">
        <v>621</v>
      </c>
      <c r="H84" s="208" t="s">
        <v>639</v>
      </c>
      <c r="I84" s="35" t="s">
        <v>625</v>
      </c>
      <c r="J84" s="35" t="s">
        <v>627</v>
      </c>
      <c r="K84" s="35" t="s">
        <v>640</v>
      </c>
      <c r="L84" s="35" t="s">
        <v>628</v>
      </c>
      <c r="M84" s="35" t="s">
        <v>631</v>
      </c>
      <c r="N84" s="35" t="s">
        <v>454</v>
      </c>
      <c r="O84" s="35" t="s">
        <v>834</v>
      </c>
      <c r="P84">
        <v>1750</v>
      </c>
      <c r="Q84">
        <v>1750</v>
      </c>
      <c r="R84">
        <v>1750</v>
      </c>
      <c r="S84">
        <v>1750</v>
      </c>
      <c r="T84">
        <v>387</v>
      </c>
      <c r="U84">
        <v>371</v>
      </c>
      <c r="Z84" s="214">
        <f t="shared" si="6"/>
        <v>0.95865633074935397</v>
      </c>
      <c r="AA84" s="214">
        <f t="shared" si="5"/>
        <v>0.21199999999999999</v>
      </c>
      <c r="AB84" s="28">
        <v>1</v>
      </c>
      <c r="AC84" s="28">
        <v>0</v>
      </c>
      <c r="AD84" s="28">
        <v>1</v>
      </c>
      <c r="AE84" s="28">
        <v>1</v>
      </c>
      <c r="AF84" s="28">
        <v>0</v>
      </c>
      <c r="AG84" s="28">
        <v>1</v>
      </c>
    </row>
    <row r="85" spans="1:33" x14ac:dyDescent="0.2">
      <c r="A85" s="206" t="s">
        <v>465</v>
      </c>
      <c r="B85" s="28" t="s">
        <v>424</v>
      </c>
      <c r="C85" s="28" t="s">
        <v>458</v>
      </c>
      <c r="D85" s="208" t="s">
        <v>82</v>
      </c>
      <c r="E85" s="35" t="s">
        <v>374</v>
      </c>
      <c r="F85" s="35" t="s">
        <v>580</v>
      </c>
      <c r="G85" s="35" t="s">
        <v>621</v>
      </c>
      <c r="H85" s="208" t="s">
        <v>639</v>
      </c>
      <c r="I85" s="208" t="s">
        <v>625</v>
      </c>
      <c r="J85" s="35" t="s">
        <v>627</v>
      </c>
      <c r="K85" s="35" t="s">
        <v>640</v>
      </c>
      <c r="L85" s="35" t="s">
        <v>628</v>
      </c>
      <c r="M85" s="35" t="s">
        <v>835</v>
      </c>
      <c r="N85" s="35" t="s">
        <v>454</v>
      </c>
      <c r="O85" s="35" t="s">
        <v>834</v>
      </c>
      <c r="P85" s="141">
        <v>1800</v>
      </c>
      <c r="Q85" s="141">
        <v>1800</v>
      </c>
      <c r="R85" s="141">
        <v>1800</v>
      </c>
      <c r="S85" s="141">
        <v>1800</v>
      </c>
      <c r="T85" s="141">
        <v>425</v>
      </c>
      <c r="U85" s="141">
        <v>398</v>
      </c>
      <c r="V85" s="28">
        <v>535</v>
      </c>
      <c r="W85" s="28">
        <f>Q85-V85</f>
        <v>1265</v>
      </c>
      <c r="X85" s="213">
        <f>V85/U85</f>
        <v>1.3442211055276383</v>
      </c>
      <c r="Y85" s="214">
        <f>V85/T85</f>
        <v>1.2588235294117647</v>
      </c>
      <c r="Z85" s="214">
        <f t="shared" si="6"/>
        <v>0.93647058823529417</v>
      </c>
      <c r="AA85" s="214">
        <f t="shared" si="5"/>
        <v>0.22111111111111112</v>
      </c>
      <c r="AB85" s="215">
        <v>1</v>
      </c>
      <c r="AC85" s="215">
        <v>0</v>
      </c>
      <c r="AD85" s="215">
        <f>SUM(AB85:AC85)</f>
        <v>1</v>
      </c>
      <c r="AE85" s="215">
        <v>1</v>
      </c>
      <c r="AF85" s="216">
        <v>0</v>
      </c>
      <c r="AG85" s="215">
        <v>1</v>
      </c>
    </row>
    <row r="86" spans="1:33" ht="16" x14ac:dyDescent="0.2">
      <c r="A86" s="206" t="s">
        <v>465</v>
      </c>
      <c r="B86" t="s">
        <v>881</v>
      </c>
      <c r="C86" s="224" t="s">
        <v>824</v>
      </c>
      <c r="D86" s="35" t="s">
        <v>148</v>
      </c>
      <c r="E86" s="35" t="s">
        <v>374</v>
      </c>
      <c r="F86" s="35" t="s">
        <v>580</v>
      </c>
      <c r="G86" s="35" t="s">
        <v>621</v>
      </c>
      <c r="H86" s="208" t="s">
        <v>639</v>
      </c>
      <c r="I86" s="35" t="s">
        <v>625</v>
      </c>
      <c r="J86" s="35" t="s">
        <v>627</v>
      </c>
      <c r="K86" s="35" t="s">
        <v>640</v>
      </c>
      <c r="L86" s="35" t="s">
        <v>628</v>
      </c>
      <c r="M86" s="35" t="s">
        <v>835</v>
      </c>
      <c r="N86" s="35" t="s">
        <v>454</v>
      </c>
      <c r="O86" s="35" t="s">
        <v>834</v>
      </c>
      <c r="P86" s="147">
        <v>1835</v>
      </c>
      <c r="Q86" s="147">
        <v>1835</v>
      </c>
      <c r="R86" s="147">
        <v>1835</v>
      </c>
      <c r="S86" s="147">
        <v>1835</v>
      </c>
      <c r="T86" s="147">
        <v>400</v>
      </c>
      <c r="U86" s="147">
        <v>385</v>
      </c>
      <c r="Z86" s="214">
        <f t="shared" si="6"/>
        <v>0.96250000000000002</v>
      </c>
      <c r="AA86" s="214">
        <f t="shared" si="5"/>
        <v>0.2098092643051771</v>
      </c>
      <c r="AB86" s="28">
        <v>1</v>
      </c>
      <c r="AC86" s="28">
        <v>0</v>
      </c>
      <c r="AD86" s="28">
        <v>1</v>
      </c>
      <c r="AE86" s="28">
        <v>1</v>
      </c>
      <c r="AF86" s="28">
        <v>0</v>
      </c>
      <c r="AG86" s="28">
        <v>1</v>
      </c>
    </row>
    <row r="87" spans="1:33" ht="16" x14ac:dyDescent="0.2">
      <c r="A87" s="206" t="s">
        <v>465</v>
      </c>
      <c r="B87" t="s">
        <v>867</v>
      </c>
      <c r="C87" s="224" t="s">
        <v>824</v>
      </c>
      <c r="D87" s="35" t="s">
        <v>148</v>
      </c>
      <c r="E87" s="35" t="s">
        <v>374</v>
      </c>
      <c r="F87" s="35" t="s">
        <v>580</v>
      </c>
      <c r="G87" s="35" t="s">
        <v>621</v>
      </c>
      <c r="H87" s="208" t="s">
        <v>639</v>
      </c>
      <c r="I87" s="35" t="s">
        <v>625</v>
      </c>
      <c r="J87" s="35" t="s">
        <v>627</v>
      </c>
      <c r="K87" s="35" t="s">
        <v>640</v>
      </c>
      <c r="L87" s="35" t="s">
        <v>628</v>
      </c>
      <c r="M87" s="35" t="s">
        <v>835</v>
      </c>
      <c r="N87" s="35" t="s">
        <v>454</v>
      </c>
      <c r="O87" s="35" t="s">
        <v>834</v>
      </c>
      <c r="P87" s="147">
        <v>1842</v>
      </c>
      <c r="Q87" s="147">
        <v>1842</v>
      </c>
      <c r="R87" s="147">
        <v>1842</v>
      </c>
      <c r="S87" s="147">
        <v>1842</v>
      </c>
      <c r="T87" s="147">
        <v>405</v>
      </c>
      <c r="U87" s="147">
        <v>384</v>
      </c>
      <c r="Z87" s="214">
        <f t="shared" si="6"/>
        <v>0.94814814814814818</v>
      </c>
      <c r="AA87" s="214">
        <f t="shared" si="5"/>
        <v>0.20846905537459284</v>
      </c>
      <c r="AB87" s="28">
        <v>1</v>
      </c>
      <c r="AC87" s="28">
        <v>0</v>
      </c>
      <c r="AD87" s="28">
        <v>1</v>
      </c>
      <c r="AE87" s="28">
        <v>1</v>
      </c>
      <c r="AF87" s="28">
        <v>0</v>
      </c>
      <c r="AG87" s="28">
        <v>1</v>
      </c>
    </row>
    <row r="88" spans="1:33" x14ac:dyDescent="0.2">
      <c r="A88" s="206" t="s">
        <v>465</v>
      </c>
      <c r="B88" t="s">
        <v>889</v>
      </c>
      <c r="C88" s="224" t="s">
        <v>824</v>
      </c>
      <c r="D88" s="35" t="s">
        <v>148</v>
      </c>
      <c r="E88" s="35" t="s">
        <v>374</v>
      </c>
      <c r="F88" s="35" t="s">
        <v>580</v>
      </c>
      <c r="G88" s="35" t="s">
        <v>621</v>
      </c>
      <c r="H88" s="208" t="s">
        <v>639</v>
      </c>
      <c r="I88" s="35" t="s">
        <v>625</v>
      </c>
      <c r="J88" s="35" t="s">
        <v>627</v>
      </c>
      <c r="K88" s="35" t="s">
        <v>640</v>
      </c>
      <c r="L88" s="35" t="s">
        <v>628</v>
      </c>
      <c r="M88" s="35" t="s">
        <v>835</v>
      </c>
      <c r="N88" s="35" t="s">
        <v>454</v>
      </c>
      <c r="O88" s="35" t="s">
        <v>834</v>
      </c>
      <c r="P88">
        <v>1895</v>
      </c>
      <c r="Q88">
        <v>1895</v>
      </c>
      <c r="R88">
        <v>1895</v>
      </c>
      <c r="S88">
        <v>1895</v>
      </c>
      <c r="T88">
        <v>443</v>
      </c>
      <c r="U88">
        <v>430</v>
      </c>
      <c r="Z88" s="214">
        <f t="shared" si="6"/>
        <v>0.97065462753950338</v>
      </c>
      <c r="AA88" s="214">
        <f t="shared" si="5"/>
        <v>0.22691292875989447</v>
      </c>
      <c r="AB88" s="28">
        <v>1</v>
      </c>
      <c r="AC88" s="28">
        <v>0</v>
      </c>
      <c r="AD88" s="28">
        <v>1</v>
      </c>
      <c r="AE88" s="28">
        <v>1</v>
      </c>
      <c r="AF88" s="28">
        <v>0</v>
      </c>
      <c r="AG88" s="28">
        <v>1</v>
      </c>
    </row>
    <row r="89" spans="1:33" x14ac:dyDescent="0.2">
      <c r="A89" s="206" t="s">
        <v>465</v>
      </c>
      <c r="B89" t="s">
        <v>899</v>
      </c>
      <c r="C89" s="224" t="s">
        <v>824</v>
      </c>
      <c r="D89" s="35" t="s">
        <v>148</v>
      </c>
      <c r="E89" s="35" t="s">
        <v>374</v>
      </c>
      <c r="F89" s="35" t="s">
        <v>580</v>
      </c>
      <c r="G89" s="35" t="s">
        <v>621</v>
      </c>
      <c r="H89" s="208" t="s">
        <v>639</v>
      </c>
      <c r="I89" s="35" t="s">
        <v>625</v>
      </c>
      <c r="J89" s="35" t="s">
        <v>627</v>
      </c>
      <c r="K89" s="35" t="s">
        <v>640</v>
      </c>
      <c r="L89" s="35" t="s">
        <v>628</v>
      </c>
      <c r="M89" s="35" t="s">
        <v>835</v>
      </c>
      <c r="N89" s="35" t="s">
        <v>455</v>
      </c>
      <c r="O89" s="35" t="s">
        <v>834</v>
      </c>
      <c r="P89">
        <v>2060</v>
      </c>
      <c r="Q89">
        <v>2060</v>
      </c>
      <c r="R89">
        <v>2060</v>
      </c>
      <c r="S89">
        <v>2060</v>
      </c>
      <c r="T89">
        <v>456</v>
      </c>
      <c r="U89">
        <v>441</v>
      </c>
      <c r="Z89" s="214">
        <f t="shared" si="6"/>
        <v>0.96710526315789469</v>
      </c>
      <c r="AA89" s="214">
        <f t="shared" si="5"/>
        <v>0.21407766990291263</v>
      </c>
      <c r="AB89" s="28">
        <v>1</v>
      </c>
      <c r="AC89" s="28">
        <v>0</v>
      </c>
      <c r="AD89" s="28">
        <v>1</v>
      </c>
      <c r="AE89" s="28">
        <v>1</v>
      </c>
      <c r="AF89" s="28">
        <v>0</v>
      </c>
      <c r="AG89" s="28">
        <v>1</v>
      </c>
    </row>
    <row r="90" spans="1:33" x14ac:dyDescent="0.2">
      <c r="A90" s="206" t="s">
        <v>465</v>
      </c>
      <c r="B90" t="s">
        <v>886</v>
      </c>
      <c r="C90" s="224" t="s">
        <v>824</v>
      </c>
      <c r="D90" s="35" t="s">
        <v>148</v>
      </c>
      <c r="E90" s="35" t="s">
        <v>374</v>
      </c>
      <c r="F90" s="35" t="s">
        <v>580</v>
      </c>
      <c r="G90" s="35" t="s">
        <v>621</v>
      </c>
      <c r="H90" s="208" t="s">
        <v>639</v>
      </c>
      <c r="I90" s="35" t="s">
        <v>625</v>
      </c>
      <c r="J90" s="35" t="s">
        <v>627</v>
      </c>
      <c r="K90" s="35" t="s">
        <v>640</v>
      </c>
      <c r="L90" s="35" t="s">
        <v>628</v>
      </c>
      <c r="M90" s="35" t="s">
        <v>835</v>
      </c>
      <c r="N90" s="35" t="s">
        <v>455</v>
      </c>
      <c r="O90" s="35" t="s">
        <v>834</v>
      </c>
      <c r="P90">
        <v>2100</v>
      </c>
      <c r="Q90">
        <v>2100</v>
      </c>
      <c r="R90">
        <v>2100</v>
      </c>
      <c r="S90">
        <v>2100</v>
      </c>
      <c r="T90">
        <v>483</v>
      </c>
      <c r="U90">
        <v>463</v>
      </c>
      <c r="Z90" s="214">
        <f t="shared" si="6"/>
        <v>0.95859213250517594</v>
      </c>
      <c r="AA90" s="214">
        <f t="shared" si="5"/>
        <v>0.22047619047619046</v>
      </c>
      <c r="AB90" s="28">
        <v>1</v>
      </c>
      <c r="AC90" s="28">
        <v>0</v>
      </c>
      <c r="AD90" s="28">
        <v>1</v>
      </c>
      <c r="AE90" s="28">
        <v>1</v>
      </c>
      <c r="AF90" s="28">
        <v>0</v>
      </c>
      <c r="AG90" s="28">
        <v>1</v>
      </c>
    </row>
    <row r="91" spans="1:33" x14ac:dyDescent="0.2">
      <c r="A91" s="206" t="s">
        <v>465</v>
      </c>
      <c r="B91" s="28" t="s">
        <v>75</v>
      </c>
      <c r="C91" s="207" t="s">
        <v>403</v>
      </c>
      <c r="D91" s="35" t="s">
        <v>82</v>
      </c>
      <c r="E91" s="35" t="s">
        <v>374</v>
      </c>
      <c r="F91" s="35" t="s">
        <v>580</v>
      </c>
      <c r="G91" s="35" t="s">
        <v>621</v>
      </c>
      <c r="H91" s="208" t="s">
        <v>639</v>
      </c>
      <c r="I91" s="208" t="s">
        <v>625</v>
      </c>
      <c r="J91" s="35" t="s">
        <v>627</v>
      </c>
      <c r="K91" s="35" t="s">
        <v>640</v>
      </c>
      <c r="L91" s="35" t="s">
        <v>628</v>
      </c>
      <c r="M91" s="35" t="s">
        <v>835</v>
      </c>
      <c r="N91" s="35" t="s">
        <v>455</v>
      </c>
      <c r="O91" s="35" t="s">
        <v>834</v>
      </c>
      <c r="P91" s="141">
        <v>2106.6</v>
      </c>
      <c r="Q91" s="141">
        <v>2300</v>
      </c>
      <c r="R91" s="141">
        <v>2106.6</v>
      </c>
      <c r="S91" s="141">
        <v>2106.6</v>
      </c>
      <c r="T91" s="141">
        <v>428.11</v>
      </c>
      <c r="U91" s="141">
        <v>413.78</v>
      </c>
      <c r="V91" s="28">
        <v>553.4</v>
      </c>
      <c r="W91" s="212">
        <f>S91-V91</f>
        <v>1553.1999999999998</v>
      </c>
      <c r="X91" s="213">
        <f>V91/U91</f>
        <v>1.3374256851466964</v>
      </c>
      <c r="Y91" s="214">
        <f>V91/T91</f>
        <v>1.2926584289084579</v>
      </c>
      <c r="Z91" s="214">
        <f t="shared" si="6"/>
        <v>0.9665272943869565</v>
      </c>
      <c r="AA91" s="214">
        <f t="shared" si="5"/>
        <v>0.19642077280926612</v>
      </c>
      <c r="AB91" s="215">
        <v>0</v>
      </c>
      <c r="AC91" s="215">
        <v>1</v>
      </c>
      <c r="AD91" s="215">
        <f>SUM(AB91:AC91)</f>
        <v>1</v>
      </c>
      <c r="AE91" s="215">
        <v>1</v>
      </c>
      <c r="AF91" s="216">
        <v>1</v>
      </c>
      <c r="AG91" s="215">
        <v>1</v>
      </c>
    </row>
    <row r="92" spans="1:33" x14ac:dyDescent="0.2">
      <c r="A92" s="206" t="s">
        <v>465</v>
      </c>
      <c r="B92" t="s">
        <v>888</v>
      </c>
      <c r="C92" s="224" t="s">
        <v>824</v>
      </c>
      <c r="D92" s="35" t="s">
        <v>148</v>
      </c>
      <c r="E92" s="35" t="s">
        <v>374</v>
      </c>
      <c r="F92" s="35" t="s">
        <v>580</v>
      </c>
      <c r="G92" s="35" t="s">
        <v>621</v>
      </c>
      <c r="H92" s="208" t="s">
        <v>639</v>
      </c>
      <c r="I92" s="35" t="s">
        <v>625</v>
      </c>
      <c r="J92" s="35" t="s">
        <v>627</v>
      </c>
      <c r="K92" s="35" t="s">
        <v>640</v>
      </c>
      <c r="L92" s="35" t="s">
        <v>628</v>
      </c>
      <c r="M92" s="35" t="s">
        <v>835</v>
      </c>
      <c r="N92" s="35" t="s">
        <v>455</v>
      </c>
      <c r="O92" s="35" t="s">
        <v>834</v>
      </c>
      <c r="P92">
        <v>2150</v>
      </c>
      <c r="Q92">
        <v>2150</v>
      </c>
      <c r="R92">
        <v>2150</v>
      </c>
      <c r="S92">
        <v>2150</v>
      </c>
      <c r="T92">
        <v>456</v>
      </c>
      <c r="U92">
        <v>442</v>
      </c>
      <c r="Z92" s="214">
        <f t="shared" si="6"/>
        <v>0.9692982456140351</v>
      </c>
      <c r="AA92" s="214">
        <f t="shared" si="5"/>
        <v>0.20558139534883721</v>
      </c>
      <c r="AB92" s="28">
        <v>1</v>
      </c>
      <c r="AC92" s="28">
        <v>0</v>
      </c>
      <c r="AD92" s="28">
        <v>1</v>
      </c>
      <c r="AE92" s="28">
        <v>1</v>
      </c>
      <c r="AF92" s="28">
        <v>0</v>
      </c>
      <c r="AG92" s="28">
        <v>1</v>
      </c>
    </row>
    <row r="93" spans="1:33" x14ac:dyDescent="0.2">
      <c r="A93" s="206" t="s">
        <v>465</v>
      </c>
      <c r="B93" t="s">
        <v>836</v>
      </c>
      <c r="C93" s="224" t="s">
        <v>824</v>
      </c>
      <c r="D93" s="35" t="s">
        <v>148</v>
      </c>
      <c r="E93" s="35" t="s">
        <v>374</v>
      </c>
      <c r="F93" s="35" t="s">
        <v>580</v>
      </c>
      <c r="G93" s="35" t="s">
        <v>621</v>
      </c>
      <c r="H93" s="208" t="s">
        <v>639</v>
      </c>
      <c r="I93" s="35" t="s">
        <v>625</v>
      </c>
      <c r="J93" s="35" t="s">
        <v>627</v>
      </c>
      <c r="K93" s="35" t="s">
        <v>640</v>
      </c>
      <c r="L93" s="35" t="s">
        <v>628</v>
      </c>
      <c r="M93" s="35" t="s">
        <v>835</v>
      </c>
      <c r="N93" s="35" t="s">
        <v>455</v>
      </c>
      <c r="O93" s="35" t="s">
        <v>834</v>
      </c>
      <c r="P93">
        <v>2190</v>
      </c>
      <c r="Q93">
        <v>2190</v>
      </c>
      <c r="R93">
        <v>2190</v>
      </c>
      <c r="S93">
        <v>2190</v>
      </c>
      <c r="T93">
        <v>520</v>
      </c>
      <c r="U93">
        <v>490</v>
      </c>
      <c r="Z93" s="214">
        <f t="shared" si="6"/>
        <v>0.94230769230769229</v>
      </c>
      <c r="AA93" s="214">
        <f t="shared" si="5"/>
        <v>0.22374429223744291</v>
      </c>
      <c r="AB93" s="28">
        <v>1</v>
      </c>
      <c r="AC93" s="28">
        <v>0</v>
      </c>
      <c r="AD93" s="28">
        <v>1</v>
      </c>
      <c r="AE93" s="28">
        <v>1</v>
      </c>
      <c r="AF93" s="28">
        <v>0</v>
      </c>
      <c r="AG93" s="28">
        <v>1</v>
      </c>
    </row>
    <row r="94" spans="1:33" x14ac:dyDescent="0.2">
      <c r="A94" s="206" t="s">
        <v>465</v>
      </c>
      <c r="B94" s="28" t="s">
        <v>322</v>
      </c>
      <c r="C94" s="207" t="s">
        <v>403</v>
      </c>
      <c r="D94" s="35" t="s">
        <v>96</v>
      </c>
      <c r="E94" s="35" t="s">
        <v>374</v>
      </c>
      <c r="F94" s="35" t="s">
        <v>580</v>
      </c>
      <c r="G94" s="35" t="s">
        <v>621</v>
      </c>
      <c r="H94" s="208" t="s">
        <v>639</v>
      </c>
      <c r="I94" s="208" t="s">
        <v>625</v>
      </c>
      <c r="J94" s="35" t="s">
        <v>627</v>
      </c>
      <c r="K94" s="35" t="s">
        <v>640</v>
      </c>
      <c r="L94" s="35" t="s">
        <v>628</v>
      </c>
      <c r="M94" s="35" t="s">
        <v>835</v>
      </c>
      <c r="N94" s="35" t="s">
        <v>455</v>
      </c>
      <c r="O94" s="35" t="s">
        <v>834</v>
      </c>
      <c r="P94" s="141">
        <f>337.19+626.59+495.45+752.43</f>
        <v>2211.66</v>
      </c>
      <c r="Q94" s="141">
        <v>1800</v>
      </c>
      <c r="R94" s="141">
        <f>337.19+626.59+495.45+752.43</f>
        <v>2211.66</v>
      </c>
      <c r="S94" s="141">
        <f>337.19+626.59+495.45+752.43</f>
        <v>2211.66</v>
      </c>
      <c r="T94" s="141">
        <v>598.69000000000005</v>
      </c>
      <c r="U94" s="141">
        <v>570.5</v>
      </c>
      <c r="V94" s="28">
        <v>752.43</v>
      </c>
      <c r="W94" s="212">
        <f>S94-V94</f>
        <v>1459.23</v>
      </c>
      <c r="X94" s="213">
        <f>V94/U94</f>
        <v>1.3188957055214723</v>
      </c>
      <c r="Y94" s="214">
        <f>V94/T94</f>
        <v>1.2567940002338438</v>
      </c>
      <c r="Z94" s="214">
        <f t="shared" si="6"/>
        <v>0.95291386193188454</v>
      </c>
      <c r="AA94" s="214">
        <f t="shared" si="5"/>
        <v>0.25795104129929558</v>
      </c>
      <c r="AB94" s="215">
        <v>0</v>
      </c>
      <c r="AC94" s="215">
        <v>1</v>
      </c>
      <c r="AD94" s="215">
        <f>SUM(AB94:AC94)</f>
        <v>1</v>
      </c>
      <c r="AE94" s="215">
        <v>1</v>
      </c>
      <c r="AF94" s="216">
        <v>0</v>
      </c>
      <c r="AG94" s="215">
        <v>1</v>
      </c>
    </row>
    <row r="95" spans="1:33" x14ac:dyDescent="0.2">
      <c r="A95" s="206" t="s">
        <v>465</v>
      </c>
      <c r="B95" t="s">
        <v>838</v>
      </c>
      <c r="C95" s="224" t="s">
        <v>824</v>
      </c>
      <c r="D95" s="35" t="s">
        <v>148</v>
      </c>
      <c r="E95" s="35" t="s">
        <v>374</v>
      </c>
      <c r="F95" s="35" t="s">
        <v>580</v>
      </c>
      <c r="G95" s="35" t="s">
        <v>621</v>
      </c>
      <c r="H95" s="208" t="s">
        <v>639</v>
      </c>
      <c r="I95" s="35" t="s">
        <v>625</v>
      </c>
      <c r="J95" s="35" t="s">
        <v>627</v>
      </c>
      <c r="K95" s="35" t="s">
        <v>640</v>
      </c>
      <c r="L95" s="35" t="s">
        <v>628</v>
      </c>
      <c r="M95" s="35" t="s">
        <v>835</v>
      </c>
      <c r="N95" s="35" t="s">
        <v>455</v>
      </c>
      <c r="O95" s="35" t="s">
        <v>834</v>
      </c>
      <c r="P95">
        <v>2285</v>
      </c>
      <c r="Q95">
        <v>2285</v>
      </c>
      <c r="R95">
        <v>2285</v>
      </c>
      <c r="S95">
        <v>2285</v>
      </c>
      <c r="T95">
        <v>550</v>
      </c>
      <c r="U95">
        <v>520</v>
      </c>
      <c r="Z95" s="214">
        <f t="shared" si="6"/>
        <v>0.94545454545454544</v>
      </c>
      <c r="AA95" s="214">
        <f t="shared" si="5"/>
        <v>0.2275711159737418</v>
      </c>
      <c r="AB95" s="28">
        <v>1</v>
      </c>
      <c r="AC95" s="28">
        <v>0</v>
      </c>
      <c r="AD95" s="28">
        <v>1</v>
      </c>
      <c r="AE95" s="28">
        <v>1</v>
      </c>
      <c r="AF95" s="28">
        <v>0</v>
      </c>
      <c r="AG95" s="28">
        <v>1</v>
      </c>
    </row>
    <row r="96" spans="1:33" x14ac:dyDescent="0.2">
      <c r="A96" s="206" t="s">
        <v>465</v>
      </c>
      <c r="B96" s="28" t="s">
        <v>136</v>
      </c>
      <c r="C96" s="207" t="s">
        <v>403</v>
      </c>
      <c r="D96" s="35" t="s">
        <v>96</v>
      </c>
      <c r="E96" s="35" t="s">
        <v>374</v>
      </c>
      <c r="F96" s="35" t="s">
        <v>580</v>
      </c>
      <c r="G96" s="35" t="s">
        <v>621</v>
      </c>
      <c r="H96" s="208" t="s">
        <v>639</v>
      </c>
      <c r="I96" s="208" t="s">
        <v>625</v>
      </c>
      <c r="J96" s="35" t="s">
        <v>627</v>
      </c>
      <c r="K96" s="35" t="s">
        <v>640</v>
      </c>
      <c r="L96" s="35" t="s">
        <v>628</v>
      </c>
      <c r="M96" s="35" t="s">
        <v>835</v>
      </c>
      <c r="N96" s="35" t="s">
        <v>455</v>
      </c>
      <c r="O96" s="35" t="s">
        <v>610</v>
      </c>
      <c r="P96" s="141">
        <v>2365.6</v>
      </c>
      <c r="Q96" s="141">
        <v>2000</v>
      </c>
      <c r="R96" s="141">
        <v>2365.6</v>
      </c>
      <c r="S96" s="141">
        <v>2365.6</v>
      </c>
      <c r="T96" s="141">
        <v>525.20000000000005</v>
      </c>
      <c r="U96" s="141">
        <v>492.84</v>
      </c>
      <c r="V96" s="28">
        <v>706.56</v>
      </c>
      <c r="W96" s="212">
        <f>S96-V96</f>
        <v>1659.04</v>
      </c>
      <c r="X96" s="213">
        <f>V96/U96</f>
        <v>1.4336498660822985</v>
      </c>
      <c r="Y96" s="214">
        <f>V96/T96</f>
        <v>1.3453160700685451</v>
      </c>
      <c r="Z96" s="214">
        <f t="shared" si="6"/>
        <v>0.9383853769992383</v>
      </c>
      <c r="AA96" s="214">
        <f t="shared" si="5"/>
        <v>0.20833615150490362</v>
      </c>
      <c r="AB96" s="215">
        <v>0</v>
      </c>
      <c r="AC96" s="215">
        <v>1</v>
      </c>
      <c r="AD96" s="215">
        <f>SUM(AB96:AC96)</f>
        <v>1</v>
      </c>
      <c r="AE96" s="215">
        <v>1</v>
      </c>
      <c r="AF96" s="216">
        <v>0</v>
      </c>
      <c r="AG96" s="215">
        <v>1</v>
      </c>
    </row>
    <row r="97" spans="1:33" x14ac:dyDescent="0.2">
      <c r="A97" s="206" t="s">
        <v>465</v>
      </c>
      <c r="B97" s="28" t="s">
        <v>434</v>
      </c>
      <c r="C97" s="28" t="s">
        <v>458</v>
      </c>
      <c r="D97" s="208" t="s">
        <v>82</v>
      </c>
      <c r="E97" s="35" t="s">
        <v>374</v>
      </c>
      <c r="F97" s="35" t="s">
        <v>580</v>
      </c>
      <c r="G97" s="35" t="s">
        <v>621</v>
      </c>
      <c r="H97" s="208" t="s">
        <v>639</v>
      </c>
      <c r="I97" s="208" t="s">
        <v>625</v>
      </c>
      <c r="J97" s="35" t="s">
        <v>627</v>
      </c>
      <c r="K97" s="35" t="s">
        <v>640</v>
      </c>
      <c r="L97" s="35" t="s">
        <v>628</v>
      </c>
      <c r="M97" s="35" t="s">
        <v>835</v>
      </c>
      <c r="N97" s="35" t="s">
        <v>455</v>
      </c>
      <c r="O97" s="35" t="s">
        <v>610</v>
      </c>
      <c r="P97" s="141">
        <v>2370</v>
      </c>
      <c r="Q97" s="141">
        <v>2370</v>
      </c>
      <c r="R97" s="141">
        <v>2370</v>
      </c>
      <c r="S97" s="141">
        <v>2370</v>
      </c>
      <c r="T97" s="141">
        <v>550</v>
      </c>
      <c r="U97" s="141">
        <v>525</v>
      </c>
      <c r="V97" s="141"/>
      <c r="X97" s="213"/>
      <c r="Y97" s="214"/>
      <c r="Z97" s="214">
        <f t="shared" si="6"/>
        <v>0.95454545454545459</v>
      </c>
      <c r="AA97" s="214">
        <f t="shared" si="5"/>
        <v>0.22151898734177214</v>
      </c>
      <c r="AB97" s="215">
        <v>1</v>
      </c>
      <c r="AC97" s="215">
        <v>0</v>
      </c>
      <c r="AD97" s="215">
        <f>SUM(AB97:AC97)</f>
        <v>1</v>
      </c>
      <c r="AE97" s="215">
        <v>1</v>
      </c>
      <c r="AF97" s="216">
        <v>0</v>
      </c>
      <c r="AG97" s="215">
        <v>1</v>
      </c>
    </row>
    <row r="98" spans="1:33" ht="16" x14ac:dyDescent="0.2">
      <c r="A98" s="206" t="s">
        <v>465</v>
      </c>
      <c r="B98" t="s">
        <v>842</v>
      </c>
      <c r="C98" s="224" t="s">
        <v>824</v>
      </c>
      <c r="D98" s="35" t="s">
        <v>148</v>
      </c>
      <c r="E98" s="35" t="s">
        <v>374</v>
      </c>
      <c r="F98" s="35" t="s">
        <v>580</v>
      </c>
      <c r="G98" s="35" t="s">
        <v>621</v>
      </c>
      <c r="H98" s="208" t="s">
        <v>639</v>
      </c>
      <c r="I98" s="35" t="s">
        <v>625</v>
      </c>
      <c r="J98" s="35" t="s">
        <v>627</v>
      </c>
      <c r="K98" s="35" t="s">
        <v>640</v>
      </c>
      <c r="L98" s="35" t="s">
        <v>628</v>
      </c>
      <c r="M98" s="35" t="s">
        <v>835</v>
      </c>
      <c r="N98" s="35" t="s">
        <v>455</v>
      </c>
      <c r="O98" s="35" t="s">
        <v>610</v>
      </c>
      <c r="P98" s="147">
        <v>2435</v>
      </c>
      <c r="Q98" s="147">
        <v>2435</v>
      </c>
      <c r="R98" s="147">
        <v>2435</v>
      </c>
      <c r="S98" s="147">
        <v>2435</v>
      </c>
      <c r="T98" s="147">
        <v>550</v>
      </c>
      <c r="U98" s="147">
        <v>530</v>
      </c>
      <c r="Z98" s="214">
        <f t="shared" si="6"/>
        <v>0.96363636363636362</v>
      </c>
      <c r="AA98" s="214">
        <f t="shared" si="5"/>
        <v>0.21765913757700206</v>
      </c>
      <c r="AB98" s="28">
        <v>1</v>
      </c>
      <c r="AC98" s="28">
        <v>0</v>
      </c>
      <c r="AD98" s="28">
        <v>1</v>
      </c>
      <c r="AE98" s="28">
        <v>1</v>
      </c>
      <c r="AF98" s="28">
        <v>0</v>
      </c>
      <c r="AG98" s="28">
        <v>1</v>
      </c>
    </row>
    <row r="99" spans="1:33" x14ac:dyDescent="0.2">
      <c r="A99" s="207" t="s">
        <v>19</v>
      </c>
      <c r="B99" s="28" t="s">
        <v>600</v>
      </c>
      <c r="C99" s="207" t="s">
        <v>403</v>
      </c>
      <c r="D99" s="35" t="s">
        <v>82</v>
      </c>
      <c r="E99" s="35" t="s">
        <v>293</v>
      </c>
      <c r="F99" s="35" t="s">
        <v>580</v>
      </c>
      <c r="G99" s="35" t="s">
        <v>621</v>
      </c>
      <c r="H99" s="208" t="s">
        <v>639</v>
      </c>
      <c r="I99" s="208" t="s">
        <v>625</v>
      </c>
      <c r="J99" s="35" t="s">
        <v>627</v>
      </c>
      <c r="K99" s="35" t="s">
        <v>640</v>
      </c>
      <c r="L99" s="35" t="s">
        <v>628</v>
      </c>
      <c r="M99" s="35" t="s">
        <v>835</v>
      </c>
      <c r="N99" s="35" t="s">
        <v>455</v>
      </c>
      <c r="O99" s="35" t="s">
        <v>610</v>
      </c>
      <c r="P99" s="141">
        <v>2516.1099999999997</v>
      </c>
      <c r="Q99" s="141">
        <v>2460</v>
      </c>
      <c r="R99" s="141">
        <v>2516.1099999999997</v>
      </c>
      <c r="S99" s="141">
        <f>V99+W99</f>
        <v>2516.1099999999997</v>
      </c>
      <c r="T99" s="141">
        <v>679.35</v>
      </c>
      <c r="U99" s="141">
        <v>655.37</v>
      </c>
      <c r="V99" s="28">
        <v>921.04</v>
      </c>
      <c r="W99" s="28">
        <f>523.79+496.77+236.84+337.67</f>
        <v>1595.07</v>
      </c>
      <c r="X99" s="213">
        <f>V99/U99</f>
        <v>1.4053740635061109</v>
      </c>
      <c r="Y99" s="214">
        <f>V99/T99</f>
        <v>1.355766541547067</v>
      </c>
      <c r="Z99" s="214">
        <f t="shared" si="6"/>
        <v>0.96470155295503057</v>
      </c>
      <c r="AA99" s="214">
        <f t="shared" si="5"/>
        <v>0.26046953432083658</v>
      </c>
      <c r="AB99" s="215">
        <v>0</v>
      </c>
      <c r="AC99" s="215">
        <v>1</v>
      </c>
      <c r="AD99" s="28">
        <v>1</v>
      </c>
      <c r="AE99" s="215">
        <v>1</v>
      </c>
      <c r="AF99" s="215">
        <v>0</v>
      </c>
      <c r="AG99" s="215">
        <v>1</v>
      </c>
    </row>
    <row r="100" spans="1:33" x14ac:dyDescent="0.2">
      <c r="A100" s="206" t="s">
        <v>465</v>
      </c>
      <c r="B100" t="s">
        <v>837</v>
      </c>
      <c r="C100" s="224" t="s">
        <v>824</v>
      </c>
      <c r="D100" s="35" t="s">
        <v>148</v>
      </c>
      <c r="E100" s="225" t="s">
        <v>293</v>
      </c>
      <c r="F100" s="29" t="s">
        <v>580</v>
      </c>
      <c r="G100" s="35" t="s">
        <v>621</v>
      </c>
      <c r="H100" s="208" t="s">
        <v>639</v>
      </c>
      <c r="I100" s="35" t="s">
        <v>625</v>
      </c>
      <c r="J100" s="35" t="s">
        <v>627</v>
      </c>
      <c r="K100" s="35" t="s">
        <v>640</v>
      </c>
      <c r="L100" s="35" t="s">
        <v>628</v>
      </c>
      <c r="M100" s="35" t="s">
        <v>835</v>
      </c>
      <c r="N100" s="35" t="s">
        <v>455</v>
      </c>
      <c r="O100" s="35" t="s">
        <v>610</v>
      </c>
      <c r="P100">
        <v>2570</v>
      </c>
      <c r="Q100">
        <v>2570</v>
      </c>
      <c r="R100">
        <v>2570</v>
      </c>
      <c r="S100">
        <v>2570</v>
      </c>
      <c r="T100">
        <v>610</v>
      </c>
      <c r="U100">
        <v>575</v>
      </c>
      <c r="Z100" s="214">
        <f t="shared" si="6"/>
        <v>0.94262295081967218</v>
      </c>
      <c r="AA100" s="214">
        <f t="shared" si="5"/>
        <v>0.22373540856031129</v>
      </c>
      <c r="AB100" s="28">
        <v>1</v>
      </c>
      <c r="AC100" s="28">
        <v>0</v>
      </c>
      <c r="AD100" s="28">
        <v>1</v>
      </c>
      <c r="AE100" s="28">
        <v>1</v>
      </c>
      <c r="AF100" s="28">
        <v>0</v>
      </c>
      <c r="AG100" s="28">
        <v>1</v>
      </c>
    </row>
    <row r="101" spans="1:33" ht="16" x14ac:dyDescent="0.2">
      <c r="A101" s="206" t="s">
        <v>465</v>
      </c>
      <c r="B101" t="s">
        <v>840</v>
      </c>
      <c r="C101" s="224" t="s">
        <v>824</v>
      </c>
      <c r="D101" s="35" t="s">
        <v>148</v>
      </c>
      <c r="E101" s="225" t="s">
        <v>293</v>
      </c>
      <c r="F101" s="29" t="s">
        <v>580</v>
      </c>
      <c r="G101" s="35" t="s">
        <v>621</v>
      </c>
      <c r="H101" s="208" t="s">
        <v>639</v>
      </c>
      <c r="I101" s="35" t="s">
        <v>625</v>
      </c>
      <c r="J101" s="35" t="s">
        <v>627</v>
      </c>
      <c r="K101" s="35" t="s">
        <v>640</v>
      </c>
      <c r="L101" s="35" t="s">
        <v>628</v>
      </c>
      <c r="M101" s="35" t="s">
        <v>835</v>
      </c>
      <c r="N101" s="35" t="s">
        <v>455</v>
      </c>
      <c r="O101" s="35" t="s">
        <v>610</v>
      </c>
      <c r="P101" s="147">
        <v>2645</v>
      </c>
      <c r="Q101" s="147">
        <v>2645</v>
      </c>
      <c r="R101" s="147">
        <v>2645</v>
      </c>
      <c r="S101" s="147">
        <v>2645</v>
      </c>
      <c r="T101" s="147">
        <v>590</v>
      </c>
      <c r="U101" s="147">
        <v>560</v>
      </c>
      <c r="Z101" s="214">
        <f t="shared" si="6"/>
        <v>0.94915254237288138</v>
      </c>
      <c r="AA101" s="214">
        <f t="shared" si="5"/>
        <v>0.21172022684310018</v>
      </c>
      <c r="AB101" s="28">
        <v>1</v>
      </c>
      <c r="AC101" s="28">
        <v>0</v>
      </c>
      <c r="AD101" s="28">
        <v>1</v>
      </c>
      <c r="AE101" s="28">
        <v>1</v>
      </c>
      <c r="AF101" s="28">
        <v>0</v>
      </c>
      <c r="AG101" s="28">
        <v>1</v>
      </c>
    </row>
    <row r="102" spans="1:33" x14ac:dyDescent="0.2">
      <c r="A102" s="206" t="s">
        <v>465</v>
      </c>
      <c r="B102" s="28" t="s">
        <v>425</v>
      </c>
      <c r="C102" s="28" t="s">
        <v>458</v>
      </c>
      <c r="D102" s="208" t="s">
        <v>82</v>
      </c>
      <c r="E102" s="35" t="s">
        <v>293</v>
      </c>
      <c r="F102" s="35" t="s">
        <v>580</v>
      </c>
      <c r="G102" s="35" t="s">
        <v>621</v>
      </c>
      <c r="H102" s="208" t="s">
        <v>639</v>
      </c>
      <c r="I102" s="208" t="s">
        <v>625</v>
      </c>
      <c r="J102" s="35" t="s">
        <v>627</v>
      </c>
      <c r="K102" s="35" t="s">
        <v>640</v>
      </c>
      <c r="L102" s="35" t="s">
        <v>628</v>
      </c>
      <c r="M102" s="35" t="s">
        <v>835</v>
      </c>
      <c r="N102" s="35" t="s">
        <v>455</v>
      </c>
      <c r="O102" s="35" t="s">
        <v>610</v>
      </c>
      <c r="P102" s="141">
        <v>2690</v>
      </c>
      <c r="Q102" s="141">
        <v>2690</v>
      </c>
      <c r="R102" s="141">
        <v>2690</v>
      </c>
      <c r="S102" s="141">
        <v>2690</v>
      </c>
      <c r="T102" s="141">
        <v>620</v>
      </c>
      <c r="U102" s="141">
        <v>603</v>
      </c>
      <c r="V102" s="28">
        <v>767</v>
      </c>
      <c r="W102" s="28">
        <f>Q102-V102</f>
        <v>1923</v>
      </c>
      <c r="X102" s="213">
        <f t="shared" ref="X102:X123" si="7">V102/U102</f>
        <v>1.2719734660033168</v>
      </c>
      <c r="Y102" s="214">
        <f t="shared" ref="Y102:Y123" si="8">V102/T102</f>
        <v>1.2370967741935484</v>
      </c>
      <c r="Z102" s="214">
        <f t="shared" si="6"/>
        <v>0.97258064516129028</v>
      </c>
      <c r="AA102" s="214">
        <f t="shared" si="5"/>
        <v>0.22416356877323421</v>
      </c>
      <c r="AB102" s="215">
        <v>1</v>
      </c>
      <c r="AC102" s="215">
        <v>0</v>
      </c>
      <c r="AD102" s="215">
        <f>SUM(AB102:AC102)</f>
        <v>1</v>
      </c>
      <c r="AE102" s="215">
        <v>1</v>
      </c>
      <c r="AF102" s="216">
        <v>0</v>
      </c>
      <c r="AG102" s="215">
        <v>1</v>
      </c>
    </row>
    <row r="103" spans="1:33" x14ac:dyDescent="0.2">
      <c r="A103" s="206" t="s">
        <v>465</v>
      </c>
      <c r="B103" s="206" t="s">
        <v>460</v>
      </c>
      <c r="C103" s="206" t="s">
        <v>403</v>
      </c>
      <c r="D103" s="35" t="s">
        <v>82</v>
      </c>
      <c r="E103" s="35" t="s">
        <v>203</v>
      </c>
      <c r="F103" s="35" t="s">
        <v>581</v>
      </c>
      <c r="G103" s="35" t="s">
        <v>621</v>
      </c>
      <c r="H103" s="208" t="s">
        <v>639</v>
      </c>
      <c r="I103" s="208" t="s">
        <v>625</v>
      </c>
      <c r="J103" s="35" t="s">
        <v>627</v>
      </c>
      <c r="K103" s="35" t="s">
        <v>640</v>
      </c>
      <c r="L103" s="35" t="s">
        <v>628</v>
      </c>
      <c r="M103" s="35" t="s">
        <v>835</v>
      </c>
      <c r="N103" s="35" t="s">
        <v>455</v>
      </c>
      <c r="O103" s="35" t="s">
        <v>610</v>
      </c>
      <c r="P103" s="141">
        <v>4340</v>
      </c>
      <c r="Q103" s="141">
        <v>4340</v>
      </c>
      <c r="R103" s="141">
        <v>4340</v>
      </c>
      <c r="S103" s="141">
        <v>4340</v>
      </c>
      <c r="T103" s="141">
        <v>913</v>
      </c>
      <c r="U103" s="141">
        <v>879</v>
      </c>
      <c r="V103" s="141">
        <v>1247.5</v>
      </c>
      <c r="W103" s="141">
        <f>S103-V103</f>
        <v>3092.5</v>
      </c>
      <c r="X103" s="220">
        <f t="shared" si="7"/>
        <v>1.4192263936291241</v>
      </c>
      <c r="Y103" s="220">
        <f t="shared" si="8"/>
        <v>1.3663745892661556</v>
      </c>
      <c r="Z103" s="220">
        <f t="shared" si="6"/>
        <v>0.96276013143483019</v>
      </c>
      <c r="AA103" s="220">
        <f t="shared" si="5"/>
        <v>0.20253456221198157</v>
      </c>
      <c r="AB103" s="216">
        <v>1</v>
      </c>
      <c r="AC103" s="216">
        <v>0</v>
      </c>
      <c r="AD103" s="216">
        <v>1</v>
      </c>
      <c r="AE103" s="216">
        <v>0</v>
      </c>
      <c r="AF103" s="216">
        <v>1</v>
      </c>
      <c r="AG103" s="215">
        <v>1</v>
      </c>
    </row>
    <row r="104" spans="1:33" x14ac:dyDescent="0.2">
      <c r="A104" s="207" t="s">
        <v>19</v>
      </c>
      <c r="B104" s="28" t="s">
        <v>601</v>
      </c>
      <c r="C104" s="207" t="s">
        <v>403</v>
      </c>
      <c r="D104" s="35" t="s">
        <v>82</v>
      </c>
      <c r="E104" s="35" t="s">
        <v>203</v>
      </c>
      <c r="F104" s="35" t="s">
        <v>581</v>
      </c>
      <c r="G104" s="35" t="s">
        <v>621</v>
      </c>
      <c r="H104" s="208" t="s">
        <v>639</v>
      </c>
      <c r="I104" s="208" t="s">
        <v>625</v>
      </c>
      <c r="J104" s="35" t="s">
        <v>627</v>
      </c>
      <c r="K104" s="35" t="s">
        <v>640</v>
      </c>
      <c r="L104" s="35" t="s">
        <v>628</v>
      </c>
      <c r="M104" s="35" t="s">
        <v>835</v>
      </c>
      <c r="N104" s="35" t="s">
        <v>455</v>
      </c>
      <c r="O104" s="35" t="s">
        <v>610</v>
      </c>
      <c r="P104" s="141">
        <v>5182</v>
      </c>
      <c r="Q104" s="141">
        <v>5182</v>
      </c>
      <c r="R104" s="141">
        <v>5182</v>
      </c>
      <c r="S104" s="141">
        <v>5182</v>
      </c>
      <c r="T104" s="141">
        <v>1066</v>
      </c>
      <c r="U104" s="141">
        <v>1015</v>
      </c>
      <c r="V104" s="28">
        <v>1316</v>
      </c>
      <c r="W104" s="28">
        <f>S104-V104</f>
        <v>3866</v>
      </c>
      <c r="X104" s="213">
        <f t="shared" si="7"/>
        <v>1.296551724137931</v>
      </c>
      <c r="Y104" s="214">
        <f t="shared" si="8"/>
        <v>1.2345215759849906</v>
      </c>
      <c r="Z104" s="214">
        <f t="shared" si="6"/>
        <v>0.9521575984990619</v>
      </c>
      <c r="AA104" s="214">
        <f t="shared" si="5"/>
        <v>0.19587032033963719</v>
      </c>
      <c r="AB104" s="215">
        <v>1</v>
      </c>
      <c r="AC104" s="215">
        <v>0</v>
      </c>
      <c r="AD104" s="28">
        <v>1</v>
      </c>
      <c r="AE104" s="215">
        <v>1</v>
      </c>
      <c r="AF104" s="215">
        <v>0</v>
      </c>
      <c r="AG104" s="215">
        <v>1</v>
      </c>
    </row>
    <row r="105" spans="1:33" x14ac:dyDescent="0.2">
      <c r="A105" s="207" t="s">
        <v>19</v>
      </c>
      <c r="B105" s="28" t="s">
        <v>597</v>
      </c>
      <c r="C105" s="207" t="s">
        <v>403</v>
      </c>
      <c r="D105" s="35" t="s">
        <v>82</v>
      </c>
      <c r="E105" s="35" t="s">
        <v>203</v>
      </c>
      <c r="F105" s="35" t="s">
        <v>581</v>
      </c>
      <c r="G105" s="35" t="s">
        <v>621</v>
      </c>
      <c r="H105" s="208" t="s">
        <v>639</v>
      </c>
      <c r="I105" s="208" t="s">
        <v>625</v>
      </c>
      <c r="J105" s="35" t="s">
        <v>627</v>
      </c>
      <c r="K105" s="35" t="s">
        <v>640</v>
      </c>
      <c r="L105" s="35" t="s">
        <v>628</v>
      </c>
      <c r="M105" s="35" t="s">
        <v>835</v>
      </c>
      <c r="N105" s="35" t="s">
        <v>455</v>
      </c>
      <c r="O105" s="35" t="s">
        <v>610</v>
      </c>
      <c r="P105" s="141">
        <v>5241.7</v>
      </c>
      <c r="Q105" s="141">
        <v>5334</v>
      </c>
      <c r="R105" s="141">
        <v>5241.7</v>
      </c>
      <c r="S105" s="141">
        <f>W105+V105</f>
        <v>5241.7</v>
      </c>
      <c r="T105" s="141">
        <v>1196</v>
      </c>
      <c r="U105" s="141">
        <v>1136</v>
      </c>
      <c r="V105" s="28">
        <v>1483.7</v>
      </c>
      <c r="W105" s="28">
        <v>3758</v>
      </c>
      <c r="X105" s="213">
        <f t="shared" si="7"/>
        <v>1.3060739436619719</v>
      </c>
      <c r="Y105" s="214">
        <f t="shared" si="8"/>
        <v>1.2405518394648829</v>
      </c>
      <c r="Z105" s="214">
        <f t="shared" si="6"/>
        <v>0.94983277591973247</v>
      </c>
      <c r="AA105" s="214">
        <f t="shared" si="5"/>
        <v>0.21672358204399336</v>
      </c>
      <c r="AB105" s="215">
        <v>1</v>
      </c>
      <c r="AC105" s="215">
        <v>0</v>
      </c>
      <c r="AD105" s="28">
        <v>1</v>
      </c>
      <c r="AE105" s="215">
        <v>1</v>
      </c>
      <c r="AF105" s="215">
        <v>0</v>
      </c>
      <c r="AG105" s="215">
        <v>1</v>
      </c>
    </row>
    <row r="106" spans="1:33" x14ac:dyDescent="0.2">
      <c r="A106" s="207" t="s">
        <v>19</v>
      </c>
      <c r="B106" s="28" t="s">
        <v>734</v>
      </c>
      <c r="C106" s="206" t="s">
        <v>403</v>
      </c>
      <c r="D106" s="35" t="s">
        <v>82</v>
      </c>
      <c r="E106" s="35" t="s">
        <v>203</v>
      </c>
      <c r="F106" s="35" t="s">
        <v>581</v>
      </c>
      <c r="G106" s="35" t="s">
        <v>621</v>
      </c>
      <c r="H106" s="208" t="s">
        <v>639</v>
      </c>
      <c r="I106" s="208" t="s">
        <v>625</v>
      </c>
      <c r="J106" s="35" t="s">
        <v>627</v>
      </c>
      <c r="K106" s="35" t="s">
        <v>640</v>
      </c>
      <c r="L106" s="35" t="s">
        <v>628</v>
      </c>
      <c r="M106" s="35" t="s">
        <v>835</v>
      </c>
      <c r="N106" s="35" t="s">
        <v>455</v>
      </c>
      <c r="O106" s="35" t="s">
        <v>610</v>
      </c>
      <c r="P106" s="141">
        <v>5600</v>
      </c>
      <c r="Q106" s="141">
        <v>5600</v>
      </c>
      <c r="R106" s="141">
        <v>5600</v>
      </c>
      <c r="S106" s="141">
        <v>5600</v>
      </c>
      <c r="T106" s="141">
        <v>1245.4000000000001</v>
      </c>
      <c r="U106" s="141">
        <v>1189.5999999999999</v>
      </c>
      <c r="V106" s="141">
        <v>1524.5</v>
      </c>
      <c r="W106" s="28">
        <f>S106-V106</f>
        <v>4075.5</v>
      </c>
      <c r="X106" s="213">
        <f t="shared" si="7"/>
        <v>1.281523201075992</v>
      </c>
      <c r="Y106" s="214">
        <f t="shared" si="8"/>
        <v>1.2241047053155611</v>
      </c>
      <c r="Z106" s="214">
        <f t="shared" si="6"/>
        <v>0.9551951180343663</v>
      </c>
      <c r="AA106" s="214">
        <f t="shared" si="5"/>
        <v>0.21242857142857141</v>
      </c>
      <c r="AB106" s="215">
        <v>1</v>
      </c>
      <c r="AC106" s="215">
        <v>0</v>
      </c>
      <c r="AD106" s="28">
        <v>1</v>
      </c>
      <c r="AE106" s="215">
        <v>1</v>
      </c>
      <c r="AF106" s="216">
        <v>1</v>
      </c>
      <c r="AG106" s="215">
        <v>1</v>
      </c>
    </row>
    <row r="107" spans="1:33" x14ac:dyDescent="0.2">
      <c r="A107" s="206" t="s">
        <v>465</v>
      </c>
      <c r="B107" s="28" t="s">
        <v>152</v>
      </c>
      <c r="C107" s="207" t="s">
        <v>403</v>
      </c>
      <c r="D107" s="35" t="s">
        <v>82</v>
      </c>
      <c r="E107" s="35" t="s">
        <v>203</v>
      </c>
      <c r="F107" s="35" t="s">
        <v>581</v>
      </c>
      <c r="G107" s="35" t="s">
        <v>621</v>
      </c>
      <c r="H107" s="208" t="s">
        <v>639</v>
      </c>
      <c r="I107" s="208" t="s">
        <v>625</v>
      </c>
      <c r="J107" s="35" t="s">
        <v>627</v>
      </c>
      <c r="K107" s="35" t="s">
        <v>640</v>
      </c>
      <c r="L107" s="35" t="s">
        <v>628</v>
      </c>
      <c r="M107" s="35" t="s">
        <v>835</v>
      </c>
      <c r="N107" s="35" t="s">
        <v>455</v>
      </c>
      <c r="O107" s="35" t="s">
        <v>610</v>
      </c>
      <c r="P107" s="141">
        <v>5810</v>
      </c>
      <c r="Q107" s="141">
        <v>5810</v>
      </c>
      <c r="R107" s="141">
        <v>5810</v>
      </c>
      <c r="S107" s="141">
        <v>5810</v>
      </c>
      <c r="T107" s="141">
        <v>1518.6</v>
      </c>
      <c r="U107" s="141">
        <v>1421.1</v>
      </c>
      <c r="V107" s="28">
        <v>1829</v>
      </c>
      <c r="W107" s="212">
        <v>3981</v>
      </c>
      <c r="X107" s="213">
        <f t="shared" si="7"/>
        <v>1.2870311730349731</v>
      </c>
      <c r="Y107" s="214">
        <f t="shared" si="8"/>
        <v>1.2043987883576979</v>
      </c>
      <c r="Z107" s="214">
        <f t="shared" si="6"/>
        <v>0.93579612801264322</v>
      </c>
      <c r="AA107" s="214">
        <f t="shared" si="5"/>
        <v>0.24459552495697073</v>
      </c>
      <c r="AB107" s="215">
        <v>1</v>
      </c>
      <c r="AC107" s="215">
        <v>0</v>
      </c>
      <c r="AD107" s="215">
        <f>SUM(AB107:AC107)</f>
        <v>1</v>
      </c>
      <c r="AE107" s="215">
        <v>1</v>
      </c>
      <c r="AF107" s="216">
        <v>0</v>
      </c>
      <c r="AG107" s="215">
        <v>1</v>
      </c>
    </row>
    <row r="108" spans="1:33" x14ac:dyDescent="0.2">
      <c r="A108" s="206" t="s">
        <v>465</v>
      </c>
      <c r="B108" s="28" t="s">
        <v>157</v>
      </c>
      <c r="C108" s="207" t="s">
        <v>403</v>
      </c>
      <c r="D108" s="35" t="s">
        <v>82</v>
      </c>
      <c r="E108" s="35" t="s">
        <v>203</v>
      </c>
      <c r="F108" s="35" t="s">
        <v>581</v>
      </c>
      <c r="G108" s="35" t="s">
        <v>621</v>
      </c>
      <c r="H108" s="208" t="s">
        <v>639</v>
      </c>
      <c r="I108" s="208" t="s">
        <v>625</v>
      </c>
      <c r="J108" s="35" t="s">
        <v>627</v>
      </c>
      <c r="K108" s="35" t="s">
        <v>640</v>
      </c>
      <c r="L108" s="35" t="s">
        <v>628</v>
      </c>
      <c r="M108" s="35" t="s">
        <v>835</v>
      </c>
      <c r="N108" s="35" t="s">
        <v>455</v>
      </c>
      <c r="O108" s="35" t="s">
        <v>610</v>
      </c>
      <c r="P108" s="141">
        <v>6408.96</v>
      </c>
      <c r="R108" s="141">
        <v>6408.96</v>
      </c>
      <c r="S108" s="141">
        <f>V108+W108</f>
        <v>6408.96</v>
      </c>
      <c r="T108" s="141">
        <v>1408.5</v>
      </c>
      <c r="U108" s="141">
        <v>1366.3</v>
      </c>
      <c r="V108" s="28">
        <v>1852.2</v>
      </c>
      <c r="W108" s="28">
        <f>1548.06+1296.3+1712.4</f>
        <v>4556.76</v>
      </c>
      <c r="X108" s="213">
        <f t="shared" si="7"/>
        <v>1.3556319988289542</v>
      </c>
      <c r="Y108" s="214">
        <f t="shared" si="8"/>
        <v>1.3150159744408947</v>
      </c>
      <c r="Z108" s="214">
        <f t="shared" si="6"/>
        <v>0.97003904863329782</v>
      </c>
      <c r="AA108" s="214">
        <f t="shared" si="5"/>
        <v>0.21318591471939285</v>
      </c>
      <c r="AB108" s="215">
        <v>0</v>
      </c>
      <c r="AC108" s="215">
        <v>1</v>
      </c>
      <c r="AD108" s="28">
        <v>1</v>
      </c>
      <c r="AE108" s="215">
        <v>1</v>
      </c>
      <c r="AF108" s="216">
        <v>1</v>
      </c>
      <c r="AG108" s="215">
        <v>1</v>
      </c>
    </row>
    <row r="109" spans="1:33" x14ac:dyDescent="0.2">
      <c r="A109" s="207" t="s">
        <v>19</v>
      </c>
      <c r="B109" s="28" t="s">
        <v>352</v>
      </c>
      <c r="C109" s="207" t="s">
        <v>403</v>
      </c>
      <c r="D109" s="35" t="s">
        <v>148</v>
      </c>
      <c r="E109" s="35" t="s">
        <v>494</v>
      </c>
      <c r="F109" s="35" t="s">
        <v>580</v>
      </c>
      <c r="G109" s="35" t="s">
        <v>621</v>
      </c>
      <c r="H109" s="208" t="s">
        <v>638</v>
      </c>
      <c r="I109" s="208" t="s">
        <v>457</v>
      </c>
      <c r="J109" s="35" t="s">
        <v>626</v>
      </c>
      <c r="K109" s="208" t="s">
        <v>634</v>
      </c>
      <c r="L109" s="208" t="s">
        <v>629</v>
      </c>
      <c r="M109" s="35" t="s">
        <v>631</v>
      </c>
      <c r="N109" s="35" t="s">
        <v>454</v>
      </c>
      <c r="O109" s="35" t="s">
        <v>834</v>
      </c>
      <c r="P109" s="141">
        <v>1000</v>
      </c>
      <c r="Q109" s="141">
        <v>1000</v>
      </c>
      <c r="T109" s="141">
        <v>250.49</v>
      </c>
      <c r="U109" s="141">
        <v>239.7</v>
      </c>
      <c r="V109" s="28">
        <v>316.89999999999998</v>
      </c>
      <c r="W109" s="212"/>
      <c r="X109" s="213">
        <f t="shared" si="7"/>
        <v>1.3220692532332081</v>
      </c>
      <c r="Y109" s="214">
        <f t="shared" si="8"/>
        <v>1.2651203640863906</v>
      </c>
      <c r="Z109" s="214">
        <f t="shared" si="6"/>
        <v>0.95692442812088296</v>
      </c>
      <c r="AA109" s="214"/>
      <c r="AB109" s="215">
        <v>0</v>
      </c>
      <c r="AC109" s="215">
        <v>0</v>
      </c>
      <c r="AD109" s="215">
        <f>SUM(AB109:AC109)</f>
        <v>0</v>
      </c>
      <c r="AE109" s="215">
        <v>0</v>
      </c>
      <c r="AF109" s="215">
        <v>1</v>
      </c>
      <c r="AG109" s="215">
        <v>0</v>
      </c>
    </row>
    <row r="110" spans="1:33" x14ac:dyDescent="0.2">
      <c r="A110" s="207" t="s">
        <v>19</v>
      </c>
      <c r="B110" s="28" t="s">
        <v>332</v>
      </c>
      <c r="C110" s="207" t="s">
        <v>403</v>
      </c>
      <c r="D110" s="35" t="s">
        <v>82</v>
      </c>
      <c r="E110" s="35" t="s">
        <v>494</v>
      </c>
      <c r="F110" s="35" t="s">
        <v>580</v>
      </c>
      <c r="G110" s="35" t="s">
        <v>620</v>
      </c>
      <c r="H110" s="208" t="s">
        <v>638</v>
      </c>
      <c r="I110" s="208" t="s">
        <v>457</v>
      </c>
      <c r="J110" s="35" t="s">
        <v>626</v>
      </c>
      <c r="K110" s="208" t="s">
        <v>634</v>
      </c>
      <c r="L110" s="208" t="s">
        <v>629</v>
      </c>
      <c r="M110" s="35" t="s">
        <v>631</v>
      </c>
      <c r="N110" s="35" t="s">
        <v>454</v>
      </c>
      <c r="O110" s="35" t="s">
        <v>834</v>
      </c>
      <c r="P110" s="141">
        <v>863.55</v>
      </c>
      <c r="Q110" s="141">
        <v>500</v>
      </c>
      <c r="S110" s="141">
        <v>863.55</v>
      </c>
      <c r="T110" s="141">
        <v>254.7</v>
      </c>
      <c r="U110" s="141">
        <v>244.8</v>
      </c>
      <c r="V110" s="28">
        <v>310.3</v>
      </c>
      <c r="W110" s="212">
        <v>553.25</v>
      </c>
      <c r="X110" s="213">
        <f t="shared" si="7"/>
        <v>1.2675653594771241</v>
      </c>
      <c r="Y110" s="214">
        <f t="shared" si="8"/>
        <v>1.2182960345504517</v>
      </c>
      <c r="Z110" s="214">
        <f t="shared" si="6"/>
        <v>0.96113074204947002</v>
      </c>
      <c r="AA110" s="214"/>
      <c r="AB110" s="215">
        <v>0</v>
      </c>
      <c r="AC110" s="215">
        <v>0</v>
      </c>
      <c r="AD110" s="215">
        <f>SUM(AB110:AC110)</f>
        <v>0</v>
      </c>
      <c r="AE110" s="215">
        <v>1</v>
      </c>
      <c r="AF110" s="215">
        <v>0</v>
      </c>
      <c r="AG110" s="215">
        <v>0</v>
      </c>
    </row>
    <row r="111" spans="1:33" x14ac:dyDescent="0.2">
      <c r="A111" s="207" t="s">
        <v>19</v>
      </c>
      <c r="B111" s="28" t="s">
        <v>263</v>
      </c>
      <c r="C111" s="207" t="s">
        <v>403</v>
      </c>
      <c r="D111" s="35" t="s">
        <v>148</v>
      </c>
      <c r="E111" s="35" t="s">
        <v>494</v>
      </c>
      <c r="F111" s="35" t="s">
        <v>580</v>
      </c>
      <c r="G111" s="35" t="s">
        <v>620</v>
      </c>
      <c r="H111" s="208" t="s">
        <v>638</v>
      </c>
      <c r="I111" s="208" t="s">
        <v>457</v>
      </c>
      <c r="J111" s="35" t="s">
        <v>626</v>
      </c>
      <c r="K111" s="208" t="s">
        <v>634</v>
      </c>
      <c r="L111" s="208" t="s">
        <v>629</v>
      </c>
      <c r="M111" s="35" t="s">
        <v>631</v>
      </c>
      <c r="N111" s="35" t="s">
        <v>454</v>
      </c>
      <c r="O111" s="35" t="s">
        <v>834</v>
      </c>
      <c r="P111" s="141">
        <v>841.1</v>
      </c>
      <c r="Q111" s="141">
        <v>700</v>
      </c>
      <c r="S111" s="141">
        <v>841.1</v>
      </c>
      <c r="T111" s="141">
        <v>265.39999999999998</v>
      </c>
      <c r="U111" s="141">
        <v>256.2</v>
      </c>
      <c r="V111" s="28">
        <v>339.5</v>
      </c>
      <c r="W111" s="212">
        <v>501.6</v>
      </c>
      <c r="X111" s="213">
        <f t="shared" si="7"/>
        <v>1.325136612021858</v>
      </c>
      <c r="Y111" s="214">
        <f t="shared" si="8"/>
        <v>1.2792012057272044</v>
      </c>
      <c r="Z111" s="214">
        <f t="shared" si="6"/>
        <v>0.96533534287867373</v>
      </c>
      <c r="AA111" s="214"/>
      <c r="AB111" s="215">
        <v>0</v>
      </c>
      <c r="AC111" s="215">
        <v>0</v>
      </c>
      <c r="AD111" s="215">
        <v>0</v>
      </c>
      <c r="AE111" s="215">
        <v>1</v>
      </c>
      <c r="AF111" s="215">
        <v>0</v>
      </c>
      <c r="AG111" s="215">
        <v>0</v>
      </c>
    </row>
    <row r="112" spans="1:33" x14ac:dyDescent="0.2">
      <c r="A112" s="207" t="s">
        <v>19</v>
      </c>
      <c r="B112" s="28" t="s">
        <v>353</v>
      </c>
      <c r="C112" s="207" t="s">
        <v>403</v>
      </c>
      <c r="D112" s="35" t="s">
        <v>82</v>
      </c>
      <c r="E112" s="35" t="s">
        <v>374</v>
      </c>
      <c r="F112" s="35" t="s">
        <v>580</v>
      </c>
      <c r="G112" s="35" t="s">
        <v>621</v>
      </c>
      <c r="H112" s="208" t="s">
        <v>639</v>
      </c>
      <c r="I112" s="208" t="s">
        <v>457</v>
      </c>
      <c r="J112" s="35" t="s">
        <v>626</v>
      </c>
      <c r="K112" s="208" t="s">
        <v>634</v>
      </c>
      <c r="L112" s="208" t="s">
        <v>629</v>
      </c>
      <c r="M112" s="35" t="s">
        <v>631</v>
      </c>
      <c r="N112" s="35" t="s">
        <v>454</v>
      </c>
      <c r="O112" s="35" t="s">
        <v>834</v>
      </c>
      <c r="P112" s="141">
        <v>1250</v>
      </c>
      <c r="Q112" s="141">
        <v>1250</v>
      </c>
      <c r="T112" s="141">
        <v>376.5</v>
      </c>
      <c r="U112" s="141">
        <v>365.1</v>
      </c>
      <c r="V112" s="28">
        <v>469</v>
      </c>
      <c r="W112" s="212"/>
      <c r="X112" s="213">
        <f t="shared" si="7"/>
        <v>1.2845795672418514</v>
      </c>
      <c r="Y112" s="214">
        <f t="shared" si="8"/>
        <v>1.2456839309428951</v>
      </c>
      <c r="Z112" s="214">
        <f t="shared" si="6"/>
        <v>0.96972111553784868</v>
      </c>
      <c r="AA112" s="214"/>
      <c r="AB112" s="215">
        <v>0</v>
      </c>
      <c r="AC112" s="215">
        <v>0</v>
      </c>
      <c r="AD112" s="215">
        <f>SUM(AB112:AC112)</f>
        <v>0</v>
      </c>
      <c r="AE112" s="215">
        <v>0</v>
      </c>
      <c r="AF112" s="215">
        <v>1</v>
      </c>
      <c r="AG112" s="215">
        <v>0</v>
      </c>
    </row>
    <row r="113" spans="1:33" x14ac:dyDescent="0.2">
      <c r="A113" s="206" t="s">
        <v>465</v>
      </c>
      <c r="B113" s="28" t="s">
        <v>667</v>
      </c>
      <c r="C113" s="207" t="s">
        <v>403</v>
      </c>
      <c r="D113" s="35" t="s">
        <v>82</v>
      </c>
      <c r="E113" s="35" t="s">
        <v>374</v>
      </c>
      <c r="F113" s="35" t="s">
        <v>580</v>
      </c>
      <c r="G113" s="35" t="s">
        <v>621</v>
      </c>
      <c r="H113" s="208" t="s">
        <v>639</v>
      </c>
      <c r="I113" s="208" t="s">
        <v>457</v>
      </c>
      <c r="J113" s="35" t="s">
        <v>626</v>
      </c>
      <c r="K113" s="208" t="s">
        <v>634</v>
      </c>
      <c r="L113" s="208" t="s">
        <v>629</v>
      </c>
      <c r="M113" s="35" t="s">
        <v>631</v>
      </c>
      <c r="N113" s="35" t="s">
        <v>454</v>
      </c>
      <c r="O113" s="35" t="s">
        <v>834</v>
      </c>
      <c r="P113" s="141">
        <v>1370.0329999999999</v>
      </c>
      <c r="Q113" s="141">
        <v>1500</v>
      </c>
      <c r="S113" s="142">
        <f>V113+W113</f>
        <v>1370.0329999999999</v>
      </c>
      <c r="T113" s="141">
        <v>388.7</v>
      </c>
      <c r="U113" s="141">
        <v>374.42</v>
      </c>
      <c r="V113" s="28">
        <v>499.83699999999999</v>
      </c>
      <c r="W113" s="212">
        <f>294.935+269.728+305.533</f>
        <v>870.19600000000003</v>
      </c>
      <c r="X113" s="213">
        <f t="shared" si="7"/>
        <v>1.334963410074248</v>
      </c>
      <c r="Y113" s="214">
        <f t="shared" si="8"/>
        <v>1.2859197324414715</v>
      </c>
      <c r="Z113" s="214">
        <f t="shared" si="6"/>
        <v>0.96326215590429642</v>
      </c>
      <c r="AA113" s="214"/>
      <c r="AB113" s="215">
        <v>0</v>
      </c>
      <c r="AC113" s="215">
        <v>1</v>
      </c>
      <c r="AD113" s="215">
        <v>1</v>
      </c>
      <c r="AE113" s="215">
        <v>1</v>
      </c>
      <c r="AF113" s="216">
        <v>0</v>
      </c>
      <c r="AG113" s="215">
        <v>0</v>
      </c>
    </row>
    <row r="114" spans="1:33" x14ac:dyDescent="0.2">
      <c r="A114" s="207" t="s">
        <v>19</v>
      </c>
      <c r="B114" s="28" t="s">
        <v>318</v>
      </c>
      <c r="C114" s="207" t="s">
        <v>403</v>
      </c>
      <c r="D114" s="35" t="s">
        <v>148</v>
      </c>
      <c r="E114" s="35" t="s">
        <v>494</v>
      </c>
      <c r="F114" s="35" t="s">
        <v>580</v>
      </c>
      <c r="G114" s="35"/>
      <c r="H114" s="208" t="s">
        <v>638</v>
      </c>
      <c r="I114" s="208" t="s">
        <v>457</v>
      </c>
      <c r="J114" s="35" t="s">
        <v>626</v>
      </c>
      <c r="K114" s="208" t="s">
        <v>634</v>
      </c>
      <c r="L114" s="208" t="s">
        <v>629</v>
      </c>
      <c r="M114" s="35" t="s">
        <v>631</v>
      </c>
      <c r="N114" s="35" t="s">
        <v>454</v>
      </c>
      <c r="O114" s="35" t="s">
        <v>834</v>
      </c>
      <c r="P114" s="141">
        <v>1000</v>
      </c>
      <c r="Q114" s="141">
        <v>1000</v>
      </c>
      <c r="T114" s="141">
        <v>447</v>
      </c>
      <c r="U114" s="141">
        <v>427.8</v>
      </c>
      <c r="V114" s="28">
        <v>555.4</v>
      </c>
      <c r="W114" s="212"/>
      <c r="X114" s="213">
        <f t="shared" si="7"/>
        <v>1.2982702197288452</v>
      </c>
      <c r="Y114" s="214">
        <f t="shared" si="8"/>
        <v>1.2425055928411632</v>
      </c>
      <c r="Z114" s="214">
        <f t="shared" si="6"/>
        <v>0.95704697986577181</v>
      </c>
      <c r="AA114" s="214"/>
      <c r="AB114" s="215">
        <v>0</v>
      </c>
      <c r="AC114" s="215">
        <v>0</v>
      </c>
      <c r="AD114" s="215">
        <f t="shared" ref="AD114:AD123" si="9">SUM(AB114:AC114)</f>
        <v>0</v>
      </c>
      <c r="AE114" s="215">
        <v>0</v>
      </c>
      <c r="AF114" s="215">
        <v>0</v>
      </c>
      <c r="AG114" s="215">
        <v>0</v>
      </c>
    </row>
    <row r="115" spans="1:33" x14ac:dyDescent="0.2">
      <c r="A115" s="206" t="s">
        <v>465</v>
      </c>
      <c r="B115" s="28" t="s">
        <v>69</v>
      </c>
      <c r="C115" s="207" t="s">
        <v>403</v>
      </c>
      <c r="D115" s="35" t="s">
        <v>82</v>
      </c>
      <c r="E115" s="35" t="s">
        <v>203</v>
      </c>
      <c r="F115" s="35" t="s">
        <v>581</v>
      </c>
      <c r="G115" s="35" t="s">
        <v>621</v>
      </c>
      <c r="H115" s="208" t="s">
        <v>639</v>
      </c>
      <c r="I115" s="208" t="s">
        <v>625</v>
      </c>
      <c r="J115" s="35" t="s">
        <v>627</v>
      </c>
      <c r="K115" s="35" t="s">
        <v>640</v>
      </c>
      <c r="L115" s="35" t="s">
        <v>628</v>
      </c>
      <c r="M115" s="35" t="s">
        <v>835</v>
      </c>
      <c r="N115" s="35" t="s">
        <v>455</v>
      </c>
      <c r="O115" s="35" t="s">
        <v>610</v>
      </c>
      <c r="P115" s="141">
        <v>3000</v>
      </c>
      <c r="Q115" s="141">
        <v>3000</v>
      </c>
      <c r="T115" s="141">
        <v>450.6</v>
      </c>
      <c r="U115" s="141">
        <v>434.5</v>
      </c>
      <c r="V115" s="28">
        <v>569</v>
      </c>
      <c r="W115" s="212">
        <v>1866</v>
      </c>
      <c r="X115" s="213">
        <f t="shared" si="7"/>
        <v>1.3095512082853855</v>
      </c>
      <c r="Y115" s="214">
        <f t="shared" si="8"/>
        <v>1.2627607634265423</v>
      </c>
      <c r="Z115" s="214">
        <f t="shared" si="6"/>
        <v>0.96426986240568124</v>
      </c>
      <c r="AA115" s="214"/>
      <c r="AB115" s="215">
        <v>0</v>
      </c>
      <c r="AC115" s="215">
        <v>0</v>
      </c>
      <c r="AD115" s="215">
        <f t="shared" si="9"/>
        <v>0</v>
      </c>
      <c r="AE115" s="215">
        <v>0</v>
      </c>
      <c r="AF115" s="216">
        <v>0</v>
      </c>
      <c r="AG115" s="215">
        <v>0</v>
      </c>
    </row>
    <row r="116" spans="1:33" x14ac:dyDescent="0.2">
      <c r="A116" s="207" t="s">
        <v>19</v>
      </c>
      <c r="B116" s="28" t="s">
        <v>355</v>
      </c>
      <c r="C116" s="207" t="s">
        <v>403</v>
      </c>
      <c r="D116" s="35" t="s">
        <v>148</v>
      </c>
      <c r="E116" s="35" t="s">
        <v>374</v>
      </c>
      <c r="F116" s="35" t="s">
        <v>580</v>
      </c>
      <c r="G116" s="35" t="s">
        <v>621</v>
      </c>
      <c r="H116" s="208"/>
      <c r="I116" s="208" t="s">
        <v>457</v>
      </c>
      <c r="J116" s="35" t="s">
        <v>626</v>
      </c>
      <c r="K116" s="208" t="s">
        <v>634</v>
      </c>
      <c r="L116" s="208" t="s">
        <v>629</v>
      </c>
      <c r="M116" s="35" t="s">
        <v>631</v>
      </c>
      <c r="N116" s="35" t="s">
        <v>454</v>
      </c>
      <c r="O116" s="35" t="s">
        <v>834</v>
      </c>
      <c r="P116" s="141">
        <v>1200</v>
      </c>
      <c r="Q116" s="141">
        <v>1200</v>
      </c>
      <c r="T116" s="141">
        <v>500</v>
      </c>
      <c r="U116" s="141">
        <v>478.7</v>
      </c>
      <c r="V116" s="28">
        <v>639.20000000000005</v>
      </c>
      <c r="W116" s="212"/>
      <c r="X116" s="213">
        <f t="shared" si="7"/>
        <v>1.3352830582828494</v>
      </c>
      <c r="Y116" s="214">
        <f t="shared" si="8"/>
        <v>1.2784</v>
      </c>
      <c r="Z116" s="214">
        <f t="shared" si="6"/>
        <v>0.95740000000000003</v>
      </c>
      <c r="AA116" s="214"/>
      <c r="AB116" s="215">
        <v>0</v>
      </c>
      <c r="AC116" s="215">
        <v>0</v>
      </c>
      <c r="AD116" s="215">
        <f t="shared" si="9"/>
        <v>0</v>
      </c>
      <c r="AE116" s="215">
        <v>0</v>
      </c>
      <c r="AF116" s="215">
        <v>0</v>
      </c>
      <c r="AG116" s="215">
        <v>0</v>
      </c>
    </row>
    <row r="117" spans="1:33" x14ac:dyDescent="0.2">
      <c r="A117" s="206" t="s">
        <v>465</v>
      </c>
      <c r="B117" s="28" t="s">
        <v>313</v>
      </c>
      <c r="C117" s="207" t="s">
        <v>403</v>
      </c>
      <c r="D117" s="35" t="s">
        <v>96</v>
      </c>
      <c r="E117" s="35" t="s">
        <v>374</v>
      </c>
      <c r="F117" s="35" t="s">
        <v>580</v>
      </c>
      <c r="G117" s="35" t="s">
        <v>621</v>
      </c>
      <c r="H117" s="208" t="s">
        <v>639</v>
      </c>
      <c r="I117" s="208" t="s">
        <v>625</v>
      </c>
      <c r="J117" s="35" t="s">
        <v>627</v>
      </c>
      <c r="K117" s="35" t="s">
        <v>640</v>
      </c>
      <c r="L117" s="35" t="s">
        <v>628</v>
      </c>
      <c r="M117" s="35" t="s">
        <v>835</v>
      </c>
      <c r="N117" s="35"/>
      <c r="O117" s="35" t="s">
        <v>834</v>
      </c>
      <c r="P117" s="141">
        <v>2000</v>
      </c>
      <c r="Q117" s="141">
        <v>2000</v>
      </c>
      <c r="T117" s="141">
        <v>650</v>
      </c>
      <c r="U117" s="141">
        <v>619.79999999999995</v>
      </c>
      <c r="V117" s="28">
        <v>831.45</v>
      </c>
      <c r="W117" s="212"/>
      <c r="X117" s="213">
        <f t="shared" si="7"/>
        <v>1.3414811229428849</v>
      </c>
      <c r="Y117" s="214">
        <f t="shared" si="8"/>
        <v>1.2791538461538463</v>
      </c>
      <c r="Z117" s="214">
        <f t="shared" si="6"/>
        <v>0.95353846153846145</v>
      </c>
      <c r="AA117" s="214"/>
      <c r="AB117" s="215">
        <v>0</v>
      </c>
      <c r="AC117" s="215">
        <v>0</v>
      </c>
      <c r="AD117" s="215">
        <f t="shared" si="9"/>
        <v>0</v>
      </c>
      <c r="AE117" s="215">
        <v>1</v>
      </c>
      <c r="AF117" s="215">
        <v>0</v>
      </c>
      <c r="AG117" s="215">
        <v>0</v>
      </c>
    </row>
    <row r="118" spans="1:33" x14ac:dyDescent="0.2">
      <c r="A118" s="206" t="s">
        <v>465</v>
      </c>
      <c r="B118" s="28" t="s">
        <v>308</v>
      </c>
      <c r="C118" s="207" t="s">
        <v>403</v>
      </c>
      <c r="D118" s="35" t="s">
        <v>148</v>
      </c>
      <c r="E118" s="35" t="s">
        <v>203</v>
      </c>
      <c r="F118" s="35" t="s">
        <v>581</v>
      </c>
      <c r="G118" s="35" t="s">
        <v>621</v>
      </c>
      <c r="H118" s="208" t="s">
        <v>639</v>
      </c>
      <c r="I118" s="208" t="s">
        <v>625</v>
      </c>
      <c r="J118" s="35" t="s">
        <v>627</v>
      </c>
      <c r="K118" s="35" t="s">
        <v>640</v>
      </c>
      <c r="L118" s="35" t="s">
        <v>628</v>
      </c>
      <c r="M118" s="35" t="s">
        <v>835</v>
      </c>
      <c r="N118" s="35" t="s">
        <v>455</v>
      </c>
      <c r="O118" s="35" t="s">
        <v>610</v>
      </c>
      <c r="P118" s="141">
        <v>3000</v>
      </c>
      <c r="Q118" s="141">
        <v>3000</v>
      </c>
      <c r="T118" s="141">
        <v>642.5</v>
      </c>
      <c r="U118" s="141">
        <v>619.79999999999995</v>
      </c>
      <c r="V118" s="28">
        <v>834.4</v>
      </c>
      <c r="W118" s="212"/>
      <c r="X118" s="213">
        <f t="shared" si="7"/>
        <v>1.3462407228138109</v>
      </c>
      <c r="Y118" s="214">
        <f t="shared" si="8"/>
        <v>1.2986770428015564</v>
      </c>
      <c r="Z118" s="214">
        <f t="shared" si="6"/>
        <v>0.96466926070038905</v>
      </c>
      <c r="AA118" s="214"/>
      <c r="AB118" s="215">
        <v>0</v>
      </c>
      <c r="AC118" s="215">
        <v>0</v>
      </c>
      <c r="AD118" s="215">
        <f t="shared" si="9"/>
        <v>0</v>
      </c>
      <c r="AE118" s="215">
        <v>0</v>
      </c>
      <c r="AF118" s="216">
        <v>0</v>
      </c>
      <c r="AG118" s="215">
        <v>0</v>
      </c>
    </row>
    <row r="119" spans="1:33" x14ac:dyDescent="0.2">
      <c r="A119" s="207" t="s">
        <v>19</v>
      </c>
      <c r="B119" s="28" t="s">
        <v>333</v>
      </c>
      <c r="C119" s="207" t="s">
        <v>403</v>
      </c>
      <c r="D119" s="35" t="s">
        <v>82</v>
      </c>
      <c r="E119" s="35" t="s">
        <v>374</v>
      </c>
      <c r="F119" s="35" t="s">
        <v>580</v>
      </c>
      <c r="G119" s="35" t="s">
        <v>621</v>
      </c>
      <c r="H119" s="208" t="s">
        <v>639</v>
      </c>
      <c r="I119" s="208" t="s">
        <v>625</v>
      </c>
      <c r="J119" s="35" t="s">
        <v>627</v>
      </c>
      <c r="K119" s="35" t="s">
        <v>640</v>
      </c>
      <c r="L119" s="35" t="s">
        <v>628</v>
      </c>
      <c r="M119" s="35" t="s">
        <v>835</v>
      </c>
      <c r="N119" s="35"/>
      <c r="O119" s="35" t="s">
        <v>834</v>
      </c>
      <c r="P119" s="141">
        <v>2000</v>
      </c>
      <c r="Q119" s="141">
        <v>2000</v>
      </c>
      <c r="T119" s="141">
        <v>813.9</v>
      </c>
      <c r="U119" s="141">
        <v>777.4</v>
      </c>
      <c r="V119" s="28">
        <v>1024.0999999999999</v>
      </c>
      <c r="W119" s="212"/>
      <c r="X119" s="213">
        <f t="shared" si="7"/>
        <v>1.3173398507846668</v>
      </c>
      <c r="Y119" s="214">
        <f t="shared" si="8"/>
        <v>1.2582626858336403</v>
      </c>
      <c r="Z119" s="214">
        <f t="shared" si="6"/>
        <v>0.95515419584715566</v>
      </c>
      <c r="AA119" s="214"/>
      <c r="AB119" s="215">
        <v>0</v>
      </c>
      <c r="AC119" s="215">
        <v>0</v>
      </c>
      <c r="AD119" s="215">
        <f t="shared" si="9"/>
        <v>0</v>
      </c>
      <c r="AE119" s="215">
        <v>1</v>
      </c>
      <c r="AF119" s="215">
        <v>1</v>
      </c>
      <c r="AG119" s="215">
        <v>0</v>
      </c>
    </row>
    <row r="120" spans="1:33" x14ac:dyDescent="0.2">
      <c r="A120" s="206" t="s">
        <v>465</v>
      </c>
      <c r="B120" s="28" t="s">
        <v>273</v>
      </c>
      <c r="C120" s="207" t="s">
        <v>403</v>
      </c>
      <c r="D120" s="35" t="s">
        <v>148</v>
      </c>
      <c r="E120" s="35" t="s">
        <v>293</v>
      </c>
      <c r="F120" s="35" t="s">
        <v>580</v>
      </c>
      <c r="G120" s="35" t="s">
        <v>621</v>
      </c>
      <c r="H120" s="208" t="s">
        <v>639</v>
      </c>
      <c r="I120" s="208" t="s">
        <v>625</v>
      </c>
      <c r="J120" s="35" t="s">
        <v>627</v>
      </c>
      <c r="K120" s="35" t="s">
        <v>640</v>
      </c>
      <c r="L120" s="35" t="s">
        <v>628</v>
      </c>
      <c r="M120" s="35" t="s">
        <v>835</v>
      </c>
      <c r="N120" s="35" t="s">
        <v>455</v>
      </c>
      <c r="O120" s="35" t="s">
        <v>610</v>
      </c>
      <c r="P120" s="141">
        <v>2500</v>
      </c>
      <c r="Q120" s="141">
        <v>2500</v>
      </c>
      <c r="T120" s="141">
        <v>855.2</v>
      </c>
      <c r="U120" s="141">
        <v>825.1</v>
      </c>
      <c r="V120" s="28">
        <v>1067.9000000000001</v>
      </c>
      <c r="W120" s="212"/>
      <c r="X120" s="213">
        <f t="shared" si="7"/>
        <v>1.2942673615319356</v>
      </c>
      <c r="Y120" s="214">
        <f t="shared" si="8"/>
        <v>1.2487137511693172</v>
      </c>
      <c r="Z120" s="214">
        <f t="shared" si="6"/>
        <v>0.96480355472404111</v>
      </c>
      <c r="AA120" s="214"/>
      <c r="AB120" s="215">
        <v>0</v>
      </c>
      <c r="AC120" s="215">
        <v>0</v>
      </c>
      <c r="AD120" s="215">
        <f t="shared" si="9"/>
        <v>0</v>
      </c>
      <c r="AE120" s="215">
        <v>0</v>
      </c>
      <c r="AF120" s="216">
        <v>1</v>
      </c>
      <c r="AG120" s="215">
        <v>0</v>
      </c>
    </row>
    <row r="121" spans="1:33" x14ac:dyDescent="0.2">
      <c r="A121" s="207" t="s">
        <v>19</v>
      </c>
      <c r="B121" s="28" t="s">
        <v>285</v>
      </c>
      <c r="C121" s="207" t="s">
        <v>403</v>
      </c>
      <c r="D121" s="35" t="s">
        <v>148</v>
      </c>
      <c r="E121" s="35" t="s">
        <v>494</v>
      </c>
      <c r="F121" s="35" t="s">
        <v>580</v>
      </c>
      <c r="G121" s="35" t="s">
        <v>620</v>
      </c>
      <c r="H121" s="208" t="s">
        <v>638</v>
      </c>
      <c r="I121" s="208" t="s">
        <v>457</v>
      </c>
      <c r="J121" s="35" t="s">
        <v>626</v>
      </c>
      <c r="K121" s="208" t="s">
        <v>634</v>
      </c>
      <c r="L121" s="208" t="s">
        <v>629</v>
      </c>
      <c r="M121" s="35" t="s">
        <v>631</v>
      </c>
      <c r="N121" s="35" t="s">
        <v>454</v>
      </c>
      <c r="O121" s="35" t="s">
        <v>834</v>
      </c>
      <c r="P121" s="141">
        <v>950</v>
      </c>
      <c r="Q121" s="141">
        <v>950</v>
      </c>
      <c r="T121" s="141">
        <v>977.2</v>
      </c>
      <c r="U121" s="141">
        <v>936.9</v>
      </c>
      <c r="V121" s="28">
        <v>1260.8</v>
      </c>
      <c r="W121" s="212"/>
      <c r="X121" s="213">
        <f t="shared" si="7"/>
        <v>1.345714590671363</v>
      </c>
      <c r="Y121" s="214">
        <f t="shared" si="8"/>
        <v>1.2902169463774047</v>
      </c>
      <c r="Z121" s="214">
        <f t="shared" si="6"/>
        <v>0.95875972165370438</v>
      </c>
      <c r="AA121" s="214"/>
      <c r="AB121" s="215">
        <v>0</v>
      </c>
      <c r="AC121" s="215">
        <v>0</v>
      </c>
      <c r="AD121" s="215">
        <f t="shared" si="9"/>
        <v>0</v>
      </c>
      <c r="AE121" s="215">
        <v>0</v>
      </c>
      <c r="AF121" s="215">
        <v>0</v>
      </c>
      <c r="AG121" s="215">
        <v>0</v>
      </c>
    </row>
    <row r="122" spans="1:33" x14ac:dyDescent="0.2">
      <c r="A122" s="206" t="s">
        <v>465</v>
      </c>
      <c r="B122" s="28" t="s">
        <v>272</v>
      </c>
      <c r="C122" s="207" t="s">
        <v>403</v>
      </c>
      <c r="D122" s="35" t="s">
        <v>82</v>
      </c>
      <c r="E122" s="35" t="s">
        <v>293</v>
      </c>
      <c r="F122" s="35" t="s">
        <v>580</v>
      </c>
      <c r="G122" s="35" t="s">
        <v>621</v>
      </c>
      <c r="H122" s="208" t="s">
        <v>639</v>
      </c>
      <c r="I122" s="208" t="s">
        <v>625</v>
      </c>
      <c r="J122" s="35" t="s">
        <v>627</v>
      </c>
      <c r="K122" s="35" t="s">
        <v>640</v>
      </c>
      <c r="L122" s="35" t="s">
        <v>628</v>
      </c>
      <c r="M122" s="35" t="s">
        <v>835</v>
      </c>
      <c r="N122" s="35" t="s">
        <v>455</v>
      </c>
      <c r="O122" s="35" t="s">
        <v>610</v>
      </c>
      <c r="P122" s="141">
        <v>2500</v>
      </c>
      <c r="Q122" s="141">
        <v>2500</v>
      </c>
      <c r="T122" s="141">
        <v>1233.9000000000001</v>
      </c>
      <c r="U122" s="141">
        <v>1173.4000000000001</v>
      </c>
      <c r="V122" s="28">
        <v>1536</v>
      </c>
      <c r="W122" s="212"/>
      <c r="X122" s="213">
        <f t="shared" si="7"/>
        <v>1.3090165331515253</v>
      </c>
      <c r="Y122" s="214">
        <f t="shared" si="8"/>
        <v>1.2448334548991002</v>
      </c>
      <c r="Z122" s="214">
        <f t="shared" si="6"/>
        <v>0.95096847394440398</v>
      </c>
      <c r="AA122" s="214"/>
      <c r="AB122" s="215">
        <v>0</v>
      </c>
      <c r="AC122" s="215">
        <v>0</v>
      </c>
      <c r="AD122" s="215">
        <f t="shared" si="9"/>
        <v>0</v>
      </c>
      <c r="AE122" s="215">
        <v>0</v>
      </c>
      <c r="AF122" s="216">
        <v>0</v>
      </c>
      <c r="AG122" s="215">
        <v>0</v>
      </c>
    </row>
    <row r="123" spans="1:33" x14ac:dyDescent="0.2">
      <c r="A123" s="207" t="s">
        <v>19</v>
      </c>
      <c r="B123" s="28" t="s">
        <v>299</v>
      </c>
      <c r="C123" s="207" t="s">
        <v>403</v>
      </c>
      <c r="D123" s="35" t="s">
        <v>82</v>
      </c>
      <c r="E123" s="35" t="s">
        <v>374</v>
      </c>
      <c r="F123" s="35" t="s">
        <v>580</v>
      </c>
      <c r="G123" s="35" t="s">
        <v>621</v>
      </c>
      <c r="H123" s="208" t="s">
        <v>639</v>
      </c>
      <c r="I123" s="208" t="s">
        <v>457</v>
      </c>
      <c r="J123" s="35" t="s">
        <v>626</v>
      </c>
      <c r="K123" s="208" t="s">
        <v>634</v>
      </c>
      <c r="L123" s="208" t="s">
        <v>629</v>
      </c>
      <c r="M123" s="35" t="s">
        <v>631</v>
      </c>
      <c r="N123" s="35" t="s">
        <v>454</v>
      </c>
      <c r="O123" s="35" t="s">
        <v>834</v>
      </c>
      <c r="P123" s="141">
        <v>1300</v>
      </c>
      <c r="Q123" s="141">
        <v>1300</v>
      </c>
      <c r="T123" s="141">
        <v>1309.3</v>
      </c>
      <c r="U123" s="141">
        <v>1238.3</v>
      </c>
      <c r="V123" s="28">
        <v>1623.4</v>
      </c>
      <c r="W123" s="212"/>
      <c r="X123" s="213">
        <f t="shared" si="7"/>
        <v>1.3109908745861263</v>
      </c>
      <c r="Y123" s="214">
        <f t="shared" si="8"/>
        <v>1.2398991827694188</v>
      </c>
      <c r="Z123" s="214">
        <f t="shared" si="6"/>
        <v>0.94577255021767359</v>
      </c>
      <c r="AA123" s="214"/>
      <c r="AB123" s="215">
        <v>0</v>
      </c>
      <c r="AC123" s="215">
        <v>0</v>
      </c>
      <c r="AD123" s="215">
        <f t="shared" si="9"/>
        <v>0</v>
      </c>
      <c r="AE123" s="215">
        <v>0</v>
      </c>
      <c r="AF123" s="215">
        <v>1</v>
      </c>
      <c r="AG123" s="215">
        <v>0</v>
      </c>
    </row>
    <row r="124" spans="1:33" ht="16" x14ac:dyDescent="0.2">
      <c r="A124" s="206"/>
      <c r="B124"/>
      <c r="D124" s="187"/>
      <c r="E124" s="226"/>
      <c r="F124" s="189"/>
      <c r="G124" s="147"/>
      <c r="H124" s="147"/>
      <c r="I124" s="35"/>
      <c r="J124" s="35"/>
      <c r="P124" s="222"/>
      <c r="Q124" s="222"/>
      <c r="R124" s="222"/>
      <c r="S124" s="222"/>
      <c r="T124" s="222"/>
      <c r="U124" s="222"/>
      <c r="X124" s="214"/>
      <c r="Y124" s="214"/>
      <c r="Z124" s="214"/>
      <c r="AA124" s="214"/>
    </row>
    <row r="125" spans="1:33" ht="16" x14ac:dyDescent="0.2">
      <c r="A125" s="206"/>
      <c r="B125"/>
      <c r="D125" s="187"/>
      <c r="E125" s="226"/>
      <c r="F125" s="189"/>
      <c r="G125" s="147"/>
      <c r="H125" s="147"/>
      <c r="I125" s="147"/>
      <c r="J125" s="35"/>
      <c r="P125" s="222"/>
      <c r="Q125" s="222"/>
      <c r="R125" s="222"/>
      <c r="S125" s="222"/>
      <c r="T125" s="222"/>
      <c r="U125" s="222"/>
      <c r="X125" s="214"/>
      <c r="Y125" s="214"/>
      <c r="Z125" s="214"/>
      <c r="AA125" s="214"/>
    </row>
    <row r="126" spans="1:33" ht="16" x14ac:dyDescent="0.2">
      <c r="A126" s="206"/>
      <c r="B126"/>
      <c r="D126" s="187"/>
      <c r="E126" s="226"/>
      <c r="F126" s="189"/>
      <c r="G126" s="147"/>
      <c r="H126" s="147"/>
      <c r="I126" s="147"/>
      <c r="J126" s="35"/>
      <c r="P126" s="222"/>
      <c r="Q126" s="222"/>
      <c r="R126" s="222"/>
      <c r="S126" s="222"/>
      <c r="T126" s="222"/>
      <c r="U126" s="222"/>
      <c r="Z126" s="214"/>
      <c r="AA126" s="214"/>
    </row>
    <row r="127" spans="1:33" ht="16" x14ac:dyDescent="0.2">
      <c r="A127" s="206"/>
      <c r="B127"/>
      <c r="D127" s="187"/>
      <c r="E127" s="226"/>
      <c r="F127" s="189"/>
      <c r="G127" s="147"/>
      <c r="H127" s="147"/>
      <c r="I127" s="147"/>
      <c r="J127" s="35"/>
      <c r="P127" s="222"/>
      <c r="Q127" s="222"/>
      <c r="R127" s="222"/>
      <c r="S127" s="222"/>
      <c r="T127" s="222"/>
      <c r="U127" s="222"/>
      <c r="Z127" s="214"/>
      <c r="AA127" s="214"/>
    </row>
    <row r="128" spans="1:33" ht="16" x14ac:dyDescent="0.2">
      <c r="A128" s="206"/>
      <c r="B128"/>
      <c r="D128" s="187"/>
      <c r="E128" s="226"/>
      <c r="F128" s="189"/>
      <c r="G128" s="147"/>
      <c r="H128" s="147"/>
      <c r="I128" s="147"/>
      <c r="J128" s="35"/>
      <c r="P128" s="222"/>
      <c r="Q128" s="222"/>
      <c r="R128" s="222"/>
      <c r="S128" s="222"/>
      <c r="T128" s="222"/>
      <c r="U128" s="222"/>
      <c r="Z128" s="214"/>
      <c r="AA128" s="214"/>
    </row>
    <row r="129" spans="1:27" ht="16" x14ac:dyDescent="0.2">
      <c r="A129" s="206"/>
      <c r="B129"/>
      <c r="D129" s="187"/>
      <c r="E129" s="226"/>
      <c r="F129" s="189"/>
      <c r="G129" s="147"/>
      <c r="H129" s="147"/>
      <c r="I129" s="147"/>
      <c r="J129" s="35"/>
      <c r="P129" s="222"/>
      <c r="Q129" s="222"/>
      <c r="R129" s="222"/>
      <c r="S129" s="222"/>
      <c r="T129" s="222"/>
      <c r="U129" s="222"/>
      <c r="Z129" s="214"/>
      <c r="AA129" s="214"/>
    </row>
    <row r="130" spans="1:27" ht="16" x14ac:dyDescent="0.2">
      <c r="A130" s="206"/>
      <c r="B130"/>
      <c r="D130" s="187"/>
      <c r="E130" s="226"/>
      <c r="F130" s="189"/>
      <c r="G130" s="147"/>
      <c r="H130" s="147"/>
      <c r="I130" s="147"/>
      <c r="J130" s="35"/>
      <c r="P130" s="222"/>
      <c r="Q130" s="222"/>
      <c r="R130" s="222"/>
      <c r="S130" s="222"/>
      <c r="T130" s="222"/>
      <c r="U130" s="222"/>
      <c r="Z130" s="214"/>
      <c r="AA130" s="214"/>
    </row>
    <row r="131" spans="1:27" ht="16" x14ac:dyDescent="0.2">
      <c r="A131" s="206"/>
      <c r="B131"/>
      <c r="D131" s="187"/>
      <c r="E131" s="226"/>
      <c r="F131" s="189"/>
      <c r="G131" s="147"/>
      <c r="H131" s="147"/>
      <c r="I131" s="147"/>
      <c r="J131" s="35"/>
      <c r="P131" s="222"/>
      <c r="Q131" s="222"/>
      <c r="R131" s="222"/>
      <c r="S131" s="222"/>
      <c r="T131" s="222"/>
      <c r="U131" s="222"/>
      <c r="Z131" s="214"/>
      <c r="AA131" s="214"/>
    </row>
    <row r="132" spans="1:27" ht="16" x14ac:dyDescent="0.2">
      <c r="A132" s="206"/>
      <c r="B132"/>
      <c r="D132" s="187"/>
      <c r="E132" s="226"/>
      <c r="F132" s="189"/>
      <c r="G132" s="147"/>
      <c r="H132" s="147"/>
      <c r="I132" s="147"/>
      <c r="J132" s="35"/>
      <c r="P132" s="222"/>
      <c r="Q132" s="222"/>
      <c r="R132" s="222"/>
      <c r="S132" s="222"/>
      <c r="T132" s="222"/>
      <c r="U132" s="222"/>
      <c r="Z132" s="214"/>
      <c r="AA132" s="214"/>
    </row>
    <row r="133" spans="1:27" ht="16" x14ac:dyDescent="0.2">
      <c r="A133" s="206"/>
      <c r="B133"/>
      <c r="D133" s="187"/>
      <c r="E133" s="226"/>
      <c r="F133" s="189"/>
      <c r="G133" s="147"/>
      <c r="H133" s="147"/>
      <c r="I133" s="147"/>
      <c r="J133" s="35"/>
      <c r="P133" s="222"/>
      <c r="Q133" s="222"/>
      <c r="R133" s="222"/>
      <c r="S133" s="222"/>
      <c r="T133" s="222"/>
      <c r="U133" s="222"/>
      <c r="Z133" s="214"/>
      <c r="AA133" s="214"/>
    </row>
    <row r="134" spans="1:27" ht="16" x14ac:dyDescent="0.2">
      <c r="A134" s="206"/>
      <c r="B134"/>
      <c r="D134" s="187"/>
      <c r="E134" s="226"/>
      <c r="F134" s="189"/>
      <c r="G134" s="147"/>
      <c r="H134" s="147"/>
      <c r="I134" s="147"/>
      <c r="J134" s="35"/>
      <c r="P134" s="222"/>
      <c r="Q134" s="222"/>
      <c r="R134" s="222"/>
      <c r="S134" s="222"/>
      <c r="T134" s="222"/>
      <c r="U134" s="222"/>
      <c r="Z134" s="214"/>
      <c r="AA134" s="214"/>
    </row>
    <row r="135" spans="1:27" ht="16" x14ac:dyDescent="0.2">
      <c r="A135" s="206"/>
      <c r="B135"/>
      <c r="D135" s="187"/>
      <c r="E135" s="226"/>
      <c r="F135" s="189"/>
      <c r="G135" s="147"/>
      <c r="H135" s="147"/>
      <c r="I135" s="147"/>
      <c r="J135" s="35"/>
      <c r="P135" s="222"/>
      <c r="Q135" s="222"/>
      <c r="R135" s="222"/>
      <c r="S135" s="222"/>
      <c r="T135" s="222"/>
      <c r="U135" s="222"/>
      <c r="Z135" s="214"/>
      <c r="AA135" s="214"/>
    </row>
    <row r="136" spans="1:27" ht="16" x14ac:dyDescent="0.2">
      <c r="A136" s="206"/>
      <c r="B136"/>
      <c r="D136" s="187"/>
      <c r="E136" s="226"/>
      <c r="F136" s="189"/>
      <c r="G136" s="147"/>
      <c r="H136" s="147"/>
      <c r="I136" s="147"/>
      <c r="P136" s="222"/>
      <c r="Q136" s="222"/>
      <c r="R136" s="222"/>
      <c r="S136" s="222"/>
      <c r="T136" s="222"/>
      <c r="U136" s="222"/>
      <c r="Z136" s="214"/>
      <c r="AA136" s="214"/>
    </row>
    <row r="137" spans="1:27" ht="16" x14ac:dyDescent="0.2">
      <c r="A137" s="206"/>
      <c r="B137"/>
      <c r="D137" s="187"/>
      <c r="E137" s="226"/>
      <c r="F137" s="189"/>
      <c r="G137" s="147"/>
      <c r="H137" s="147"/>
      <c r="I137" s="147"/>
      <c r="P137" s="222"/>
      <c r="Q137" s="222"/>
      <c r="R137" s="222"/>
      <c r="S137" s="222"/>
      <c r="T137" s="222"/>
      <c r="U137" s="222"/>
      <c r="Z137" s="214"/>
      <c r="AA137" s="214"/>
    </row>
    <row r="138" spans="1:27" ht="16" x14ac:dyDescent="0.2">
      <c r="A138" s="206"/>
      <c r="B138"/>
      <c r="D138" s="187"/>
      <c r="E138" s="226"/>
      <c r="F138" s="189"/>
      <c r="G138" s="147"/>
      <c r="H138" s="147"/>
      <c r="I138" s="147"/>
      <c r="P138" s="222"/>
      <c r="Q138" s="222"/>
      <c r="R138" s="222"/>
      <c r="S138" s="222"/>
      <c r="T138" s="222"/>
      <c r="U138" s="222"/>
      <c r="Z138" s="214"/>
      <c r="AA138" s="214"/>
    </row>
    <row r="139" spans="1:27" ht="16" x14ac:dyDescent="0.2">
      <c r="A139" s="206"/>
      <c r="B139"/>
      <c r="D139" s="187"/>
      <c r="E139" s="226"/>
      <c r="F139" s="189"/>
      <c r="G139" s="147"/>
      <c r="H139" s="147"/>
      <c r="I139" s="147"/>
      <c r="P139" s="222"/>
      <c r="Q139" s="222"/>
      <c r="R139" s="222"/>
      <c r="S139" s="222"/>
      <c r="T139" s="222"/>
      <c r="U139" s="222"/>
      <c r="Z139" s="214"/>
      <c r="AA139" s="214"/>
    </row>
    <row r="140" spans="1:27" ht="16" x14ac:dyDescent="0.2">
      <c r="A140" s="206"/>
      <c r="B140"/>
      <c r="D140" s="187"/>
      <c r="E140" s="226"/>
      <c r="F140" s="189"/>
      <c r="G140" s="147"/>
      <c r="H140" s="147"/>
      <c r="I140" s="147"/>
      <c r="P140" s="222"/>
      <c r="Q140" s="222"/>
      <c r="R140" s="222"/>
      <c r="S140" s="222"/>
      <c r="T140" s="222"/>
      <c r="U140" s="222"/>
      <c r="Z140" s="214"/>
      <c r="AA140" s="214"/>
    </row>
    <row r="141" spans="1:27" ht="16" x14ac:dyDescent="0.2">
      <c r="A141" s="206"/>
      <c r="B141"/>
      <c r="D141" s="187"/>
      <c r="E141" s="226"/>
      <c r="F141" s="189"/>
      <c r="G141" s="147"/>
      <c r="H141" s="147"/>
      <c r="I141" s="147"/>
      <c r="P141" s="222"/>
      <c r="Q141" s="222"/>
      <c r="R141" s="222"/>
      <c r="S141" s="222"/>
      <c r="T141" s="222"/>
      <c r="U141" s="222"/>
      <c r="Z141" s="214"/>
      <c r="AA141" s="214"/>
    </row>
    <row r="142" spans="1:27" ht="16" x14ac:dyDescent="0.2">
      <c r="A142" s="206"/>
      <c r="B142"/>
      <c r="D142" s="187"/>
      <c r="E142" s="226"/>
      <c r="F142" s="189"/>
      <c r="G142" s="147"/>
      <c r="H142" s="147"/>
      <c r="I142" s="147"/>
      <c r="P142" s="222"/>
      <c r="Q142" s="222"/>
      <c r="R142" s="222"/>
      <c r="S142" s="222"/>
      <c r="T142" s="222"/>
      <c r="U142" s="222"/>
      <c r="Z142" s="214"/>
      <c r="AA142" s="214"/>
    </row>
    <row r="143" spans="1:27" ht="16" x14ac:dyDescent="0.2">
      <c r="A143" s="206"/>
      <c r="B143"/>
      <c r="D143" s="187"/>
      <c r="E143" s="226"/>
      <c r="F143" s="189"/>
      <c r="G143" s="147"/>
      <c r="H143" s="147"/>
      <c r="I143" s="147"/>
      <c r="P143" s="222"/>
      <c r="Q143" s="222"/>
      <c r="R143" s="222"/>
      <c r="S143" s="222"/>
      <c r="T143" s="222"/>
      <c r="U143" s="222"/>
      <c r="Z143" s="214"/>
      <c r="AA143" s="214"/>
    </row>
    <row r="144" spans="1:27" ht="16" x14ac:dyDescent="0.2">
      <c r="A144" s="206"/>
      <c r="B144"/>
      <c r="D144" s="187"/>
      <c r="E144" s="226"/>
      <c r="F144" s="189"/>
      <c r="G144" s="147"/>
      <c r="H144" s="147"/>
      <c r="I144" s="147"/>
      <c r="P144" s="222"/>
      <c r="Q144" s="222"/>
      <c r="R144" s="222"/>
      <c r="S144" s="222"/>
      <c r="T144" s="222"/>
      <c r="U144" s="222"/>
      <c r="Z144" s="214"/>
      <c r="AA144" s="214"/>
    </row>
    <row r="145" spans="1:27" ht="16" x14ac:dyDescent="0.2">
      <c r="A145" s="206"/>
      <c r="B145"/>
      <c r="D145" s="187"/>
      <c r="E145" s="226"/>
      <c r="F145" s="189"/>
      <c r="G145" s="147"/>
      <c r="H145" s="147"/>
      <c r="I145" s="147"/>
      <c r="P145" s="222"/>
      <c r="Q145" s="222"/>
      <c r="R145" s="222"/>
      <c r="S145" s="222"/>
      <c r="T145" s="222"/>
      <c r="U145" s="222"/>
      <c r="Z145" s="214"/>
      <c r="AA145" s="214"/>
    </row>
    <row r="146" spans="1:27" ht="16" x14ac:dyDescent="0.2">
      <c r="A146" s="206"/>
      <c r="B146"/>
      <c r="D146" s="187"/>
      <c r="E146" s="226"/>
      <c r="F146" s="189"/>
      <c r="G146" s="147"/>
      <c r="H146" s="147"/>
      <c r="I146" s="147"/>
      <c r="P146" s="222"/>
      <c r="Q146" s="222"/>
      <c r="R146" s="222"/>
      <c r="S146" s="222"/>
      <c r="T146" s="222"/>
      <c r="U146" s="222"/>
      <c r="Z146" s="214"/>
      <c r="AA146" s="214"/>
    </row>
    <row r="147" spans="1:27" ht="16" x14ac:dyDescent="0.2">
      <c r="A147" s="206"/>
      <c r="B147"/>
      <c r="D147" s="187"/>
      <c r="E147" s="226"/>
      <c r="F147" s="189"/>
      <c r="G147" s="147"/>
      <c r="H147" s="147"/>
      <c r="I147" s="147"/>
      <c r="P147" s="222"/>
      <c r="Q147" s="222"/>
      <c r="R147" s="222"/>
      <c r="S147" s="222"/>
      <c r="T147" s="222"/>
      <c r="U147" s="222"/>
      <c r="Z147" s="214"/>
      <c r="AA147" s="214"/>
    </row>
    <row r="148" spans="1:27" ht="16" x14ac:dyDescent="0.2">
      <c r="A148" s="206"/>
      <c r="B148"/>
      <c r="D148" s="187"/>
      <c r="E148" s="226"/>
      <c r="F148" s="189"/>
      <c r="G148" s="147"/>
      <c r="H148" s="147"/>
      <c r="I148" s="147"/>
      <c r="P148" s="222"/>
      <c r="Q148" s="222"/>
      <c r="R148" s="222"/>
      <c r="S148" s="222"/>
      <c r="T148" s="222"/>
      <c r="U148" s="222"/>
      <c r="Z148" s="214"/>
      <c r="AA148" s="214"/>
    </row>
    <row r="149" spans="1:27" ht="16" x14ac:dyDescent="0.2">
      <c r="A149" s="206"/>
      <c r="B149"/>
      <c r="D149" s="187"/>
      <c r="E149" s="226"/>
      <c r="F149" s="189"/>
      <c r="G149" s="147"/>
      <c r="H149" s="147"/>
      <c r="I149" s="147"/>
      <c r="P149" s="222"/>
      <c r="Q149" s="222"/>
      <c r="R149" s="222"/>
      <c r="S149" s="222"/>
      <c r="T149" s="222"/>
      <c r="U149" s="222"/>
      <c r="Z149" s="214"/>
      <c r="AA149" s="214"/>
    </row>
    <row r="150" spans="1:27" ht="16" x14ac:dyDescent="0.2">
      <c r="A150" s="206"/>
      <c r="B150"/>
      <c r="D150" s="187"/>
      <c r="E150" s="226"/>
      <c r="F150" s="189"/>
      <c r="G150" s="147"/>
      <c r="H150" s="147"/>
      <c r="I150" s="147"/>
      <c r="P150" s="222"/>
      <c r="Q150" s="222"/>
      <c r="R150" s="222"/>
      <c r="S150" s="222"/>
      <c r="T150" s="222"/>
      <c r="U150" s="222"/>
      <c r="Z150" s="214"/>
      <c r="AA150" s="214"/>
    </row>
    <row r="151" spans="1:27" ht="16" x14ac:dyDescent="0.2">
      <c r="A151" s="206"/>
      <c r="B151"/>
      <c r="D151" s="187"/>
      <c r="E151" s="226"/>
      <c r="F151" s="189"/>
      <c r="G151" s="147"/>
      <c r="H151" s="147"/>
      <c r="I151" s="147"/>
      <c r="P151" s="222"/>
      <c r="Q151" s="222"/>
      <c r="R151" s="222"/>
      <c r="S151" s="222"/>
      <c r="T151" s="222"/>
      <c r="U151" s="222"/>
      <c r="Z151" s="214"/>
      <c r="AA151" s="214"/>
    </row>
    <row r="152" spans="1:27" ht="16" x14ac:dyDescent="0.2">
      <c r="A152" s="206"/>
      <c r="B152"/>
      <c r="D152" s="187"/>
      <c r="E152" s="226"/>
      <c r="F152" s="189"/>
      <c r="G152" s="147"/>
      <c r="H152" s="147"/>
      <c r="I152" s="147"/>
      <c r="P152" s="222"/>
      <c r="Q152" s="222"/>
      <c r="R152" s="222"/>
      <c r="S152" s="222"/>
      <c r="T152" s="222"/>
      <c r="U152" s="222"/>
      <c r="Z152" s="214"/>
      <c r="AA152" s="214"/>
    </row>
    <row r="153" spans="1:27" ht="16" x14ac:dyDescent="0.2">
      <c r="A153" s="206"/>
      <c r="B153"/>
      <c r="D153" s="187"/>
      <c r="E153" s="226"/>
      <c r="F153" s="189"/>
      <c r="G153" s="147"/>
      <c r="H153" s="147"/>
      <c r="I153" s="147"/>
      <c r="P153" s="222"/>
      <c r="Q153" s="222"/>
      <c r="R153" s="222"/>
      <c r="S153" s="222"/>
      <c r="T153" s="222"/>
      <c r="U153" s="222"/>
      <c r="Z153" s="214"/>
      <c r="AA153" s="214"/>
    </row>
    <row r="154" spans="1:27" ht="16" x14ac:dyDescent="0.2">
      <c r="A154" s="206"/>
      <c r="B154"/>
      <c r="D154" s="187"/>
      <c r="E154" s="226"/>
      <c r="F154" s="189"/>
      <c r="G154" s="147"/>
      <c r="H154" s="147"/>
      <c r="I154" s="147"/>
      <c r="P154" s="222"/>
      <c r="Q154" s="222"/>
      <c r="R154" s="222"/>
      <c r="S154" s="222"/>
      <c r="T154" s="222"/>
      <c r="U154" s="222"/>
      <c r="Z154" s="214"/>
      <c r="AA154" s="214"/>
    </row>
    <row r="155" spans="1:27" ht="16" x14ac:dyDescent="0.2">
      <c r="A155" s="206"/>
      <c r="B155"/>
      <c r="D155" s="187"/>
      <c r="E155" s="226"/>
      <c r="F155" s="189"/>
      <c r="G155" s="147"/>
      <c r="H155" s="147"/>
      <c r="I155" s="147"/>
      <c r="P155" s="222"/>
      <c r="Q155" s="222"/>
      <c r="R155" s="222"/>
      <c r="S155" s="222"/>
      <c r="T155" s="222"/>
      <c r="U155" s="222"/>
      <c r="Z155" s="214"/>
      <c r="AA155" s="214"/>
    </row>
    <row r="156" spans="1:27" x14ac:dyDescent="0.2">
      <c r="A156" s="206"/>
      <c r="B156"/>
      <c r="D156" s="187"/>
      <c r="E156" s="188"/>
      <c r="F156" s="20"/>
      <c r="G156"/>
      <c r="H156"/>
      <c r="I156"/>
      <c r="P156" s="222"/>
      <c r="Q156" s="222"/>
      <c r="R156" s="222"/>
      <c r="S156" s="222"/>
      <c r="T156" s="222"/>
      <c r="U156" s="222"/>
      <c r="Z156" s="214"/>
      <c r="AA156" s="214"/>
    </row>
    <row r="157" spans="1:27" x14ac:dyDescent="0.2">
      <c r="A157" s="206"/>
      <c r="B157"/>
      <c r="D157" s="187"/>
      <c r="E157" s="188"/>
      <c r="F157" s="20"/>
      <c r="G157"/>
      <c r="H157"/>
      <c r="I157"/>
      <c r="P157" s="222"/>
      <c r="Q157" s="222"/>
      <c r="R157" s="222"/>
      <c r="S157" s="222"/>
      <c r="T157" s="222"/>
      <c r="U157" s="222"/>
      <c r="Z157" s="214"/>
      <c r="AA157" s="214"/>
    </row>
    <row r="158" spans="1:27" x14ac:dyDescent="0.2">
      <c r="A158" s="206"/>
      <c r="B158"/>
      <c r="D158" s="187"/>
      <c r="E158" s="188"/>
      <c r="F158" s="20"/>
      <c r="G158"/>
      <c r="H158"/>
      <c r="I158"/>
      <c r="P158" s="222"/>
      <c r="Q158" s="222"/>
      <c r="R158" s="222"/>
      <c r="S158" s="222"/>
      <c r="T158" s="222"/>
      <c r="U158" s="222"/>
      <c r="Z158" s="214"/>
      <c r="AA158" s="214"/>
    </row>
    <row r="159" spans="1:27" x14ac:dyDescent="0.2">
      <c r="A159" s="206"/>
      <c r="B159"/>
      <c r="D159" s="187"/>
      <c r="E159" s="188"/>
      <c r="F159" s="20"/>
      <c r="G159"/>
      <c r="H159"/>
      <c r="I159"/>
      <c r="P159" s="222"/>
      <c r="Q159" s="222"/>
      <c r="R159" s="222"/>
      <c r="S159" s="222"/>
      <c r="T159" s="222"/>
      <c r="U159" s="222"/>
      <c r="Z159" s="214"/>
      <c r="AA159" s="214"/>
    </row>
    <row r="160" spans="1:27" x14ac:dyDescent="0.2">
      <c r="A160" s="206"/>
      <c r="B160"/>
      <c r="D160" s="187"/>
      <c r="E160" s="188"/>
      <c r="F160" s="20"/>
      <c r="G160"/>
      <c r="H160"/>
      <c r="I160"/>
      <c r="P160" s="222"/>
      <c r="Q160" s="222"/>
      <c r="R160" s="222"/>
      <c r="S160" s="222"/>
      <c r="T160" s="222"/>
      <c r="U160" s="222"/>
      <c r="Z160" s="214"/>
      <c r="AA160" s="214"/>
    </row>
    <row r="161" spans="1:27" x14ac:dyDescent="0.2">
      <c r="A161" s="206"/>
      <c r="B161"/>
      <c r="D161" s="187"/>
      <c r="E161" s="188"/>
      <c r="F161" s="20"/>
      <c r="G161"/>
      <c r="H161"/>
      <c r="I161"/>
      <c r="P161" s="222"/>
      <c r="Q161" s="222"/>
      <c r="R161" s="222"/>
      <c r="S161" s="222"/>
      <c r="T161" s="222"/>
      <c r="U161" s="222"/>
      <c r="Z161" s="214"/>
      <c r="AA161" s="214"/>
    </row>
    <row r="162" spans="1:27" x14ac:dyDescent="0.2">
      <c r="A162" s="206"/>
      <c r="B162"/>
      <c r="D162" s="187"/>
      <c r="E162" s="188"/>
      <c r="F162" s="20"/>
      <c r="G162"/>
      <c r="H162"/>
      <c r="I162"/>
      <c r="P162" s="222"/>
      <c r="Q162" s="222"/>
      <c r="R162" s="222"/>
      <c r="S162" s="222"/>
      <c r="T162" s="222"/>
      <c r="U162" s="222"/>
      <c r="Z162" s="214"/>
      <c r="AA162" s="214"/>
    </row>
    <row r="163" spans="1:27" x14ac:dyDescent="0.2">
      <c r="A163" s="206"/>
      <c r="B163"/>
      <c r="D163" s="187"/>
      <c r="E163" s="188"/>
      <c r="F163" s="20"/>
      <c r="G163"/>
      <c r="H163"/>
      <c r="I163"/>
      <c r="P163" s="222"/>
      <c r="Q163" s="222"/>
      <c r="R163" s="222"/>
      <c r="S163" s="222"/>
      <c r="T163" s="222"/>
      <c r="U163" s="222"/>
      <c r="Z163" s="214"/>
      <c r="AA163" s="214"/>
    </row>
    <row r="164" spans="1:27" x14ac:dyDescent="0.2">
      <c r="A164" s="206"/>
      <c r="B164"/>
      <c r="D164" s="187"/>
      <c r="E164" s="188"/>
      <c r="F164" s="20"/>
      <c r="G164"/>
      <c r="H164"/>
      <c r="I164"/>
      <c r="P164" s="222"/>
      <c r="Q164" s="222"/>
      <c r="R164" s="222"/>
      <c r="S164" s="222"/>
      <c r="T164" s="222"/>
      <c r="U164" s="222"/>
      <c r="Z164" s="214"/>
      <c r="AA164" s="214"/>
    </row>
    <row r="165" spans="1:27" x14ac:dyDescent="0.2">
      <c r="A165" s="206"/>
      <c r="B165"/>
      <c r="D165" s="187"/>
      <c r="E165" s="188"/>
      <c r="F165" s="20"/>
      <c r="G165"/>
      <c r="H165"/>
      <c r="I165"/>
      <c r="P165" s="222"/>
      <c r="Q165" s="222"/>
      <c r="R165" s="222"/>
      <c r="S165" s="222"/>
      <c r="T165" s="222"/>
      <c r="U165" s="222"/>
      <c r="Z165" s="214"/>
      <c r="AA165" s="214"/>
    </row>
    <row r="166" spans="1:27" x14ac:dyDescent="0.2">
      <c r="A166" s="206"/>
      <c r="B166"/>
      <c r="D166" s="187"/>
      <c r="E166" s="188"/>
      <c r="F166" s="20"/>
      <c r="G166"/>
      <c r="H166"/>
      <c r="I166"/>
      <c r="P166" s="222"/>
      <c r="Q166" s="222"/>
      <c r="R166" s="222"/>
      <c r="S166" s="222"/>
      <c r="T166" s="222"/>
      <c r="U166" s="222"/>
      <c r="Z166" s="214"/>
      <c r="AA166" s="214"/>
    </row>
    <row r="167" spans="1:27" x14ac:dyDescent="0.2">
      <c r="A167" s="206"/>
      <c r="B167"/>
      <c r="D167" s="187"/>
      <c r="E167" s="188"/>
      <c r="F167" s="20"/>
      <c r="G167"/>
      <c r="H167"/>
      <c r="I167"/>
      <c r="P167" s="222"/>
      <c r="Q167" s="222"/>
      <c r="R167" s="222"/>
      <c r="S167" s="222"/>
      <c r="T167" s="222"/>
      <c r="U167" s="222"/>
      <c r="Z167" s="214"/>
      <c r="AA167" s="214"/>
    </row>
    <row r="168" spans="1:27" x14ac:dyDescent="0.2">
      <c r="A168" s="206"/>
      <c r="B168"/>
      <c r="D168" s="187"/>
      <c r="E168" s="188"/>
      <c r="F168" s="20"/>
      <c r="G168"/>
      <c r="H168"/>
      <c r="I168"/>
      <c r="P168" s="222"/>
      <c r="Q168" s="222"/>
      <c r="R168" s="222"/>
      <c r="S168" s="222"/>
      <c r="T168" s="222"/>
      <c r="U168" s="222"/>
      <c r="Z168" s="214"/>
      <c r="AA168" s="214"/>
    </row>
    <row r="169" spans="1:27" x14ac:dyDescent="0.2">
      <c r="A169" s="206"/>
      <c r="B169"/>
      <c r="D169" s="187"/>
      <c r="E169" s="188"/>
      <c r="F169" s="20"/>
      <c r="G169"/>
      <c r="H169"/>
      <c r="I169"/>
      <c r="P169" s="222"/>
      <c r="Q169" s="222"/>
      <c r="R169" s="222"/>
      <c r="S169" s="222"/>
      <c r="T169" s="222"/>
      <c r="U169" s="222"/>
      <c r="Z169" s="214"/>
      <c r="AA169" s="214"/>
    </row>
    <row r="170" spans="1:27" x14ac:dyDescent="0.2">
      <c r="A170" s="206"/>
      <c r="B170"/>
      <c r="D170" s="187"/>
      <c r="E170" s="188"/>
      <c r="F170" s="20"/>
      <c r="G170"/>
      <c r="H170"/>
      <c r="I170"/>
      <c r="P170" s="222"/>
      <c r="Q170" s="222"/>
      <c r="R170" s="222"/>
      <c r="S170" s="222"/>
      <c r="T170" s="222"/>
      <c r="U170" s="222"/>
      <c r="Z170" s="214"/>
      <c r="AA170" s="214"/>
    </row>
    <row r="171" spans="1:27" x14ac:dyDescent="0.2">
      <c r="A171" s="206"/>
      <c r="B171"/>
      <c r="D171" s="187"/>
      <c r="E171" s="188"/>
      <c r="F171" s="20"/>
      <c r="G171"/>
      <c r="H171"/>
      <c r="I171"/>
      <c r="Z171" s="214"/>
      <c r="AA171" s="214"/>
    </row>
    <row r="172" spans="1:27" x14ac:dyDescent="0.2">
      <c r="A172" s="206"/>
      <c r="B172"/>
      <c r="D172" s="187"/>
      <c r="E172" s="188"/>
      <c r="F172" s="20"/>
      <c r="G172"/>
      <c r="H172"/>
      <c r="I172"/>
      <c r="Z172" s="214"/>
      <c r="AA172" s="214"/>
    </row>
    <row r="173" spans="1:27" x14ac:dyDescent="0.2">
      <c r="A173" s="206"/>
      <c r="B173"/>
      <c r="D173" s="187"/>
      <c r="E173" s="188"/>
      <c r="F173" s="20"/>
      <c r="G173"/>
      <c r="H173"/>
      <c r="I173"/>
      <c r="Z173" s="214"/>
      <c r="AA173" s="214"/>
    </row>
    <row r="174" spans="1:27" x14ac:dyDescent="0.2">
      <c r="A174" s="206"/>
      <c r="B174"/>
      <c r="D174" s="187"/>
      <c r="E174" s="188"/>
      <c r="F174" s="20"/>
      <c r="G174"/>
      <c r="H174"/>
      <c r="I174"/>
      <c r="Z174" s="214"/>
      <c r="AA174" s="214"/>
    </row>
    <row r="175" spans="1:27" x14ac:dyDescent="0.2">
      <c r="A175" s="206"/>
      <c r="B175"/>
      <c r="D175" s="187"/>
      <c r="E175" s="188"/>
      <c r="F175" s="20"/>
      <c r="G175"/>
      <c r="H175"/>
      <c r="I175"/>
      <c r="Z175" s="214"/>
      <c r="AA175" s="214"/>
    </row>
    <row r="176" spans="1:27" x14ac:dyDescent="0.2">
      <c r="A176" s="206"/>
      <c r="B176"/>
      <c r="D176" s="187"/>
      <c r="E176" s="188"/>
      <c r="F176" s="20"/>
      <c r="G176"/>
      <c r="H176"/>
      <c r="I176"/>
      <c r="Z176" s="214"/>
      <c r="AA176" s="214"/>
    </row>
    <row r="177" spans="1:27" x14ac:dyDescent="0.2">
      <c r="A177" s="206"/>
      <c r="B177"/>
      <c r="D177" s="187"/>
      <c r="E177" s="188"/>
      <c r="F177" s="20"/>
      <c r="G177"/>
      <c r="H177"/>
      <c r="I177"/>
      <c r="Z177" s="214"/>
      <c r="AA177" s="214"/>
    </row>
    <row r="178" spans="1:27" x14ac:dyDescent="0.2">
      <c r="A178" s="206"/>
      <c r="B178"/>
      <c r="D178" s="187"/>
      <c r="E178" s="188"/>
      <c r="F178" s="20"/>
      <c r="G178"/>
      <c r="H178"/>
      <c r="I178"/>
      <c r="Z178" s="214"/>
      <c r="AA178" s="214"/>
    </row>
    <row r="179" spans="1:27" x14ac:dyDescent="0.2">
      <c r="A179" s="206"/>
      <c r="B179"/>
      <c r="D179" s="187"/>
      <c r="E179" s="188"/>
      <c r="F179" s="20"/>
      <c r="G179"/>
      <c r="H179"/>
      <c r="I179"/>
      <c r="Z179" s="214"/>
      <c r="AA179" s="214"/>
    </row>
    <row r="180" spans="1:27" x14ac:dyDescent="0.2">
      <c r="A180" s="206"/>
      <c r="B180"/>
      <c r="D180" s="187"/>
      <c r="E180" s="188"/>
      <c r="F180" s="20"/>
      <c r="G180"/>
      <c r="H180"/>
      <c r="I180"/>
      <c r="Z180" s="214"/>
      <c r="AA180" s="214"/>
    </row>
    <row r="181" spans="1:27" x14ac:dyDescent="0.2">
      <c r="A181" s="206"/>
      <c r="B181"/>
      <c r="D181" s="187"/>
      <c r="E181" s="188"/>
      <c r="F181" s="20"/>
      <c r="G181"/>
      <c r="H181"/>
      <c r="I181"/>
      <c r="Z181" s="214"/>
      <c r="AA181" s="214"/>
    </row>
    <row r="182" spans="1:27" x14ac:dyDescent="0.2">
      <c r="A182" s="206"/>
      <c r="B182"/>
      <c r="D182" s="187"/>
      <c r="E182" s="188"/>
      <c r="F182" s="20"/>
      <c r="G182"/>
      <c r="H182"/>
      <c r="I182"/>
      <c r="Z182" s="214"/>
      <c r="AA182" s="214"/>
    </row>
    <row r="183" spans="1:27" x14ac:dyDescent="0.2">
      <c r="A183" s="206"/>
      <c r="B183"/>
      <c r="D183" s="187"/>
      <c r="E183" s="188"/>
      <c r="F183" s="20"/>
      <c r="G183"/>
      <c r="H183"/>
      <c r="I183"/>
      <c r="Z183" s="214"/>
      <c r="AA183" s="214"/>
    </row>
    <row r="184" spans="1:27" x14ac:dyDescent="0.2">
      <c r="A184" s="206"/>
      <c r="B184"/>
      <c r="D184" s="187"/>
      <c r="E184" s="188"/>
      <c r="F184" s="20"/>
      <c r="G184"/>
      <c r="H184"/>
      <c r="I184"/>
      <c r="Z184" s="214"/>
      <c r="AA184" s="214"/>
    </row>
    <row r="185" spans="1:27" x14ac:dyDescent="0.2">
      <c r="A185" s="206"/>
      <c r="B185"/>
      <c r="D185" s="187"/>
      <c r="E185" s="188"/>
      <c r="F185" s="20"/>
      <c r="G185"/>
      <c r="H185"/>
      <c r="I185"/>
      <c r="Z185" s="214"/>
      <c r="AA185" s="214"/>
    </row>
    <row r="186" spans="1:27" x14ac:dyDescent="0.2">
      <c r="A186" s="206"/>
      <c r="B186"/>
      <c r="D186" s="187"/>
      <c r="E186" s="188"/>
      <c r="F186" s="20"/>
      <c r="G186"/>
      <c r="H186"/>
      <c r="I186"/>
      <c r="Z186" s="214"/>
      <c r="AA186" s="214"/>
    </row>
    <row r="187" spans="1:27" x14ac:dyDescent="0.2">
      <c r="A187" s="206"/>
      <c r="B187"/>
      <c r="D187" s="187"/>
      <c r="E187" s="188"/>
      <c r="F187" s="20"/>
      <c r="G187"/>
      <c r="H187"/>
      <c r="I187"/>
      <c r="Z187" s="214"/>
      <c r="AA187" s="214"/>
    </row>
    <row r="188" spans="1:27" x14ac:dyDescent="0.2">
      <c r="A188" s="206"/>
      <c r="B188"/>
      <c r="D188" s="187"/>
      <c r="E188" s="188"/>
      <c r="F188" s="20"/>
      <c r="G188"/>
      <c r="H188"/>
      <c r="I188"/>
      <c r="Z188" s="214"/>
      <c r="AA188" s="214"/>
    </row>
    <row r="189" spans="1:27" x14ac:dyDescent="0.2">
      <c r="A189" s="206"/>
      <c r="B189"/>
      <c r="D189" s="187"/>
      <c r="E189" s="188"/>
      <c r="F189" s="20"/>
      <c r="G189"/>
      <c r="H189"/>
      <c r="I189"/>
      <c r="Z189" s="214"/>
      <c r="AA189" s="214"/>
    </row>
    <row r="190" spans="1:27" x14ac:dyDescent="0.2">
      <c r="A190" s="206"/>
      <c r="B190"/>
      <c r="D190" s="187"/>
      <c r="E190" s="188"/>
      <c r="F190" s="20"/>
      <c r="G190"/>
      <c r="H190"/>
      <c r="I190"/>
      <c r="Z190" s="214"/>
      <c r="AA190" s="214"/>
    </row>
    <row r="191" spans="1:27" x14ac:dyDescent="0.2">
      <c r="A191" s="206"/>
      <c r="B191"/>
      <c r="D191" s="187"/>
      <c r="E191" s="188"/>
      <c r="F191" s="20"/>
      <c r="G191"/>
      <c r="H191"/>
      <c r="I191"/>
      <c r="Z191" s="214"/>
      <c r="AA191" s="214"/>
    </row>
    <row r="192" spans="1:27" x14ac:dyDescent="0.2">
      <c r="A192" s="207"/>
      <c r="C192" s="207"/>
      <c r="D192" s="221"/>
      <c r="E192" s="223"/>
      <c r="Z192" s="214"/>
      <c r="AA192" s="214"/>
    </row>
    <row r="193" spans="1:27" x14ac:dyDescent="0.2">
      <c r="A193" s="207"/>
      <c r="C193" s="207"/>
      <c r="D193" s="221"/>
      <c r="E193" s="223"/>
      <c r="Z193" s="214"/>
      <c r="AA193" s="214"/>
    </row>
    <row r="194" spans="1:27" x14ac:dyDescent="0.2">
      <c r="A194" s="207"/>
      <c r="C194" s="207"/>
      <c r="D194" s="221"/>
      <c r="E194" s="223"/>
      <c r="Z194" s="214"/>
      <c r="AA194" s="214"/>
    </row>
    <row r="195" spans="1:27" x14ac:dyDescent="0.2">
      <c r="A195" s="207"/>
      <c r="C195" s="207"/>
      <c r="D195" s="221"/>
      <c r="E195" s="223"/>
      <c r="Z195" s="214"/>
      <c r="AA195" s="214"/>
    </row>
    <row r="196" spans="1:27" x14ac:dyDescent="0.2">
      <c r="A196" s="207"/>
      <c r="C196" s="207"/>
      <c r="D196" s="221"/>
      <c r="E196" s="223"/>
      <c r="Z196" s="214"/>
      <c r="AA196" s="214"/>
    </row>
    <row r="197" spans="1:27" x14ac:dyDescent="0.2">
      <c r="A197" s="207"/>
      <c r="C197" s="207"/>
      <c r="D197" s="221"/>
      <c r="E197" s="223"/>
      <c r="Z197" s="214"/>
      <c r="AA197" s="214"/>
    </row>
    <row r="198" spans="1:27" x14ac:dyDescent="0.2">
      <c r="A198" s="207"/>
      <c r="C198" s="207"/>
      <c r="D198" s="221"/>
      <c r="E198" s="223"/>
      <c r="Z198" s="214"/>
      <c r="AA198" s="214"/>
    </row>
    <row r="199" spans="1:27" x14ac:dyDescent="0.2">
      <c r="A199" s="207"/>
      <c r="C199" s="207"/>
      <c r="D199" s="221"/>
      <c r="E199" s="223"/>
      <c r="Z199" s="214"/>
      <c r="AA199" s="214"/>
    </row>
    <row r="200" spans="1:27" x14ac:dyDescent="0.2">
      <c r="A200" s="207"/>
      <c r="C200" s="207"/>
      <c r="D200" s="221"/>
      <c r="E200" s="223"/>
      <c r="Z200" s="214"/>
      <c r="AA200" s="214"/>
    </row>
    <row r="201" spans="1:27" x14ac:dyDescent="0.2">
      <c r="A201" s="207"/>
      <c r="C201" s="207"/>
      <c r="D201" s="221"/>
      <c r="E201" s="223"/>
      <c r="Z201" s="214"/>
      <c r="AA201" s="214"/>
    </row>
    <row r="202" spans="1:27" x14ac:dyDescent="0.2">
      <c r="A202" s="207"/>
      <c r="C202" s="207"/>
      <c r="D202" s="221"/>
      <c r="E202" s="223"/>
      <c r="Z202" s="214"/>
      <c r="AA202" s="214"/>
    </row>
    <row r="203" spans="1:27" x14ac:dyDescent="0.2">
      <c r="A203" s="207"/>
      <c r="C203" s="207"/>
      <c r="D203" s="221"/>
      <c r="E203" s="223"/>
      <c r="F203" s="35"/>
      <c r="G203" s="35"/>
      <c r="H203" s="35"/>
      <c r="I203" s="35"/>
      <c r="Z203" s="214"/>
      <c r="AA203" s="214"/>
    </row>
    <row r="204" spans="1:27" x14ac:dyDescent="0.2">
      <c r="A204" s="207"/>
      <c r="C204" s="207"/>
      <c r="D204" s="221"/>
      <c r="E204" s="223"/>
      <c r="F204" s="35"/>
      <c r="G204" s="35"/>
      <c r="H204" s="35"/>
      <c r="I204" s="35"/>
      <c r="Z204" s="214"/>
      <c r="AA204" s="214"/>
    </row>
    <row r="205" spans="1:27" x14ac:dyDescent="0.2">
      <c r="A205" s="207"/>
      <c r="C205" s="207"/>
      <c r="D205" s="221"/>
      <c r="E205" s="223"/>
      <c r="F205" s="35"/>
      <c r="G205" s="35"/>
      <c r="H205" s="35"/>
      <c r="I205" s="35"/>
      <c r="Z205" s="214"/>
      <c r="AA205" s="214"/>
    </row>
    <row r="206" spans="1:27" x14ac:dyDescent="0.2">
      <c r="A206" s="207"/>
      <c r="C206" s="207"/>
      <c r="D206" s="221"/>
      <c r="E206" s="223"/>
      <c r="F206" s="35"/>
      <c r="G206" s="35"/>
      <c r="H206" s="35"/>
      <c r="I206" s="35"/>
      <c r="Z206" s="214"/>
      <c r="AA206" s="214"/>
    </row>
    <row r="207" spans="1:27" x14ac:dyDescent="0.2">
      <c r="A207" s="207"/>
      <c r="C207" s="207"/>
      <c r="D207" s="221"/>
      <c r="E207" s="223"/>
      <c r="F207" s="35"/>
      <c r="G207" s="35"/>
      <c r="H207" s="35"/>
      <c r="I207" s="35"/>
      <c r="Z207" s="214"/>
      <c r="AA207" s="214"/>
    </row>
    <row r="208" spans="1:27" x14ac:dyDescent="0.2">
      <c r="A208" s="207"/>
      <c r="C208" s="207"/>
      <c r="D208" s="221"/>
      <c r="E208" s="223"/>
      <c r="F208" s="35"/>
      <c r="G208" s="35"/>
      <c r="H208" s="35"/>
      <c r="I208" s="35"/>
      <c r="Z208" s="214"/>
      <c r="AA208" s="214"/>
    </row>
    <row r="209" spans="1:27" x14ac:dyDescent="0.2">
      <c r="A209" s="207"/>
      <c r="C209" s="207"/>
      <c r="D209" s="221"/>
      <c r="E209" s="223"/>
      <c r="F209" s="35"/>
      <c r="G209" s="35"/>
      <c r="H209" s="35"/>
      <c r="I209" s="35"/>
      <c r="Z209" s="214"/>
      <c r="AA209" s="214"/>
    </row>
    <row r="210" spans="1:27" x14ac:dyDescent="0.2">
      <c r="A210" s="207"/>
      <c r="C210" s="207"/>
      <c r="D210" s="221"/>
      <c r="E210" s="223"/>
      <c r="F210" s="35"/>
      <c r="G210" s="35"/>
      <c r="H210" s="35"/>
      <c r="I210" s="35"/>
      <c r="Z210" s="214"/>
      <c r="AA210" s="214"/>
    </row>
    <row r="211" spans="1:27" x14ac:dyDescent="0.2">
      <c r="A211" s="207"/>
      <c r="C211" s="207"/>
      <c r="D211" s="221"/>
      <c r="E211" s="223"/>
      <c r="F211" s="35"/>
      <c r="G211" s="35"/>
      <c r="H211" s="35"/>
      <c r="I211" s="35"/>
      <c r="Z211" s="214"/>
      <c r="AA211" s="214"/>
    </row>
    <row r="212" spans="1:27" x14ac:dyDescent="0.2">
      <c r="Z212" s="214"/>
      <c r="AA212" s="214"/>
    </row>
  </sheetData>
  <sortState xmlns:xlrd2="http://schemas.microsoft.com/office/spreadsheetml/2017/richdata2" ref="A2:AG212">
    <sortCondition ref="R1:R212"/>
  </sortState>
  <phoneticPr fontId="5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F4DE-E311-5D49-A615-3AF9413026DA}">
  <dimension ref="A1:AE51"/>
  <sheetViews>
    <sheetView zoomScale="125" zoomScaleNormal="193" workbookViewId="0">
      <pane xSplit="2" topLeftCell="C1" activePane="topRight" state="frozen"/>
      <selection pane="topRight" activeCell="D8" sqref="D8"/>
    </sheetView>
  </sheetViews>
  <sheetFormatPr baseColWidth="10" defaultRowHeight="13" x14ac:dyDescent="0.15"/>
  <cols>
    <col min="1" max="3" width="10.83203125" style="24"/>
    <col min="4" max="12" width="10.83203125" style="29"/>
    <col min="13" max="13" width="10.83203125" style="24"/>
    <col min="14" max="14" width="11.5" style="24" bestFit="1" customWidth="1"/>
    <col min="15" max="16" width="10.83203125" style="24" customWidth="1"/>
    <col min="17" max="20" width="10.83203125" style="24"/>
    <col min="21" max="21" width="12.5" style="24" bestFit="1" customWidth="1"/>
    <col min="22" max="22" width="12.5" style="24" customWidth="1"/>
    <col min="23" max="16384" width="10.83203125" style="24"/>
  </cols>
  <sheetData>
    <row r="1" spans="1:31" ht="15.75" customHeight="1" x14ac:dyDescent="0.15">
      <c r="A1" s="91" t="s">
        <v>0</v>
      </c>
      <c r="B1" s="91" t="s">
        <v>402</v>
      </c>
      <c r="C1" s="91" t="s">
        <v>400</v>
      </c>
      <c r="D1" s="93" t="s">
        <v>81</v>
      </c>
      <c r="E1" s="93" t="s">
        <v>442</v>
      </c>
      <c r="F1" s="93" t="s">
        <v>583</v>
      </c>
      <c r="G1" s="93" t="s">
        <v>589</v>
      </c>
      <c r="H1" s="93" t="s">
        <v>450</v>
      </c>
      <c r="I1" s="144" t="s">
        <v>451</v>
      </c>
      <c r="J1" s="144" t="s">
        <v>630</v>
      </c>
      <c r="K1" s="93" t="s">
        <v>632</v>
      </c>
      <c r="L1" s="93" t="s">
        <v>633</v>
      </c>
      <c r="M1" s="93" t="s">
        <v>412</v>
      </c>
      <c r="N1" s="93" t="s">
        <v>449</v>
      </c>
      <c r="O1" s="91" t="s">
        <v>469</v>
      </c>
      <c r="P1" s="91" t="s">
        <v>448</v>
      </c>
      <c r="Q1" s="91" t="s">
        <v>28</v>
      </c>
      <c r="R1" s="91" t="s">
        <v>6</v>
      </c>
      <c r="S1" s="91" t="s">
        <v>5</v>
      </c>
      <c r="T1" s="91" t="s">
        <v>4</v>
      </c>
      <c r="U1" s="91" t="s">
        <v>441</v>
      </c>
      <c r="V1" s="91" t="s">
        <v>452</v>
      </c>
      <c r="W1" s="91" t="s">
        <v>440</v>
      </c>
      <c r="X1" s="91" t="s">
        <v>439</v>
      </c>
      <c r="Y1" s="91" t="s">
        <v>445</v>
      </c>
      <c r="Z1" s="91" t="s">
        <v>444</v>
      </c>
      <c r="AA1" s="91" t="s">
        <v>443</v>
      </c>
      <c r="AB1" s="24" t="s">
        <v>446</v>
      </c>
      <c r="AC1" s="91" t="s">
        <v>447</v>
      </c>
      <c r="AD1" s="91" t="s">
        <v>901</v>
      </c>
    </row>
    <row r="2" spans="1:31" x14ac:dyDescent="0.15">
      <c r="A2" s="24" t="s">
        <v>77</v>
      </c>
      <c r="B2" s="90" t="s">
        <v>84</v>
      </c>
      <c r="C2" s="24" t="s">
        <v>403</v>
      </c>
      <c r="D2" s="44" t="s">
        <v>83</v>
      </c>
      <c r="E2" s="44" t="s">
        <v>203</v>
      </c>
      <c r="F2" s="44" t="s">
        <v>581</v>
      </c>
      <c r="G2" s="44" t="s">
        <v>625</v>
      </c>
      <c r="H2" s="44" t="s">
        <v>640</v>
      </c>
      <c r="I2" s="44" t="s">
        <v>455</v>
      </c>
      <c r="J2" s="44" t="s">
        <v>613</v>
      </c>
      <c r="K2" s="44" t="s">
        <v>518</v>
      </c>
      <c r="L2" s="44" t="s">
        <v>736</v>
      </c>
      <c r="M2" s="26">
        <v>4572</v>
      </c>
      <c r="N2" s="26">
        <v>4572</v>
      </c>
      <c r="O2" s="27">
        <v>4674</v>
      </c>
      <c r="P2" s="27">
        <v>4674</v>
      </c>
      <c r="Q2" s="27">
        <v>1295</v>
      </c>
      <c r="R2" s="27">
        <v>1224.2</v>
      </c>
      <c r="S2" s="27">
        <v>1562.8</v>
      </c>
      <c r="T2" s="27">
        <v>3111.2</v>
      </c>
      <c r="U2" s="24">
        <f t="shared" ref="U2:U13" si="0">S2/R2</f>
        <v>1.2765887926809345</v>
      </c>
      <c r="V2" s="24">
        <f t="shared" ref="V2:V13" si="1">S2/Q2</f>
        <v>1.2067953667953668</v>
      </c>
      <c r="W2" s="24">
        <f t="shared" ref="W2:W41" si="2">R2/Q2</f>
        <v>0.94532818532818541</v>
      </c>
      <c r="X2" s="24">
        <f>R2/P2</f>
        <v>0.26191698759092857</v>
      </c>
      <c r="Y2" s="26">
        <v>1</v>
      </c>
      <c r="Z2" s="24">
        <v>0</v>
      </c>
      <c r="AA2" s="24">
        <f>SUM(Y2:Z2)</f>
        <v>1</v>
      </c>
      <c r="AB2" s="26">
        <v>1</v>
      </c>
      <c r="AC2" s="26">
        <v>0</v>
      </c>
      <c r="AD2" s="26">
        <v>1</v>
      </c>
      <c r="AE2" s="26"/>
    </row>
    <row r="3" spans="1:31" x14ac:dyDescent="0.15">
      <c r="A3" s="24" t="s">
        <v>77</v>
      </c>
      <c r="B3" s="90" t="s">
        <v>104</v>
      </c>
      <c r="C3" s="24" t="s">
        <v>403</v>
      </c>
      <c r="D3" s="44" t="s">
        <v>83</v>
      </c>
      <c r="E3" s="44" t="s">
        <v>203</v>
      </c>
      <c r="F3" s="44" t="s">
        <v>581</v>
      </c>
      <c r="G3" s="44" t="s">
        <v>625</v>
      </c>
      <c r="H3" s="44" t="s">
        <v>640</v>
      </c>
      <c r="I3" s="44" t="s">
        <v>455</v>
      </c>
      <c r="J3" s="44" t="s">
        <v>613</v>
      </c>
      <c r="K3" s="44" t="s">
        <v>518</v>
      </c>
      <c r="L3" s="44" t="s">
        <v>736</v>
      </c>
      <c r="M3" s="26">
        <v>4769.5</v>
      </c>
      <c r="N3" s="26">
        <v>4877</v>
      </c>
      <c r="O3" s="26">
        <v>4769.5</v>
      </c>
      <c r="P3" s="26">
        <f>S3+T3</f>
        <v>4769.5</v>
      </c>
      <c r="Q3" s="26">
        <v>1184.8</v>
      </c>
      <c r="R3" s="27">
        <v>1123</v>
      </c>
      <c r="S3" s="24">
        <v>1468</v>
      </c>
      <c r="T3" s="26">
        <f>2944+357.5</f>
        <v>3301.5</v>
      </c>
      <c r="U3" s="24">
        <f t="shared" si="0"/>
        <v>1.307212822796082</v>
      </c>
      <c r="V3" s="24">
        <f t="shared" si="1"/>
        <v>1.2390276839972991</v>
      </c>
      <c r="W3" s="24">
        <f t="shared" si="2"/>
        <v>0.94783929777177589</v>
      </c>
      <c r="X3" s="24">
        <f>R3/P3</f>
        <v>0.23545445015200756</v>
      </c>
      <c r="Y3" s="26">
        <v>1</v>
      </c>
      <c r="Z3" s="24">
        <v>0</v>
      </c>
      <c r="AA3" s="24">
        <v>1</v>
      </c>
      <c r="AB3" s="26">
        <v>1</v>
      </c>
      <c r="AC3" s="26">
        <v>0</v>
      </c>
      <c r="AD3" s="26">
        <v>1</v>
      </c>
      <c r="AE3" s="26"/>
    </row>
    <row r="4" spans="1:31" x14ac:dyDescent="0.15">
      <c r="A4" s="24" t="s">
        <v>77</v>
      </c>
      <c r="B4" s="90" t="s">
        <v>115</v>
      </c>
      <c r="C4" s="24" t="s">
        <v>403</v>
      </c>
      <c r="D4" s="44" t="s">
        <v>83</v>
      </c>
      <c r="E4" s="44" t="s">
        <v>203</v>
      </c>
      <c r="F4" s="44" t="s">
        <v>581</v>
      </c>
      <c r="G4" s="44" t="s">
        <v>625</v>
      </c>
      <c r="H4" s="44" t="s">
        <v>640</v>
      </c>
      <c r="I4" s="44" t="s">
        <v>455</v>
      </c>
      <c r="J4" s="44" t="s">
        <v>613</v>
      </c>
      <c r="K4" s="44" t="s">
        <v>518</v>
      </c>
      <c r="L4" s="44" t="s">
        <v>736</v>
      </c>
      <c r="M4" s="27">
        <f>1586.3+3352.01</f>
        <v>4938.3100000000004</v>
      </c>
      <c r="N4" s="26">
        <v>4700</v>
      </c>
      <c r="O4" s="27">
        <v>4938.3100000000004</v>
      </c>
      <c r="P4" s="27">
        <v>4938.3100000000004</v>
      </c>
      <c r="Q4" s="27">
        <v>1301.8</v>
      </c>
      <c r="R4" s="27">
        <v>1200.2</v>
      </c>
      <c r="S4" s="27">
        <v>1586.3</v>
      </c>
      <c r="T4" s="27">
        <f>P4-S4</f>
        <v>3352.01</v>
      </c>
      <c r="U4" s="24">
        <f t="shared" si="0"/>
        <v>1.3216963839360105</v>
      </c>
      <c r="V4" s="24">
        <f t="shared" si="1"/>
        <v>1.2185435550775849</v>
      </c>
      <c r="W4" s="24">
        <f t="shared" si="2"/>
        <v>0.92195421723767101</v>
      </c>
      <c r="X4" s="24">
        <f>R4/P4</f>
        <v>0.24303861037480431</v>
      </c>
      <c r="Y4" s="26">
        <v>0</v>
      </c>
      <c r="Z4" s="24">
        <v>1</v>
      </c>
      <c r="AA4" s="24">
        <f>SUM(Y4:Z4)</f>
        <v>1</v>
      </c>
      <c r="AB4" s="26">
        <v>1</v>
      </c>
      <c r="AC4" s="26">
        <v>0</v>
      </c>
      <c r="AD4" s="26">
        <v>1</v>
      </c>
      <c r="AE4" s="26"/>
    </row>
    <row r="5" spans="1:31" x14ac:dyDescent="0.15">
      <c r="A5" s="24" t="s">
        <v>77</v>
      </c>
      <c r="B5" s="90" t="s">
        <v>670</v>
      </c>
      <c r="C5" s="24" t="s">
        <v>403</v>
      </c>
      <c r="D5" s="29" t="s">
        <v>83</v>
      </c>
      <c r="E5" s="29" t="s">
        <v>203</v>
      </c>
      <c r="F5" s="29" t="s">
        <v>581</v>
      </c>
      <c r="G5" s="44" t="s">
        <v>625</v>
      </c>
      <c r="H5" s="29" t="s">
        <v>640</v>
      </c>
      <c r="I5" s="44" t="s">
        <v>455</v>
      </c>
      <c r="J5" s="29" t="s">
        <v>613</v>
      </c>
      <c r="K5" s="29" t="s">
        <v>518</v>
      </c>
      <c r="L5" s="44" t="s">
        <v>736</v>
      </c>
      <c r="M5" s="24">
        <f>2213.6+2992.3</f>
        <v>5205.8999999999996</v>
      </c>
      <c r="N5" s="24">
        <v>5181.6000000000004</v>
      </c>
      <c r="O5" s="24">
        <f>2213.6+2992.3</f>
        <v>5205.8999999999996</v>
      </c>
      <c r="P5" s="24">
        <f>2213.6+2992.3</f>
        <v>5205.8999999999996</v>
      </c>
      <c r="Q5" s="27">
        <v>1600.17</v>
      </c>
      <c r="R5" s="27">
        <v>1433.5</v>
      </c>
      <c r="S5" s="27">
        <v>1831.5</v>
      </c>
      <c r="T5" s="24">
        <f>2213.6+2992.3</f>
        <v>5205.8999999999996</v>
      </c>
      <c r="U5" s="24">
        <f t="shared" si="0"/>
        <v>1.2776421346355076</v>
      </c>
      <c r="V5" s="24">
        <f t="shared" si="1"/>
        <v>1.1445658898742008</v>
      </c>
      <c r="W5" s="24">
        <f t="shared" si="2"/>
        <v>0.89584231675384485</v>
      </c>
      <c r="X5" s="24">
        <f>R5/P5</f>
        <v>0.27536064849497688</v>
      </c>
      <c r="Y5" s="26">
        <v>1</v>
      </c>
      <c r="Z5" s="24">
        <v>0</v>
      </c>
      <c r="AA5" s="24">
        <f>SUM(Y5:Z5)</f>
        <v>1</v>
      </c>
      <c r="AB5" s="26">
        <v>1</v>
      </c>
      <c r="AC5" s="26">
        <v>1</v>
      </c>
      <c r="AD5" s="26">
        <v>1</v>
      </c>
      <c r="AE5" s="26"/>
    </row>
    <row r="6" spans="1:31" x14ac:dyDescent="0.15">
      <c r="A6" s="24" t="s">
        <v>77</v>
      </c>
      <c r="B6" s="90" t="s">
        <v>392</v>
      </c>
      <c r="C6" s="24" t="s">
        <v>403</v>
      </c>
      <c r="D6" s="44" t="s">
        <v>83</v>
      </c>
      <c r="E6" s="44" t="s">
        <v>203</v>
      </c>
      <c r="F6" s="44" t="s">
        <v>581</v>
      </c>
      <c r="G6" s="44" t="s">
        <v>625</v>
      </c>
      <c r="H6" s="44" t="s">
        <v>640</v>
      </c>
      <c r="I6" s="44" t="s">
        <v>455</v>
      </c>
      <c r="J6" s="44" t="s">
        <v>613</v>
      </c>
      <c r="K6" s="44" t="s">
        <v>518</v>
      </c>
      <c r="L6" s="44" t="s">
        <v>736</v>
      </c>
      <c r="M6" s="26">
        <v>4000</v>
      </c>
      <c r="N6" s="26">
        <v>4000</v>
      </c>
      <c r="O6" s="27"/>
      <c r="P6" s="27"/>
      <c r="Q6" s="27">
        <v>471</v>
      </c>
      <c r="R6" s="27">
        <v>428.1</v>
      </c>
      <c r="S6" s="27">
        <v>558.03</v>
      </c>
      <c r="T6" s="27"/>
      <c r="U6" s="24">
        <f t="shared" si="0"/>
        <v>1.3035038542396635</v>
      </c>
      <c r="V6" s="24">
        <f t="shared" si="1"/>
        <v>1.1847770700636941</v>
      </c>
      <c r="W6" s="24">
        <f t="shared" si="2"/>
        <v>0.90891719745222932</v>
      </c>
      <c r="Y6" s="26">
        <v>0</v>
      </c>
      <c r="Z6" s="24">
        <v>0</v>
      </c>
      <c r="AA6" s="24">
        <f>SUM(Y6:Z6)</f>
        <v>0</v>
      </c>
      <c r="AB6" s="26">
        <v>1</v>
      </c>
      <c r="AC6" s="26">
        <v>0</v>
      </c>
      <c r="AD6" s="26">
        <v>0</v>
      </c>
      <c r="AE6" s="26"/>
    </row>
    <row r="7" spans="1:31" ht="13" customHeight="1" x14ac:dyDescent="0.15">
      <c r="A7" s="24" t="s">
        <v>77</v>
      </c>
      <c r="B7" s="90" t="s">
        <v>618</v>
      </c>
      <c r="C7" s="24" t="s">
        <v>403</v>
      </c>
      <c r="D7" s="29" t="s">
        <v>96</v>
      </c>
      <c r="E7" s="44" t="s">
        <v>374</v>
      </c>
      <c r="F7" s="29" t="s">
        <v>580</v>
      </c>
      <c r="G7" s="44" t="s">
        <v>625</v>
      </c>
      <c r="H7" s="44" t="s">
        <v>640</v>
      </c>
      <c r="I7" s="44" t="s">
        <v>454</v>
      </c>
      <c r="J7" s="29" t="s">
        <v>614</v>
      </c>
      <c r="K7" s="44" t="s">
        <v>582</v>
      </c>
      <c r="L7" s="44" t="s">
        <v>735</v>
      </c>
      <c r="M7" s="24">
        <v>1814.51</v>
      </c>
      <c r="N7" s="26">
        <v>2000</v>
      </c>
      <c r="O7" s="24">
        <v>1814.51</v>
      </c>
      <c r="P7" s="24">
        <f>S7+T7</f>
        <v>1814.51</v>
      </c>
      <c r="Q7" s="27">
        <v>451.5</v>
      </c>
      <c r="R7" s="27">
        <v>434.4</v>
      </c>
      <c r="S7" s="27">
        <v>576.01</v>
      </c>
      <c r="T7" s="27">
        <v>1238.5</v>
      </c>
      <c r="U7" s="24">
        <f t="shared" si="0"/>
        <v>1.3259898710865563</v>
      </c>
      <c r="V7" s="24">
        <f t="shared" si="1"/>
        <v>1.2757696566998893</v>
      </c>
      <c r="W7" s="24">
        <f t="shared" si="2"/>
        <v>0.96212624584717599</v>
      </c>
      <c r="X7" s="24">
        <f>R7/P7</f>
        <v>0.2394034753184055</v>
      </c>
      <c r="Y7" s="26">
        <v>0</v>
      </c>
      <c r="Z7" s="24">
        <v>1</v>
      </c>
      <c r="AA7" s="24">
        <v>1</v>
      </c>
      <c r="AB7" s="26">
        <v>1</v>
      </c>
      <c r="AC7" s="26">
        <v>0</v>
      </c>
      <c r="AD7" s="26">
        <v>1</v>
      </c>
      <c r="AE7" s="26"/>
    </row>
    <row r="8" spans="1:31" ht="13" customHeight="1" x14ac:dyDescent="0.15">
      <c r="A8" s="24" t="s">
        <v>77</v>
      </c>
      <c r="B8" s="90" t="s">
        <v>97</v>
      </c>
      <c r="C8" s="24" t="s">
        <v>403</v>
      </c>
      <c r="D8" s="44" t="s">
        <v>96</v>
      </c>
      <c r="E8" s="44" t="s">
        <v>293</v>
      </c>
      <c r="F8" s="44" t="s">
        <v>580</v>
      </c>
      <c r="G8" s="44" t="s">
        <v>625</v>
      </c>
      <c r="H8" s="44" t="s">
        <v>640</v>
      </c>
      <c r="I8" s="44" t="s">
        <v>455</v>
      </c>
      <c r="J8" s="44" t="s">
        <v>613</v>
      </c>
      <c r="K8" s="44" t="s">
        <v>518</v>
      </c>
      <c r="L8" s="44" t="s">
        <v>735</v>
      </c>
      <c r="M8" s="26">
        <v>3500</v>
      </c>
      <c r="N8" s="26">
        <v>3500</v>
      </c>
      <c r="O8" s="27"/>
      <c r="P8" s="27"/>
      <c r="Q8" s="27">
        <v>1280.7</v>
      </c>
      <c r="R8" s="27">
        <v>1200.9000000000001</v>
      </c>
      <c r="S8" s="27">
        <v>1511.8</v>
      </c>
      <c r="T8" s="27"/>
      <c r="U8" s="24">
        <f t="shared" si="0"/>
        <v>1.2588891664584894</v>
      </c>
      <c r="V8" s="24">
        <f t="shared" si="1"/>
        <v>1.180448192394784</v>
      </c>
      <c r="W8" s="24">
        <f t="shared" si="2"/>
        <v>0.93769032560318577</v>
      </c>
      <c r="Y8" s="26">
        <v>0</v>
      </c>
      <c r="Z8" s="24">
        <v>0</v>
      </c>
      <c r="AA8" s="24">
        <f>SUM(Y8:Z8)</f>
        <v>0</v>
      </c>
      <c r="AB8" s="26">
        <v>0</v>
      </c>
      <c r="AC8" s="26">
        <v>0</v>
      </c>
      <c r="AD8" s="26">
        <v>0</v>
      </c>
    </row>
    <row r="9" spans="1:31" ht="13" customHeight="1" x14ac:dyDescent="0.15">
      <c r="A9" s="24" t="s">
        <v>77</v>
      </c>
      <c r="B9" s="90" t="s">
        <v>389</v>
      </c>
      <c r="C9" s="24" t="s">
        <v>403</v>
      </c>
      <c r="D9" s="44" t="s">
        <v>82</v>
      </c>
      <c r="E9" s="44" t="s">
        <v>494</v>
      </c>
      <c r="F9" s="44" t="s">
        <v>580</v>
      </c>
      <c r="G9" s="44" t="s">
        <v>457</v>
      </c>
      <c r="H9" s="44" t="s">
        <v>634</v>
      </c>
      <c r="I9" s="44" t="s">
        <v>454</v>
      </c>
      <c r="J9" s="44" t="s">
        <v>614</v>
      </c>
      <c r="K9" s="44" t="s">
        <v>582</v>
      </c>
      <c r="L9" s="44" t="s">
        <v>735</v>
      </c>
      <c r="M9" s="27">
        <v>1095.26</v>
      </c>
      <c r="N9" s="26">
        <v>850</v>
      </c>
      <c r="O9" s="27">
        <v>1095.26</v>
      </c>
      <c r="P9" s="27">
        <f>S9+T9</f>
        <v>1095.26</v>
      </c>
      <c r="Q9" s="27">
        <v>294.22000000000003</v>
      </c>
      <c r="R9" s="27">
        <v>275.68</v>
      </c>
      <c r="S9" s="27">
        <v>365.34</v>
      </c>
      <c r="T9" s="27">
        <v>729.92</v>
      </c>
      <c r="U9" s="24">
        <f t="shared" si="0"/>
        <v>1.3252321532211258</v>
      </c>
      <c r="V9" s="24">
        <f t="shared" si="1"/>
        <v>1.2417238800897286</v>
      </c>
      <c r="W9" s="24">
        <f t="shared" si="2"/>
        <v>0.93698592889674392</v>
      </c>
      <c r="X9" s="24">
        <f>R9/P9</f>
        <v>0.2517027920311159</v>
      </c>
      <c r="Y9" s="26">
        <v>0</v>
      </c>
      <c r="Z9" s="24">
        <v>1</v>
      </c>
      <c r="AA9" s="24">
        <f>SUM(Y9:Z9)</f>
        <v>1</v>
      </c>
      <c r="AB9" s="26">
        <v>1</v>
      </c>
      <c r="AC9" s="26">
        <v>0</v>
      </c>
      <c r="AD9" s="26">
        <v>1</v>
      </c>
      <c r="AE9" s="26"/>
    </row>
    <row r="10" spans="1:31" ht="13" customHeight="1" x14ac:dyDescent="0.15">
      <c r="A10" s="24" t="s">
        <v>77</v>
      </c>
      <c r="B10" s="90" t="s">
        <v>598</v>
      </c>
      <c r="C10" s="24" t="s">
        <v>403</v>
      </c>
      <c r="D10" s="29" t="s">
        <v>82</v>
      </c>
      <c r="E10" s="44" t="s">
        <v>494</v>
      </c>
      <c r="F10" s="29" t="s">
        <v>580</v>
      </c>
      <c r="G10" s="44" t="s">
        <v>457</v>
      </c>
      <c r="H10" s="44" t="s">
        <v>634</v>
      </c>
      <c r="I10" s="44" t="s">
        <v>454</v>
      </c>
      <c r="J10" s="44" t="s">
        <v>614</v>
      </c>
      <c r="K10" s="44" t="s">
        <v>582</v>
      </c>
      <c r="L10" s="44" t="s">
        <v>735</v>
      </c>
      <c r="M10" s="24">
        <v>1217</v>
      </c>
      <c r="N10" s="29"/>
      <c r="O10" s="24">
        <v>1217</v>
      </c>
      <c r="P10" s="24">
        <f>S10+T10</f>
        <v>1217.3</v>
      </c>
      <c r="Q10" s="27">
        <v>323</v>
      </c>
      <c r="R10" s="27">
        <v>295</v>
      </c>
      <c r="S10" s="27">
        <v>395</v>
      </c>
      <c r="T10" s="24">
        <f>215+297+310.3</f>
        <v>822.3</v>
      </c>
      <c r="U10" s="24">
        <f t="shared" si="0"/>
        <v>1.3389830508474576</v>
      </c>
      <c r="V10" s="24">
        <f t="shared" si="1"/>
        <v>1.2229102167182662</v>
      </c>
      <c r="W10" s="24">
        <f t="shared" si="2"/>
        <v>0.91331269349845201</v>
      </c>
      <c r="X10" s="24">
        <f>R10/P10</f>
        <v>0.24233960404173172</v>
      </c>
      <c r="Y10" s="26">
        <v>0</v>
      </c>
      <c r="Z10" s="24">
        <v>1</v>
      </c>
      <c r="AA10" s="24">
        <f>SUM(Y10:Z10)</f>
        <v>1</v>
      </c>
      <c r="AB10" s="26">
        <v>1</v>
      </c>
      <c r="AC10" s="26">
        <v>1</v>
      </c>
      <c r="AD10" s="26">
        <v>1</v>
      </c>
      <c r="AE10" s="26"/>
    </row>
    <row r="11" spans="1:31" ht="14" customHeight="1" x14ac:dyDescent="0.15">
      <c r="A11" s="24" t="s">
        <v>77</v>
      </c>
      <c r="B11" s="24" t="s">
        <v>100</v>
      </c>
      <c r="C11" s="24" t="s">
        <v>403</v>
      </c>
      <c r="D11" s="29" t="s">
        <v>82</v>
      </c>
      <c r="E11" s="44" t="s">
        <v>374</v>
      </c>
      <c r="F11" s="44" t="s">
        <v>580</v>
      </c>
      <c r="G11" s="44" t="s">
        <v>457</v>
      </c>
      <c r="H11" s="44" t="s">
        <v>634</v>
      </c>
      <c r="I11" s="44" t="s">
        <v>454</v>
      </c>
      <c r="J11" s="44" t="s">
        <v>614</v>
      </c>
      <c r="K11" s="44" t="s">
        <v>582</v>
      </c>
      <c r="L11" s="44" t="s">
        <v>735</v>
      </c>
      <c r="M11" s="24">
        <v>1299.96</v>
      </c>
      <c r="N11" s="44" t="s">
        <v>17</v>
      </c>
      <c r="O11" s="24">
        <v>1299.96</v>
      </c>
      <c r="P11" s="24">
        <v>1299.96</v>
      </c>
      <c r="Q11" s="24">
        <v>303.32</v>
      </c>
      <c r="R11" s="24">
        <v>291.94</v>
      </c>
      <c r="S11" s="24">
        <v>400.16</v>
      </c>
      <c r="T11" s="24">
        <f>P11-S11</f>
        <v>899.8</v>
      </c>
      <c r="U11" s="24">
        <f t="shared" si="0"/>
        <v>1.3706926080701516</v>
      </c>
      <c r="V11" s="24">
        <f t="shared" si="1"/>
        <v>1.3192667809574048</v>
      </c>
      <c r="W11" s="24">
        <f t="shared" si="2"/>
        <v>0.96248186733482788</v>
      </c>
      <c r="X11" s="24">
        <f>R11/P11</f>
        <v>0.22457614080433244</v>
      </c>
      <c r="Y11" s="26">
        <v>0</v>
      </c>
      <c r="Z11" s="24">
        <v>1</v>
      </c>
      <c r="AA11" s="24">
        <v>1</v>
      </c>
      <c r="AB11" s="26">
        <v>1</v>
      </c>
      <c r="AC11" s="26">
        <v>0</v>
      </c>
      <c r="AD11" s="26">
        <v>1</v>
      </c>
      <c r="AE11" s="26"/>
    </row>
    <row r="12" spans="1:31" ht="13" customHeight="1" x14ac:dyDescent="0.2">
      <c r="A12" s="24" t="s">
        <v>77</v>
      </c>
      <c r="B12" s="90" t="s">
        <v>665</v>
      </c>
      <c r="C12" s="24" t="s">
        <v>403</v>
      </c>
      <c r="D12" s="44" t="s">
        <v>82</v>
      </c>
      <c r="E12" s="44" t="s">
        <v>374</v>
      </c>
      <c r="F12" s="44" t="s">
        <v>580</v>
      </c>
      <c r="G12" s="44" t="s">
        <v>457</v>
      </c>
      <c r="H12" s="44" t="s">
        <v>634</v>
      </c>
      <c r="I12" s="44" t="s">
        <v>454</v>
      </c>
      <c r="J12" s="44" t="s">
        <v>614</v>
      </c>
      <c r="K12" s="44" t="s">
        <v>582</v>
      </c>
      <c r="L12" s="44" t="s">
        <v>735</v>
      </c>
      <c r="M12" s="87">
        <v>1342.6</v>
      </c>
      <c r="N12" s="44" t="s">
        <v>17</v>
      </c>
      <c r="O12" s="87">
        <v>1342.6</v>
      </c>
      <c r="P12" s="87">
        <v>1342.6</v>
      </c>
      <c r="Q12" s="87">
        <v>354.79</v>
      </c>
      <c r="R12" s="87">
        <v>322.77</v>
      </c>
      <c r="S12" s="87">
        <v>441.39</v>
      </c>
      <c r="T12" s="87">
        <f>P12-S12</f>
        <v>901.20999999999992</v>
      </c>
      <c r="U12" s="24">
        <f t="shared" si="0"/>
        <v>1.3675062738172692</v>
      </c>
      <c r="V12" s="24">
        <f t="shared" si="1"/>
        <v>1.24408805208715</v>
      </c>
      <c r="W12" s="24">
        <f t="shared" si="2"/>
        <v>0.90974942923983193</v>
      </c>
      <c r="X12" s="24">
        <f>R12/P12</f>
        <v>0.24040667361835244</v>
      </c>
      <c r="Y12" s="26">
        <v>0</v>
      </c>
      <c r="Z12" s="24">
        <v>1</v>
      </c>
      <c r="AA12" s="24">
        <f>SUM(Y12:Z12)</f>
        <v>1</v>
      </c>
      <c r="AB12" s="26">
        <v>1</v>
      </c>
      <c r="AC12" s="26">
        <v>0</v>
      </c>
      <c r="AD12" s="26">
        <v>1</v>
      </c>
      <c r="AE12" s="26"/>
    </row>
    <row r="13" spans="1:31" x14ac:dyDescent="0.15">
      <c r="A13" s="24" t="s">
        <v>77</v>
      </c>
      <c r="B13" s="90" t="s">
        <v>386</v>
      </c>
      <c r="C13" s="24" t="s">
        <v>403</v>
      </c>
      <c r="D13" s="44" t="s">
        <v>82</v>
      </c>
      <c r="E13" s="44" t="s">
        <v>374</v>
      </c>
      <c r="F13" s="44" t="s">
        <v>580</v>
      </c>
      <c r="G13" s="44" t="s">
        <v>625</v>
      </c>
      <c r="H13" s="44" t="s">
        <v>634</v>
      </c>
      <c r="I13" s="44" t="s">
        <v>454</v>
      </c>
      <c r="J13" s="44" t="s">
        <v>614</v>
      </c>
      <c r="K13" s="44" t="s">
        <v>582</v>
      </c>
      <c r="L13" s="44" t="s">
        <v>735</v>
      </c>
      <c r="M13" s="27">
        <v>1538.3</v>
      </c>
      <c r="N13" s="26">
        <v>1200</v>
      </c>
      <c r="O13" s="27">
        <v>1538.3</v>
      </c>
      <c r="P13" s="27">
        <v>1538.3</v>
      </c>
      <c r="Q13" s="27">
        <v>395.5</v>
      </c>
      <c r="R13" s="27">
        <v>372.7</v>
      </c>
      <c r="S13" s="27">
        <v>497</v>
      </c>
      <c r="T13" s="27">
        <v>1041.3</v>
      </c>
      <c r="U13" s="24">
        <f t="shared" si="0"/>
        <v>1.333512208210357</v>
      </c>
      <c r="V13" s="24">
        <f t="shared" si="1"/>
        <v>1.2566371681415929</v>
      </c>
      <c r="W13" s="24">
        <f t="shared" si="2"/>
        <v>0.9423514538558786</v>
      </c>
      <c r="X13" s="24">
        <f>R13/P13</f>
        <v>0.24228043944614183</v>
      </c>
      <c r="Y13" s="26">
        <v>0</v>
      </c>
      <c r="Z13" s="24">
        <v>1</v>
      </c>
      <c r="AA13" s="24">
        <f>SUM(Y13:Z13)</f>
        <v>1</v>
      </c>
      <c r="AB13" s="26">
        <v>1</v>
      </c>
      <c r="AC13" s="26">
        <v>0</v>
      </c>
      <c r="AD13" s="26">
        <v>1</v>
      </c>
      <c r="AE13" s="26"/>
    </row>
    <row r="14" spans="1:31" x14ac:dyDescent="0.15">
      <c r="A14" s="24" t="s">
        <v>77</v>
      </c>
      <c r="B14" s="24" t="s">
        <v>806</v>
      </c>
      <c r="C14" s="24" t="s">
        <v>401</v>
      </c>
      <c r="D14" s="29" t="s">
        <v>82</v>
      </c>
      <c r="E14" s="44" t="s">
        <v>374</v>
      </c>
      <c r="F14" s="44" t="s">
        <v>580</v>
      </c>
      <c r="G14" s="44" t="s">
        <v>625</v>
      </c>
      <c r="H14" s="44" t="s">
        <v>640</v>
      </c>
      <c r="I14" s="44" t="s">
        <v>455</v>
      </c>
      <c r="J14" s="44" t="s">
        <v>613</v>
      </c>
      <c r="K14" s="44" t="s">
        <v>582</v>
      </c>
      <c r="L14" s="44" t="s">
        <v>735</v>
      </c>
      <c r="M14" s="24">
        <v>2870</v>
      </c>
      <c r="N14" s="24">
        <v>2870</v>
      </c>
      <c r="O14" s="24">
        <v>2870</v>
      </c>
      <c r="Q14" s="24">
        <v>731</v>
      </c>
      <c r="R14" s="24">
        <v>671</v>
      </c>
      <c r="W14" s="24">
        <f t="shared" si="2"/>
        <v>0.91792065663474687</v>
      </c>
      <c r="X14" s="24">
        <f>R14/O14</f>
        <v>0.23379790940766551</v>
      </c>
      <c r="Y14" s="26">
        <v>1</v>
      </c>
      <c r="Z14" s="24">
        <v>0</v>
      </c>
      <c r="AA14" s="24">
        <v>1</v>
      </c>
      <c r="AB14" s="26">
        <v>1</v>
      </c>
      <c r="AC14" s="26">
        <v>0</v>
      </c>
      <c r="AD14" s="26">
        <v>1</v>
      </c>
      <c r="AE14" s="26"/>
    </row>
    <row r="15" spans="1:31" x14ac:dyDescent="0.15">
      <c r="A15" s="24" t="s">
        <v>77</v>
      </c>
      <c r="B15" s="90" t="s">
        <v>88</v>
      </c>
      <c r="C15" s="24" t="s">
        <v>403</v>
      </c>
      <c r="D15" s="44" t="s">
        <v>82</v>
      </c>
      <c r="E15" s="44" t="s">
        <v>293</v>
      </c>
      <c r="F15" s="44" t="s">
        <v>580</v>
      </c>
      <c r="G15" s="44" t="s">
        <v>625</v>
      </c>
      <c r="H15" s="44" t="s">
        <v>640</v>
      </c>
      <c r="I15" s="44" t="s">
        <v>455</v>
      </c>
      <c r="J15" s="44" t="s">
        <v>613</v>
      </c>
      <c r="K15" s="44" t="s">
        <v>518</v>
      </c>
      <c r="L15" s="44" t="s">
        <v>735</v>
      </c>
      <c r="M15" s="27">
        <v>3045.75</v>
      </c>
      <c r="N15" s="26">
        <v>3400</v>
      </c>
      <c r="O15" s="27">
        <v>3045.75</v>
      </c>
      <c r="P15" s="27">
        <f>S15+T15</f>
        <v>3045.75</v>
      </c>
      <c r="Q15" s="27">
        <v>838.11</v>
      </c>
      <c r="R15" s="27">
        <v>786.67</v>
      </c>
      <c r="S15" s="27">
        <v>1043.6500000000001</v>
      </c>
      <c r="T15" s="27">
        <v>2002.1</v>
      </c>
      <c r="U15" s="24">
        <f>S15/R15</f>
        <v>1.3266681073385285</v>
      </c>
      <c r="V15" s="24">
        <f>S15/Q15</f>
        <v>1.2452422713009033</v>
      </c>
      <c r="W15" s="24">
        <f t="shared" si="2"/>
        <v>0.93862380833064862</v>
      </c>
      <c r="X15" s="24">
        <f t="shared" ref="X15:X25" si="3">R15/P15</f>
        <v>0.25828449478781906</v>
      </c>
      <c r="Y15" s="26">
        <v>0</v>
      </c>
      <c r="Z15" s="24">
        <v>1</v>
      </c>
      <c r="AA15" s="24">
        <f>SUM(Y15:Z15)</f>
        <v>1</v>
      </c>
      <c r="AB15" s="26">
        <v>1</v>
      </c>
      <c r="AC15" s="26">
        <v>0</v>
      </c>
      <c r="AD15" s="26">
        <v>1</v>
      </c>
      <c r="AE15" s="26"/>
    </row>
    <row r="16" spans="1:31" x14ac:dyDescent="0.15">
      <c r="A16" s="24" t="s">
        <v>77</v>
      </c>
      <c r="B16" s="90" t="s">
        <v>733</v>
      </c>
      <c r="C16" s="24" t="s">
        <v>403</v>
      </c>
      <c r="D16" s="44" t="s">
        <v>82</v>
      </c>
      <c r="E16" s="44" t="s">
        <v>293</v>
      </c>
      <c r="F16" s="44" t="s">
        <v>581</v>
      </c>
      <c r="G16" s="44" t="s">
        <v>625</v>
      </c>
      <c r="H16" s="44" t="s">
        <v>640</v>
      </c>
      <c r="I16" s="44" t="s">
        <v>455</v>
      </c>
      <c r="J16" s="44" t="s">
        <v>613</v>
      </c>
      <c r="K16" s="44" t="s">
        <v>518</v>
      </c>
      <c r="L16" s="44" t="s">
        <v>735</v>
      </c>
      <c r="M16" s="26">
        <v>3740</v>
      </c>
      <c r="N16" s="26">
        <v>3740</v>
      </c>
      <c r="O16" s="26">
        <v>3740</v>
      </c>
      <c r="P16" s="26">
        <v>3740</v>
      </c>
      <c r="Q16" s="26">
        <v>1016</v>
      </c>
      <c r="R16" s="26">
        <v>907</v>
      </c>
      <c r="S16" s="26">
        <v>1215</v>
      </c>
      <c r="T16" s="26">
        <f>P16-S16</f>
        <v>2525</v>
      </c>
      <c r="U16" s="24">
        <f>S16/R16</f>
        <v>1.3395810363836824</v>
      </c>
      <c r="V16" s="24">
        <f>S16/Q16</f>
        <v>1.1958661417322836</v>
      </c>
      <c r="W16" s="24">
        <f t="shared" si="2"/>
        <v>0.89271653543307083</v>
      </c>
      <c r="X16" s="24">
        <f t="shared" si="3"/>
        <v>0.24251336898395723</v>
      </c>
      <c r="Y16" s="26">
        <v>1</v>
      </c>
      <c r="Z16" s="24">
        <v>0</v>
      </c>
      <c r="AA16" s="24">
        <f>SUM(Y16:Z16)</f>
        <v>1</v>
      </c>
      <c r="AB16" s="26">
        <v>1</v>
      </c>
      <c r="AC16" s="26">
        <v>0</v>
      </c>
      <c r="AD16" s="26">
        <v>1</v>
      </c>
      <c r="AE16" s="26"/>
    </row>
    <row r="17" spans="1:31" ht="13" customHeight="1" x14ac:dyDescent="0.15">
      <c r="A17" s="24" t="s">
        <v>77</v>
      </c>
      <c r="B17" s="90" t="s">
        <v>966</v>
      </c>
      <c r="C17" s="24" t="s">
        <v>403</v>
      </c>
      <c r="D17" s="29" t="s">
        <v>82</v>
      </c>
      <c r="E17" s="29" t="s">
        <v>203</v>
      </c>
      <c r="F17" s="29" t="s">
        <v>581</v>
      </c>
      <c r="G17" s="44" t="s">
        <v>625</v>
      </c>
      <c r="H17" s="44" t="s">
        <v>640</v>
      </c>
      <c r="I17" s="44" t="s">
        <v>455</v>
      </c>
      <c r="J17" s="44" t="s">
        <v>613</v>
      </c>
      <c r="K17" s="44" t="s">
        <v>518</v>
      </c>
      <c r="L17" s="44" t="s">
        <v>735</v>
      </c>
      <c r="M17" s="24">
        <v>3932.1499999999996</v>
      </c>
      <c r="N17" s="24">
        <v>3932.1499999999996</v>
      </c>
      <c r="O17" s="24">
        <v>3932.1499999999996</v>
      </c>
      <c r="P17" s="24">
        <f>S17+T17</f>
        <v>3932.1499999999996</v>
      </c>
      <c r="Q17" s="27">
        <v>1083.1500000000001</v>
      </c>
      <c r="R17" s="27">
        <v>1035.9000000000001</v>
      </c>
      <c r="S17" s="24">
        <f>1191.85+147.1</f>
        <v>1338.9499999999998</v>
      </c>
      <c r="T17" s="24">
        <f>2172.7+420.5</f>
        <v>2593.1999999999998</v>
      </c>
      <c r="U17" s="24">
        <f>S17/R17</f>
        <v>1.2925475431991502</v>
      </c>
      <c r="V17" s="24">
        <f>S17/Q17</f>
        <v>1.2361630429765034</v>
      </c>
      <c r="W17" s="24">
        <f t="shared" si="2"/>
        <v>0.95637723307021194</v>
      </c>
      <c r="X17" s="24">
        <f t="shared" si="3"/>
        <v>0.26344366313594347</v>
      </c>
      <c r="Y17" s="26">
        <v>0</v>
      </c>
      <c r="Z17" s="24">
        <v>1</v>
      </c>
      <c r="AA17" s="24">
        <f>SUM(Y17:Z17)</f>
        <v>1</v>
      </c>
      <c r="AB17" s="26">
        <v>1</v>
      </c>
      <c r="AC17" s="26">
        <v>0</v>
      </c>
      <c r="AD17" s="26">
        <v>0</v>
      </c>
      <c r="AE17" s="26"/>
    </row>
    <row r="18" spans="1:31" ht="13" customHeight="1" x14ac:dyDescent="0.15">
      <c r="A18" s="24" t="s">
        <v>77</v>
      </c>
      <c r="B18" s="90" t="s">
        <v>121</v>
      </c>
      <c r="C18" s="24" t="s">
        <v>403</v>
      </c>
      <c r="D18" s="44" t="s">
        <v>82</v>
      </c>
      <c r="E18" s="44" t="s">
        <v>203</v>
      </c>
      <c r="F18" s="44" t="s">
        <v>581</v>
      </c>
      <c r="G18" s="44" t="s">
        <v>625</v>
      </c>
      <c r="H18" s="44" t="s">
        <v>640</v>
      </c>
      <c r="I18" s="44" t="s">
        <v>455</v>
      </c>
      <c r="J18" s="44" t="s">
        <v>613</v>
      </c>
      <c r="K18" s="44" t="s">
        <v>518</v>
      </c>
      <c r="L18" s="44" t="s">
        <v>736</v>
      </c>
      <c r="M18" s="26">
        <v>4470</v>
      </c>
      <c r="N18" s="26">
        <v>4470</v>
      </c>
      <c r="O18" s="27">
        <v>4470</v>
      </c>
      <c r="P18" s="27">
        <v>4470</v>
      </c>
      <c r="Q18" s="27">
        <v>1096</v>
      </c>
      <c r="R18" s="27">
        <v>1036</v>
      </c>
      <c r="S18" s="27"/>
      <c r="T18" s="27"/>
      <c r="W18" s="24">
        <f t="shared" si="2"/>
        <v>0.94525547445255476</v>
      </c>
      <c r="X18" s="24">
        <f t="shared" si="3"/>
        <v>0.23176733780760628</v>
      </c>
      <c r="Y18" s="26">
        <v>1</v>
      </c>
      <c r="Z18" s="24">
        <v>0</v>
      </c>
      <c r="AA18" s="24">
        <f>SUM(Y18:Z18)</f>
        <v>1</v>
      </c>
      <c r="AB18" s="26">
        <v>1</v>
      </c>
      <c r="AC18" s="26">
        <v>0</v>
      </c>
      <c r="AD18" s="26">
        <v>1</v>
      </c>
      <c r="AE18" s="26"/>
    </row>
    <row r="19" spans="1:31" ht="13" customHeight="1" x14ac:dyDescent="0.15">
      <c r="A19" s="24" t="s">
        <v>77</v>
      </c>
      <c r="B19" s="24" t="s">
        <v>431</v>
      </c>
      <c r="C19" s="24" t="s">
        <v>458</v>
      </c>
      <c r="D19" s="29" t="s">
        <v>82</v>
      </c>
      <c r="E19" s="44" t="s">
        <v>203</v>
      </c>
      <c r="F19" s="44" t="s">
        <v>581</v>
      </c>
      <c r="G19" s="44" t="s">
        <v>625</v>
      </c>
      <c r="H19" s="44" t="s">
        <v>640</v>
      </c>
      <c r="I19" s="44" t="s">
        <v>455</v>
      </c>
      <c r="J19" s="44" t="s">
        <v>613</v>
      </c>
      <c r="K19" s="44" t="s">
        <v>518</v>
      </c>
      <c r="L19" s="44" t="s">
        <v>736</v>
      </c>
      <c r="M19" s="24">
        <v>4710</v>
      </c>
      <c r="N19" s="24">
        <v>4710</v>
      </c>
      <c r="O19" s="24">
        <v>4710</v>
      </c>
      <c r="P19" s="24">
        <v>4710</v>
      </c>
      <c r="Q19" s="24">
        <v>1420</v>
      </c>
      <c r="R19" s="24">
        <v>1341</v>
      </c>
      <c r="S19" s="24">
        <v>1707</v>
      </c>
      <c r="T19" s="24">
        <f>P19-S19</f>
        <v>3003</v>
      </c>
      <c r="U19" s="24">
        <f>S19/R19</f>
        <v>1.2729306487695748</v>
      </c>
      <c r="V19" s="24">
        <f>S19/Q19</f>
        <v>1.2021126760563381</v>
      </c>
      <c r="W19" s="24">
        <f t="shared" si="2"/>
        <v>0.94436619718309855</v>
      </c>
      <c r="X19" s="24">
        <f t="shared" si="3"/>
        <v>0.28471337579617834</v>
      </c>
      <c r="Y19" s="26">
        <v>1</v>
      </c>
      <c r="Z19" s="24">
        <v>0</v>
      </c>
      <c r="AA19" s="24">
        <f>SUM(Y19:Z19)</f>
        <v>1</v>
      </c>
      <c r="AB19" s="26">
        <v>1</v>
      </c>
      <c r="AC19" s="26">
        <v>1</v>
      </c>
      <c r="AD19" s="26">
        <v>1</v>
      </c>
      <c r="AE19" s="26"/>
    </row>
    <row r="20" spans="1:31" x14ac:dyDescent="0.15">
      <c r="A20" s="24" t="s">
        <v>77</v>
      </c>
      <c r="B20" s="90" t="s">
        <v>127</v>
      </c>
      <c r="C20" s="24" t="s">
        <v>403</v>
      </c>
      <c r="D20" s="44" t="s">
        <v>82</v>
      </c>
      <c r="E20" s="44" t="s">
        <v>203</v>
      </c>
      <c r="F20" s="44" t="s">
        <v>581</v>
      </c>
      <c r="G20" s="44" t="s">
        <v>625</v>
      </c>
      <c r="H20" s="44" t="s">
        <v>640</v>
      </c>
      <c r="I20" s="44" t="s">
        <v>455</v>
      </c>
      <c r="J20" s="44" t="s">
        <v>613</v>
      </c>
      <c r="K20" s="44" t="s">
        <v>518</v>
      </c>
      <c r="L20" s="44" t="s">
        <v>736</v>
      </c>
      <c r="M20" s="27">
        <v>4745.58</v>
      </c>
      <c r="N20" s="26">
        <v>4724</v>
      </c>
      <c r="O20" s="27">
        <v>4745.58</v>
      </c>
      <c r="P20" s="27">
        <f>S20+T20</f>
        <v>4745.58</v>
      </c>
      <c r="Q20" s="27">
        <v>1330.47</v>
      </c>
      <c r="R20" s="27">
        <v>1229.3699999999999</v>
      </c>
      <c r="S20" s="27">
        <v>1615.8</v>
      </c>
      <c r="T20" s="27">
        <v>3129.78</v>
      </c>
      <c r="U20" s="24">
        <f>S20/R20</f>
        <v>1.3143317308865516</v>
      </c>
      <c r="V20" s="24">
        <f>S20/Q20</f>
        <v>1.2144580486594962</v>
      </c>
      <c r="W20" s="24">
        <f t="shared" si="2"/>
        <v>0.92401181537351451</v>
      </c>
      <c r="X20" s="24">
        <f t="shared" si="3"/>
        <v>0.25905579507668186</v>
      </c>
      <c r="Y20" s="26">
        <v>1</v>
      </c>
      <c r="Z20" s="24">
        <v>0</v>
      </c>
      <c r="AA20" s="24">
        <v>1</v>
      </c>
      <c r="AB20" s="26">
        <v>1</v>
      </c>
      <c r="AC20" s="26">
        <v>0</v>
      </c>
      <c r="AD20" s="26">
        <v>1</v>
      </c>
      <c r="AE20" s="26"/>
    </row>
    <row r="21" spans="1:31" x14ac:dyDescent="0.15">
      <c r="A21" s="24" t="s">
        <v>77</v>
      </c>
      <c r="B21" s="90" t="s">
        <v>139</v>
      </c>
      <c r="C21" s="24" t="s">
        <v>403</v>
      </c>
      <c r="D21" s="44" t="s">
        <v>82</v>
      </c>
      <c r="E21" s="44" t="s">
        <v>203</v>
      </c>
      <c r="F21" s="44" t="s">
        <v>581</v>
      </c>
      <c r="G21" s="44" t="s">
        <v>625</v>
      </c>
      <c r="H21" s="44" t="s">
        <v>640</v>
      </c>
      <c r="I21" s="44" t="s">
        <v>455</v>
      </c>
      <c r="J21" s="44" t="s">
        <v>613</v>
      </c>
      <c r="K21" s="44" t="s">
        <v>518</v>
      </c>
      <c r="L21" s="44" t="s">
        <v>736</v>
      </c>
      <c r="M21" s="26">
        <v>4870</v>
      </c>
      <c r="N21" s="26">
        <v>4870</v>
      </c>
      <c r="O21" s="26">
        <v>4870</v>
      </c>
      <c r="P21" s="26">
        <v>4834.8</v>
      </c>
      <c r="Q21" s="26">
        <v>1243.5999999999999</v>
      </c>
      <c r="R21" s="26">
        <v>1122.4000000000001</v>
      </c>
      <c r="S21" s="26">
        <v>1526.2</v>
      </c>
      <c r="T21" s="26">
        <f>P21-S21</f>
        <v>3308.6000000000004</v>
      </c>
      <c r="U21" s="24">
        <f>S21/R21</f>
        <v>1.3597647897362792</v>
      </c>
      <c r="V21" s="24">
        <f>S21/Q21</f>
        <v>1.2272434866516566</v>
      </c>
      <c r="W21" s="24">
        <f t="shared" si="2"/>
        <v>0.90254100997105191</v>
      </c>
      <c r="X21" s="24">
        <f t="shared" si="3"/>
        <v>0.23215024406387028</v>
      </c>
      <c r="Y21" s="26">
        <v>1</v>
      </c>
      <c r="Z21" s="24">
        <v>0</v>
      </c>
      <c r="AA21" s="24">
        <f>SUM(Y21:Z21)</f>
        <v>1</v>
      </c>
      <c r="AB21" s="26">
        <v>1</v>
      </c>
      <c r="AC21" s="26">
        <v>1</v>
      </c>
      <c r="AD21" s="26">
        <v>1</v>
      </c>
      <c r="AE21" s="26"/>
    </row>
    <row r="22" spans="1:31" x14ac:dyDescent="0.15">
      <c r="A22" s="24" t="s">
        <v>77</v>
      </c>
      <c r="B22" s="24" t="s">
        <v>486</v>
      </c>
      <c r="C22" s="24" t="s">
        <v>403</v>
      </c>
      <c r="D22" s="29" t="s">
        <v>82</v>
      </c>
      <c r="E22" s="44" t="s">
        <v>203</v>
      </c>
      <c r="F22" s="44" t="s">
        <v>581</v>
      </c>
      <c r="G22" s="44" t="s">
        <v>625</v>
      </c>
      <c r="H22" s="44" t="s">
        <v>640</v>
      </c>
      <c r="I22" s="44" t="s">
        <v>455</v>
      </c>
      <c r="J22" s="44" t="s">
        <v>613</v>
      </c>
      <c r="K22" s="44" t="s">
        <v>518</v>
      </c>
      <c r="L22" s="44" t="s">
        <v>736</v>
      </c>
      <c r="M22" s="24">
        <v>4927.5</v>
      </c>
      <c r="N22" s="24">
        <v>4927</v>
      </c>
      <c r="O22" s="24">
        <v>4927</v>
      </c>
      <c r="P22" s="24">
        <v>4927</v>
      </c>
      <c r="Q22" s="24">
        <v>1276</v>
      </c>
      <c r="R22" s="24">
        <v>1180</v>
      </c>
      <c r="S22" s="24">
        <v>1607</v>
      </c>
      <c r="T22" s="24">
        <f>P22-S22</f>
        <v>3320</v>
      </c>
      <c r="U22" s="24">
        <f>S22/R22</f>
        <v>1.361864406779661</v>
      </c>
      <c r="V22" s="24">
        <f>S22/Q22</f>
        <v>1.2594043887147335</v>
      </c>
      <c r="W22" s="24">
        <f t="shared" si="2"/>
        <v>0.92476489028213171</v>
      </c>
      <c r="X22" s="24">
        <f t="shared" si="3"/>
        <v>0.23949665110614979</v>
      </c>
      <c r="Y22" s="26">
        <v>1</v>
      </c>
      <c r="Z22" s="24">
        <v>0</v>
      </c>
      <c r="AA22" s="24">
        <f>SUM(Y22:Z22)</f>
        <v>1</v>
      </c>
      <c r="AB22" s="26">
        <v>1</v>
      </c>
      <c r="AC22" s="26">
        <v>1</v>
      </c>
      <c r="AD22" s="26">
        <v>1</v>
      </c>
      <c r="AE22" s="26"/>
    </row>
    <row r="23" spans="1:31" x14ac:dyDescent="0.15">
      <c r="A23" s="24" t="s">
        <v>77</v>
      </c>
      <c r="B23" s="90" t="s">
        <v>120</v>
      </c>
      <c r="C23" s="24" t="s">
        <v>403</v>
      </c>
      <c r="D23" s="44" t="s">
        <v>82</v>
      </c>
      <c r="E23" s="44" t="s">
        <v>203</v>
      </c>
      <c r="F23" s="44" t="s">
        <v>581</v>
      </c>
      <c r="G23" s="44" t="s">
        <v>625</v>
      </c>
      <c r="H23" s="44" t="s">
        <v>640</v>
      </c>
      <c r="I23" s="44" t="s">
        <v>455</v>
      </c>
      <c r="J23" s="44" t="s">
        <v>613</v>
      </c>
      <c r="K23" s="44" t="s">
        <v>518</v>
      </c>
      <c r="L23" s="44" t="s">
        <v>736</v>
      </c>
      <c r="M23" s="26">
        <v>4978</v>
      </c>
      <c r="N23" s="26">
        <v>4978</v>
      </c>
      <c r="O23" s="27">
        <v>4978</v>
      </c>
      <c r="P23" s="27">
        <v>4978</v>
      </c>
      <c r="Q23" s="27">
        <v>1315</v>
      </c>
      <c r="R23" s="27">
        <v>1250</v>
      </c>
      <c r="S23" s="27"/>
      <c r="T23" s="27"/>
      <c r="W23" s="24">
        <f t="shared" si="2"/>
        <v>0.95057034220532322</v>
      </c>
      <c r="X23" s="24">
        <f t="shared" si="3"/>
        <v>0.25110486139011651</v>
      </c>
      <c r="Y23" s="26">
        <v>1</v>
      </c>
      <c r="Z23" s="24">
        <v>0</v>
      </c>
      <c r="AA23" s="24">
        <f>SUM(Y23:Z23)</f>
        <v>1</v>
      </c>
      <c r="AB23" s="26">
        <v>1</v>
      </c>
      <c r="AC23" s="26">
        <v>0</v>
      </c>
      <c r="AD23" s="26">
        <v>1</v>
      </c>
      <c r="AE23" s="26"/>
    </row>
    <row r="24" spans="1:31" x14ac:dyDescent="0.15">
      <c r="A24" s="24" t="s">
        <v>77</v>
      </c>
      <c r="B24" s="90" t="s">
        <v>90</v>
      </c>
      <c r="C24" s="24" t="s">
        <v>403</v>
      </c>
      <c r="D24" s="44" t="s">
        <v>82</v>
      </c>
      <c r="E24" s="44" t="s">
        <v>203</v>
      </c>
      <c r="F24" s="44" t="s">
        <v>581</v>
      </c>
      <c r="G24" s="44" t="s">
        <v>625</v>
      </c>
      <c r="H24" s="44" t="s">
        <v>640</v>
      </c>
      <c r="I24" s="44" t="s">
        <v>455</v>
      </c>
      <c r="J24" s="44" t="s">
        <v>613</v>
      </c>
      <c r="K24" s="44" t="s">
        <v>518</v>
      </c>
      <c r="L24" s="44" t="s">
        <v>736</v>
      </c>
      <c r="M24" s="26">
        <v>5080</v>
      </c>
      <c r="N24" s="26">
        <v>5080</v>
      </c>
      <c r="O24" s="27">
        <v>5080</v>
      </c>
      <c r="P24" s="27">
        <v>5080</v>
      </c>
      <c r="Q24" s="27">
        <v>1379.78</v>
      </c>
      <c r="R24" s="27">
        <v>1275.5</v>
      </c>
      <c r="S24" s="27">
        <f>319.75+1439.2</f>
        <v>1758.95</v>
      </c>
      <c r="T24" s="27">
        <f>P24-S24</f>
        <v>3321.05</v>
      </c>
      <c r="U24" s="24">
        <f>S24/R24</f>
        <v>1.3790278322226579</v>
      </c>
      <c r="V24" s="24">
        <f>S24/Q24</f>
        <v>1.2748046790067982</v>
      </c>
      <c r="W24" s="24">
        <f t="shared" si="2"/>
        <v>0.92442273405905295</v>
      </c>
      <c r="X24" s="24">
        <f t="shared" si="3"/>
        <v>0.25108267716535432</v>
      </c>
      <c r="Y24" s="26">
        <v>1</v>
      </c>
      <c r="Z24" s="24">
        <v>0</v>
      </c>
      <c r="AA24" s="24">
        <f>SUM(Y24:Z24)</f>
        <v>1</v>
      </c>
      <c r="AB24" s="26">
        <v>1</v>
      </c>
      <c r="AC24" s="26">
        <v>0</v>
      </c>
      <c r="AD24" s="26">
        <v>1</v>
      </c>
      <c r="AE24" s="26"/>
    </row>
    <row r="25" spans="1:31" x14ac:dyDescent="0.15">
      <c r="A25" s="24" t="s">
        <v>77</v>
      </c>
      <c r="B25" s="90" t="s">
        <v>668</v>
      </c>
      <c r="C25" s="24" t="s">
        <v>403</v>
      </c>
      <c r="D25" s="44" t="s">
        <v>82</v>
      </c>
      <c r="E25" s="44" t="s">
        <v>203</v>
      </c>
      <c r="F25" s="44" t="s">
        <v>581</v>
      </c>
      <c r="G25" s="44" t="s">
        <v>625</v>
      </c>
      <c r="H25" s="44" t="s">
        <v>640</v>
      </c>
      <c r="I25" s="44" t="s">
        <v>455</v>
      </c>
      <c r="J25" s="44" t="s">
        <v>613</v>
      </c>
      <c r="K25" s="44" t="s">
        <v>518</v>
      </c>
      <c r="L25" s="44" t="s">
        <v>736</v>
      </c>
      <c r="M25" s="27">
        <v>5410</v>
      </c>
      <c r="N25" s="27">
        <v>5410</v>
      </c>
      <c r="O25" s="27">
        <v>5410</v>
      </c>
      <c r="P25" s="27">
        <v>5410</v>
      </c>
      <c r="Q25" s="27">
        <v>1551.3</v>
      </c>
      <c r="R25" s="27">
        <v>1448.5</v>
      </c>
      <c r="S25" s="27"/>
      <c r="T25" s="27"/>
      <c r="W25" s="24">
        <f t="shared" si="2"/>
        <v>0.93373299813060018</v>
      </c>
      <c r="X25" s="24">
        <f t="shared" si="3"/>
        <v>0.26774491682070239</v>
      </c>
      <c r="Y25" s="26">
        <v>1</v>
      </c>
      <c r="Z25" s="24">
        <v>0</v>
      </c>
      <c r="AA25" s="24">
        <v>1</v>
      </c>
      <c r="AB25" s="26">
        <v>1</v>
      </c>
      <c r="AC25" s="26">
        <v>0</v>
      </c>
      <c r="AD25" s="26">
        <v>1</v>
      </c>
      <c r="AE25" s="26"/>
    </row>
    <row r="26" spans="1:31" x14ac:dyDescent="0.15">
      <c r="A26" s="24" t="s">
        <v>77</v>
      </c>
      <c r="B26" s="90" t="s">
        <v>102</v>
      </c>
      <c r="C26" s="24" t="s">
        <v>403</v>
      </c>
      <c r="D26" s="44" t="s">
        <v>82</v>
      </c>
      <c r="E26" s="44" t="s">
        <v>293</v>
      </c>
      <c r="F26" s="44" t="s">
        <v>580</v>
      </c>
      <c r="G26" s="44" t="s">
        <v>625</v>
      </c>
      <c r="H26" s="44" t="s">
        <v>640</v>
      </c>
      <c r="I26" s="44" t="s">
        <v>455</v>
      </c>
      <c r="J26" s="44" t="s">
        <v>613</v>
      </c>
      <c r="K26" s="44" t="s">
        <v>518</v>
      </c>
      <c r="L26" s="44" t="s">
        <v>735</v>
      </c>
      <c r="M26" s="27">
        <v>3336.75</v>
      </c>
      <c r="N26" s="26">
        <v>3500</v>
      </c>
      <c r="Q26" s="27">
        <v>645.5</v>
      </c>
      <c r="R26" s="27">
        <v>600.1</v>
      </c>
      <c r="S26" s="27">
        <v>813.75</v>
      </c>
      <c r="T26" s="27">
        <v>2232.9</v>
      </c>
      <c r="U26" s="24">
        <f t="shared" ref="U26:U41" si="4">S26/R26</f>
        <v>1.3560239960006666</v>
      </c>
      <c r="V26" s="24">
        <f t="shared" ref="V26:V41" si="5">S26/Q26</f>
        <v>1.2606506584043378</v>
      </c>
      <c r="W26" s="24">
        <f t="shared" si="2"/>
        <v>0.92966692486444624</v>
      </c>
      <c r="Y26" s="26">
        <v>0</v>
      </c>
      <c r="Z26" s="24">
        <v>1</v>
      </c>
      <c r="AA26" s="24">
        <f t="shared" ref="AA26:AA41" si="6">SUM(Y26:Z26)</f>
        <v>1</v>
      </c>
      <c r="AB26" s="26">
        <v>0</v>
      </c>
      <c r="AC26" s="26">
        <v>1</v>
      </c>
      <c r="AD26" s="26">
        <v>0</v>
      </c>
      <c r="AE26" s="26"/>
    </row>
    <row r="27" spans="1:31" x14ac:dyDescent="0.15">
      <c r="A27" s="24" t="s">
        <v>77</v>
      </c>
      <c r="B27" s="90" t="s">
        <v>126</v>
      </c>
      <c r="C27" s="24" t="s">
        <v>403</v>
      </c>
      <c r="D27" s="44" t="s">
        <v>82</v>
      </c>
      <c r="E27" s="44" t="s">
        <v>293</v>
      </c>
      <c r="F27" s="44" t="s">
        <v>580</v>
      </c>
      <c r="G27" s="44" t="s">
        <v>625</v>
      </c>
      <c r="H27" s="44" t="s">
        <v>640</v>
      </c>
      <c r="I27" s="44" t="s">
        <v>455</v>
      </c>
      <c r="J27" s="44" t="s">
        <v>613</v>
      </c>
      <c r="K27" s="44" t="s">
        <v>518</v>
      </c>
      <c r="L27" s="44" t="s">
        <v>735</v>
      </c>
      <c r="M27" s="26">
        <v>3000</v>
      </c>
      <c r="N27" s="26">
        <v>3000</v>
      </c>
      <c r="O27" s="27"/>
      <c r="P27" s="27"/>
      <c r="Q27" s="27">
        <v>755.6</v>
      </c>
      <c r="R27" s="27">
        <v>721.4</v>
      </c>
      <c r="S27" s="27">
        <v>946</v>
      </c>
      <c r="T27" s="27"/>
      <c r="U27" s="24">
        <f t="shared" si="4"/>
        <v>1.3113390629331856</v>
      </c>
      <c r="V27" s="24">
        <f t="shared" si="5"/>
        <v>1.2519851773425092</v>
      </c>
      <c r="W27" s="24">
        <f t="shared" si="2"/>
        <v>0.95473795659078875</v>
      </c>
      <c r="Y27" s="26">
        <v>0</v>
      </c>
      <c r="Z27" s="24">
        <v>0</v>
      </c>
      <c r="AA27" s="24">
        <f t="shared" si="6"/>
        <v>0</v>
      </c>
      <c r="AB27" s="26">
        <v>1</v>
      </c>
      <c r="AC27" s="26">
        <v>0</v>
      </c>
      <c r="AD27" s="26">
        <v>0</v>
      </c>
      <c r="AE27" s="26"/>
    </row>
    <row r="28" spans="1:31" x14ac:dyDescent="0.15">
      <c r="A28" s="24" t="s">
        <v>77</v>
      </c>
      <c r="B28" s="90" t="s">
        <v>76</v>
      </c>
      <c r="C28" s="24" t="s">
        <v>403</v>
      </c>
      <c r="D28" s="44" t="s">
        <v>82</v>
      </c>
      <c r="E28" s="44" t="s">
        <v>293</v>
      </c>
      <c r="F28" s="44" t="s">
        <v>580</v>
      </c>
      <c r="G28" s="44" t="s">
        <v>625</v>
      </c>
      <c r="H28" s="44" t="s">
        <v>640</v>
      </c>
      <c r="I28" s="44" t="s">
        <v>455</v>
      </c>
      <c r="J28" s="44" t="s">
        <v>613</v>
      </c>
      <c r="K28" s="44" t="s">
        <v>518</v>
      </c>
      <c r="L28" s="44" t="s">
        <v>735</v>
      </c>
      <c r="M28" s="27">
        <v>3520</v>
      </c>
      <c r="N28" s="26">
        <v>3500</v>
      </c>
      <c r="O28" s="27"/>
      <c r="P28" s="27"/>
      <c r="Q28" s="27">
        <v>1233</v>
      </c>
      <c r="R28" s="27">
        <v>1155</v>
      </c>
      <c r="S28" s="27">
        <v>1503</v>
      </c>
      <c r="T28" s="27"/>
      <c r="U28" s="24">
        <f t="shared" si="4"/>
        <v>1.3012987012987014</v>
      </c>
      <c r="V28" s="24">
        <f t="shared" si="5"/>
        <v>1.218978102189781</v>
      </c>
      <c r="W28" s="24">
        <f t="shared" si="2"/>
        <v>0.93673965936739656</v>
      </c>
      <c r="Y28" s="26">
        <v>0</v>
      </c>
      <c r="Z28" s="24">
        <v>0</v>
      </c>
      <c r="AA28" s="24">
        <f t="shared" si="6"/>
        <v>0</v>
      </c>
      <c r="AB28" s="26">
        <v>1</v>
      </c>
      <c r="AC28" s="26">
        <v>1</v>
      </c>
      <c r="AD28" s="26">
        <v>0</v>
      </c>
      <c r="AE28" s="26"/>
    </row>
    <row r="29" spans="1:31" x14ac:dyDescent="0.15">
      <c r="A29" s="24" t="s">
        <v>77</v>
      </c>
      <c r="B29" s="90" t="s">
        <v>381</v>
      </c>
      <c r="C29" s="24" t="s">
        <v>403</v>
      </c>
      <c r="D29" s="44" t="s">
        <v>148</v>
      </c>
      <c r="E29" s="44" t="s">
        <v>494</v>
      </c>
      <c r="F29" s="44" t="s">
        <v>580</v>
      </c>
      <c r="G29" s="44" t="s">
        <v>457</v>
      </c>
      <c r="H29" s="44" t="s">
        <v>634</v>
      </c>
      <c r="I29" s="44" t="s">
        <v>454</v>
      </c>
      <c r="J29" s="44" t="s">
        <v>614</v>
      </c>
      <c r="K29" s="44" t="s">
        <v>582</v>
      </c>
      <c r="L29" s="44" t="s">
        <v>735</v>
      </c>
      <c r="M29" s="27">
        <v>786.1</v>
      </c>
      <c r="N29" s="26">
        <v>800</v>
      </c>
      <c r="O29" s="27">
        <v>786.1</v>
      </c>
      <c r="P29" s="27">
        <f>S29+T29</f>
        <v>786.1</v>
      </c>
      <c r="Q29" s="27">
        <v>199.02</v>
      </c>
      <c r="R29" s="27">
        <v>192.7</v>
      </c>
      <c r="S29" s="27">
        <v>253.1</v>
      </c>
      <c r="T29" s="27">
        <v>533</v>
      </c>
      <c r="U29" s="24">
        <f t="shared" si="4"/>
        <v>1.3134405812143228</v>
      </c>
      <c r="V29" s="24">
        <f t="shared" si="5"/>
        <v>1.2717314842729373</v>
      </c>
      <c r="W29" s="24">
        <f t="shared" si="2"/>
        <v>0.96824439754798497</v>
      </c>
      <c r="X29" s="24">
        <f t="shared" ref="X29:X36" si="7">R29/P29</f>
        <v>0.24513420684391296</v>
      </c>
      <c r="Y29" s="26">
        <v>0</v>
      </c>
      <c r="Z29" s="24">
        <v>1</v>
      </c>
      <c r="AA29" s="24">
        <f t="shared" si="6"/>
        <v>1</v>
      </c>
      <c r="AB29" s="26">
        <v>1</v>
      </c>
      <c r="AC29" s="26">
        <v>0</v>
      </c>
      <c r="AD29" s="26">
        <v>1</v>
      </c>
    </row>
    <row r="30" spans="1:31" ht="13" customHeight="1" x14ac:dyDescent="0.15">
      <c r="A30" s="24" t="s">
        <v>77</v>
      </c>
      <c r="B30" s="90" t="s">
        <v>669</v>
      </c>
      <c r="C30" s="24" t="s">
        <v>403</v>
      </c>
      <c r="D30" s="29" t="s">
        <v>148</v>
      </c>
      <c r="E30" s="44" t="s">
        <v>494</v>
      </c>
      <c r="F30" s="29" t="s">
        <v>580</v>
      </c>
      <c r="G30" s="44" t="s">
        <v>457</v>
      </c>
      <c r="H30" s="44" t="s">
        <v>634</v>
      </c>
      <c r="I30" s="44" t="s">
        <v>454</v>
      </c>
      <c r="J30" s="44" t="s">
        <v>614</v>
      </c>
      <c r="K30" s="44" t="s">
        <v>582</v>
      </c>
      <c r="L30" s="44" t="s">
        <v>735</v>
      </c>
      <c r="M30" s="24">
        <v>875</v>
      </c>
      <c r="N30" s="29"/>
      <c r="O30" s="24">
        <v>875</v>
      </c>
      <c r="P30" s="24">
        <v>875</v>
      </c>
      <c r="Q30" s="27">
        <v>236</v>
      </c>
      <c r="R30" s="27">
        <v>214</v>
      </c>
      <c r="S30" s="27">
        <v>294.2</v>
      </c>
      <c r="T30" s="24">
        <f>P30-S30</f>
        <v>580.79999999999995</v>
      </c>
      <c r="U30" s="24">
        <f t="shared" si="4"/>
        <v>1.374766355140187</v>
      </c>
      <c r="V30" s="24">
        <f t="shared" si="5"/>
        <v>1.2466101694915255</v>
      </c>
      <c r="W30" s="24">
        <f t="shared" si="2"/>
        <v>0.90677966101694918</v>
      </c>
      <c r="X30" s="24">
        <f t="shared" si="7"/>
        <v>0.24457142857142858</v>
      </c>
      <c r="Y30" s="26">
        <v>0</v>
      </c>
      <c r="Z30" s="24">
        <v>1</v>
      </c>
      <c r="AA30" s="24">
        <f t="shared" si="6"/>
        <v>1</v>
      </c>
      <c r="AB30" s="26">
        <v>1</v>
      </c>
      <c r="AC30" s="26">
        <v>1</v>
      </c>
      <c r="AD30" s="26">
        <v>1</v>
      </c>
    </row>
    <row r="31" spans="1:31" x14ac:dyDescent="0.15">
      <c r="A31" s="24" t="s">
        <v>77</v>
      </c>
      <c r="B31" s="90" t="s">
        <v>382</v>
      </c>
      <c r="C31" s="24" t="s">
        <v>403</v>
      </c>
      <c r="D31" s="44" t="s">
        <v>148</v>
      </c>
      <c r="E31" s="44" t="s">
        <v>494</v>
      </c>
      <c r="F31" s="44" t="s">
        <v>580</v>
      </c>
      <c r="G31" s="44" t="s">
        <v>457</v>
      </c>
      <c r="H31" s="44" t="s">
        <v>634</v>
      </c>
      <c r="I31" s="44" t="s">
        <v>454</v>
      </c>
      <c r="J31" s="44" t="s">
        <v>614</v>
      </c>
      <c r="K31" s="44" t="s">
        <v>582</v>
      </c>
      <c r="L31" s="44" t="s">
        <v>735</v>
      </c>
      <c r="M31" s="27">
        <v>965.43</v>
      </c>
      <c r="N31" s="26">
        <v>1000</v>
      </c>
      <c r="O31" s="27">
        <v>965.43</v>
      </c>
      <c r="P31" s="27">
        <f>S31+T31</f>
        <v>965.43000000000006</v>
      </c>
      <c r="Q31" s="27">
        <v>305.83</v>
      </c>
      <c r="R31" s="27">
        <v>282.45999999999998</v>
      </c>
      <c r="S31" s="27">
        <v>375.45</v>
      </c>
      <c r="T31" s="27">
        <f>346.5+243.48</f>
        <v>589.98</v>
      </c>
      <c r="U31" s="24">
        <f t="shared" si="4"/>
        <v>1.3292147560716563</v>
      </c>
      <c r="V31" s="24">
        <f t="shared" si="5"/>
        <v>1.2276428080960011</v>
      </c>
      <c r="W31" s="24">
        <f t="shared" si="2"/>
        <v>0.92358499820161521</v>
      </c>
      <c r="X31" s="24">
        <f t="shared" si="7"/>
        <v>0.29257429332007495</v>
      </c>
      <c r="Y31" s="26">
        <v>0</v>
      </c>
      <c r="Z31" s="24">
        <v>1</v>
      </c>
      <c r="AA31" s="24">
        <f t="shared" si="6"/>
        <v>1</v>
      </c>
      <c r="AB31" s="26">
        <v>1</v>
      </c>
      <c r="AC31" s="26">
        <v>1</v>
      </c>
      <c r="AD31" s="26">
        <v>1</v>
      </c>
    </row>
    <row r="32" spans="1:31" x14ac:dyDescent="0.15">
      <c r="A32" s="24" t="s">
        <v>77</v>
      </c>
      <c r="B32" s="90" t="s">
        <v>384</v>
      </c>
      <c r="C32" s="24" t="s">
        <v>403</v>
      </c>
      <c r="D32" s="44" t="s">
        <v>148</v>
      </c>
      <c r="E32" s="44" t="s">
        <v>374</v>
      </c>
      <c r="F32" s="44" t="s">
        <v>580</v>
      </c>
      <c r="G32" s="44" t="s">
        <v>625</v>
      </c>
      <c r="H32" s="44" t="s">
        <v>634</v>
      </c>
      <c r="I32" s="44" t="s">
        <v>454</v>
      </c>
      <c r="J32" s="44" t="s">
        <v>614</v>
      </c>
      <c r="K32" s="30" t="s">
        <v>582</v>
      </c>
      <c r="L32" s="44" t="s">
        <v>735</v>
      </c>
      <c r="M32" s="27">
        <v>1545.5</v>
      </c>
      <c r="N32" s="26">
        <v>1500</v>
      </c>
      <c r="O32" s="27">
        <v>1545.5</v>
      </c>
      <c r="P32" s="27">
        <v>1545.5</v>
      </c>
      <c r="Q32" s="27">
        <v>408.8</v>
      </c>
      <c r="R32" s="27">
        <v>389</v>
      </c>
      <c r="S32" s="27">
        <v>511.5</v>
      </c>
      <c r="T32" s="27">
        <v>1034</v>
      </c>
      <c r="U32" s="24">
        <f t="shared" si="4"/>
        <v>1.3149100257069408</v>
      </c>
      <c r="V32" s="24">
        <f t="shared" si="5"/>
        <v>1.2512230919765166</v>
      </c>
      <c r="W32" s="24">
        <f t="shared" si="2"/>
        <v>0.95156555772994122</v>
      </c>
      <c r="X32" s="24">
        <f t="shared" si="7"/>
        <v>0.2516984794564866</v>
      </c>
      <c r="Y32" s="26">
        <v>0</v>
      </c>
      <c r="Z32" s="24">
        <v>1</v>
      </c>
      <c r="AA32" s="24">
        <f t="shared" si="6"/>
        <v>1</v>
      </c>
      <c r="AB32" s="26">
        <v>0</v>
      </c>
      <c r="AC32" s="26">
        <v>0</v>
      </c>
      <c r="AD32" s="26">
        <v>1</v>
      </c>
    </row>
    <row r="33" spans="1:30" x14ac:dyDescent="0.15">
      <c r="A33" s="24" t="s">
        <v>77</v>
      </c>
      <c r="B33" s="90" t="s">
        <v>584</v>
      </c>
      <c r="C33" s="24" t="s">
        <v>403</v>
      </c>
      <c r="D33" s="44" t="s">
        <v>148</v>
      </c>
      <c r="E33" s="44" t="s">
        <v>374</v>
      </c>
      <c r="F33" s="44" t="s">
        <v>580</v>
      </c>
      <c r="G33" s="44" t="s">
        <v>625</v>
      </c>
      <c r="H33" s="44" t="s">
        <v>640</v>
      </c>
      <c r="I33" s="44" t="s">
        <v>454</v>
      </c>
      <c r="J33" s="44" t="s">
        <v>614</v>
      </c>
      <c r="K33" s="44" t="s">
        <v>582</v>
      </c>
      <c r="L33" s="44" t="s">
        <v>735</v>
      </c>
      <c r="M33" s="26">
        <v>1687.51</v>
      </c>
      <c r="N33" s="26">
        <v>1700</v>
      </c>
      <c r="O33" s="26">
        <v>1687.51</v>
      </c>
      <c r="P33" s="26">
        <f>S33+T33</f>
        <v>1687.5100000000002</v>
      </c>
      <c r="Q33" s="26">
        <v>453.15</v>
      </c>
      <c r="R33" s="26">
        <v>422.55</v>
      </c>
      <c r="S33" s="26">
        <v>598.86</v>
      </c>
      <c r="T33" s="26">
        <f>789.98+298.67</f>
        <v>1088.6500000000001</v>
      </c>
      <c r="U33" s="24">
        <f t="shared" si="4"/>
        <v>1.4172523961661341</v>
      </c>
      <c r="V33" s="24">
        <f t="shared" si="5"/>
        <v>1.3215491559086396</v>
      </c>
      <c r="W33" s="24">
        <f t="shared" si="2"/>
        <v>0.93247269116186704</v>
      </c>
      <c r="X33" s="24">
        <f t="shared" si="7"/>
        <v>0.25039851615694125</v>
      </c>
      <c r="Y33" s="26">
        <v>0</v>
      </c>
      <c r="Z33" s="24">
        <v>1</v>
      </c>
      <c r="AA33" s="24">
        <f t="shared" si="6"/>
        <v>1</v>
      </c>
      <c r="AB33" s="26">
        <v>1</v>
      </c>
      <c r="AC33" s="26">
        <v>0</v>
      </c>
      <c r="AD33" s="26">
        <v>1</v>
      </c>
    </row>
    <row r="34" spans="1:30" x14ac:dyDescent="0.15">
      <c r="A34" s="24" t="s">
        <v>77</v>
      </c>
      <c r="B34" s="90" t="s">
        <v>368</v>
      </c>
      <c r="C34" s="24" t="s">
        <v>403</v>
      </c>
      <c r="D34" s="44" t="s">
        <v>148</v>
      </c>
      <c r="E34" s="44" t="s">
        <v>374</v>
      </c>
      <c r="F34" s="44" t="s">
        <v>580</v>
      </c>
      <c r="G34" s="44" t="s">
        <v>625</v>
      </c>
      <c r="H34" s="44" t="s">
        <v>640</v>
      </c>
      <c r="I34" s="44" t="s">
        <v>454</v>
      </c>
      <c r="J34" s="29" t="s">
        <v>614</v>
      </c>
      <c r="K34" s="44" t="s">
        <v>582</v>
      </c>
      <c r="L34" s="44" t="s">
        <v>735</v>
      </c>
      <c r="M34" s="27">
        <v>1933.19</v>
      </c>
      <c r="N34" s="26" t="s">
        <v>17</v>
      </c>
      <c r="O34" s="27">
        <v>1933.19</v>
      </c>
      <c r="P34" s="27">
        <f>S34+T34</f>
        <v>1933.19</v>
      </c>
      <c r="Q34" s="27">
        <v>545.29999999999995</v>
      </c>
      <c r="R34" s="27">
        <v>517.5</v>
      </c>
      <c r="S34" s="27">
        <v>690.97</v>
      </c>
      <c r="T34" s="27">
        <f>660.31+412.73+169.18</f>
        <v>1242.22</v>
      </c>
      <c r="U34" s="24">
        <f t="shared" si="4"/>
        <v>1.3352077294685991</v>
      </c>
      <c r="V34" s="24">
        <f t="shared" si="5"/>
        <v>1.2671373555840824</v>
      </c>
      <c r="W34" s="24">
        <f t="shared" si="2"/>
        <v>0.94901888868512752</v>
      </c>
      <c r="X34" s="24">
        <f t="shared" si="7"/>
        <v>0.26769225994340962</v>
      </c>
      <c r="Y34" s="26">
        <v>0</v>
      </c>
      <c r="Z34" s="24">
        <v>1</v>
      </c>
      <c r="AA34" s="24">
        <f t="shared" si="6"/>
        <v>1</v>
      </c>
      <c r="AB34" s="26">
        <v>1</v>
      </c>
      <c r="AC34" s="26">
        <v>0</v>
      </c>
      <c r="AD34" s="26">
        <v>1</v>
      </c>
    </row>
    <row r="35" spans="1:30" x14ac:dyDescent="0.15">
      <c r="A35" s="24" t="s">
        <v>77</v>
      </c>
      <c r="B35" s="90" t="s">
        <v>369</v>
      </c>
      <c r="C35" s="24" t="s">
        <v>403</v>
      </c>
      <c r="D35" s="44" t="s">
        <v>148</v>
      </c>
      <c r="E35" s="44" t="s">
        <v>374</v>
      </c>
      <c r="F35" s="44" t="s">
        <v>580</v>
      </c>
      <c r="G35" s="44" t="s">
        <v>625</v>
      </c>
      <c r="H35" s="44" t="s">
        <v>640</v>
      </c>
      <c r="I35" s="44" t="s">
        <v>455</v>
      </c>
      <c r="J35" s="44" t="s">
        <v>613</v>
      </c>
      <c r="K35" s="44" t="s">
        <v>582</v>
      </c>
      <c r="L35" s="44" t="s">
        <v>735</v>
      </c>
      <c r="M35" s="27">
        <v>2524.9700000000003</v>
      </c>
      <c r="N35" s="26">
        <v>2500</v>
      </c>
      <c r="O35" s="27">
        <v>2524.9700000000003</v>
      </c>
      <c r="P35" s="27">
        <f>T35+S35</f>
        <v>2524.9700000000003</v>
      </c>
      <c r="Q35" s="27">
        <v>663.72</v>
      </c>
      <c r="R35" s="27">
        <v>609.66</v>
      </c>
      <c r="S35" s="27">
        <v>810.17</v>
      </c>
      <c r="T35" s="27">
        <f>563.98+793.92+356.9</f>
        <v>1714.8000000000002</v>
      </c>
      <c r="U35" s="24">
        <f t="shared" si="4"/>
        <v>1.328888232785487</v>
      </c>
      <c r="V35" s="24">
        <f t="shared" si="5"/>
        <v>1.2206502742120171</v>
      </c>
      <c r="W35" s="24">
        <f t="shared" si="2"/>
        <v>0.91854999096004331</v>
      </c>
      <c r="X35" s="24">
        <f t="shared" si="7"/>
        <v>0.24145237369156858</v>
      </c>
      <c r="Y35" s="26">
        <v>0</v>
      </c>
      <c r="Z35" s="24">
        <v>1</v>
      </c>
      <c r="AA35" s="24">
        <f t="shared" si="6"/>
        <v>1</v>
      </c>
      <c r="AB35" s="26">
        <v>1</v>
      </c>
      <c r="AC35" s="26">
        <v>1</v>
      </c>
      <c r="AD35" s="26">
        <v>1</v>
      </c>
    </row>
    <row r="36" spans="1:30" x14ac:dyDescent="0.15">
      <c r="A36" s="24" t="s">
        <v>77</v>
      </c>
      <c r="B36" s="90" t="s">
        <v>588</v>
      </c>
      <c r="C36" s="24" t="s">
        <v>403</v>
      </c>
      <c r="D36" s="44" t="s">
        <v>148</v>
      </c>
      <c r="E36" s="44" t="s">
        <v>374</v>
      </c>
      <c r="F36" s="30" t="s">
        <v>580</v>
      </c>
      <c r="G36" s="44" t="s">
        <v>625</v>
      </c>
      <c r="H36" s="44" t="s">
        <v>640</v>
      </c>
      <c r="I36" s="44" t="s">
        <v>455</v>
      </c>
      <c r="J36" s="44" t="s">
        <v>613</v>
      </c>
      <c r="K36" s="44" t="s">
        <v>582</v>
      </c>
      <c r="L36" s="44" t="s">
        <v>735</v>
      </c>
      <c r="M36" s="24">
        <v>2740.86</v>
      </c>
      <c r="N36" s="26">
        <v>3000</v>
      </c>
      <c r="O36" s="24">
        <v>2740.86</v>
      </c>
      <c r="P36" s="24">
        <f>S36+T36</f>
        <v>2740.86</v>
      </c>
      <c r="Q36" s="27">
        <v>787.88</v>
      </c>
      <c r="R36" s="27">
        <v>728.36</v>
      </c>
      <c r="S36" s="27">
        <v>953.29</v>
      </c>
      <c r="T36" s="27">
        <f>835.59+585.04+366.94</f>
        <v>1787.5700000000002</v>
      </c>
      <c r="U36" s="24">
        <f t="shared" si="4"/>
        <v>1.3088170684826184</v>
      </c>
      <c r="V36" s="24">
        <f t="shared" si="5"/>
        <v>1.2099431385490176</v>
      </c>
      <c r="W36" s="24">
        <f t="shared" si="2"/>
        <v>0.92445550083769101</v>
      </c>
      <c r="X36" s="24">
        <f t="shared" si="7"/>
        <v>0.26574140963055393</v>
      </c>
      <c r="Y36" s="26">
        <v>0</v>
      </c>
      <c r="Z36" s="24">
        <v>1</v>
      </c>
      <c r="AA36" s="24">
        <f t="shared" si="6"/>
        <v>1</v>
      </c>
      <c r="AB36" s="24">
        <v>1</v>
      </c>
      <c r="AC36" s="24">
        <v>0</v>
      </c>
      <c r="AD36" s="26">
        <v>1</v>
      </c>
    </row>
    <row r="37" spans="1:30" x14ac:dyDescent="0.15">
      <c r="A37" s="24" t="s">
        <v>77</v>
      </c>
      <c r="B37" s="24" t="s">
        <v>372</v>
      </c>
      <c r="C37" s="24" t="s">
        <v>403</v>
      </c>
      <c r="D37" s="44" t="s">
        <v>148</v>
      </c>
      <c r="E37" s="44" t="s">
        <v>374</v>
      </c>
      <c r="F37" s="44" t="s">
        <v>580</v>
      </c>
      <c r="G37" s="44" t="s">
        <v>625</v>
      </c>
      <c r="H37" s="44" t="s">
        <v>634</v>
      </c>
      <c r="I37" s="44" t="s">
        <v>454</v>
      </c>
      <c r="J37" s="44" t="s">
        <v>614</v>
      </c>
      <c r="K37" s="30" t="s">
        <v>582</v>
      </c>
      <c r="L37" s="44" t="s">
        <v>735</v>
      </c>
      <c r="M37" s="26">
        <v>1500</v>
      </c>
      <c r="N37" s="26">
        <v>1500</v>
      </c>
      <c r="O37" s="27"/>
      <c r="P37" s="27"/>
      <c r="Q37" s="27">
        <v>336.4</v>
      </c>
      <c r="R37" s="27">
        <v>318.39999999999998</v>
      </c>
      <c r="S37" s="27">
        <v>435.9</v>
      </c>
      <c r="T37" s="27"/>
      <c r="U37" s="24">
        <f t="shared" si="4"/>
        <v>1.369032663316583</v>
      </c>
      <c r="V37" s="24">
        <f t="shared" si="5"/>
        <v>1.2957788347205708</v>
      </c>
      <c r="W37" s="24">
        <f t="shared" si="2"/>
        <v>0.94649227110582634</v>
      </c>
      <c r="Y37" s="26">
        <v>0</v>
      </c>
      <c r="Z37" s="24">
        <v>0</v>
      </c>
      <c r="AA37" s="24">
        <f t="shared" si="6"/>
        <v>0</v>
      </c>
      <c r="AB37" s="26">
        <v>1</v>
      </c>
      <c r="AC37" s="26">
        <v>0</v>
      </c>
      <c r="AD37" s="26">
        <v>0</v>
      </c>
    </row>
    <row r="38" spans="1:30" x14ac:dyDescent="0.15">
      <c r="A38" s="24" t="s">
        <v>77</v>
      </c>
      <c r="B38" s="90" t="s">
        <v>146</v>
      </c>
      <c r="C38" s="24" t="s">
        <v>403</v>
      </c>
      <c r="D38" s="44" t="s">
        <v>148</v>
      </c>
      <c r="E38" s="44" t="s">
        <v>374</v>
      </c>
      <c r="F38" s="44" t="s">
        <v>580</v>
      </c>
      <c r="G38" s="44" t="s">
        <v>625</v>
      </c>
      <c r="H38" s="44" t="s">
        <v>640</v>
      </c>
      <c r="I38" s="44" t="s">
        <v>455</v>
      </c>
      <c r="J38" s="44"/>
      <c r="K38" s="44" t="s">
        <v>582</v>
      </c>
      <c r="L38" s="44" t="s">
        <v>735</v>
      </c>
      <c r="M38" s="26">
        <v>2500</v>
      </c>
      <c r="N38" s="26">
        <v>2500</v>
      </c>
      <c r="O38" s="27"/>
      <c r="P38" s="27"/>
      <c r="Q38" s="27">
        <v>844.85699999999997</v>
      </c>
      <c r="R38" s="27">
        <v>791.63</v>
      </c>
      <c r="S38" s="27">
        <v>1040.0550000000001</v>
      </c>
      <c r="T38" s="27"/>
      <c r="U38" s="24">
        <f t="shared" si="4"/>
        <v>1.3138145345679169</v>
      </c>
      <c r="V38" s="24">
        <f t="shared" si="5"/>
        <v>1.2310426498212124</v>
      </c>
      <c r="W38" s="24">
        <f t="shared" si="2"/>
        <v>0.93699880571505001</v>
      </c>
      <c r="Y38" s="26">
        <v>0</v>
      </c>
      <c r="Z38" s="24">
        <v>0</v>
      </c>
      <c r="AA38" s="24">
        <f t="shared" si="6"/>
        <v>0</v>
      </c>
      <c r="AB38" s="26">
        <v>1</v>
      </c>
      <c r="AC38" s="26">
        <v>0</v>
      </c>
      <c r="AD38" s="26">
        <v>0</v>
      </c>
    </row>
    <row r="39" spans="1:30" x14ac:dyDescent="0.15">
      <c r="A39" s="24" t="s">
        <v>77</v>
      </c>
      <c r="B39" s="90" t="s">
        <v>366</v>
      </c>
      <c r="C39" s="24" t="s">
        <v>403</v>
      </c>
      <c r="D39" s="44" t="s">
        <v>148</v>
      </c>
      <c r="E39" s="44" t="s">
        <v>293</v>
      </c>
      <c r="F39" s="44" t="s">
        <v>580</v>
      </c>
      <c r="G39" s="44" t="s">
        <v>625</v>
      </c>
      <c r="H39" s="44" t="s">
        <v>640</v>
      </c>
      <c r="I39" s="44" t="s">
        <v>455</v>
      </c>
      <c r="J39" s="44" t="s">
        <v>613</v>
      </c>
      <c r="K39" s="44" t="s">
        <v>518</v>
      </c>
      <c r="L39" s="44" t="s">
        <v>735</v>
      </c>
      <c r="M39" s="26">
        <v>3000</v>
      </c>
      <c r="N39" s="26">
        <v>3000</v>
      </c>
      <c r="O39" s="27"/>
      <c r="P39" s="27"/>
      <c r="Q39" s="27">
        <v>391.7</v>
      </c>
      <c r="R39" s="27">
        <v>366.2</v>
      </c>
      <c r="S39" s="27">
        <v>482.4</v>
      </c>
      <c r="T39" s="27"/>
      <c r="U39" s="24">
        <f t="shared" si="4"/>
        <v>1.3173129437465865</v>
      </c>
      <c r="V39" s="24">
        <f t="shared" si="5"/>
        <v>1.2315547612969109</v>
      </c>
      <c r="W39" s="24">
        <f t="shared" si="2"/>
        <v>0.93489915751850905</v>
      </c>
      <c r="Y39" s="26">
        <v>0</v>
      </c>
      <c r="Z39" s="24">
        <v>0</v>
      </c>
      <c r="AA39" s="24">
        <f t="shared" si="6"/>
        <v>0</v>
      </c>
      <c r="AB39" s="26">
        <v>0</v>
      </c>
      <c r="AC39" s="26">
        <v>1</v>
      </c>
      <c r="AD39" s="26">
        <v>0</v>
      </c>
    </row>
    <row r="40" spans="1:30" x14ac:dyDescent="0.15">
      <c r="A40" s="24" t="s">
        <v>77</v>
      </c>
      <c r="B40" s="90" t="s">
        <v>375</v>
      </c>
      <c r="C40" s="24" t="s">
        <v>403</v>
      </c>
      <c r="D40" s="44" t="s">
        <v>148</v>
      </c>
      <c r="E40" s="44" t="s">
        <v>494</v>
      </c>
      <c r="F40" s="44" t="s">
        <v>580</v>
      </c>
      <c r="G40" s="44" t="s">
        <v>457</v>
      </c>
      <c r="H40" s="44" t="s">
        <v>634</v>
      </c>
      <c r="I40" s="44" t="s">
        <v>454</v>
      </c>
      <c r="J40" s="44" t="s">
        <v>614</v>
      </c>
      <c r="K40" s="30" t="s">
        <v>582</v>
      </c>
      <c r="L40" s="44" t="s">
        <v>735</v>
      </c>
      <c r="M40" s="27">
        <v>1000</v>
      </c>
      <c r="N40" s="26">
        <v>1000</v>
      </c>
      <c r="O40" s="27"/>
      <c r="P40" s="27"/>
      <c r="Q40" s="27">
        <v>539.9</v>
      </c>
      <c r="R40" s="27">
        <v>515.9</v>
      </c>
      <c r="S40" s="27">
        <v>666.7</v>
      </c>
      <c r="T40" s="27"/>
      <c r="U40" s="24">
        <f t="shared" si="4"/>
        <v>1.2923047102151581</v>
      </c>
      <c r="V40" s="24">
        <f t="shared" si="5"/>
        <v>1.2348583070939063</v>
      </c>
      <c r="W40" s="24">
        <f t="shared" si="2"/>
        <v>0.95554732357844041</v>
      </c>
      <c r="Y40" s="26">
        <v>0</v>
      </c>
      <c r="Z40" s="24">
        <v>0</v>
      </c>
      <c r="AA40" s="24">
        <f t="shared" si="6"/>
        <v>0</v>
      </c>
      <c r="AB40" s="26">
        <v>0</v>
      </c>
      <c r="AC40" s="26">
        <v>1</v>
      </c>
      <c r="AD40" s="26">
        <v>0</v>
      </c>
    </row>
    <row r="41" spans="1:30" x14ac:dyDescent="0.15">
      <c r="A41" s="24" t="s">
        <v>77</v>
      </c>
      <c r="B41" s="90" t="s">
        <v>587</v>
      </c>
      <c r="C41" s="24" t="s">
        <v>403</v>
      </c>
      <c r="D41" s="44" t="s">
        <v>148</v>
      </c>
      <c r="E41" s="44" t="s">
        <v>494</v>
      </c>
      <c r="F41" s="30" t="s">
        <v>580</v>
      </c>
      <c r="G41" s="44" t="s">
        <v>457</v>
      </c>
      <c r="H41" s="44" t="s">
        <v>634</v>
      </c>
      <c r="I41" s="44" t="s">
        <v>454</v>
      </c>
      <c r="J41" s="44" t="s">
        <v>614</v>
      </c>
      <c r="K41" s="30" t="s">
        <v>582</v>
      </c>
      <c r="L41" s="44" t="s">
        <v>735</v>
      </c>
      <c r="M41" s="88">
        <v>1200</v>
      </c>
      <c r="N41" s="26">
        <v>1200</v>
      </c>
      <c r="O41" s="27"/>
      <c r="P41" s="27">
        <f>S41+T41</f>
        <v>2051.8000000000002</v>
      </c>
      <c r="Q41" s="27">
        <v>579.29999999999995</v>
      </c>
      <c r="R41" s="27">
        <v>535</v>
      </c>
      <c r="S41" s="27">
        <v>719.8</v>
      </c>
      <c r="T41" s="27">
        <f>735+597</f>
        <v>1332</v>
      </c>
      <c r="U41" s="24">
        <f t="shared" si="4"/>
        <v>1.3454205607476635</v>
      </c>
      <c r="V41" s="24">
        <f t="shared" si="5"/>
        <v>1.242534092870706</v>
      </c>
      <c r="W41" s="24">
        <f t="shared" si="2"/>
        <v>0.92352839634041095</v>
      </c>
      <c r="X41" s="24">
        <f>R41/P41</f>
        <v>0.26074666146797931</v>
      </c>
      <c r="Y41" s="26">
        <v>0</v>
      </c>
      <c r="Z41" s="24">
        <v>0</v>
      </c>
      <c r="AA41" s="24">
        <f t="shared" si="6"/>
        <v>0</v>
      </c>
      <c r="AB41" s="26">
        <v>0</v>
      </c>
      <c r="AC41" s="26">
        <v>0</v>
      </c>
      <c r="AD41" s="26">
        <v>0</v>
      </c>
    </row>
    <row r="45" spans="1:30" x14ac:dyDescent="0.15">
      <c r="A45" s="90"/>
    </row>
    <row r="46" spans="1:30" x14ac:dyDescent="0.15">
      <c r="A46" s="90"/>
      <c r="AB46" s="24" t="s">
        <v>716</v>
      </c>
    </row>
    <row r="47" spans="1:30" x14ac:dyDescent="0.15">
      <c r="A47" s="90"/>
    </row>
    <row r="48" spans="1:30" x14ac:dyDescent="0.15">
      <c r="A48" s="90"/>
    </row>
    <row r="49" spans="1:1" x14ac:dyDescent="0.15">
      <c r="A49" s="90"/>
    </row>
    <row r="50" spans="1:1" x14ac:dyDescent="0.15">
      <c r="A50" s="90"/>
    </row>
    <row r="51" spans="1:1" x14ac:dyDescent="0.15">
      <c r="A51" s="90"/>
    </row>
  </sheetData>
  <sortState xmlns:xlrd2="http://schemas.microsoft.com/office/spreadsheetml/2017/richdata2" ref="A2:AD51">
    <sortCondition ref="D1:D51"/>
  </sortState>
  <phoneticPr fontId="5" type="noConversion"/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C642-22AA-F840-8F34-22061D77EAE3}">
  <dimension ref="A1:BH20"/>
  <sheetViews>
    <sheetView zoomScale="88" workbookViewId="0">
      <selection activeCell="AB2" sqref="AB2"/>
    </sheetView>
  </sheetViews>
  <sheetFormatPr baseColWidth="10" defaultRowHeight="14" x14ac:dyDescent="0.15"/>
  <cols>
    <col min="1" max="1" width="12.1640625" style="103" bestFit="1" customWidth="1"/>
    <col min="2" max="2" width="13.5" style="119" bestFit="1" customWidth="1"/>
    <col min="3" max="4" width="10.83203125" style="103"/>
    <col min="5" max="6" width="10.83203125" style="120"/>
    <col min="7" max="7" width="10.83203125" style="103"/>
    <col min="8" max="8" width="10.83203125" style="121"/>
    <col min="9" max="9" width="10.83203125" style="103"/>
    <col min="10" max="12" width="10.83203125" style="103" customWidth="1"/>
    <col min="13" max="13" width="6.5" style="103" customWidth="1"/>
    <col min="14" max="21" width="10.83203125" style="103" customWidth="1"/>
    <col min="22" max="39" width="10.83203125" style="103"/>
    <col min="40" max="40" width="7" style="103" bestFit="1" customWidth="1"/>
    <col min="41" max="51" width="10.83203125" style="103"/>
    <col min="52" max="59" width="10.83203125" style="103" customWidth="1"/>
    <col min="60" max="16384" width="10.83203125" style="103"/>
  </cols>
  <sheetData>
    <row r="1" spans="1:60" x14ac:dyDescent="0.15">
      <c r="A1" s="99" t="s">
        <v>0</v>
      </c>
      <c r="B1" s="100" t="s">
        <v>402</v>
      </c>
      <c r="C1" s="99" t="s">
        <v>400</v>
      </c>
      <c r="D1" s="99" t="s">
        <v>51</v>
      </c>
      <c r="E1" s="101" t="s">
        <v>442</v>
      </c>
      <c r="F1" s="101" t="s">
        <v>583</v>
      </c>
      <c r="G1" s="99" t="s">
        <v>502</v>
      </c>
      <c r="H1" s="102" t="s">
        <v>503</v>
      </c>
      <c r="I1" s="99" t="s">
        <v>510</v>
      </c>
      <c r="J1" s="99" t="s">
        <v>28</v>
      </c>
      <c r="K1" s="99" t="s">
        <v>6</v>
      </c>
      <c r="L1" s="99" t="s">
        <v>5</v>
      </c>
      <c r="M1" s="103" t="s">
        <v>487</v>
      </c>
      <c r="N1" s="104" t="s">
        <v>545</v>
      </c>
      <c r="O1" s="104" t="s">
        <v>546</v>
      </c>
      <c r="P1" s="104" t="s">
        <v>547</v>
      </c>
      <c r="Q1" s="104" t="s">
        <v>548</v>
      </c>
      <c r="R1" s="104" t="s">
        <v>549</v>
      </c>
      <c r="S1" s="104" t="s">
        <v>550</v>
      </c>
      <c r="T1" s="104" t="s">
        <v>559</v>
      </c>
      <c r="U1" s="104" t="s">
        <v>560</v>
      </c>
      <c r="V1" s="105" t="s">
        <v>504</v>
      </c>
      <c r="W1" s="105" t="s">
        <v>495</v>
      </c>
      <c r="X1" s="105" t="s">
        <v>650</v>
      </c>
      <c r="Y1" s="105" t="s">
        <v>686</v>
      </c>
      <c r="Z1" s="105" t="s">
        <v>687</v>
      </c>
      <c r="AA1" s="105" t="s">
        <v>679</v>
      </c>
      <c r="AB1" s="105" t="s">
        <v>505</v>
      </c>
      <c r="AC1" s="105" t="s">
        <v>496</v>
      </c>
      <c r="AD1" s="105" t="s">
        <v>651</v>
      </c>
      <c r="AE1" s="105" t="s">
        <v>688</v>
      </c>
      <c r="AF1" s="105" t="s">
        <v>689</v>
      </c>
      <c r="AG1" s="105" t="s">
        <v>680</v>
      </c>
      <c r="AH1" s="105" t="s">
        <v>506</v>
      </c>
      <c r="AI1" s="105" t="s">
        <v>498</v>
      </c>
      <c r="AJ1" s="105" t="s">
        <v>652</v>
      </c>
      <c r="AK1" s="105" t="s">
        <v>690</v>
      </c>
      <c r="AL1" s="105" t="s">
        <v>691</v>
      </c>
      <c r="AM1" s="105" t="s">
        <v>696</v>
      </c>
      <c r="AN1" s="105" t="s">
        <v>523</v>
      </c>
      <c r="AO1" s="105" t="s">
        <v>524</v>
      </c>
      <c r="AP1" s="105" t="s">
        <v>653</v>
      </c>
      <c r="AQ1" s="105" t="s">
        <v>693</v>
      </c>
      <c r="AR1" s="105" t="s">
        <v>694</v>
      </c>
      <c r="AS1" s="105" t="s">
        <v>695</v>
      </c>
      <c r="AT1" s="105" t="s">
        <v>507</v>
      </c>
      <c r="AU1" s="105" t="s">
        <v>499</v>
      </c>
      <c r="AV1" s="105" t="s">
        <v>654</v>
      </c>
      <c r="AW1" s="105" t="s">
        <v>697</v>
      </c>
      <c r="AX1" s="105" t="s">
        <v>698</v>
      </c>
      <c r="AY1" s="105" t="s">
        <v>681</v>
      </c>
      <c r="AZ1" s="105" t="s">
        <v>508</v>
      </c>
      <c r="BA1" s="105" t="s">
        <v>500</v>
      </c>
      <c r="BB1" s="105" t="s">
        <v>671</v>
      </c>
      <c r="BC1" s="105" t="s">
        <v>509</v>
      </c>
      <c r="BD1" s="105" t="s">
        <v>501</v>
      </c>
      <c r="BE1" s="105" t="s">
        <v>674</v>
      </c>
      <c r="BF1" s="105" t="s">
        <v>539</v>
      </c>
      <c r="BG1" s="105" t="s">
        <v>540</v>
      </c>
      <c r="BH1" s="105" t="s">
        <v>692</v>
      </c>
    </row>
    <row r="2" spans="1:60" x14ac:dyDescent="0.15">
      <c r="A2" s="106" t="s">
        <v>46</v>
      </c>
      <c r="B2" s="107" t="s">
        <v>493</v>
      </c>
      <c r="C2" s="106" t="s">
        <v>401</v>
      </c>
      <c r="D2" s="106" t="s">
        <v>82</v>
      </c>
      <c r="E2" s="108" t="s">
        <v>203</v>
      </c>
      <c r="F2" s="108" t="s">
        <v>581</v>
      </c>
      <c r="G2" s="109">
        <v>2590</v>
      </c>
      <c r="H2" s="106">
        <v>2590</v>
      </c>
      <c r="I2" s="108" t="s">
        <v>608</v>
      </c>
      <c r="J2" s="106">
        <v>601</v>
      </c>
      <c r="K2" s="106">
        <v>518</v>
      </c>
      <c r="L2" s="110">
        <v>820</v>
      </c>
      <c r="M2" s="103" t="s">
        <v>37</v>
      </c>
      <c r="N2" s="111">
        <f t="shared" ref="N2:N19" si="0">J2*4.2644-72.683</f>
        <v>2490.2213999999999</v>
      </c>
      <c r="O2" s="111">
        <f t="shared" ref="O2:O19" si="1">3.8815*J2-63.935</f>
        <v>2268.8465000000001</v>
      </c>
      <c r="P2" s="111">
        <f t="shared" ref="P2:P19" si="2">2.3514*J2^1.0772</f>
        <v>2315.95488531512</v>
      </c>
      <c r="Q2" s="111">
        <f>(0.1795+SQRT(0.000263*J2-0.071208))/0.00018</f>
        <v>2634.5095752984043</v>
      </c>
      <c r="R2" s="111">
        <f t="shared" ref="R2:R19" si="3">J2/0.26</f>
        <v>2311.5384615384614</v>
      </c>
      <c r="S2" s="112">
        <f t="shared" ref="S2:S19" si="4">3.4782*J2 + 77.845</f>
        <v>2168.2431999999999</v>
      </c>
      <c r="T2" s="112">
        <f t="shared" ref="T2:T19" si="5">4.5772*J2^0.9635</f>
        <v>2177.9376521427748</v>
      </c>
      <c r="U2" s="112">
        <f t="shared" ref="U2:U19" si="6">-0.0029*J2^2+6.2586*J2-453.93</f>
        <v>2260.0057000000006</v>
      </c>
      <c r="V2" s="113">
        <f t="shared" ref="V2:V19" si="7">(5.2961*K2)-72.683</f>
        <v>2670.6968000000002</v>
      </c>
      <c r="W2" s="113">
        <f t="shared" ref="W2:W19" si="8">V2-G2</f>
        <v>80.696800000000167</v>
      </c>
      <c r="X2" s="113">
        <f t="shared" ref="X2:X19" si="9">ABS(W2)</f>
        <v>80.696800000000167</v>
      </c>
      <c r="Y2" s="113">
        <f t="shared" ref="Y2:Y19" si="10">W2/G2*100</f>
        <v>3.1157065637065702</v>
      </c>
      <c r="Z2" s="113">
        <f t="shared" ref="Z2:Z19" si="11">ABS(Y2)</f>
        <v>3.1157065637065702</v>
      </c>
      <c r="AA2" s="113">
        <f t="shared" ref="AA2:AA19" si="12">LOG10(X2+1)</f>
        <v>1.9122050458890958</v>
      </c>
      <c r="AB2" s="113">
        <f t="shared" ref="AB2:AB19" si="13">K2*4.8904-75.012</f>
        <v>2458.2151999999996</v>
      </c>
      <c r="AC2" s="113">
        <f t="shared" ref="AC2:AC19" si="14">AB2-G2</f>
        <v>-131.78480000000036</v>
      </c>
      <c r="AD2" s="113">
        <f t="shared" ref="AD2:AD19" si="15">ABS(AC2)</f>
        <v>131.78480000000036</v>
      </c>
      <c r="AE2" s="113">
        <f t="shared" ref="AE2:AE19" si="16">AC2/G2*100</f>
        <v>-5.0882162162162299</v>
      </c>
      <c r="AF2" s="113">
        <f t="shared" ref="AF2:AF19" si="17">ABS(AE2)</f>
        <v>5.0882162162162299</v>
      </c>
      <c r="AG2" s="113">
        <f t="shared" ref="AG2:AG19" si="18">LOG10(AD2+1)</f>
        <v>2.1231483637824695</v>
      </c>
      <c r="AH2" s="113">
        <f t="shared" ref="AH2:AH19" si="19">2.5626*K2^1.1052</f>
        <v>2561.8758059145525</v>
      </c>
      <c r="AI2" s="113">
        <f t="shared" ref="AI2:AI19" si="20">AH2-G2</f>
        <v>-28.124194085447471</v>
      </c>
      <c r="AJ2" s="113">
        <f t="shared" ref="AJ2:AJ19" si="21">ABS(AI2)</f>
        <v>28.124194085447471</v>
      </c>
      <c r="AK2" s="113">
        <f t="shared" ref="AK2:AK19" si="22">AI2/G2*100</f>
        <v>-1.0858762195153464</v>
      </c>
      <c r="AL2" s="113">
        <f t="shared" ref="AL2:AL19" si="23">ABS(AK2)</f>
        <v>1.0858762195153464</v>
      </c>
      <c r="AM2" s="113">
        <f t="shared" ref="AM2:AM19" si="24">LOG10(AJ2+1)</f>
        <v>1.4642539165547415</v>
      </c>
      <c r="AN2" s="114">
        <f t="shared" ref="AN2:AN9" si="25">(0.1795+SQRT(0.00036*K2-0.071208))/0.00018</f>
        <v>2883.4294689949033</v>
      </c>
      <c r="AO2" s="113">
        <f t="shared" ref="AO2:AO9" si="26">AN2-G2</f>
        <v>293.42946899490335</v>
      </c>
      <c r="AP2" s="113">
        <f t="shared" ref="AP2:AP9" si="27">ABS(AO2)</f>
        <v>293.42946899490335</v>
      </c>
      <c r="AQ2" s="113">
        <f t="shared" ref="AQ2:AQ9" si="28">AO2/G2*100</f>
        <v>11.329323127216345</v>
      </c>
      <c r="AR2" s="113">
        <f t="shared" ref="AR2:AR9" si="29">ABS(AQ2)</f>
        <v>11.329323127216345</v>
      </c>
      <c r="AS2" s="113">
        <f t="shared" ref="AS2:AS9" si="30">LOG10(AN2+1)</f>
        <v>3.4600599239144363</v>
      </c>
      <c r="AT2" s="113">
        <f t="shared" ref="AT2:AT19" si="31">K2/0.2</f>
        <v>2590</v>
      </c>
      <c r="AU2" s="113">
        <f t="shared" ref="AU2:AU19" si="32">AT2-G2</f>
        <v>0</v>
      </c>
      <c r="AV2" s="113">
        <f t="shared" ref="AV2:AV19" si="33">ABS(AU2)</f>
        <v>0</v>
      </c>
      <c r="AW2" s="113">
        <f t="shared" ref="AW2:AW19" si="34">AU2/G2*100</f>
        <v>0</v>
      </c>
      <c r="AX2" s="113">
        <f t="shared" ref="AX2:AX19" si="35">ABS(AW2)</f>
        <v>0</v>
      </c>
      <c r="AY2" s="113">
        <f t="shared" ref="AY2:AY19" si="36">LOG10(AV2+1)</f>
        <v>0</v>
      </c>
      <c r="AZ2" s="113">
        <f t="shared" ref="AZ2:AZ19" si="37">4.0167*K2 + 167.41</f>
        <v>2248.0605999999998</v>
      </c>
      <c r="BA2" s="113">
        <f t="shared" ref="BA2:BA19" si="38">AZ2-G2</f>
        <v>-341.93940000000021</v>
      </c>
      <c r="BB2" s="113">
        <f t="shared" ref="BB2:BB19" si="39">ABS(BA2)</f>
        <v>341.93940000000021</v>
      </c>
      <c r="BC2" s="113">
        <f t="shared" ref="BC2:BC19" si="40">8.3644*(K2^0.8953)</f>
        <v>2252.0302886259578</v>
      </c>
      <c r="BD2" s="113">
        <f t="shared" ref="BD2:BD19" si="41">BC2-G2</f>
        <v>-337.96971137404216</v>
      </c>
      <c r="BE2" s="113">
        <f t="shared" ref="BE2:BE19" si="42">ABS(BD2)</f>
        <v>337.96971137404216</v>
      </c>
      <c r="BF2" s="113">
        <f t="shared" ref="BF2:BF19" si="43">-0.002*K2^2+5.64*K2-84.5</f>
        <v>2300.3719999999998</v>
      </c>
      <c r="BG2" s="113">
        <f t="shared" ref="BG2:BG19" si="44">BF2-G2</f>
        <v>-289.62800000000016</v>
      </c>
      <c r="BH2" s="113">
        <f t="shared" ref="BH2:BH19" si="45">ABS(BG2)</f>
        <v>289.62800000000016</v>
      </c>
    </row>
    <row r="3" spans="1:60" x14ac:dyDescent="0.15">
      <c r="A3" s="116" t="s">
        <v>46</v>
      </c>
      <c r="B3" s="116" t="s">
        <v>592</v>
      </c>
      <c r="C3" s="106" t="s">
        <v>403</v>
      </c>
      <c r="D3" s="116" t="s">
        <v>82</v>
      </c>
      <c r="E3" s="108" t="s">
        <v>203</v>
      </c>
      <c r="F3" s="108" t="s">
        <v>581</v>
      </c>
      <c r="G3" s="109">
        <v>2914</v>
      </c>
      <c r="H3" s="109">
        <v>2200</v>
      </c>
      <c r="I3" s="108" t="s">
        <v>608</v>
      </c>
      <c r="J3" s="109">
        <v>755</v>
      </c>
      <c r="K3" s="109">
        <v>677</v>
      </c>
      <c r="L3" s="109">
        <v>982.9</v>
      </c>
      <c r="M3" s="103" t="s">
        <v>37</v>
      </c>
      <c r="N3" s="111">
        <f t="shared" si="0"/>
        <v>3146.9390000000003</v>
      </c>
      <c r="O3" s="111">
        <f t="shared" si="1"/>
        <v>2866.5974999999999</v>
      </c>
      <c r="P3" s="111">
        <f t="shared" si="2"/>
        <v>2961.0856536149267</v>
      </c>
      <c r="Q3" s="111">
        <f>(0.1795+SQRT(0.000263*J3-0.071208))/0.00018</f>
        <v>2979.8395844326592</v>
      </c>
      <c r="R3" s="111">
        <f t="shared" si="3"/>
        <v>2903.8461538461538</v>
      </c>
      <c r="S3" s="112">
        <f t="shared" si="4"/>
        <v>2703.886</v>
      </c>
      <c r="T3" s="112">
        <f t="shared" si="5"/>
        <v>2713.3247552368493</v>
      </c>
      <c r="U3" s="112">
        <f t="shared" si="6"/>
        <v>2618.2405000000003</v>
      </c>
      <c r="V3" s="113">
        <f t="shared" si="7"/>
        <v>3512.7766999999999</v>
      </c>
      <c r="W3" s="113">
        <f t="shared" si="8"/>
        <v>598.77669999999989</v>
      </c>
      <c r="X3" s="113">
        <f t="shared" si="9"/>
        <v>598.77669999999989</v>
      </c>
      <c r="Y3" s="113">
        <f t="shared" si="10"/>
        <v>20.548273850377484</v>
      </c>
      <c r="Z3" s="113">
        <f t="shared" si="11"/>
        <v>20.548273850377484</v>
      </c>
      <c r="AA3" s="113">
        <f t="shared" si="12"/>
        <v>2.7779895903698613</v>
      </c>
      <c r="AB3" s="113">
        <f t="shared" si="13"/>
        <v>3235.7887999999998</v>
      </c>
      <c r="AC3" s="113">
        <f t="shared" si="14"/>
        <v>321.78879999999981</v>
      </c>
      <c r="AD3" s="113">
        <f t="shared" si="15"/>
        <v>321.78879999999981</v>
      </c>
      <c r="AE3" s="113">
        <f t="shared" si="16"/>
        <v>11.04285518188057</v>
      </c>
      <c r="AF3" s="113">
        <f t="shared" si="17"/>
        <v>11.04285518188057</v>
      </c>
      <c r="AG3" s="113">
        <f t="shared" si="18"/>
        <v>2.5089184573307555</v>
      </c>
      <c r="AH3" s="113">
        <f t="shared" si="19"/>
        <v>3443.875306618022</v>
      </c>
      <c r="AI3" s="113">
        <f t="shared" si="20"/>
        <v>529.87530661802202</v>
      </c>
      <c r="AJ3" s="113">
        <f t="shared" si="21"/>
        <v>529.87530661802202</v>
      </c>
      <c r="AK3" s="113">
        <f t="shared" si="22"/>
        <v>18.183778538710431</v>
      </c>
      <c r="AL3" s="113">
        <f t="shared" si="23"/>
        <v>18.183778538710431</v>
      </c>
      <c r="AM3" s="113">
        <f t="shared" si="24"/>
        <v>2.7249925248345757</v>
      </c>
      <c r="AN3" s="114">
        <f t="shared" si="25"/>
        <v>3304.6979955391257</v>
      </c>
      <c r="AO3" s="113">
        <f t="shared" si="26"/>
        <v>390.69799553912571</v>
      </c>
      <c r="AP3" s="113">
        <f t="shared" si="27"/>
        <v>390.69799553912571</v>
      </c>
      <c r="AQ3" s="113">
        <f t="shared" si="28"/>
        <v>13.407618240875967</v>
      </c>
      <c r="AR3" s="113">
        <f t="shared" si="29"/>
        <v>13.407618240875967</v>
      </c>
      <c r="AS3" s="113">
        <f t="shared" si="30"/>
        <v>3.519263174443553</v>
      </c>
      <c r="AT3" s="113">
        <f t="shared" si="31"/>
        <v>3385</v>
      </c>
      <c r="AU3" s="113">
        <f t="shared" si="32"/>
        <v>471</v>
      </c>
      <c r="AV3" s="113">
        <f t="shared" si="33"/>
        <v>471</v>
      </c>
      <c r="AW3" s="113">
        <f t="shared" si="34"/>
        <v>16.163349347975291</v>
      </c>
      <c r="AX3" s="113">
        <f t="shared" si="35"/>
        <v>16.163349347975291</v>
      </c>
      <c r="AY3" s="113">
        <f t="shared" si="36"/>
        <v>2.673941998634088</v>
      </c>
      <c r="AZ3" s="113">
        <f t="shared" si="37"/>
        <v>2886.7159000000001</v>
      </c>
      <c r="BA3" s="113">
        <f t="shared" si="38"/>
        <v>-27.284099999999853</v>
      </c>
      <c r="BB3" s="113">
        <f t="shared" si="39"/>
        <v>27.284099999999853</v>
      </c>
      <c r="BC3" s="113">
        <f t="shared" si="40"/>
        <v>2861.9420020216394</v>
      </c>
      <c r="BD3" s="113">
        <f t="shared" si="41"/>
        <v>-52.057997978360618</v>
      </c>
      <c r="BE3" s="113">
        <f t="shared" si="42"/>
        <v>52.057997978360618</v>
      </c>
      <c r="BF3" s="113">
        <f t="shared" si="43"/>
        <v>2817.1219999999998</v>
      </c>
      <c r="BG3" s="113">
        <f t="shared" si="44"/>
        <v>-96.878000000000156</v>
      </c>
      <c r="BH3" s="113">
        <f t="shared" si="45"/>
        <v>96.878000000000156</v>
      </c>
    </row>
    <row r="4" spans="1:60" x14ac:dyDescent="0.15">
      <c r="A4" s="116" t="s">
        <v>46</v>
      </c>
      <c r="B4" s="116" t="s">
        <v>591</v>
      </c>
      <c r="C4" s="106" t="s">
        <v>403</v>
      </c>
      <c r="D4" s="116" t="s">
        <v>82</v>
      </c>
      <c r="E4" s="108" t="s">
        <v>203</v>
      </c>
      <c r="F4" s="108" t="s">
        <v>581</v>
      </c>
      <c r="G4" s="109">
        <v>2505</v>
      </c>
      <c r="H4" s="109">
        <v>2200</v>
      </c>
      <c r="I4" s="108" t="s">
        <v>608</v>
      </c>
      <c r="J4" s="109">
        <v>712.8</v>
      </c>
      <c r="K4" s="109">
        <v>575</v>
      </c>
      <c r="L4" s="109">
        <v>928.5</v>
      </c>
      <c r="M4" s="103" t="s">
        <v>37</v>
      </c>
      <c r="N4" s="111">
        <f t="shared" si="0"/>
        <v>2966.9813199999999</v>
      </c>
      <c r="O4" s="111">
        <f t="shared" si="1"/>
        <v>2702.7981999999997</v>
      </c>
      <c r="P4" s="111">
        <f t="shared" si="2"/>
        <v>2783.1929179051754</v>
      </c>
      <c r="Q4" s="111">
        <f>(0.1795+SQRT(0.000263*J4-0.071208))/0.00018</f>
        <v>2891.4825586655056</v>
      </c>
      <c r="R4" s="111">
        <f t="shared" si="3"/>
        <v>2741.5384615384614</v>
      </c>
      <c r="S4" s="112">
        <f t="shared" si="4"/>
        <v>2557.1059599999999</v>
      </c>
      <c r="T4" s="112">
        <f t="shared" si="5"/>
        <v>2567.049596888437</v>
      </c>
      <c r="U4" s="112">
        <f t="shared" si="6"/>
        <v>2533.7569440000002</v>
      </c>
      <c r="V4" s="113">
        <f t="shared" si="7"/>
        <v>2972.5745000000002</v>
      </c>
      <c r="W4" s="113">
        <f t="shared" si="8"/>
        <v>467.57450000000017</v>
      </c>
      <c r="X4" s="113">
        <f t="shared" si="9"/>
        <v>467.57450000000017</v>
      </c>
      <c r="Y4" s="113">
        <f t="shared" si="10"/>
        <v>18.665648702594815</v>
      </c>
      <c r="Z4" s="113">
        <f t="shared" si="11"/>
        <v>18.665648702594815</v>
      </c>
      <c r="AA4" s="113">
        <f t="shared" si="12"/>
        <v>2.6707786504354587</v>
      </c>
      <c r="AB4" s="113">
        <f t="shared" si="13"/>
        <v>2736.9679999999994</v>
      </c>
      <c r="AC4" s="113">
        <f t="shared" si="14"/>
        <v>231.96799999999939</v>
      </c>
      <c r="AD4" s="113">
        <f t="shared" si="15"/>
        <v>231.96799999999939</v>
      </c>
      <c r="AE4" s="113">
        <f t="shared" si="16"/>
        <v>9.2601996007983782</v>
      </c>
      <c r="AF4" s="113">
        <f t="shared" si="17"/>
        <v>9.2601996007983782</v>
      </c>
      <c r="AG4" s="113">
        <f t="shared" si="18"/>
        <v>2.3672962713357268</v>
      </c>
      <c r="AH4" s="113">
        <f t="shared" si="19"/>
        <v>2875.1845347814906</v>
      </c>
      <c r="AI4" s="113">
        <f t="shared" si="20"/>
        <v>370.18453478149058</v>
      </c>
      <c r="AJ4" s="113">
        <f t="shared" si="21"/>
        <v>370.18453478149058</v>
      </c>
      <c r="AK4" s="113">
        <f t="shared" si="22"/>
        <v>14.777825739780063</v>
      </c>
      <c r="AL4" s="113">
        <f t="shared" si="23"/>
        <v>14.777825739780063</v>
      </c>
      <c r="AM4" s="113">
        <f t="shared" si="24"/>
        <v>2.5695898732607869</v>
      </c>
      <c r="AN4" s="114">
        <f t="shared" si="25"/>
        <v>3044.442559926767</v>
      </c>
      <c r="AO4" s="113">
        <f t="shared" si="26"/>
        <v>539.44255992676699</v>
      </c>
      <c r="AP4" s="113">
        <f t="shared" si="27"/>
        <v>539.44255992676699</v>
      </c>
      <c r="AQ4" s="113">
        <f t="shared" si="28"/>
        <v>21.534633130809063</v>
      </c>
      <c r="AR4" s="113">
        <f t="shared" si="29"/>
        <v>21.534633130809063</v>
      </c>
      <c r="AS4" s="113">
        <f t="shared" si="30"/>
        <v>3.483650412689157</v>
      </c>
      <c r="AT4" s="113">
        <f>K4/0.2</f>
        <v>2875</v>
      </c>
      <c r="AU4" s="113">
        <f t="shared" si="32"/>
        <v>370</v>
      </c>
      <c r="AV4" s="113">
        <f t="shared" si="33"/>
        <v>370</v>
      </c>
      <c r="AW4" s="113">
        <f t="shared" si="34"/>
        <v>14.770459081836327</v>
      </c>
      <c r="AX4" s="113">
        <f t="shared" si="35"/>
        <v>14.770459081836327</v>
      </c>
      <c r="AY4" s="113">
        <f t="shared" si="36"/>
        <v>2.5693739096150461</v>
      </c>
      <c r="AZ4" s="113">
        <f t="shared" si="37"/>
        <v>2477.0124999999998</v>
      </c>
      <c r="BA4" s="113">
        <f t="shared" si="38"/>
        <v>-27.987500000000182</v>
      </c>
      <c r="BB4" s="113">
        <f t="shared" si="39"/>
        <v>27.987500000000182</v>
      </c>
      <c r="BC4" s="113">
        <f t="shared" si="40"/>
        <v>2472.6657581471582</v>
      </c>
      <c r="BD4" s="113">
        <f t="shared" si="41"/>
        <v>-32.334241852841842</v>
      </c>
      <c r="BE4" s="113">
        <f t="shared" si="42"/>
        <v>32.334241852841842</v>
      </c>
      <c r="BF4" s="113">
        <f t="shared" si="43"/>
        <v>2497.25</v>
      </c>
      <c r="BG4" s="113">
        <f t="shared" si="44"/>
        <v>-7.75</v>
      </c>
      <c r="BH4" s="113">
        <f t="shared" si="45"/>
        <v>7.75</v>
      </c>
    </row>
    <row r="5" spans="1:60" ht="15" x14ac:dyDescent="0.2">
      <c r="A5" s="115" t="s">
        <v>46</v>
      </c>
      <c r="B5" s="116" t="s">
        <v>466</v>
      </c>
      <c r="C5" s="106" t="s">
        <v>458</v>
      </c>
      <c r="D5" s="116" t="s">
        <v>82</v>
      </c>
      <c r="E5" s="117" t="s">
        <v>494</v>
      </c>
      <c r="F5" s="108" t="s">
        <v>580</v>
      </c>
      <c r="G5" s="109">
        <v>1020</v>
      </c>
      <c r="H5" s="109">
        <v>1020</v>
      </c>
      <c r="I5" s="108" t="s">
        <v>609</v>
      </c>
      <c r="J5" s="115">
        <v>270</v>
      </c>
      <c r="K5" s="115">
        <v>217</v>
      </c>
      <c r="L5" s="115">
        <v>316</v>
      </c>
      <c r="M5" s="118" t="s">
        <v>37</v>
      </c>
      <c r="N5" s="111">
        <f t="shared" si="0"/>
        <v>1078.7050000000002</v>
      </c>
      <c r="O5" s="111">
        <f t="shared" si="1"/>
        <v>984.06999999999994</v>
      </c>
      <c r="P5" s="111">
        <f t="shared" si="2"/>
        <v>978.11869693980543</v>
      </c>
      <c r="Q5" s="111"/>
      <c r="R5" s="111">
        <f t="shared" si="3"/>
        <v>1038.4615384615383</v>
      </c>
      <c r="S5" s="112">
        <f t="shared" si="4"/>
        <v>1016.9590000000001</v>
      </c>
      <c r="T5" s="112">
        <f t="shared" si="5"/>
        <v>1007.4392708743951</v>
      </c>
      <c r="U5" s="112">
        <f t="shared" si="6"/>
        <v>1024.482</v>
      </c>
      <c r="V5" s="113">
        <f t="shared" si="7"/>
        <v>1076.5707</v>
      </c>
      <c r="W5" s="113">
        <f t="shared" si="8"/>
        <v>56.570699999999988</v>
      </c>
      <c r="X5" s="113">
        <f t="shared" si="9"/>
        <v>56.570699999999988</v>
      </c>
      <c r="Y5" s="113">
        <f t="shared" si="10"/>
        <v>5.5461470588235287</v>
      </c>
      <c r="Z5" s="113">
        <f t="shared" si="11"/>
        <v>5.5461470588235287</v>
      </c>
      <c r="AA5" s="113">
        <f t="shared" si="12"/>
        <v>1.7602015100576895</v>
      </c>
      <c r="AB5" s="113">
        <f t="shared" si="13"/>
        <v>986.20479999999998</v>
      </c>
      <c r="AC5" s="113">
        <f t="shared" si="14"/>
        <v>-33.795200000000023</v>
      </c>
      <c r="AD5" s="113">
        <f t="shared" si="15"/>
        <v>33.795200000000023</v>
      </c>
      <c r="AE5" s="113">
        <f t="shared" si="16"/>
        <v>-3.3132549019607866</v>
      </c>
      <c r="AF5" s="113">
        <f t="shared" si="17"/>
        <v>3.3132549019607866</v>
      </c>
      <c r="AG5" s="113">
        <f t="shared" si="18"/>
        <v>1.5415193371278224</v>
      </c>
      <c r="AH5" s="113">
        <f t="shared" si="19"/>
        <v>979.34592290147737</v>
      </c>
      <c r="AI5" s="113">
        <f t="shared" si="20"/>
        <v>-40.654077098522635</v>
      </c>
      <c r="AJ5" s="113">
        <f t="shared" si="21"/>
        <v>40.654077098522635</v>
      </c>
      <c r="AK5" s="113">
        <f t="shared" si="22"/>
        <v>-3.9856938331884937</v>
      </c>
      <c r="AL5" s="113">
        <f t="shared" si="23"/>
        <v>3.9856938331884937</v>
      </c>
      <c r="AM5" s="113">
        <f t="shared" si="24"/>
        <v>1.6196575165406843</v>
      </c>
      <c r="AN5" s="114">
        <f t="shared" si="25"/>
        <v>1459.102437573923</v>
      </c>
      <c r="AO5" s="113">
        <f t="shared" si="26"/>
        <v>439.102437573923</v>
      </c>
      <c r="AP5" s="113">
        <f t="shared" si="27"/>
        <v>439.102437573923</v>
      </c>
      <c r="AQ5" s="113">
        <f t="shared" si="28"/>
        <v>43.049258585678722</v>
      </c>
      <c r="AR5" s="113">
        <f t="shared" si="29"/>
        <v>43.049258585678722</v>
      </c>
      <c r="AS5" s="113">
        <f t="shared" si="30"/>
        <v>3.1643833259984544</v>
      </c>
      <c r="AT5" s="113">
        <f t="shared" si="31"/>
        <v>1085</v>
      </c>
      <c r="AU5" s="113">
        <f t="shared" si="32"/>
        <v>65</v>
      </c>
      <c r="AV5" s="113">
        <f t="shared" si="33"/>
        <v>65</v>
      </c>
      <c r="AW5" s="113">
        <f t="shared" si="34"/>
        <v>6.3725490196078427</v>
      </c>
      <c r="AX5" s="113">
        <f t="shared" si="35"/>
        <v>6.3725490196078427</v>
      </c>
      <c r="AY5" s="113">
        <f t="shared" si="36"/>
        <v>1.8195439355418688</v>
      </c>
      <c r="AZ5" s="113">
        <f t="shared" si="37"/>
        <v>1039.0339000000001</v>
      </c>
      <c r="BA5" s="113">
        <f t="shared" si="38"/>
        <v>19.033900000000131</v>
      </c>
      <c r="BB5" s="113">
        <f t="shared" si="39"/>
        <v>19.033900000000131</v>
      </c>
      <c r="BC5" s="113">
        <f t="shared" si="40"/>
        <v>1033.3969919859278</v>
      </c>
      <c r="BD5" s="113">
        <f t="shared" si="41"/>
        <v>13.396991985927798</v>
      </c>
      <c r="BE5" s="113">
        <f t="shared" si="42"/>
        <v>13.396991985927798</v>
      </c>
      <c r="BF5" s="113">
        <f t="shared" si="43"/>
        <v>1045.2019999999998</v>
      </c>
      <c r="BG5" s="113">
        <f t="shared" si="44"/>
        <v>25.201999999999771</v>
      </c>
      <c r="BH5" s="113">
        <f t="shared" si="45"/>
        <v>25.201999999999771</v>
      </c>
    </row>
    <row r="6" spans="1:60" x14ac:dyDescent="0.15">
      <c r="A6" s="115" t="s">
        <v>46</v>
      </c>
      <c r="B6" s="116" t="s">
        <v>471</v>
      </c>
      <c r="C6" s="106" t="s">
        <v>458</v>
      </c>
      <c r="D6" s="116" t="s">
        <v>82</v>
      </c>
      <c r="E6" s="117" t="s">
        <v>494</v>
      </c>
      <c r="F6" s="108" t="s">
        <v>580</v>
      </c>
      <c r="G6" s="109">
        <v>1065</v>
      </c>
      <c r="H6" s="109">
        <v>1065</v>
      </c>
      <c r="I6" s="108" t="s">
        <v>609</v>
      </c>
      <c r="J6" s="115">
        <v>289</v>
      </c>
      <c r="K6" s="115">
        <v>210.97</v>
      </c>
      <c r="L6" s="115"/>
      <c r="M6" s="103" t="s">
        <v>37</v>
      </c>
      <c r="N6" s="111">
        <f t="shared" si="0"/>
        <v>1159.7286000000001</v>
      </c>
      <c r="O6" s="111">
        <f t="shared" si="1"/>
        <v>1057.8185000000001</v>
      </c>
      <c r="P6" s="111">
        <f t="shared" si="2"/>
        <v>1052.4601723955629</v>
      </c>
      <c r="Q6" s="111">
        <f>(0.1795+SQRT(0.000263*J6-0.071208))/0.00018</f>
        <v>1382.0823058248445</v>
      </c>
      <c r="R6" s="111">
        <f t="shared" si="3"/>
        <v>1111.5384615384614</v>
      </c>
      <c r="S6" s="112">
        <f t="shared" si="4"/>
        <v>1083.0448000000001</v>
      </c>
      <c r="T6" s="112">
        <f t="shared" si="5"/>
        <v>1075.6598556463882</v>
      </c>
      <c r="U6" s="112">
        <f t="shared" si="6"/>
        <v>1112.5944999999999</v>
      </c>
      <c r="V6" s="113">
        <f t="shared" si="7"/>
        <v>1044.635217</v>
      </c>
      <c r="W6" s="113">
        <f t="shared" si="8"/>
        <v>-20.364782999999989</v>
      </c>
      <c r="X6" s="113">
        <f t="shared" si="9"/>
        <v>20.364782999999989</v>
      </c>
      <c r="Y6" s="113">
        <f t="shared" si="10"/>
        <v>-1.9121861971830973</v>
      </c>
      <c r="Z6" s="113">
        <f t="shared" si="11"/>
        <v>1.9121861971830973</v>
      </c>
      <c r="AA6" s="113">
        <f t="shared" si="12"/>
        <v>1.3296984860892707</v>
      </c>
      <c r="AB6" s="113">
        <f t="shared" si="13"/>
        <v>956.715688</v>
      </c>
      <c r="AC6" s="113">
        <f t="shared" si="14"/>
        <v>-108.284312</v>
      </c>
      <c r="AD6" s="113">
        <f t="shared" si="15"/>
        <v>108.284312</v>
      </c>
      <c r="AE6" s="113">
        <f t="shared" si="16"/>
        <v>-10.16754103286385</v>
      </c>
      <c r="AF6" s="113">
        <f t="shared" si="17"/>
        <v>10.16754103286385</v>
      </c>
      <c r="AG6" s="113">
        <f t="shared" si="18"/>
        <v>2.0385578225093153</v>
      </c>
      <c r="AH6" s="113">
        <f t="shared" si="19"/>
        <v>949.31325014715162</v>
      </c>
      <c r="AI6" s="113">
        <f t="shared" si="20"/>
        <v>-115.68674985284838</v>
      </c>
      <c r="AJ6" s="113">
        <f t="shared" si="21"/>
        <v>115.68674985284838</v>
      </c>
      <c r="AK6" s="113">
        <f t="shared" si="22"/>
        <v>-10.862605619985763</v>
      </c>
      <c r="AL6" s="113">
        <f t="shared" si="23"/>
        <v>10.862605619985763</v>
      </c>
      <c r="AM6" s="113">
        <f t="shared" si="24"/>
        <v>2.0670215433418671</v>
      </c>
      <c r="AN6" s="114">
        <f t="shared" si="25"/>
        <v>1379.7576236340833</v>
      </c>
      <c r="AO6" s="113">
        <f t="shared" si="26"/>
        <v>314.7576236340833</v>
      </c>
      <c r="AP6" s="113">
        <f t="shared" si="27"/>
        <v>314.7576236340833</v>
      </c>
      <c r="AQ6" s="113">
        <f t="shared" si="28"/>
        <v>29.554706444514867</v>
      </c>
      <c r="AR6" s="113">
        <f t="shared" si="29"/>
        <v>29.554706444514867</v>
      </c>
      <c r="AS6" s="113">
        <f t="shared" si="30"/>
        <v>3.1401174497903908</v>
      </c>
      <c r="AT6" s="113">
        <f t="shared" si="31"/>
        <v>1054.8499999999999</v>
      </c>
      <c r="AU6" s="113">
        <f t="shared" si="32"/>
        <v>-10.150000000000091</v>
      </c>
      <c r="AV6" s="113">
        <f t="shared" si="33"/>
        <v>10.150000000000091</v>
      </c>
      <c r="AW6" s="113">
        <f t="shared" si="34"/>
        <v>-0.95305164319249669</v>
      </c>
      <c r="AX6" s="113">
        <f t="shared" si="35"/>
        <v>0.95305164319249669</v>
      </c>
      <c r="AY6" s="113">
        <f t="shared" si="36"/>
        <v>1.047274867384183</v>
      </c>
      <c r="AZ6" s="113">
        <f t="shared" si="37"/>
        <v>1014.8131989999999</v>
      </c>
      <c r="BA6" s="113">
        <f t="shared" si="38"/>
        <v>-50.18680100000006</v>
      </c>
      <c r="BB6" s="113">
        <f t="shared" si="39"/>
        <v>50.18680100000006</v>
      </c>
      <c r="BC6" s="113">
        <f t="shared" si="40"/>
        <v>1007.6497202049418</v>
      </c>
      <c r="BD6" s="113">
        <f t="shared" si="41"/>
        <v>-57.350279795058213</v>
      </c>
      <c r="BE6" s="113">
        <f t="shared" si="42"/>
        <v>57.350279795058213</v>
      </c>
      <c r="BF6" s="113">
        <f t="shared" si="43"/>
        <v>1016.3541181999999</v>
      </c>
      <c r="BG6" s="113">
        <f t="shared" si="44"/>
        <v>-48.645881800000097</v>
      </c>
      <c r="BH6" s="113">
        <f t="shared" si="45"/>
        <v>48.645881800000097</v>
      </c>
    </row>
    <row r="7" spans="1:60" x14ac:dyDescent="0.15">
      <c r="A7" s="115" t="s">
        <v>46</v>
      </c>
      <c r="B7" s="116" t="s">
        <v>473</v>
      </c>
      <c r="C7" s="106" t="s">
        <v>458</v>
      </c>
      <c r="D7" s="116" t="s">
        <v>82</v>
      </c>
      <c r="E7" s="117" t="s">
        <v>494</v>
      </c>
      <c r="F7" s="108" t="s">
        <v>580</v>
      </c>
      <c r="G7" s="109">
        <v>1100</v>
      </c>
      <c r="H7" s="109">
        <v>1100</v>
      </c>
      <c r="I7" s="108" t="s">
        <v>609</v>
      </c>
      <c r="J7" s="115">
        <v>270</v>
      </c>
      <c r="K7" s="115">
        <v>207</v>
      </c>
      <c r="L7" s="115">
        <v>324</v>
      </c>
      <c r="M7" s="103" t="s">
        <v>37</v>
      </c>
      <c r="N7" s="111">
        <f t="shared" si="0"/>
        <v>1078.7050000000002</v>
      </c>
      <c r="O7" s="111">
        <f t="shared" si="1"/>
        <v>984.06999999999994</v>
      </c>
      <c r="P7" s="111">
        <f t="shared" si="2"/>
        <v>978.11869693980543</v>
      </c>
      <c r="Q7" s="111"/>
      <c r="R7" s="111">
        <f t="shared" si="3"/>
        <v>1038.4615384615383</v>
      </c>
      <c r="S7" s="112">
        <f t="shared" si="4"/>
        <v>1016.9590000000001</v>
      </c>
      <c r="T7" s="112">
        <f t="shared" si="5"/>
        <v>1007.4392708743951</v>
      </c>
      <c r="U7" s="112">
        <f t="shared" si="6"/>
        <v>1024.482</v>
      </c>
      <c r="V7" s="113">
        <f t="shared" si="7"/>
        <v>1023.6097</v>
      </c>
      <c r="W7" s="113">
        <f t="shared" si="8"/>
        <v>-76.390300000000025</v>
      </c>
      <c r="X7" s="113">
        <f t="shared" si="9"/>
        <v>76.390300000000025</v>
      </c>
      <c r="Y7" s="113">
        <f t="shared" si="10"/>
        <v>-6.94457272727273</v>
      </c>
      <c r="Z7" s="113">
        <f t="shared" si="11"/>
        <v>6.94457272727273</v>
      </c>
      <c r="AA7" s="113">
        <f t="shared" si="12"/>
        <v>1.8886865301858917</v>
      </c>
      <c r="AB7" s="113">
        <f t="shared" si="13"/>
        <v>937.30079999999998</v>
      </c>
      <c r="AC7" s="113">
        <f t="shared" si="14"/>
        <v>-162.69920000000002</v>
      </c>
      <c r="AD7" s="113">
        <f t="shared" si="15"/>
        <v>162.69920000000002</v>
      </c>
      <c r="AE7" s="113">
        <f t="shared" si="16"/>
        <v>-14.790836363636364</v>
      </c>
      <c r="AF7" s="113">
        <f t="shared" si="17"/>
        <v>14.790836363636364</v>
      </c>
      <c r="AG7" s="113">
        <f t="shared" si="18"/>
        <v>2.214046557014663</v>
      </c>
      <c r="AH7" s="113">
        <f t="shared" si="19"/>
        <v>929.58958139215656</v>
      </c>
      <c r="AI7" s="113">
        <f t="shared" si="20"/>
        <v>-170.41041860784344</v>
      </c>
      <c r="AJ7" s="113">
        <f t="shared" si="21"/>
        <v>170.41041860784344</v>
      </c>
      <c r="AK7" s="113">
        <f t="shared" si="22"/>
        <v>-15.491856237076677</v>
      </c>
      <c r="AL7" s="113">
        <f t="shared" si="23"/>
        <v>15.491856237076677</v>
      </c>
      <c r="AM7" s="113">
        <f t="shared" si="24"/>
        <v>2.2340372155240642</v>
      </c>
      <c r="AN7" s="114">
        <f t="shared" si="25"/>
        <v>1316.944323776404</v>
      </c>
      <c r="AO7" s="113">
        <f t="shared" si="26"/>
        <v>216.94432377640396</v>
      </c>
      <c r="AP7" s="113">
        <f t="shared" si="27"/>
        <v>216.94432377640396</v>
      </c>
      <c r="AQ7" s="113">
        <f t="shared" si="28"/>
        <v>19.72221125240036</v>
      </c>
      <c r="AR7" s="113">
        <f t="shared" si="29"/>
        <v>19.72221125240036</v>
      </c>
      <c r="AS7" s="113">
        <f t="shared" si="30"/>
        <v>3.1198970639852974</v>
      </c>
      <c r="AT7" s="113">
        <f t="shared" si="31"/>
        <v>1035</v>
      </c>
      <c r="AU7" s="113">
        <f t="shared" si="32"/>
        <v>-65</v>
      </c>
      <c r="AV7" s="113">
        <f t="shared" si="33"/>
        <v>65</v>
      </c>
      <c r="AW7" s="113">
        <f t="shared" si="34"/>
        <v>-5.9090909090909092</v>
      </c>
      <c r="AX7" s="113">
        <f t="shared" si="35"/>
        <v>5.9090909090909092</v>
      </c>
      <c r="AY7" s="113">
        <f t="shared" si="36"/>
        <v>1.8195439355418688</v>
      </c>
      <c r="AZ7" s="113">
        <f t="shared" si="37"/>
        <v>998.86689999999999</v>
      </c>
      <c r="BA7" s="113">
        <f t="shared" si="38"/>
        <v>-101.13310000000001</v>
      </c>
      <c r="BB7" s="113">
        <f t="shared" si="39"/>
        <v>101.13310000000001</v>
      </c>
      <c r="BC7" s="113">
        <f t="shared" si="40"/>
        <v>990.65638644465844</v>
      </c>
      <c r="BD7" s="113">
        <f t="shared" si="41"/>
        <v>-109.34361355534156</v>
      </c>
      <c r="BE7" s="113">
        <f t="shared" si="42"/>
        <v>109.34361355534156</v>
      </c>
      <c r="BF7" s="113">
        <f t="shared" si="43"/>
        <v>997.28199999999993</v>
      </c>
      <c r="BG7" s="113">
        <f t="shared" si="44"/>
        <v>-102.71800000000007</v>
      </c>
      <c r="BH7" s="113">
        <f t="shared" si="45"/>
        <v>102.71800000000007</v>
      </c>
    </row>
    <row r="8" spans="1:60" x14ac:dyDescent="0.15">
      <c r="A8" s="115" t="s">
        <v>46</v>
      </c>
      <c r="B8" s="116" t="s">
        <v>467</v>
      </c>
      <c r="C8" s="106" t="s">
        <v>458</v>
      </c>
      <c r="D8" s="116" t="s">
        <v>82</v>
      </c>
      <c r="E8" s="117" t="s">
        <v>494</v>
      </c>
      <c r="F8" s="108" t="s">
        <v>580</v>
      </c>
      <c r="G8" s="109">
        <v>1000</v>
      </c>
      <c r="H8" s="109">
        <v>1000</v>
      </c>
      <c r="I8" s="108" t="s">
        <v>609</v>
      </c>
      <c r="J8" s="115">
        <v>283</v>
      </c>
      <c r="K8" s="115">
        <v>229</v>
      </c>
      <c r="L8" s="115">
        <v>355</v>
      </c>
      <c r="M8" s="103" t="s">
        <v>37</v>
      </c>
      <c r="N8" s="111">
        <f t="shared" si="0"/>
        <v>1134.1422</v>
      </c>
      <c r="O8" s="111">
        <f t="shared" si="1"/>
        <v>1034.5295000000001</v>
      </c>
      <c r="P8" s="111">
        <f t="shared" si="2"/>
        <v>1028.941922572779</v>
      </c>
      <c r="Q8" s="111">
        <f>(0.1795+SQRT(0.000263*J8-0.071208))/0.00018</f>
        <v>1312.5214138591714</v>
      </c>
      <c r="R8" s="111">
        <f t="shared" si="3"/>
        <v>1088.4615384615383</v>
      </c>
      <c r="S8" s="112">
        <f t="shared" si="4"/>
        <v>1062.1756</v>
      </c>
      <c r="T8" s="112">
        <f t="shared" si="5"/>
        <v>1054.1347248179923</v>
      </c>
      <c r="U8" s="112">
        <f t="shared" si="6"/>
        <v>1084.9956999999999</v>
      </c>
      <c r="V8" s="113">
        <f t="shared" si="7"/>
        <v>1140.1239</v>
      </c>
      <c r="W8" s="113">
        <f t="shared" si="8"/>
        <v>140.12390000000005</v>
      </c>
      <c r="X8" s="113">
        <f t="shared" si="9"/>
        <v>140.12390000000005</v>
      </c>
      <c r="Y8" s="113">
        <f t="shared" si="10"/>
        <v>14.012390000000005</v>
      </c>
      <c r="Z8" s="113">
        <f t="shared" si="11"/>
        <v>14.012390000000005</v>
      </c>
      <c r="AA8" s="113">
        <f t="shared" si="12"/>
        <v>2.1496005698078382</v>
      </c>
      <c r="AB8" s="113">
        <f t="shared" si="13"/>
        <v>1044.8896</v>
      </c>
      <c r="AC8" s="113">
        <f t="shared" si="14"/>
        <v>44.889599999999973</v>
      </c>
      <c r="AD8" s="113">
        <f t="shared" si="15"/>
        <v>44.889599999999973</v>
      </c>
      <c r="AE8" s="113">
        <f t="shared" si="16"/>
        <v>4.488959999999997</v>
      </c>
      <c r="AF8" s="113">
        <f t="shared" si="17"/>
        <v>4.488959999999997</v>
      </c>
      <c r="AG8" s="113">
        <f t="shared" si="18"/>
        <v>1.6617142721520599</v>
      </c>
      <c r="AH8" s="113">
        <f t="shared" si="19"/>
        <v>1039.37196136491</v>
      </c>
      <c r="AI8" s="113">
        <f t="shared" si="20"/>
        <v>39.371961364910021</v>
      </c>
      <c r="AJ8" s="113">
        <f t="shared" si="21"/>
        <v>39.371961364910021</v>
      </c>
      <c r="AK8" s="113">
        <f t="shared" si="22"/>
        <v>3.9371961364910022</v>
      </c>
      <c r="AL8" s="113">
        <f t="shared" si="23"/>
        <v>3.9371961364910022</v>
      </c>
      <c r="AM8" s="113">
        <f t="shared" si="24"/>
        <v>1.6060798489710184</v>
      </c>
      <c r="AN8" s="114">
        <f t="shared" si="25"/>
        <v>1586.0062799774121</v>
      </c>
      <c r="AO8" s="113">
        <f t="shared" si="26"/>
        <v>586.00627997741208</v>
      </c>
      <c r="AP8" s="113">
        <f t="shared" si="27"/>
        <v>586.00627997741208</v>
      </c>
      <c r="AQ8" s="113">
        <f t="shared" si="28"/>
        <v>58.600627997741206</v>
      </c>
      <c r="AR8" s="113">
        <f t="shared" si="29"/>
        <v>58.600627997741206</v>
      </c>
      <c r="AS8" s="113">
        <f t="shared" si="30"/>
        <v>3.2005786453144829</v>
      </c>
      <c r="AT8" s="113">
        <f t="shared" si="31"/>
        <v>1145</v>
      </c>
      <c r="AU8" s="113">
        <f t="shared" si="32"/>
        <v>145</v>
      </c>
      <c r="AV8" s="113">
        <f t="shared" si="33"/>
        <v>145</v>
      </c>
      <c r="AW8" s="113">
        <f t="shared" si="34"/>
        <v>14.499999999999998</v>
      </c>
      <c r="AX8" s="113">
        <f t="shared" si="35"/>
        <v>14.499999999999998</v>
      </c>
      <c r="AY8" s="113">
        <f t="shared" si="36"/>
        <v>2.1643528557844371</v>
      </c>
      <c r="AZ8" s="113">
        <f t="shared" si="37"/>
        <v>1087.2343000000001</v>
      </c>
      <c r="BA8" s="113">
        <f t="shared" si="38"/>
        <v>87.234300000000076</v>
      </c>
      <c r="BB8" s="113">
        <f t="shared" si="39"/>
        <v>87.234300000000076</v>
      </c>
      <c r="BC8" s="113">
        <f t="shared" si="40"/>
        <v>1084.4149611233499</v>
      </c>
      <c r="BD8" s="113">
        <f t="shared" si="41"/>
        <v>84.41496112334994</v>
      </c>
      <c r="BE8" s="113">
        <f t="shared" si="42"/>
        <v>84.41496112334994</v>
      </c>
      <c r="BF8" s="113">
        <f t="shared" si="43"/>
        <v>1102.1779999999999</v>
      </c>
      <c r="BG8" s="113">
        <f t="shared" si="44"/>
        <v>102.17799999999988</v>
      </c>
      <c r="BH8" s="113">
        <f t="shared" si="45"/>
        <v>102.17799999999988</v>
      </c>
    </row>
    <row r="9" spans="1:60" x14ac:dyDescent="0.15">
      <c r="A9" s="115" t="s">
        <v>46</v>
      </c>
      <c r="B9" s="116" t="s">
        <v>468</v>
      </c>
      <c r="C9" s="106" t="s">
        <v>458</v>
      </c>
      <c r="D9" s="116" t="s">
        <v>82</v>
      </c>
      <c r="E9" s="117" t="s">
        <v>494</v>
      </c>
      <c r="F9" s="108" t="s">
        <v>580</v>
      </c>
      <c r="G9" s="109">
        <v>1050</v>
      </c>
      <c r="H9" s="109">
        <v>1050</v>
      </c>
      <c r="I9" s="108" t="s">
        <v>609</v>
      </c>
      <c r="J9" s="115">
        <v>280</v>
      </c>
      <c r="K9" s="115">
        <v>204.39999999999998</v>
      </c>
      <c r="L9" s="115"/>
      <c r="M9" s="103" t="s">
        <v>37</v>
      </c>
      <c r="N9" s="111">
        <f t="shared" si="0"/>
        <v>1121.3490000000002</v>
      </c>
      <c r="O9" s="111">
        <f t="shared" si="1"/>
        <v>1022.885</v>
      </c>
      <c r="P9" s="111">
        <f t="shared" si="2"/>
        <v>1017.1971746673019</v>
      </c>
      <c r="Q9" s="111">
        <f>(0.1795+SQRT(0.000263*J9-0.071208))/0.00018</f>
        <v>1271.1961779097323</v>
      </c>
      <c r="R9" s="111">
        <f t="shared" si="3"/>
        <v>1076.9230769230769</v>
      </c>
      <c r="S9" s="112">
        <f t="shared" si="4"/>
        <v>1051.741</v>
      </c>
      <c r="T9" s="112">
        <f t="shared" si="5"/>
        <v>1043.3659330523155</v>
      </c>
      <c r="U9" s="112">
        <f t="shared" si="6"/>
        <v>1071.1180000000002</v>
      </c>
      <c r="V9" s="113">
        <f t="shared" si="7"/>
        <v>1009.8398399999999</v>
      </c>
      <c r="W9" s="113">
        <f t="shared" si="8"/>
        <v>-40.160160000000133</v>
      </c>
      <c r="X9" s="113">
        <f t="shared" si="9"/>
        <v>40.160160000000133</v>
      </c>
      <c r="Y9" s="113">
        <f t="shared" si="10"/>
        <v>-3.8247771428571555</v>
      </c>
      <c r="Z9" s="113">
        <f t="shared" si="11"/>
        <v>3.8247771428571555</v>
      </c>
      <c r="AA9" s="113">
        <f t="shared" si="12"/>
        <v>1.6144770543066758</v>
      </c>
      <c r="AB9" s="113">
        <f t="shared" si="13"/>
        <v>924.58575999999971</v>
      </c>
      <c r="AC9" s="113">
        <f t="shared" si="14"/>
        <v>-125.41424000000029</v>
      </c>
      <c r="AD9" s="113">
        <f t="shared" si="15"/>
        <v>125.41424000000029</v>
      </c>
      <c r="AE9" s="113">
        <f t="shared" si="16"/>
        <v>-11.944213333333362</v>
      </c>
      <c r="AF9" s="113">
        <f t="shared" si="17"/>
        <v>11.944213333333362</v>
      </c>
      <c r="AG9" s="113">
        <f t="shared" si="18"/>
        <v>2.1017959980372636</v>
      </c>
      <c r="AH9" s="113">
        <f t="shared" si="19"/>
        <v>916.69381903489079</v>
      </c>
      <c r="AI9" s="113">
        <f t="shared" si="20"/>
        <v>-133.30618096510921</v>
      </c>
      <c r="AJ9" s="113">
        <f t="shared" si="21"/>
        <v>133.30618096510921</v>
      </c>
      <c r="AK9" s="113">
        <f t="shared" si="22"/>
        <v>-12.695826758581831</v>
      </c>
      <c r="AL9" s="113">
        <f t="shared" si="23"/>
        <v>12.695826758581831</v>
      </c>
      <c r="AM9" s="113">
        <f t="shared" si="24"/>
        <v>2.1280959999901583</v>
      </c>
      <c r="AN9" s="114">
        <f t="shared" si="25"/>
        <v>1268.0235023767543</v>
      </c>
      <c r="AO9" s="113">
        <f t="shared" si="26"/>
        <v>218.02350237675432</v>
      </c>
      <c r="AP9" s="113">
        <f t="shared" si="27"/>
        <v>218.02350237675432</v>
      </c>
      <c r="AQ9" s="113">
        <f t="shared" si="28"/>
        <v>20.764143083500411</v>
      </c>
      <c r="AR9" s="113">
        <f t="shared" si="29"/>
        <v>20.764143083500411</v>
      </c>
      <c r="AS9" s="113">
        <f t="shared" si="30"/>
        <v>3.1034696653240341</v>
      </c>
      <c r="AT9" s="113">
        <f t="shared" si="31"/>
        <v>1021.9999999999999</v>
      </c>
      <c r="AU9" s="113">
        <f t="shared" si="32"/>
        <v>-28.000000000000114</v>
      </c>
      <c r="AV9" s="113">
        <f t="shared" si="33"/>
        <v>28.000000000000114</v>
      </c>
      <c r="AW9" s="113">
        <f t="shared" si="34"/>
        <v>-2.6666666666666776</v>
      </c>
      <c r="AX9" s="113">
        <f t="shared" si="35"/>
        <v>2.6666666666666776</v>
      </c>
      <c r="AY9" s="113">
        <f t="shared" si="36"/>
        <v>1.4623979978989579</v>
      </c>
      <c r="AZ9" s="113">
        <f t="shared" si="37"/>
        <v>988.42347999999993</v>
      </c>
      <c r="BA9" s="113">
        <f t="shared" si="38"/>
        <v>-61.576520000000073</v>
      </c>
      <c r="BB9" s="113">
        <f t="shared" si="39"/>
        <v>61.576520000000073</v>
      </c>
      <c r="BC9" s="113">
        <f t="shared" si="40"/>
        <v>979.50878508513244</v>
      </c>
      <c r="BD9" s="113">
        <f t="shared" si="41"/>
        <v>-70.491214914867555</v>
      </c>
      <c r="BE9" s="113">
        <f t="shared" si="42"/>
        <v>70.491214914867555</v>
      </c>
      <c r="BF9" s="113">
        <f t="shared" si="43"/>
        <v>984.75727999999981</v>
      </c>
      <c r="BG9" s="113">
        <f t="shared" si="44"/>
        <v>-65.24272000000019</v>
      </c>
      <c r="BH9" s="113">
        <f t="shared" si="45"/>
        <v>65.24272000000019</v>
      </c>
    </row>
    <row r="10" spans="1:60" x14ac:dyDescent="0.15">
      <c r="A10" s="115" t="s">
        <v>46</v>
      </c>
      <c r="B10" s="116" t="s">
        <v>470</v>
      </c>
      <c r="C10" s="106" t="s">
        <v>458</v>
      </c>
      <c r="D10" s="116" t="s">
        <v>82</v>
      </c>
      <c r="E10" s="117" t="s">
        <v>494</v>
      </c>
      <c r="F10" s="108" t="s">
        <v>580</v>
      </c>
      <c r="G10" s="109">
        <v>960</v>
      </c>
      <c r="H10" s="109">
        <v>960</v>
      </c>
      <c r="I10" s="108" t="s">
        <v>609</v>
      </c>
      <c r="J10" s="115">
        <v>250</v>
      </c>
      <c r="K10" s="115">
        <v>193</v>
      </c>
      <c r="L10" s="115">
        <v>299</v>
      </c>
      <c r="M10" s="103" t="s">
        <v>37</v>
      </c>
      <c r="N10" s="111">
        <f t="shared" si="0"/>
        <v>993.41700000000014</v>
      </c>
      <c r="O10" s="111">
        <f t="shared" si="1"/>
        <v>906.44</v>
      </c>
      <c r="P10" s="111">
        <f t="shared" si="2"/>
        <v>900.30049971911114</v>
      </c>
      <c r="Q10" s="111"/>
      <c r="R10" s="111">
        <f t="shared" si="3"/>
        <v>961.53846153846155</v>
      </c>
      <c r="S10" s="112">
        <f t="shared" si="4"/>
        <v>947.3950000000001</v>
      </c>
      <c r="T10" s="112">
        <f t="shared" si="5"/>
        <v>935.43817120689039</v>
      </c>
      <c r="U10" s="112">
        <f t="shared" si="6"/>
        <v>929.47</v>
      </c>
      <c r="V10" s="113">
        <f t="shared" si="7"/>
        <v>949.46429999999998</v>
      </c>
      <c r="W10" s="113">
        <f t="shared" si="8"/>
        <v>-10.53570000000002</v>
      </c>
      <c r="X10" s="113">
        <f t="shared" si="9"/>
        <v>10.53570000000002</v>
      </c>
      <c r="Y10" s="113">
        <f t="shared" si="10"/>
        <v>-1.097468750000002</v>
      </c>
      <c r="Z10" s="113">
        <f t="shared" si="11"/>
        <v>1.097468750000002</v>
      </c>
      <c r="AA10" s="113">
        <f t="shared" si="12"/>
        <v>1.0620439531625676</v>
      </c>
      <c r="AB10" s="113">
        <f t="shared" si="13"/>
        <v>868.83519999999999</v>
      </c>
      <c r="AC10" s="113">
        <f t="shared" si="14"/>
        <v>-91.164800000000014</v>
      </c>
      <c r="AD10" s="113">
        <f t="shared" si="15"/>
        <v>91.164800000000014</v>
      </c>
      <c r="AE10" s="113">
        <f t="shared" si="16"/>
        <v>-9.4963333333333342</v>
      </c>
      <c r="AF10" s="113">
        <f t="shared" si="17"/>
        <v>9.4963333333333342</v>
      </c>
      <c r="AG10" s="113">
        <f t="shared" si="18"/>
        <v>1.9645650849943737</v>
      </c>
      <c r="AH10" s="113">
        <f t="shared" si="19"/>
        <v>860.35712516588171</v>
      </c>
      <c r="AI10" s="113">
        <f t="shared" si="20"/>
        <v>-99.642874834118288</v>
      </c>
      <c r="AJ10" s="113">
        <f t="shared" si="21"/>
        <v>99.642874834118288</v>
      </c>
      <c r="AK10" s="113">
        <f t="shared" si="22"/>
        <v>-10.379466128553988</v>
      </c>
      <c r="AL10" s="113">
        <f t="shared" si="23"/>
        <v>10.379466128553988</v>
      </c>
      <c r="AM10" s="113">
        <f t="shared" si="24"/>
        <v>2.0027830337725163</v>
      </c>
      <c r="AN10" s="114"/>
      <c r="AO10" s="113"/>
      <c r="AP10" s="113"/>
      <c r="AQ10" s="113"/>
      <c r="AR10" s="113"/>
      <c r="AS10" s="113"/>
      <c r="AT10" s="113">
        <f t="shared" si="31"/>
        <v>965</v>
      </c>
      <c r="AU10" s="113">
        <f t="shared" si="32"/>
        <v>5</v>
      </c>
      <c r="AV10" s="113">
        <f t="shared" si="33"/>
        <v>5</v>
      </c>
      <c r="AW10" s="113">
        <f t="shared" si="34"/>
        <v>0.52083333333333326</v>
      </c>
      <c r="AX10" s="113">
        <f t="shared" si="35"/>
        <v>0.52083333333333326</v>
      </c>
      <c r="AY10" s="113">
        <f t="shared" si="36"/>
        <v>0.77815125038364363</v>
      </c>
      <c r="AZ10" s="113">
        <f t="shared" si="37"/>
        <v>942.63310000000001</v>
      </c>
      <c r="BA10" s="113">
        <f t="shared" si="38"/>
        <v>-17.366899999999987</v>
      </c>
      <c r="BB10" s="113">
        <f t="shared" si="39"/>
        <v>17.366899999999987</v>
      </c>
      <c r="BC10" s="113">
        <f t="shared" si="40"/>
        <v>930.45259639626261</v>
      </c>
      <c r="BD10" s="113">
        <f t="shared" si="41"/>
        <v>-29.547403603737393</v>
      </c>
      <c r="BE10" s="113">
        <f t="shared" si="42"/>
        <v>29.547403603737393</v>
      </c>
      <c r="BF10" s="113">
        <f t="shared" si="43"/>
        <v>929.52199999999993</v>
      </c>
      <c r="BG10" s="113">
        <f t="shared" si="44"/>
        <v>-30.478000000000065</v>
      </c>
      <c r="BH10" s="113">
        <f t="shared" si="45"/>
        <v>30.478000000000065</v>
      </c>
    </row>
    <row r="11" spans="1:60" x14ac:dyDescent="0.15">
      <c r="A11" s="115" t="s">
        <v>46</v>
      </c>
      <c r="B11" s="116" t="s">
        <v>474</v>
      </c>
      <c r="C11" s="106" t="s">
        <v>458</v>
      </c>
      <c r="D11" s="116" t="s">
        <v>82</v>
      </c>
      <c r="E11" s="117" t="s">
        <v>494</v>
      </c>
      <c r="F11" s="108" t="s">
        <v>580</v>
      </c>
      <c r="G11" s="109">
        <v>970</v>
      </c>
      <c r="H11" s="109">
        <v>970</v>
      </c>
      <c r="I11" s="108" t="s">
        <v>609</v>
      </c>
      <c r="J11" s="115">
        <v>267</v>
      </c>
      <c r="K11" s="115">
        <v>200</v>
      </c>
      <c r="L11" s="109">
        <v>336</v>
      </c>
      <c r="M11" s="103" t="s">
        <v>37</v>
      </c>
      <c r="N11" s="111">
        <f t="shared" si="0"/>
        <v>1065.9118000000001</v>
      </c>
      <c r="O11" s="111">
        <f t="shared" si="1"/>
        <v>972.42550000000006</v>
      </c>
      <c r="P11" s="111">
        <f t="shared" si="2"/>
        <v>966.41674118855633</v>
      </c>
      <c r="Q11" s="111"/>
      <c r="R11" s="111">
        <f t="shared" si="3"/>
        <v>1026.9230769230769</v>
      </c>
      <c r="S11" s="112">
        <f t="shared" si="4"/>
        <v>1006.5244000000001</v>
      </c>
      <c r="T11" s="112">
        <f t="shared" si="5"/>
        <v>996.651878349443</v>
      </c>
      <c r="U11" s="112">
        <f t="shared" si="6"/>
        <v>1010.3780999999999</v>
      </c>
      <c r="V11" s="113">
        <f t="shared" si="7"/>
        <v>986.53700000000003</v>
      </c>
      <c r="W11" s="113">
        <f t="shared" si="8"/>
        <v>16.537000000000035</v>
      </c>
      <c r="X11" s="113">
        <f t="shared" si="9"/>
        <v>16.537000000000035</v>
      </c>
      <c r="Y11" s="113">
        <f t="shared" si="10"/>
        <v>1.7048453608247458</v>
      </c>
      <c r="Z11" s="113">
        <f t="shared" si="11"/>
        <v>1.7048453608247458</v>
      </c>
      <c r="AA11" s="113">
        <f t="shared" si="12"/>
        <v>1.2439553019787419</v>
      </c>
      <c r="AB11" s="113">
        <f t="shared" si="13"/>
        <v>903.06799999999998</v>
      </c>
      <c r="AC11" s="113">
        <f t="shared" si="14"/>
        <v>-66.932000000000016</v>
      </c>
      <c r="AD11" s="113">
        <f t="shared" si="15"/>
        <v>66.932000000000016</v>
      </c>
      <c r="AE11" s="113">
        <f t="shared" si="16"/>
        <v>-6.9002061855670123</v>
      </c>
      <c r="AF11" s="113">
        <f t="shared" si="17"/>
        <v>6.9002061855670123</v>
      </c>
      <c r="AG11" s="113">
        <f t="shared" si="18"/>
        <v>1.8320744009322187</v>
      </c>
      <c r="AH11" s="113">
        <f t="shared" si="19"/>
        <v>894.90961254249169</v>
      </c>
      <c r="AI11" s="113">
        <f t="shared" si="20"/>
        <v>-75.090387457508314</v>
      </c>
      <c r="AJ11" s="113">
        <f t="shared" si="21"/>
        <v>75.090387457508314</v>
      </c>
      <c r="AK11" s="113">
        <f t="shared" si="22"/>
        <v>-7.7412770574750835</v>
      </c>
      <c r="AL11" s="113">
        <f t="shared" si="23"/>
        <v>7.7412770574750835</v>
      </c>
      <c r="AM11" s="113">
        <f t="shared" si="24"/>
        <v>1.8813297955636794</v>
      </c>
      <c r="AN11" s="114">
        <f>(0.1795+SQRT(0.00036*K11-0.071208))/0.00018</f>
        <v>1153.5694142163379</v>
      </c>
      <c r="AO11" s="113">
        <f>AN11-G11</f>
        <v>183.56941421633792</v>
      </c>
      <c r="AP11" s="113">
        <f>ABS(AO11)</f>
        <v>183.56941421633792</v>
      </c>
      <c r="AQ11" s="113">
        <f>AO11/G11*100</f>
        <v>18.924681877972983</v>
      </c>
      <c r="AR11" s="113">
        <f>ABS(AQ11)</f>
        <v>18.924681877972983</v>
      </c>
      <c r="AS11" s="113">
        <f>LOG10(AN11+1)</f>
        <v>3.0624200483877888</v>
      </c>
      <c r="AT11" s="113">
        <f t="shared" si="31"/>
        <v>1000</v>
      </c>
      <c r="AU11" s="113">
        <f t="shared" si="32"/>
        <v>30</v>
      </c>
      <c r="AV11" s="113">
        <f t="shared" si="33"/>
        <v>30</v>
      </c>
      <c r="AW11" s="113">
        <f t="shared" si="34"/>
        <v>3.0927835051546393</v>
      </c>
      <c r="AX11" s="113">
        <f t="shared" si="35"/>
        <v>3.0927835051546393</v>
      </c>
      <c r="AY11" s="113">
        <f t="shared" si="36"/>
        <v>1.4913616938342726</v>
      </c>
      <c r="AZ11" s="113">
        <f t="shared" si="37"/>
        <v>970.75</v>
      </c>
      <c r="BA11" s="113">
        <f t="shared" si="38"/>
        <v>0.75</v>
      </c>
      <c r="BB11" s="113">
        <f t="shared" si="39"/>
        <v>0.75</v>
      </c>
      <c r="BC11" s="113">
        <f t="shared" si="40"/>
        <v>960.60965741205803</v>
      </c>
      <c r="BD11" s="113">
        <f t="shared" si="41"/>
        <v>-9.3903425879419729</v>
      </c>
      <c r="BE11" s="113">
        <f t="shared" si="42"/>
        <v>9.3903425879419729</v>
      </c>
      <c r="BF11" s="113">
        <f t="shared" si="43"/>
        <v>963.5</v>
      </c>
      <c r="BG11" s="113">
        <f t="shared" si="44"/>
        <v>-6.5</v>
      </c>
      <c r="BH11" s="113">
        <f t="shared" si="45"/>
        <v>6.5</v>
      </c>
    </row>
    <row r="12" spans="1:60" x14ac:dyDescent="0.15">
      <c r="A12" s="116" t="s">
        <v>46</v>
      </c>
      <c r="B12" s="116" t="s">
        <v>212</v>
      </c>
      <c r="C12" s="106" t="s">
        <v>403</v>
      </c>
      <c r="D12" s="116" t="s">
        <v>82</v>
      </c>
      <c r="E12" s="117" t="s">
        <v>494</v>
      </c>
      <c r="F12" s="108" t="s">
        <v>580</v>
      </c>
      <c r="G12" s="109">
        <v>1287.4000000000001</v>
      </c>
      <c r="H12" s="115">
        <v>1000</v>
      </c>
      <c r="I12" s="108" t="s">
        <v>609</v>
      </c>
      <c r="J12" s="115">
        <v>313.3</v>
      </c>
      <c r="K12" s="115">
        <v>256.85000000000002</v>
      </c>
      <c r="L12" s="115">
        <v>387.4</v>
      </c>
      <c r="M12" s="103" t="s">
        <v>37</v>
      </c>
      <c r="N12" s="111">
        <f t="shared" si="0"/>
        <v>1263.3535200000001</v>
      </c>
      <c r="O12" s="111">
        <f t="shared" si="1"/>
        <v>1152.13895</v>
      </c>
      <c r="P12" s="111">
        <f t="shared" si="2"/>
        <v>1148.0876657894387</v>
      </c>
      <c r="Q12" s="111">
        <f>(0.1795+SQRT(0.000263*J12-0.071208))/0.00018</f>
        <v>1584.9017981397601</v>
      </c>
      <c r="R12" s="111">
        <f t="shared" si="3"/>
        <v>1205</v>
      </c>
      <c r="S12" s="112">
        <f t="shared" si="4"/>
        <v>1167.5650600000001</v>
      </c>
      <c r="T12" s="112">
        <f t="shared" si="5"/>
        <v>1162.673381473616</v>
      </c>
      <c r="U12" s="112">
        <f t="shared" si="6"/>
        <v>1222.2343990000002</v>
      </c>
      <c r="V12" s="113">
        <f t="shared" si="7"/>
        <v>1287.6202850000002</v>
      </c>
      <c r="W12" s="113">
        <f t="shared" si="8"/>
        <v>0.22028500000010354</v>
      </c>
      <c r="X12" s="113">
        <f t="shared" si="9"/>
        <v>0.22028500000010354</v>
      </c>
      <c r="Y12" s="113">
        <f t="shared" si="10"/>
        <v>1.711084356067295E-2</v>
      </c>
      <c r="Z12" s="113">
        <f t="shared" si="11"/>
        <v>1.711084356067295E-2</v>
      </c>
      <c r="AA12" s="113">
        <f t="shared" si="12"/>
        <v>8.6461272865271166E-2</v>
      </c>
      <c r="AB12" s="113">
        <f t="shared" si="13"/>
        <v>1181.0872400000001</v>
      </c>
      <c r="AC12" s="113">
        <f t="shared" si="14"/>
        <v>-106.31276000000003</v>
      </c>
      <c r="AD12" s="113">
        <f t="shared" si="15"/>
        <v>106.31276000000003</v>
      </c>
      <c r="AE12" s="113">
        <f t="shared" si="16"/>
        <v>-8.2579431412148541</v>
      </c>
      <c r="AF12" s="113">
        <f t="shared" si="17"/>
        <v>8.2579431412148541</v>
      </c>
      <c r="AG12" s="113">
        <f t="shared" si="18"/>
        <v>2.0306513647256419</v>
      </c>
      <c r="AH12" s="113">
        <f t="shared" si="19"/>
        <v>1179.9366274113261</v>
      </c>
      <c r="AI12" s="113">
        <f t="shared" si="20"/>
        <v>-107.46337258867402</v>
      </c>
      <c r="AJ12" s="113">
        <f t="shared" si="21"/>
        <v>107.46337258867402</v>
      </c>
      <c r="AK12" s="113">
        <f t="shared" si="22"/>
        <v>-8.3473180510077682</v>
      </c>
      <c r="AL12" s="113">
        <f t="shared" si="23"/>
        <v>8.3473180510077682</v>
      </c>
      <c r="AM12" s="113">
        <f t="shared" si="24"/>
        <v>2.0352831043763935</v>
      </c>
      <c r="AN12" s="114">
        <f>(0.1795+SQRT(0.00036*K12-0.071208))/0.00018</f>
        <v>1807.2290809037468</v>
      </c>
      <c r="AO12" s="113">
        <f>AN12-G12</f>
        <v>519.82908090374667</v>
      </c>
      <c r="AP12" s="113">
        <f>ABS(AO12)</f>
        <v>519.82908090374667</v>
      </c>
      <c r="AQ12" s="113">
        <f>AO12/G12*100</f>
        <v>40.37821041663404</v>
      </c>
      <c r="AR12" s="113">
        <f>ABS(AQ12)</f>
        <v>40.37821041663404</v>
      </c>
      <c r="AS12" s="113">
        <f>LOG10(AN12+1)</f>
        <v>3.2572534495188452</v>
      </c>
      <c r="AT12" s="113">
        <f t="shared" si="31"/>
        <v>1284.25</v>
      </c>
      <c r="AU12" s="113">
        <f t="shared" si="32"/>
        <v>-3.1500000000000909</v>
      </c>
      <c r="AV12" s="113">
        <f t="shared" si="33"/>
        <v>3.1500000000000909</v>
      </c>
      <c r="AW12" s="113">
        <f t="shared" si="34"/>
        <v>-0.24467919838434757</v>
      </c>
      <c r="AX12" s="113">
        <f t="shared" si="35"/>
        <v>0.24467919838434757</v>
      </c>
      <c r="AY12" s="113">
        <f t="shared" si="36"/>
        <v>0.61804809671210226</v>
      </c>
      <c r="AZ12" s="113">
        <f t="shared" si="37"/>
        <v>1199.0993950000002</v>
      </c>
      <c r="BA12" s="113">
        <f t="shared" si="38"/>
        <v>-88.300604999999905</v>
      </c>
      <c r="BB12" s="113">
        <f t="shared" si="39"/>
        <v>88.300604999999905</v>
      </c>
      <c r="BC12" s="113">
        <f t="shared" si="40"/>
        <v>1201.7687657983129</v>
      </c>
      <c r="BD12" s="113">
        <f t="shared" si="41"/>
        <v>-85.631234201687221</v>
      </c>
      <c r="BE12" s="113">
        <f t="shared" si="42"/>
        <v>85.631234201687221</v>
      </c>
      <c r="BF12" s="113">
        <f t="shared" si="43"/>
        <v>1232.190155</v>
      </c>
      <c r="BG12" s="113">
        <f t="shared" si="44"/>
        <v>-55.209845000000087</v>
      </c>
      <c r="BH12" s="113">
        <f t="shared" si="45"/>
        <v>55.209845000000087</v>
      </c>
    </row>
    <row r="13" spans="1:60" x14ac:dyDescent="0.15">
      <c r="A13" s="116" t="s">
        <v>46</v>
      </c>
      <c r="B13" s="116" t="s">
        <v>224</v>
      </c>
      <c r="C13" s="106" t="s">
        <v>403</v>
      </c>
      <c r="D13" s="116" t="s">
        <v>82</v>
      </c>
      <c r="E13" s="117" t="s">
        <v>494</v>
      </c>
      <c r="F13" s="108" t="s">
        <v>580</v>
      </c>
      <c r="G13" s="109">
        <v>908.46</v>
      </c>
      <c r="H13" s="115">
        <v>1000</v>
      </c>
      <c r="I13" s="108" t="s">
        <v>609</v>
      </c>
      <c r="J13" s="115">
        <v>240</v>
      </c>
      <c r="K13" s="115">
        <v>188</v>
      </c>
      <c r="L13" s="115">
        <v>310.10000000000002</v>
      </c>
      <c r="M13" s="103" t="s">
        <v>37</v>
      </c>
      <c r="N13" s="111">
        <f t="shared" si="0"/>
        <v>950.77300000000002</v>
      </c>
      <c r="O13" s="111">
        <f t="shared" si="1"/>
        <v>867.625</v>
      </c>
      <c r="P13" s="111">
        <f t="shared" si="2"/>
        <v>861.5689983229438</v>
      </c>
      <c r="Q13" s="111"/>
      <c r="R13" s="111">
        <f t="shared" si="3"/>
        <v>923.07692307692309</v>
      </c>
      <c r="S13" s="112">
        <f t="shared" si="4"/>
        <v>912.61300000000006</v>
      </c>
      <c r="T13" s="112">
        <f t="shared" si="5"/>
        <v>899.35969498000929</v>
      </c>
      <c r="U13" s="112">
        <f t="shared" si="6"/>
        <v>881.09400000000005</v>
      </c>
      <c r="V13" s="113">
        <f t="shared" si="7"/>
        <v>922.98379999999997</v>
      </c>
      <c r="W13" s="113">
        <f t="shared" si="8"/>
        <v>14.523799999999937</v>
      </c>
      <c r="X13" s="113">
        <f t="shared" si="9"/>
        <v>14.523799999999937</v>
      </c>
      <c r="Y13" s="113">
        <f t="shared" si="10"/>
        <v>1.5987275168967192</v>
      </c>
      <c r="Z13" s="113">
        <f t="shared" si="11"/>
        <v>1.5987275168967192</v>
      </c>
      <c r="AA13" s="113">
        <f t="shared" si="12"/>
        <v>1.1909980388956038</v>
      </c>
      <c r="AB13" s="113">
        <f t="shared" si="13"/>
        <v>844.38319999999999</v>
      </c>
      <c r="AC13" s="113">
        <f t="shared" si="14"/>
        <v>-64.076800000000048</v>
      </c>
      <c r="AD13" s="113">
        <f t="shared" si="15"/>
        <v>64.076800000000048</v>
      </c>
      <c r="AE13" s="113">
        <f t="shared" si="16"/>
        <v>-7.0533430200559248</v>
      </c>
      <c r="AF13" s="113">
        <f t="shared" si="17"/>
        <v>7.0533430200559248</v>
      </c>
      <c r="AG13" s="113">
        <f t="shared" si="18"/>
        <v>1.813426189370688</v>
      </c>
      <c r="AH13" s="113">
        <f t="shared" si="19"/>
        <v>835.75710399945694</v>
      </c>
      <c r="AI13" s="113">
        <f t="shared" si="20"/>
        <v>-72.702896000543092</v>
      </c>
      <c r="AJ13" s="113">
        <f t="shared" si="21"/>
        <v>72.702896000543092</v>
      </c>
      <c r="AK13" s="113">
        <f t="shared" si="22"/>
        <v>-8.0028725536119456</v>
      </c>
      <c r="AL13" s="113">
        <f t="shared" si="23"/>
        <v>8.0028725536119456</v>
      </c>
      <c r="AM13" s="113">
        <f t="shared" si="24"/>
        <v>1.8674845528840915</v>
      </c>
      <c r="AN13" s="114"/>
      <c r="AO13" s="113"/>
      <c r="AP13" s="113"/>
      <c r="AQ13" s="113"/>
      <c r="AR13" s="113"/>
      <c r="AS13" s="113"/>
      <c r="AT13" s="113">
        <f t="shared" si="31"/>
        <v>940</v>
      </c>
      <c r="AU13" s="113">
        <f t="shared" si="32"/>
        <v>31.539999999999964</v>
      </c>
      <c r="AV13" s="113">
        <f t="shared" si="33"/>
        <v>31.539999999999964</v>
      </c>
      <c r="AW13" s="113">
        <f t="shared" si="34"/>
        <v>3.4718094357484053</v>
      </c>
      <c r="AX13" s="113">
        <f t="shared" si="35"/>
        <v>3.4718094357484053</v>
      </c>
      <c r="AY13" s="113">
        <f t="shared" si="36"/>
        <v>1.5124175486008395</v>
      </c>
      <c r="AZ13" s="113">
        <f t="shared" si="37"/>
        <v>922.54959999999994</v>
      </c>
      <c r="BA13" s="113">
        <f t="shared" si="38"/>
        <v>14.089599999999905</v>
      </c>
      <c r="BB13" s="113">
        <f t="shared" si="39"/>
        <v>14.089599999999905</v>
      </c>
      <c r="BC13" s="113">
        <f t="shared" si="40"/>
        <v>908.84184737309727</v>
      </c>
      <c r="BD13" s="113">
        <f t="shared" si="41"/>
        <v>0.38184737309723005</v>
      </c>
      <c r="BE13" s="113">
        <f t="shared" si="42"/>
        <v>0.38184737309723005</v>
      </c>
      <c r="BF13" s="113">
        <f t="shared" si="43"/>
        <v>905.13199999999995</v>
      </c>
      <c r="BG13" s="113">
        <f t="shared" si="44"/>
        <v>-3.3280000000000882</v>
      </c>
      <c r="BH13" s="113">
        <f t="shared" si="45"/>
        <v>3.3280000000000882</v>
      </c>
    </row>
    <row r="14" spans="1:60" x14ac:dyDescent="0.15">
      <c r="A14" s="116" t="s">
        <v>46</v>
      </c>
      <c r="B14" s="116" t="s">
        <v>175</v>
      </c>
      <c r="C14" s="106" t="s">
        <v>403</v>
      </c>
      <c r="D14" s="116" t="s">
        <v>148</v>
      </c>
      <c r="E14" s="117" t="s">
        <v>494</v>
      </c>
      <c r="F14" s="108" t="s">
        <v>580</v>
      </c>
      <c r="G14" s="109">
        <v>1287.2</v>
      </c>
      <c r="H14" s="115">
        <v>1300</v>
      </c>
      <c r="I14" s="108" t="s">
        <v>609</v>
      </c>
      <c r="J14" s="115">
        <v>321.26</v>
      </c>
      <c r="K14" s="115">
        <v>235.17</v>
      </c>
      <c r="L14" s="115">
        <v>400.98</v>
      </c>
      <c r="M14" s="103" t="s">
        <v>37</v>
      </c>
      <c r="N14" s="111">
        <f t="shared" si="0"/>
        <v>1297.2981440000001</v>
      </c>
      <c r="O14" s="111">
        <f t="shared" si="1"/>
        <v>1183.0356899999999</v>
      </c>
      <c r="P14" s="111">
        <f t="shared" si="2"/>
        <v>1179.5395371773282</v>
      </c>
      <c r="Q14" s="111">
        <f>(0.1795+SQRT(0.000263*J14-0.071208))/0.00018</f>
        <v>1637.5197032398587</v>
      </c>
      <c r="R14" s="111">
        <f t="shared" si="3"/>
        <v>1235.6153846153845</v>
      </c>
      <c r="S14" s="112">
        <f t="shared" si="4"/>
        <v>1195.251532</v>
      </c>
      <c r="T14" s="112">
        <f t="shared" si="5"/>
        <v>1191.1220829765139</v>
      </c>
      <c r="U14" s="112">
        <f t="shared" si="6"/>
        <v>1257.4046719600001</v>
      </c>
      <c r="V14" s="113">
        <f t="shared" si="7"/>
        <v>1172.800837</v>
      </c>
      <c r="W14" s="113">
        <f t="shared" si="8"/>
        <v>-114.39916300000004</v>
      </c>
      <c r="X14" s="113">
        <f t="shared" si="9"/>
        <v>114.39916300000004</v>
      </c>
      <c r="Y14" s="113">
        <f t="shared" si="10"/>
        <v>-8.8874427439403387</v>
      </c>
      <c r="Z14" s="113">
        <f t="shared" si="11"/>
        <v>8.8874427439403387</v>
      </c>
      <c r="AA14" s="113">
        <f t="shared" si="12"/>
        <v>2.0622026588561111</v>
      </c>
      <c r="AB14" s="113">
        <f t="shared" si="13"/>
        <v>1075.0633679999999</v>
      </c>
      <c r="AC14" s="113">
        <f t="shared" si="14"/>
        <v>-212.13663200000019</v>
      </c>
      <c r="AD14" s="113">
        <f t="shared" si="15"/>
        <v>212.13663200000019</v>
      </c>
      <c r="AE14" s="113">
        <f t="shared" si="16"/>
        <v>-16.480471721566204</v>
      </c>
      <c r="AF14" s="113">
        <f t="shared" si="17"/>
        <v>16.480471721566204</v>
      </c>
      <c r="AG14" s="113">
        <f t="shared" si="18"/>
        <v>2.3286580987439001</v>
      </c>
      <c r="AH14" s="113">
        <f t="shared" si="19"/>
        <v>1070.365540408266</v>
      </c>
      <c r="AI14" s="113">
        <f t="shared" si="20"/>
        <v>-216.834459591734</v>
      </c>
      <c r="AJ14" s="113">
        <f t="shared" si="21"/>
        <v>216.834459591734</v>
      </c>
      <c r="AK14" s="113">
        <f t="shared" si="22"/>
        <v>-16.845436574870572</v>
      </c>
      <c r="AL14" s="113">
        <f t="shared" si="23"/>
        <v>16.845436574870572</v>
      </c>
      <c r="AM14" s="113">
        <f t="shared" si="24"/>
        <v>2.3381265826133237</v>
      </c>
      <c r="AN14" s="114">
        <f>(0.1795+SQRT(0.00036*K14-0.071208))/0.00018</f>
        <v>1641.5996133698495</v>
      </c>
      <c r="AO14" s="113">
        <f>AN14-G14</f>
        <v>354.39961336984948</v>
      </c>
      <c r="AP14" s="113">
        <f>ABS(AO14)</f>
        <v>354.39961336984948</v>
      </c>
      <c r="AQ14" s="113">
        <f>AO14/G14*100</f>
        <v>27.532598925563196</v>
      </c>
      <c r="AR14" s="113">
        <f>ABS(AQ14)</f>
        <v>27.532598925563196</v>
      </c>
      <c r="AS14" s="113">
        <f>LOG10(AN14+1)</f>
        <v>3.2155317162683801</v>
      </c>
      <c r="AT14" s="113">
        <f t="shared" si="31"/>
        <v>1175.8499999999999</v>
      </c>
      <c r="AU14" s="113">
        <f t="shared" si="32"/>
        <v>-111.35000000000014</v>
      </c>
      <c r="AV14" s="113">
        <f t="shared" si="33"/>
        <v>111.35000000000014</v>
      </c>
      <c r="AW14" s="113">
        <f t="shared" si="34"/>
        <v>-8.6505593536358081</v>
      </c>
      <c r="AX14" s="113">
        <f t="shared" si="35"/>
        <v>8.6505593536358081</v>
      </c>
      <c r="AY14" s="113">
        <f t="shared" si="36"/>
        <v>2.0505730767551484</v>
      </c>
      <c r="AZ14" s="113">
        <f t="shared" si="37"/>
        <v>1112.017339</v>
      </c>
      <c r="BA14" s="113">
        <f t="shared" si="38"/>
        <v>-175.18266100000005</v>
      </c>
      <c r="BB14" s="113">
        <f t="shared" si="39"/>
        <v>175.18266100000005</v>
      </c>
      <c r="BC14" s="113">
        <f t="shared" si="40"/>
        <v>1110.5369820321478</v>
      </c>
      <c r="BD14" s="113">
        <f t="shared" si="41"/>
        <v>-176.66301796785228</v>
      </c>
      <c r="BE14" s="113">
        <f t="shared" si="42"/>
        <v>176.66301796785228</v>
      </c>
      <c r="BF14" s="113">
        <f t="shared" si="43"/>
        <v>1131.2489421999999</v>
      </c>
      <c r="BG14" s="113">
        <f t="shared" si="44"/>
        <v>-155.95105780000017</v>
      </c>
      <c r="BH14" s="113">
        <f t="shared" si="45"/>
        <v>155.95105780000017</v>
      </c>
    </row>
    <row r="15" spans="1:60" x14ac:dyDescent="0.15">
      <c r="A15" s="116" t="s">
        <v>46</v>
      </c>
      <c r="B15" s="116" t="s">
        <v>204</v>
      </c>
      <c r="C15" s="106" t="s">
        <v>403</v>
      </c>
      <c r="D15" s="116" t="s">
        <v>82</v>
      </c>
      <c r="E15" s="117" t="s">
        <v>494</v>
      </c>
      <c r="F15" s="108" t="s">
        <v>580</v>
      </c>
      <c r="G15" s="109">
        <v>1235.4099999999999</v>
      </c>
      <c r="H15" s="115">
        <v>1300</v>
      </c>
      <c r="I15" s="108" t="s">
        <v>609</v>
      </c>
      <c r="J15" s="115">
        <v>294.89999999999998</v>
      </c>
      <c r="K15" s="115">
        <v>233.4</v>
      </c>
      <c r="L15" s="115">
        <v>364.95</v>
      </c>
      <c r="M15" s="103" t="s">
        <v>37</v>
      </c>
      <c r="N15" s="111">
        <f t="shared" si="0"/>
        <v>1184.8885599999999</v>
      </c>
      <c r="O15" s="111">
        <f t="shared" si="1"/>
        <v>1080.7193499999998</v>
      </c>
      <c r="P15" s="111">
        <f t="shared" si="2"/>
        <v>1075.6232444613163</v>
      </c>
      <c r="Q15" s="111">
        <f>(0.1795+SQRT(0.000263*J15-0.071208))/0.00018</f>
        <v>1439.9515517896896</v>
      </c>
      <c r="R15" s="111">
        <f t="shared" si="3"/>
        <v>1134.2307692307691</v>
      </c>
      <c r="S15" s="112">
        <f t="shared" si="4"/>
        <v>1103.56618</v>
      </c>
      <c r="T15" s="112">
        <f t="shared" si="5"/>
        <v>1096.8103313640163</v>
      </c>
      <c r="U15" s="112">
        <f t="shared" si="6"/>
        <v>1139.5297109999999</v>
      </c>
      <c r="V15" s="113">
        <f t="shared" si="7"/>
        <v>1163.4267400000001</v>
      </c>
      <c r="W15" s="113">
        <f t="shared" si="8"/>
        <v>-71.983259999999746</v>
      </c>
      <c r="X15" s="113">
        <f t="shared" si="9"/>
        <v>71.983259999999746</v>
      </c>
      <c r="Y15" s="113">
        <f t="shared" si="10"/>
        <v>-5.8266696886053824</v>
      </c>
      <c r="Z15" s="113">
        <f t="shared" si="11"/>
        <v>5.8266696886053824</v>
      </c>
      <c r="AA15" s="113">
        <f t="shared" si="12"/>
        <v>1.86322325843107</v>
      </c>
      <c r="AB15" s="113">
        <f t="shared" si="13"/>
        <v>1066.4073599999999</v>
      </c>
      <c r="AC15" s="113">
        <f t="shared" si="14"/>
        <v>-169.00263999999993</v>
      </c>
      <c r="AD15" s="113">
        <f t="shared" si="15"/>
        <v>169.00263999999993</v>
      </c>
      <c r="AE15" s="113">
        <f t="shared" si="16"/>
        <v>-13.679882791947609</v>
      </c>
      <c r="AF15" s="113">
        <f t="shared" si="17"/>
        <v>13.679882791947609</v>
      </c>
      <c r="AG15" s="113">
        <f t="shared" si="18"/>
        <v>2.2304556656637433</v>
      </c>
      <c r="AH15" s="113">
        <f t="shared" si="19"/>
        <v>1061.465499826679</v>
      </c>
      <c r="AI15" s="113">
        <f t="shared" si="20"/>
        <v>-173.94450017332088</v>
      </c>
      <c r="AJ15" s="113">
        <f t="shared" si="21"/>
        <v>173.94450017332088</v>
      </c>
      <c r="AK15" s="113">
        <f t="shared" si="22"/>
        <v>-14.079900613830299</v>
      </c>
      <c r="AL15" s="113">
        <f t="shared" si="23"/>
        <v>14.079900613830299</v>
      </c>
      <c r="AM15" s="113">
        <f t="shared" si="24"/>
        <v>2.2429002938785265</v>
      </c>
      <c r="AN15" s="114">
        <f>(0.1795+SQRT(0.00036*K15-0.071208))/0.00018</f>
        <v>1626.1542976926623</v>
      </c>
      <c r="AO15" s="113">
        <f>AN15-G15</f>
        <v>390.74429769266249</v>
      </c>
      <c r="AP15" s="113">
        <f>ABS(AO15)</f>
        <v>390.74429769266249</v>
      </c>
      <c r="AQ15" s="113">
        <f>AO15/G15*100</f>
        <v>31.628714167172241</v>
      </c>
      <c r="AR15" s="113">
        <f>ABS(AQ15)</f>
        <v>31.628714167172241</v>
      </c>
      <c r="AS15" s="113">
        <f>LOG10(AN15+1)</f>
        <v>3.2114287376075374</v>
      </c>
      <c r="AT15" s="113">
        <f t="shared" si="31"/>
        <v>1167</v>
      </c>
      <c r="AU15" s="113">
        <f t="shared" si="32"/>
        <v>-68.409999999999854</v>
      </c>
      <c r="AV15" s="113">
        <f t="shared" si="33"/>
        <v>68.409999999999854</v>
      </c>
      <c r="AW15" s="113">
        <f t="shared" si="34"/>
        <v>-5.5374329170072984</v>
      </c>
      <c r="AX15" s="113">
        <f t="shared" si="35"/>
        <v>5.5374329170072984</v>
      </c>
      <c r="AY15" s="113">
        <f t="shared" si="36"/>
        <v>1.8414220444023583</v>
      </c>
      <c r="AZ15" s="113">
        <f t="shared" si="37"/>
        <v>1104.90778</v>
      </c>
      <c r="BA15" s="113">
        <f t="shared" si="38"/>
        <v>-130.50221999999985</v>
      </c>
      <c r="BB15" s="113">
        <f t="shared" si="39"/>
        <v>130.50221999999985</v>
      </c>
      <c r="BC15" s="113">
        <f t="shared" si="40"/>
        <v>1103.0507287551952</v>
      </c>
      <c r="BD15" s="113">
        <f t="shared" si="41"/>
        <v>-132.35927124480463</v>
      </c>
      <c r="BE15" s="113">
        <f t="shared" si="42"/>
        <v>132.35927124480463</v>
      </c>
      <c r="BF15" s="113">
        <f t="shared" si="43"/>
        <v>1122.92488</v>
      </c>
      <c r="BG15" s="113">
        <f t="shared" si="44"/>
        <v>-112.48511999999982</v>
      </c>
      <c r="BH15" s="113">
        <f t="shared" si="45"/>
        <v>112.48511999999982</v>
      </c>
    </row>
    <row r="16" spans="1:60" x14ac:dyDescent="0.15">
      <c r="A16" s="116" t="s">
        <v>46</v>
      </c>
      <c r="B16" s="116" t="s">
        <v>187</v>
      </c>
      <c r="C16" s="106" t="s">
        <v>403</v>
      </c>
      <c r="D16" s="116" t="s">
        <v>82</v>
      </c>
      <c r="E16" s="108" t="s">
        <v>374</v>
      </c>
      <c r="F16" s="108" t="s">
        <v>580</v>
      </c>
      <c r="G16" s="109">
        <v>1460.1000000000001</v>
      </c>
      <c r="H16" s="115">
        <v>1500</v>
      </c>
      <c r="I16" s="108" t="s">
        <v>609</v>
      </c>
      <c r="J16" s="115">
        <v>433.3</v>
      </c>
      <c r="K16" s="115">
        <v>336</v>
      </c>
      <c r="L16" s="115">
        <v>531.9</v>
      </c>
      <c r="M16" s="103" t="s">
        <v>37</v>
      </c>
      <c r="N16" s="111">
        <f t="shared" si="0"/>
        <v>1775.0815200000002</v>
      </c>
      <c r="O16" s="111">
        <f t="shared" si="1"/>
        <v>1617.91895</v>
      </c>
      <c r="P16" s="111">
        <f t="shared" si="2"/>
        <v>1628.0783070781238</v>
      </c>
      <c r="Q16" s="111">
        <f>(0.1795+SQRT(0.000263*J16-0.071208))/0.00018</f>
        <v>2145.8916080877511</v>
      </c>
      <c r="R16" s="111">
        <f t="shared" si="3"/>
        <v>1666.5384615384614</v>
      </c>
      <c r="S16" s="112">
        <f t="shared" si="4"/>
        <v>1584.9490600000001</v>
      </c>
      <c r="T16" s="112">
        <f t="shared" si="5"/>
        <v>1589.0801077539761</v>
      </c>
      <c r="U16" s="112">
        <f t="shared" si="6"/>
        <v>1713.4495989999998</v>
      </c>
      <c r="V16" s="113">
        <f t="shared" si="7"/>
        <v>1706.8066000000001</v>
      </c>
      <c r="W16" s="113">
        <f t="shared" si="8"/>
        <v>246.70659999999998</v>
      </c>
      <c r="X16" s="113">
        <f t="shared" si="9"/>
        <v>246.70659999999998</v>
      </c>
      <c r="Y16" s="113">
        <f t="shared" si="10"/>
        <v>16.896555030477362</v>
      </c>
      <c r="Z16" s="113">
        <f t="shared" si="11"/>
        <v>16.896555030477362</v>
      </c>
      <c r="AA16" s="113">
        <f t="shared" si="12"/>
        <v>2.3939375782668795</v>
      </c>
      <c r="AB16" s="113">
        <f t="shared" si="13"/>
        <v>1568.1623999999999</v>
      </c>
      <c r="AC16" s="113">
        <f t="shared" si="14"/>
        <v>108.0623999999998</v>
      </c>
      <c r="AD16" s="113">
        <f t="shared" si="15"/>
        <v>108.0623999999998</v>
      </c>
      <c r="AE16" s="113">
        <f t="shared" si="16"/>
        <v>7.4010273268954041</v>
      </c>
      <c r="AF16" s="113">
        <f t="shared" si="17"/>
        <v>7.4010273268954041</v>
      </c>
      <c r="AG16" s="113">
        <f t="shared" si="18"/>
        <v>2.0376750504321159</v>
      </c>
      <c r="AH16" s="113">
        <f t="shared" si="19"/>
        <v>1587.7824275870107</v>
      </c>
      <c r="AI16" s="113">
        <f t="shared" si="20"/>
        <v>127.68242758701058</v>
      </c>
      <c r="AJ16" s="113">
        <f t="shared" si="21"/>
        <v>127.68242758701058</v>
      </c>
      <c r="AK16" s="113">
        <f t="shared" si="22"/>
        <v>8.7447727954941836</v>
      </c>
      <c r="AL16" s="113">
        <f t="shared" si="23"/>
        <v>8.7447727954941836</v>
      </c>
      <c r="AM16" s="113">
        <f t="shared" si="24"/>
        <v>2.1095192452490372</v>
      </c>
      <c r="AN16" s="114">
        <f>(0.1795+SQRT(0.00036*K16-0.071208))/0.00018</f>
        <v>2236.3975752516294</v>
      </c>
      <c r="AO16" s="113">
        <f>AN16-G16</f>
        <v>776.29757525162927</v>
      </c>
      <c r="AP16" s="113">
        <f>ABS(AO16)</f>
        <v>776.29757525162927</v>
      </c>
      <c r="AQ16" s="113">
        <f>AO16/G16*100</f>
        <v>53.167425193591477</v>
      </c>
      <c r="AR16" s="113">
        <f>ABS(AQ16)</f>
        <v>53.167425193591477</v>
      </c>
      <c r="AS16" s="113">
        <f>LOG10(AN16+1)</f>
        <v>3.3497431630846273</v>
      </c>
      <c r="AT16" s="113">
        <f t="shared" si="31"/>
        <v>1680</v>
      </c>
      <c r="AU16" s="113">
        <f t="shared" si="32"/>
        <v>219.89999999999986</v>
      </c>
      <c r="AV16" s="113">
        <f t="shared" si="33"/>
        <v>219.89999999999986</v>
      </c>
      <c r="AW16" s="113">
        <f t="shared" si="34"/>
        <v>15.060612286829658</v>
      </c>
      <c r="AX16" s="113">
        <f t="shared" si="35"/>
        <v>15.060612286829658</v>
      </c>
      <c r="AY16" s="113">
        <f t="shared" si="36"/>
        <v>2.3441957158714346</v>
      </c>
      <c r="AZ16" s="113">
        <f t="shared" si="37"/>
        <v>1517.0212000000001</v>
      </c>
      <c r="BA16" s="113">
        <f t="shared" si="38"/>
        <v>56.921199999999999</v>
      </c>
      <c r="BB16" s="113">
        <f t="shared" si="39"/>
        <v>56.921199999999999</v>
      </c>
      <c r="BC16" s="113">
        <f t="shared" si="40"/>
        <v>1528.503186336852</v>
      </c>
      <c r="BD16" s="113">
        <f t="shared" si="41"/>
        <v>68.403186336851832</v>
      </c>
      <c r="BE16" s="113">
        <f t="shared" si="42"/>
        <v>68.403186336851832</v>
      </c>
      <c r="BF16" s="113">
        <f t="shared" si="43"/>
        <v>1584.748</v>
      </c>
      <c r="BG16" s="113">
        <f t="shared" si="44"/>
        <v>124.64799999999991</v>
      </c>
      <c r="BH16" s="113">
        <f t="shared" si="45"/>
        <v>124.64799999999991</v>
      </c>
    </row>
    <row r="17" spans="1:60" x14ac:dyDescent="0.15">
      <c r="A17" s="116" t="s">
        <v>46</v>
      </c>
      <c r="B17" s="116" t="s">
        <v>163</v>
      </c>
      <c r="C17" s="106" t="s">
        <v>403</v>
      </c>
      <c r="D17" s="116" t="s">
        <v>82</v>
      </c>
      <c r="E17" s="117" t="s">
        <v>494</v>
      </c>
      <c r="F17" s="108" t="s">
        <v>580</v>
      </c>
      <c r="G17" s="26">
        <v>786.09999999999991</v>
      </c>
      <c r="H17" s="115">
        <v>700</v>
      </c>
      <c r="I17" s="108" t="s">
        <v>609</v>
      </c>
      <c r="J17" s="26">
        <v>187.08</v>
      </c>
      <c r="K17" s="26">
        <v>137.79</v>
      </c>
      <c r="L17" s="26">
        <v>231.86</v>
      </c>
      <c r="M17" s="103" t="s">
        <v>37</v>
      </c>
      <c r="N17" s="111">
        <f t="shared" si="0"/>
        <v>725.10095200000012</v>
      </c>
      <c r="O17" s="111">
        <f t="shared" si="1"/>
        <v>662.21602000000007</v>
      </c>
      <c r="P17" s="111">
        <f t="shared" si="2"/>
        <v>658.80120883475547</v>
      </c>
      <c r="Q17" s="111"/>
      <c r="R17" s="111">
        <f t="shared" si="3"/>
        <v>719.53846153846155</v>
      </c>
      <c r="S17" s="112">
        <f t="shared" si="4"/>
        <v>728.5466560000001</v>
      </c>
      <c r="T17" s="112">
        <f t="shared" si="5"/>
        <v>707.45407388225124</v>
      </c>
      <c r="U17" s="112">
        <f t="shared" si="6"/>
        <v>615.43200144000025</v>
      </c>
      <c r="V17" s="113">
        <f t="shared" si="7"/>
        <v>657.06661899999995</v>
      </c>
      <c r="W17" s="113">
        <f t="shared" si="8"/>
        <v>-129.03338099999996</v>
      </c>
      <c r="X17" s="113">
        <f t="shared" si="9"/>
        <v>129.03338099999996</v>
      </c>
      <c r="Y17" s="113">
        <f t="shared" si="10"/>
        <v>-16.414372344485432</v>
      </c>
      <c r="Z17" s="113">
        <f t="shared" si="11"/>
        <v>16.414372344485432</v>
      </c>
      <c r="AA17" s="113">
        <f t="shared" si="12"/>
        <v>2.114054854792589</v>
      </c>
      <c r="AB17" s="113">
        <f t="shared" si="13"/>
        <v>598.83621599999992</v>
      </c>
      <c r="AC17" s="113">
        <f t="shared" si="14"/>
        <v>-187.26378399999999</v>
      </c>
      <c r="AD17" s="113">
        <f t="shared" si="15"/>
        <v>187.26378399999999</v>
      </c>
      <c r="AE17" s="113">
        <f t="shared" si="16"/>
        <v>-23.821878132553113</v>
      </c>
      <c r="AF17" s="113">
        <f t="shared" si="17"/>
        <v>23.821878132553113</v>
      </c>
      <c r="AG17" s="113">
        <f t="shared" si="18"/>
        <v>2.2747667835233885</v>
      </c>
      <c r="AH17" s="113">
        <f t="shared" si="19"/>
        <v>592.84918067480032</v>
      </c>
      <c r="AI17" s="113">
        <f t="shared" si="20"/>
        <v>-193.25081932519959</v>
      </c>
      <c r="AJ17" s="113">
        <f t="shared" si="21"/>
        <v>193.25081932519959</v>
      </c>
      <c r="AK17" s="113">
        <f t="shared" si="22"/>
        <v>-24.583490564202979</v>
      </c>
      <c r="AL17" s="113">
        <f t="shared" si="23"/>
        <v>24.583490564202979</v>
      </c>
      <c r="AM17" s="113">
        <f t="shared" si="24"/>
        <v>2.2883628592755909</v>
      </c>
      <c r="AN17" s="114"/>
      <c r="AO17" s="113"/>
      <c r="AP17" s="113"/>
      <c r="AQ17" s="113"/>
      <c r="AR17" s="113"/>
      <c r="AS17" s="113"/>
      <c r="AT17" s="113">
        <f t="shared" si="31"/>
        <v>688.94999999999993</v>
      </c>
      <c r="AU17" s="113">
        <f t="shared" si="32"/>
        <v>-97.149999999999977</v>
      </c>
      <c r="AV17" s="113">
        <f t="shared" si="33"/>
        <v>97.149999999999977</v>
      </c>
      <c r="AW17" s="113">
        <f t="shared" si="34"/>
        <v>-12.358478565068056</v>
      </c>
      <c r="AX17" s="113">
        <f t="shared" si="35"/>
        <v>12.358478565068056</v>
      </c>
      <c r="AY17" s="113">
        <f t="shared" si="36"/>
        <v>1.991890303936025</v>
      </c>
      <c r="AZ17" s="113">
        <f t="shared" si="37"/>
        <v>720.87109299999997</v>
      </c>
      <c r="BA17" s="113">
        <f t="shared" si="38"/>
        <v>-65.228906999999936</v>
      </c>
      <c r="BB17" s="113">
        <f t="shared" si="39"/>
        <v>65.228906999999936</v>
      </c>
      <c r="BC17" s="113">
        <f t="shared" si="40"/>
        <v>688.13936170387558</v>
      </c>
      <c r="BD17" s="113">
        <f t="shared" si="41"/>
        <v>-97.96063829612433</v>
      </c>
      <c r="BE17" s="113">
        <f t="shared" si="42"/>
        <v>97.96063829612433</v>
      </c>
      <c r="BF17" s="113">
        <f t="shared" si="43"/>
        <v>654.66343180000001</v>
      </c>
      <c r="BG17" s="113">
        <f t="shared" si="44"/>
        <v>-131.4365681999999</v>
      </c>
      <c r="BH17" s="113">
        <f t="shared" si="45"/>
        <v>131.4365681999999</v>
      </c>
    </row>
    <row r="18" spans="1:60" x14ac:dyDescent="0.15">
      <c r="A18" s="116" t="s">
        <v>46</v>
      </c>
      <c r="B18" s="116" t="s">
        <v>599</v>
      </c>
      <c r="C18" s="106" t="s">
        <v>403</v>
      </c>
      <c r="D18" s="116" t="s">
        <v>82</v>
      </c>
      <c r="E18" s="108" t="s">
        <v>203</v>
      </c>
      <c r="F18" s="108" t="s">
        <v>581</v>
      </c>
      <c r="G18" s="115">
        <v>2556</v>
      </c>
      <c r="H18" s="115">
        <v>3000</v>
      </c>
      <c r="I18" s="108" t="s">
        <v>608</v>
      </c>
      <c r="J18" s="115">
        <v>764</v>
      </c>
      <c r="K18" s="115">
        <v>639</v>
      </c>
      <c r="L18" s="115">
        <v>952</v>
      </c>
      <c r="M18" s="103" t="s">
        <v>37</v>
      </c>
      <c r="N18" s="111">
        <f t="shared" si="0"/>
        <v>3185.3186000000001</v>
      </c>
      <c r="O18" s="111">
        <f t="shared" si="1"/>
        <v>2901.5309999999999</v>
      </c>
      <c r="P18" s="111">
        <f t="shared" si="2"/>
        <v>2999.1257782763191</v>
      </c>
      <c r="Q18" s="111">
        <f>(0.1795+SQRT(0.000263*J18-0.071208))/0.00018</f>
        <v>2998.1787835932651</v>
      </c>
      <c r="R18" s="111">
        <f t="shared" si="3"/>
        <v>2938.4615384615386</v>
      </c>
      <c r="S18" s="112">
        <f t="shared" si="4"/>
        <v>2735.1898000000001</v>
      </c>
      <c r="T18" s="112">
        <f t="shared" si="5"/>
        <v>2744.4817061390472</v>
      </c>
      <c r="U18" s="112">
        <f t="shared" si="6"/>
        <v>2634.9220000000009</v>
      </c>
      <c r="V18" s="113">
        <f t="shared" si="7"/>
        <v>3311.5248999999999</v>
      </c>
      <c r="W18" s="113">
        <f t="shared" si="8"/>
        <v>755.52489999999989</v>
      </c>
      <c r="X18" s="113">
        <f t="shared" si="9"/>
        <v>755.52489999999989</v>
      </c>
      <c r="Y18" s="113">
        <f t="shared" si="10"/>
        <v>29.558877151799685</v>
      </c>
      <c r="Z18" s="113">
        <f t="shared" si="11"/>
        <v>29.558877151799685</v>
      </c>
      <c r="AA18" s="113">
        <f t="shared" si="12"/>
        <v>2.8788232268134477</v>
      </c>
      <c r="AB18" s="113">
        <f t="shared" si="13"/>
        <v>3049.9535999999994</v>
      </c>
      <c r="AC18" s="113">
        <f t="shared" si="14"/>
        <v>493.95359999999937</v>
      </c>
      <c r="AD18" s="113">
        <f t="shared" si="15"/>
        <v>493.95359999999937</v>
      </c>
      <c r="AE18" s="113">
        <f t="shared" si="16"/>
        <v>19.325258215962414</v>
      </c>
      <c r="AF18" s="113">
        <f t="shared" si="17"/>
        <v>19.325258215962414</v>
      </c>
      <c r="AG18" s="113">
        <f t="shared" si="18"/>
        <v>2.69456448740128</v>
      </c>
      <c r="AH18" s="113">
        <f t="shared" si="19"/>
        <v>3230.8765951094301</v>
      </c>
      <c r="AI18" s="113">
        <f t="shared" si="20"/>
        <v>674.87659510943013</v>
      </c>
      <c r="AJ18" s="113">
        <f t="shared" si="21"/>
        <v>674.87659510943013</v>
      </c>
      <c r="AK18" s="113">
        <f t="shared" si="22"/>
        <v>26.403622656863462</v>
      </c>
      <c r="AL18" s="113">
        <f t="shared" si="23"/>
        <v>26.403622656863462</v>
      </c>
      <c r="AM18" s="113">
        <f t="shared" si="24"/>
        <v>2.829867407545998</v>
      </c>
      <c r="AN18" s="114">
        <f>(0.1795+SQRT(0.00036*K18-0.071208))/0.00018</f>
        <v>3211.3184762776377</v>
      </c>
      <c r="AO18" s="113">
        <f>AN18-G18</f>
        <v>655.31847627763773</v>
      </c>
      <c r="AP18" s="113">
        <f>ABS(AO18)</f>
        <v>655.31847627763773</v>
      </c>
      <c r="AQ18" s="113">
        <f>AO18/G18*100</f>
        <v>25.638438039031207</v>
      </c>
      <c r="AR18" s="113">
        <f>ABS(AQ18)</f>
        <v>25.638438039031207</v>
      </c>
      <c r="AS18" s="113">
        <f>LOG10(AN18+1)</f>
        <v>3.5068185956457052</v>
      </c>
      <c r="AT18" s="113">
        <f t="shared" si="31"/>
        <v>3195</v>
      </c>
      <c r="AU18" s="113">
        <f t="shared" si="32"/>
        <v>639</v>
      </c>
      <c r="AV18" s="113">
        <f t="shared" si="33"/>
        <v>639</v>
      </c>
      <c r="AW18" s="113">
        <f t="shared" si="34"/>
        <v>25</v>
      </c>
      <c r="AX18" s="113">
        <f t="shared" si="35"/>
        <v>25</v>
      </c>
      <c r="AY18" s="113">
        <f t="shared" si="36"/>
        <v>2.8061799739838871</v>
      </c>
      <c r="AZ18" s="113">
        <f t="shared" si="37"/>
        <v>2734.0812999999998</v>
      </c>
      <c r="BA18" s="113">
        <f t="shared" si="38"/>
        <v>178.08129999999983</v>
      </c>
      <c r="BB18" s="113">
        <f t="shared" si="39"/>
        <v>178.08129999999983</v>
      </c>
      <c r="BC18" s="113">
        <f t="shared" si="40"/>
        <v>2717.6887190990078</v>
      </c>
      <c r="BD18" s="113">
        <f t="shared" si="41"/>
        <v>161.68871909900781</v>
      </c>
      <c r="BE18" s="113">
        <f t="shared" si="42"/>
        <v>161.68871909900781</v>
      </c>
      <c r="BF18" s="113">
        <f t="shared" si="43"/>
        <v>2702.8179999999993</v>
      </c>
      <c r="BG18" s="113">
        <f t="shared" si="44"/>
        <v>146.8179999999993</v>
      </c>
      <c r="BH18" s="113">
        <f t="shared" si="45"/>
        <v>146.8179999999993</v>
      </c>
    </row>
    <row r="19" spans="1:60" x14ac:dyDescent="0.15">
      <c r="A19" s="116" t="s">
        <v>46</v>
      </c>
      <c r="B19" s="116" t="s">
        <v>594</v>
      </c>
      <c r="C19" s="106" t="s">
        <v>403</v>
      </c>
      <c r="D19" s="116" t="s">
        <v>82</v>
      </c>
      <c r="E19" s="108" t="s">
        <v>494</v>
      </c>
      <c r="F19" s="108" t="s">
        <v>580</v>
      </c>
      <c r="G19" s="109">
        <v>870</v>
      </c>
      <c r="H19" s="109">
        <v>890</v>
      </c>
      <c r="I19" s="108" t="s">
        <v>609</v>
      </c>
      <c r="J19" s="115">
        <v>244</v>
      </c>
      <c r="K19" s="115">
        <v>198</v>
      </c>
      <c r="L19" s="115">
        <v>315</v>
      </c>
      <c r="M19" s="103" t="s">
        <v>37</v>
      </c>
      <c r="N19" s="111">
        <f t="shared" si="0"/>
        <v>967.8306</v>
      </c>
      <c r="O19" s="111">
        <f t="shared" si="1"/>
        <v>883.15100000000007</v>
      </c>
      <c r="P19" s="111">
        <f t="shared" si="2"/>
        <v>877.04693423108313</v>
      </c>
      <c r="Q19" s="111"/>
      <c r="R19" s="111">
        <f t="shared" si="3"/>
        <v>938.46153846153845</v>
      </c>
      <c r="S19" s="112">
        <f t="shared" si="4"/>
        <v>926.52580000000012</v>
      </c>
      <c r="T19" s="112">
        <f t="shared" si="5"/>
        <v>913.79754499027592</v>
      </c>
      <c r="U19" s="112">
        <f t="shared" si="6"/>
        <v>900.51400000000012</v>
      </c>
      <c r="V19" s="113">
        <f t="shared" si="7"/>
        <v>975.94479999999999</v>
      </c>
      <c r="W19" s="113">
        <f t="shared" si="8"/>
        <v>105.94479999999999</v>
      </c>
      <c r="X19" s="113">
        <f t="shared" si="9"/>
        <v>105.94479999999999</v>
      </c>
      <c r="Y19" s="113">
        <f t="shared" si="10"/>
        <v>12.177563218390803</v>
      </c>
      <c r="Z19" s="113">
        <f t="shared" si="11"/>
        <v>12.177563218390803</v>
      </c>
      <c r="AA19" s="113">
        <f t="shared" si="12"/>
        <v>2.0291596726269607</v>
      </c>
      <c r="AB19" s="113">
        <f t="shared" si="13"/>
        <v>893.28719999999998</v>
      </c>
      <c r="AC19" s="113">
        <f t="shared" si="14"/>
        <v>23.287199999999984</v>
      </c>
      <c r="AD19" s="113">
        <f t="shared" si="15"/>
        <v>23.287199999999984</v>
      </c>
      <c r="AE19" s="113">
        <f t="shared" si="16"/>
        <v>2.676689655172412</v>
      </c>
      <c r="AF19" s="113">
        <f t="shared" si="17"/>
        <v>2.676689655172412</v>
      </c>
      <c r="AG19" s="113">
        <f t="shared" si="18"/>
        <v>1.385377449154962</v>
      </c>
      <c r="AH19" s="113">
        <f t="shared" si="19"/>
        <v>885.02428952029015</v>
      </c>
      <c r="AI19" s="113">
        <f t="shared" si="20"/>
        <v>15.024289520290154</v>
      </c>
      <c r="AJ19" s="113">
        <f t="shared" si="21"/>
        <v>15.024289520290154</v>
      </c>
      <c r="AK19" s="113">
        <f t="shared" si="22"/>
        <v>1.7269298299184086</v>
      </c>
      <c r="AL19" s="113">
        <f t="shared" si="23"/>
        <v>1.7269298299184086</v>
      </c>
      <c r="AM19" s="113">
        <f t="shared" si="24"/>
        <v>1.2047787830109644</v>
      </c>
      <c r="AN19" s="114">
        <f>(0.1795+SQRT(0.00036*K19-0.071208))/0.00018</f>
        <v>1044.3626743013306</v>
      </c>
      <c r="AO19" s="113">
        <f>AN19-G19</f>
        <v>174.36267430133057</v>
      </c>
      <c r="AP19" s="113">
        <f>ABS(AO19)</f>
        <v>174.36267430133057</v>
      </c>
      <c r="AQ19" s="113">
        <f>AO19/G19*100</f>
        <v>20.041686701302364</v>
      </c>
      <c r="AR19" s="113">
        <f>ABS(AQ19)</f>
        <v>20.041686701302364</v>
      </c>
      <c r="AS19" s="113">
        <f>LOG10(AN19+1)</f>
        <v>3.0192669891285147</v>
      </c>
      <c r="AT19" s="113">
        <f t="shared" si="31"/>
        <v>990</v>
      </c>
      <c r="AU19" s="113">
        <f t="shared" si="32"/>
        <v>120</v>
      </c>
      <c r="AV19" s="113">
        <f t="shared" si="33"/>
        <v>120</v>
      </c>
      <c r="AW19" s="113">
        <f t="shared" si="34"/>
        <v>13.793103448275861</v>
      </c>
      <c r="AX19" s="113">
        <f t="shared" si="35"/>
        <v>13.793103448275861</v>
      </c>
      <c r="AY19" s="113">
        <f t="shared" si="36"/>
        <v>2.0827853703164503</v>
      </c>
      <c r="AZ19" s="113">
        <f t="shared" si="37"/>
        <v>962.71659999999997</v>
      </c>
      <c r="BA19" s="113">
        <f t="shared" si="38"/>
        <v>92.716599999999971</v>
      </c>
      <c r="BB19" s="113">
        <f t="shared" si="39"/>
        <v>92.716599999999971</v>
      </c>
      <c r="BC19" s="113">
        <f t="shared" si="40"/>
        <v>952.00480020550322</v>
      </c>
      <c r="BD19" s="113">
        <f t="shared" si="41"/>
        <v>82.004800205503216</v>
      </c>
      <c r="BE19" s="113">
        <f t="shared" si="42"/>
        <v>82.004800205503216</v>
      </c>
      <c r="BF19" s="113">
        <f t="shared" si="43"/>
        <v>953.81200000000013</v>
      </c>
      <c r="BG19" s="113">
        <f t="shared" si="44"/>
        <v>83.812000000000126</v>
      </c>
      <c r="BH19" s="113">
        <f t="shared" si="45"/>
        <v>83.812000000000126</v>
      </c>
    </row>
    <row r="20" spans="1:60" x14ac:dyDescent="0.15">
      <c r="A20" s="227" t="s">
        <v>46</v>
      </c>
      <c r="B20" s="228" t="s">
        <v>492</v>
      </c>
      <c r="C20" s="45" t="s">
        <v>401</v>
      </c>
      <c r="D20" s="45" t="s">
        <v>82</v>
      </c>
      <c r="E20" s="30" t="s">
        <v>374</v>
      </c>
      <c r="F20" s="30" t="s">
        <v>580</v>
      </c>
      <c r="G20" s="31">
        <v>1430</v>
      </c>
      <c r="H20" s="31">
        <v>1430</v>
      </c>
      <c r="I20" s="30" t="s">
        <v>609</v>
      </c>
      <c r="J20" s="45">
        <v>337</v>
      </c>
      <c r="K20" s="45">
        <v>280</v>
      </c>
      <c r="L20" s="50">
        <v>439.33333333333331</v>
      </c>
      <c r="M20" s="27" t="s">
        <v>37</v>
      </c>
      <c r="N20" s="111">
        <f t="shared" ref="N20" si="46">J20*4.2644-72.683</f>
        <v>1364.4198000000001</v>
      </c>
      <c r="O20" s="111">
        <f t="shared" ref="O20" si="47">3.8815*J20-63.935</f>
        <v>1244.1305</v>
      </c>
      <c r="P20" s="111">
        <f t="shared" ref="P20" si="48">2.3514*J20^1.0772</f>
        <v>1241.9080525964653</v>
      </c>
      <c r="Q20" s="111"/>
      <c r="R20" s="111"/>
      <c r="S20" s="112">
        <f t="shared" ref="S20" si="49">3.4782*J20 + 77.845</f>
        <v>1249.9984000000002</v>
      </c>
      <c r="T20" s="112">
        <f t="shared" ref="T20" si="50">4.5772*J20^0.9635</f>
        <v>1247.3010810656383</v>
      </c>
      <c r="U20" s="112">
        <f t="shared" ref="U20" si="51">-0.0029*J20^2+6.2586*J20-453.93</f>
        <v>1325.8680999999999</v>
      </c>
      <c r="V20" s="113">
        <f t="shared" ref="V20" si="52">(5.2961*K20)-72.683</f>
        <v>1410.2249999999999</v>
      </c>
      <c r="W20" s="113">
        <f t="shared" ref="W20" si="53">V20-G20</f>
        <v>-19.775000000000091</v>
      </c>
      <c r="X20" s="113">
        <f t="shared" ref="X20" si="54">ABS(W20)</f>
        <v>19.775000000000091</v>
      </c>
      <c r="Y20" s="113">
        <f t="shared" ref="Y20" si="55">W20/G20*100</f>
        <v>-1.3828671328671394</v>
      </c>
      <c r="Z20" s="113">
        <f t="shared" ref="Z20" si="56">ABS(Y20)</f>
        <v>1.3828671328671394</v>
      </c>
      <c r="AA20" s="113">
        <f t="shared" ref="AA20" si="57">LOG10(X20+1)</f>
        <v>1.3175410324561505</v>
      </c>
      <c r="AB20" s="113">
        <f t="shared" ref="AB20" si="58">K20*4.8904-75.012</f>
        <v>1294.3</v>
      </c>
      <c r="AC20" s="113">
        <f t="shared" ref="AC20" si="59">AB20-G20</f>
        <v>-135.70000000000005</v>
      </c>
      <c r="AD20" s="113">
        <f t="shared" ref="AD20" si="60">ABS(AC20)</f>
        <v>135.70000000000005</v>
      </c>
      <c r="AE20" s="113">
        <f t="shared" ref="AE20" si="61">AC20/G20*100</f>
        <v>-9.4895104895104936</v>
      </c>
      <c r="AF20" s="113">
        <f t="shared" ref="AF20" si="62">ABS(AE20)</f>
        <v>9.4895104895104936</v>
      </c>
      <c r="AG20" s="113">
        <f t="shared" ref="AG20" si="63">LOG10(AD20+1)</f>
        <v>2.1357685145678222</v>
      </c>
      <c r="AH20" s="113">
        <f t="shared" ref="AH20" si="64">2.5626*K20^1.1052</f>
        <v>1298.0154985395695</v>
      </c>
      <c r="AI20" s="113">
        <f t="shared" ref="AI20" si="65">AH20-G20</f>
        <v>-131.98450146043047</v>
      </c>
      <c r="AJ20" s="113">
        <f t="shared" ref="AJ20" si="66">ABS(AI20)</f>
        <v>131.98450146043047</v>
      </c>
      <c r="AK20" s="113">
        <f t="shared" ref="AK20" si="67">AI20/G20*100</f>
        <v>-9.229685416813318</v>
      </c>
      <c r="AL20" s="113">
        <f t="shared" ref="AL20" si="68">ABS(AK20)</f>
        <v>9.229685416813318</v>
      </c>
      <c r="AM20" s="113">
        <f t="shared" ref="AM20" si="69">LOG10(AJ20+1)</f>
        <v>2.1238010295203038</v>
      </c>
      <c r="AZ20" s="113">
        <f t="shared" ref="AZ20" si="70">4.0167*K20 + 167.41</f>
        <v>1292.086</v>
      </c>
      <c r="BA20" s="113">
        <f t="shared" ref="BA20" si="71">AZ20-G20</f>
        <v>-137.91399999999999</v>
      </c>
      <c r="BB20" s="113">
        <f t="shared" ref="BB20" si="72">ABS(BA20)</f>
        <v>137.91399999999999</v>
      </c>
      <c r="BC20" s="113">
        <f t="shared" ref="BC20" si="73">8.3644*(K20^0.8953)</f>
        <v>1298.3009617572743</v>
      </c>
      <c r="BD20" s="113">
        <f t="shared" ref="BD20" si="74">BC20-G20</f>
        <v>-131.69903824272569</v>
      </c>
      <c r="BE20" s="113">
        <f t="shared" ref="BE20" si="75">ABS(BD20)</f>
        <v>131.69903824272569</v>
      </c>
      <c r="BF20" s="113">
        <f t="shared" ref="BF20" si="76">-0.002*K20^2+5.64*K20-84.5</f>
        <v>1337.8999999999999</v>
      </c>
      <c r="BG20" s="113">
        <f t="shared" ref="BG20" si="77">BF20-G20</f>
        <v>-92.100000000000136</v>
      </c>
      <c r="BH20" s="113">
        <f t="shared" ref="BH20" si="78">ABS(BG20)</f>
        <v>92.100000000000136</v>
      </c>
    </row>
  </sheetData>
  <sortState xmlns:xlrd2="http://schemas.microsoft.com/office/spreadsheetml/2017/richdata2" ref="A2:BH27">
    <sortCondition ref="B1:B2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18F-B530-204A-A45A-E83185AC9A7D}">
  <dimension ref="A1:AA206"/>
  <sheetViews>
    <sheetView zoomScale="75" workbookViewId="0">
      <pane ySplit="1" topLeftCell="A2" activePane="bottomLeft" state="frozen"/>
      <selection pane="bottomLeft" activeCell="A2" sqref="A2:V91"/>
    </sheetView>
  </sheetViews>
  <sheetFormatPr baseColWidth="10" defaultRowHeight="13" x14ac:dyDescent="0.15"/>
  <cols>
    <col min="6" max="6" width="10.83203125" style="20"/>
    <col min="7" max="7" width="12.6640625" style="20" bestFit="1" customWidth="1"/>
    <col min="8" max="9" width="12.6640625" style="140" bestFit="1" customWidth="1"/>
    <col min="10" max="10" width="13.33203125" style="140" bestFit="1" customWidth="1"/>
    <col min="11" max="11" width="13" style="140" customWidth="1"/>
    <col min="12" max="12" width="9" style="140" bestFit="1" customWidth="1"/>
    <col min="13" max="15" width="10.6640625" customWidth="1"/>
    <col min="17" max="17" width="12.33203125" style="140" bestFit="1" customWidth="1"/>
    <col min="18" max="18" width="10.83203125" style="140"/>
    <col min="19" max="19" width="8.83203125" bestFit="1" customWidth="1"/>
  </cols>
  <sheetData>
    <row r="1" spans="1:27" x14ac:dyDescent="0.15">
      <c r="A1" s="24" t="s">
        <v>402</v>
      </c>
      <c r="B1" s="24" t="s">
        <v>511</v>
      </c>
      <c r="C1" s="24" t="s">
        <v>784</v>
      </c>
      <c r="D1" s="24" t="s">
        <v>81</v>
      </c>
      <c r="E1" s="24" t="s">
        <v>660</v>
      </c>
      <c r="F1" s="29" t="s">
        <v>442</v>
      </c>
      <c r="G1" s="29" t="s">
        <v>583</v>
      </c>
      <c r="H1" s="138" t="s">
        <v>517</v>
      </c>
      <c r="I1" s="3" t="s">
        <v>541</v>
      </c>
      <c r="J1" s="3" t="s">
        <v>542</v>
      </c>
      <c r="K1" s="3" t="s">
        <v>602</v>
      </c>
      <c r="L1" s="3" t="s">
        <v>641</v>
      </c>
      <c r="M1" s="3" t="s">
        <v>644</v>
      </c>
      <c r="N1" s="3" t="s">
        <v>682</v>
      </c>
      <c r="O1" s="3" t="s">
        <v>683</v>
      </c>
      <c r="P1" s="1" t="s">
        <v>543</v>
      </c>
      <c r="Q1" s="3" t="s">
        <v>544</v>
      </c>
      <c r="R1" s="3" t="s">
        <v>603</v>
      </c>
      <c r="S1" s="3" t="s">
        <v>642</v>
      </c>
      <c r="T1" s="3" t="s">
        <v>646</v>
      </c>
      <c r="U1" s="3" t="s">
        <v>684</v>
      </c>
      <c r="V1" s="3" t="s">
        <v>685</v>
      </c>
    </row>
    <row r="2" spans="1:27" ht="14" x14ac:dyDescent="0.15">
      <c r="A2" s="107" t="s">
        <v>493</v>
      </c>
      <c r="B2" s="106" t="s">
        <v>513</v>
      </c>
      <c r="C2" s="106" t="s">
        <v>401</v>
      </c>
      <c r="D2" s="106" t="s">
        <v>82</v>
      </c>
      <c r="E2" s="106" t="s">
        <v>661</v>
      </c>
      <c r="F2" s="108" t="s">
        <v>203</v>
      </c>
      <c r="G2" s="108" t="s">
        <v>581</v>
      </c>
      <c r="H2" s="109">
        <v>2590</v>
      </c>
      <c r="I2" s="112">
        <v>2458.2151999999996</v>
      </c>
      <c r="J2" s="143">
        <f t="shared" ref="J2:J45" si="0">I2-H2</f>
        <v>-131.78480000000036</v>
      </c>
      <c r="K2" s="143">
        <f t="shared" ref="K2:K45" si="1">J2^2</f>
        <v>17367.233511040096</v>
      </c>
      <c r="L2" s="143">
        <f t="shared" ref="L2:L45" si="2">SQRT(K2)</f>
        <v>131.78480000000036</v>
      </c>
      <c r="M2" s="143">
        <f t="shared" ref="M2:M45" si="3">LOG10(L2+1)</f>
        <v>2.1231483637824695</v>
      </c>
      <c r="N2" s="143">
        <f t="shared" ref="N2:N45" si="4">100*J2/H2</f>
        <v>-5.0882162162162299</v>
      </c>
      <c r="O2" s="143">
        <f t="shared" ref="O2:O45" si="5">ABS(N2)</f>
        <v>5.0882162162162299</v>
      </c>
      <c r="P2" s="33">
        <v>2268.8465000000001</v>
      </c>
      <c r="Q2" s="143">
        <f t="shared" ref="Q2:Q20" si="6">P2-H2</f>
        <v>-321.15349999999989</v>
      </c>
      <c r="R2" s="143">
        <f t="shared" ref="R2:R20" si="7">Q2^2</f>
        <v>103139.57056224994</v>
      </c>
      <c r="S2" s="143">
        <f t="shared" ref="S2:S20" si="8">SQRT(R2)</f>
        <v>321.15349999999989</v>
      </c>
      <c r="T2" s="143">
        <f t="shared" ref="T2:T20" si="9">LOG10(S2+1)</f>
        <v>2.5080628540509187</v>
      </c>
      <c r="U2" s="33">
        <f t="shared" ref="U2:U20" si="10">100*Q2/H2</f>
        <v>-12.399749034749032</v>
      </c>
      <c r="V2" s="143">
        <f t="shared" ref="V2:V20" si="11">ABS(U2)</f>
        <v>12.399749034749032</v>
      </c>
    </row>
    <row r="3" spans="1:27" ht="14" x14ac:dyDescent="0.15">
      <c r="A3" s="107" t="s">
        <v>493</v>
      </c>
      <c r="B3" s="106" t="s">
        <v>514</v>
      </c>
      <c r="C3" s="106" t="s">
        <v>401</v>
      </c>
      <c r="D3" s="106" t="s">
        <v>82</v>
      </c>
      <c r="E3" s="106" t="s">
        <v>662</v>
      </c>
      <c r="F3" s="108" t="s">
        <v>203</v>
      </c>
      <c r="G3" s="108" t="s">
        <v>581</v>
      </c>
      <c r="H3" s="109">
        <v>2590</v>
      </c>
      <c r="I3" s="112">
        <v>2561.8758059145525</v>
      </c>
      <c r="J3" s="143">
        <f t="shared" si="0"/>
        <v>-28.124194085447471</v>
      </c>
      <c r="K3" s="143">
        <f t="shared" si="1"/>
        <v>790.97029295591847</v>
      </c>
      <c r="L3" s="143">
        <f t="shared" si="2"/>
        <v>28.124194085447471</v>
      </c>
      <c r="M3" s="143">
        <f t="shared" si="3"/>
        <v>1.4642539165547415</v>
      </c>
      <c r="N3" s="143">
        <f t="shared" si="4"/>
        <v>-1.0858762195153464</v>
      </c>
      <c r="O3" s="143">
        <f t="shared" si="5"/>
        <v>1.0858762195153464</v>
      </c>
      <c r="P3" s="33">
        <v>2315.95488531512</v>
      </c>
      <c r="Q3" s="143">
        <f t="shared" si="6"/>
        <v>-274.04511468487999</v>
      </c>
      <c r="R3" s="143">
        <f t="shared" si="7"/>
        <v>75100.724882649025</v>
      </c>
      <c r="S3" s="143">
        <f t="shared" si="8"/>
        <v>274.04511468487999</v>
      </c>
      <c r="T3" s="143">
        <f t="shared" si="9"/>
        <v>2.4394039354728734</v>
      </c>
      <c r="U3" s="33">
        <f t="shared" si="10"/>
        <v>-10.580892458875676</v>
      </c>
      <c r="V3" s="143">
        <f t="shared" si="11"/>
        <v>10.580892458875676</v>
      </c>
    </row>
    <row r="4" spans="1:27" ht="14" x14ac:dyDescent="0.15">
      <c r="A4" s="107" t="s">
        <v>493</v>
      </c>
      <c r="B4" s="106" t="s">
        <v>512</v>
      </c>
      <c r="C4" s="106" t="s">
        <v>401</v>
      </c>
      <c r="D4" s="106" t="s">
        <v>82</v>
      </c>
      <c r="E4" s="106" t="s">
        <v>661</v>
      </c>
      <c r="F4" s="108" t="s">
        <v>203</v>
      </c>
      <c r="G4" s="108" t="s">
        <v>581</v>
      </c>
      <c r="H4" s="109">
        <v>2590</v>
      </c>
      <c r="I4" s="112">
        <v>2670.6968000000002</v>
      </c>
      <c r="J4" s="143">
        <f t="shared" si="0"/>
        <v>80.696800000000167</v>
      </c>
      <c r="K4" s="143">
        <f t="shared" si="1"/>
        <v>6511.9735302400268</v>
      </c>
      <c r="L4" s="143">
        <f t="shared" si="2"/>
        <v>80.696800000000167</v>
      </c>
      <c r="M4" s="143">
        <f t="shared" si="3"/>
        <v>1.9122050458890958</v>
      </c>
      <c r="N4" s="143">
        <f t="shared" si="4"/>
        <v>3.1157065637065702</v>
      </c>
      <c r="O4" s="143">
        <f t="shared" si="5"/>
        <v>3.1157065637065702</v>
      </c>
      <c r="P4" s="33">
        <v>2490.2213999999999</v>
      </c>
      <c r="Q4" s="143">
        <f t="shared" si="6"/>
        <v>-99.778600000000097</v>
      </c>
      <c r="R4" s="143">
        <f t="shared" si="7"/>
        <v>9955.7690179600195</v>
      </c>
      <c r="S4" s="143">
        <f t="shared" si="8"/>
        <v>99.778600000000097</v>
      </c>
      <c r="T4" s="143">
        <f t="shared" si="9"/>
        <v>2.0033683209130047</v>
      </c>
      <c r="U4" s="33">
        <f t="shared" si="10"/>
        <v>-3.8524555984556024</v>
      </c>
      <c r="V4" s="143">
        <f t="shared" si="11"/>
        <v>3.8524555984556024</v>
      </c>
    </row>
    <row r="5" spans="1:27" ht="14" x14ac:dyDescent="0.15">
      <c r="A5" s="107" t="s">
        <v>493</v>
      </c>
      <c r="B5" s="106" t="s">
        <v>516</v>
      </c>
      <c r="C5" s="106" t="s">
        <v>401</v>
      </c>
      <c r="D5" s="106" t="s">
        <v>82</v>
      </c>
      <c r="E5" s="106" t="s">
        <v>661</v>
      </c>
      <c r="F5" s="108" t="s">
        <v>203</v>
      </c>
      <c r="G5" s="108" t="s">
        <v>581</v>
      </c>
      <c r="H5" s="109">
        <v>2590</v>
      </c>
      <c r="I5" s="112">
        <v>2590</v>
      </c>
      <c r="J5" s="143">
        <f t="shared" si="0"/>
        <v>0</v>
      </c>
      <c r="K5" s="143">
        <f t="shared" si="1"/>
        <v>0</v>
      </c>
      <c r="L5" s="143">
        <f t="shared" si="2"/>
        <v>0</v>
      </c>
      <c r="M5" s="143">
        <f t="shared" si="3"/>
        <v>0</v>
      </c>
      <c r="N5" s="143">
        <f t="shared" si="4"/>
        <v>0</v>
      </c>
      <c r="O5" s="143">
        <f t="shared" si="5"/>
        <v>0</v>
      </c>
      <c r="P5" s="33">
        <v>2311.5384615384614</v>
      </c>
      <c r="Q5" s="143">
        <f t="shared" si="6"/>
        <v>-278.46153846153857</v>
      </c>
      <c r="R5" s="143">
        <f t="shared" si="7"/>
        <v>77540.828402366926</v>
      </c>
      <c r="S5" s="143">
        <f t="shared" si="8"/>
        <v>278.46153846153857</v>
      </c>
      <c r="T5" s="143">
        <f t="shared" si="9"/>
        <v>2.4463220455558781</v>
      </c>
      <c r="U5" s="33">
        <f t="shared" si="10"/>
        <v>-10.751410751410756</v>
      </c>
      <c r="V5" s="143">
        <f t="shared" si="11"/>
        <v>10.751410751410756</v>
      </c>
    </row>
    <row r="6" spans="1:27" ht="14" x14ac:dyDescent="0.15">
      <c r="A6" s="107" t="s">
        <v>493</v>
      </c>
      <c r="B6" s="106" t="s">
        <v>522</v>
      </c>
      <c r="C6" s="106" t="s">
        <v>401</v>
      </c>
      <c r="D6" s="106" t="s">
        <v>82</v>
      </c>
      <c r="E6" s="106" t="s">
        <v>663</v>
      </c>
      <c r="F6" s="108" t="s">
        <v>203</v>
      </c>
      <c r="G6" s="108" t="s">
        <v>581</v>
      </c>
      <c r="H6" s="109">
        <v>2590</v>
      </c>
      <c r="I6" s="112">
        <v>2883.4294689949033</v>
      </c>
      <c r="J6" s="143">
        <f t="shared" si="0"/>
        <v>293.42946899490335</v>
      </c>
      <c r="K6" s="143">
        <f t="shared" si="1"/>
        <v>86100.85327463095</v>
      </c>
      <c r="L6" s="143">
        <f t="shared" si="2"/>
        <v>293.42946899490335</v>
      </c>
      <c r="M6" s="143">
        <f t="shared" si="3"/>
        <v>2.4689812757108931</v>
      </c>
      <c r="N6" s="143">
        <f t="shared" si="4"/>
        <v>11.329323127216346</v>
      </c>
      <c r="O6" s="143">
        <f t="shared" si="5"/>
        <v>11.329323127216346</v>
      </c>
      <c r="P6" s="33">
        <v>2634.5095752984043</v>
      </c>
      <c r="Q6" s="143">
        <f t="shared" si="6"/>
        <v>44.509575298404343</v>
      </c>
      <c r="R6" s="143">
        <f t="shared" si="7"/>
        <v>1981.1022932443261</v>
      </c>
      <c r="S6" s="143">
        <f t="shared" si="8"/>
        <v>44.509575298404343</v>
      </c>
      <c r="T6" s="143">
        <f t="shared" si="9"/>
        <v>1.6581027826296608</v>
      </c>
      <c r="U6" s="33">
        <f t="shared" si="10"/>
        <v>1.7185164207878125</v>
      </c>
      <c r="V6" s="143">
        <f t="shared" si="11"/>
        <v>1.7185164207878125</v>
      </c>
      <c r="W6" s="103"/>
      <c r="X6" s="103"/>
      <c r="Y6" s="103"/>
      <c r="Z6" s="103"/>
      <c r="AA6" s="103"/>
    </row>
    <row r="7" spans="1:27" ht="14" x14ac:dyDescent="0.15">
      <c r="A7" s="116" t="s">
        <v>592</v>
      </c>
      <c r="B7" s="106" t="s">
        <v>513</v>
      </c>
      <c r="C7" s="106" t="s">
        <v>403</v>
      </c>
      <c r="D7" s="116" t="s">
        <v>82</v>
      </c>
      <c r="E7" s="106" t="s">
        <v>661</v>
      </c>
      <c r="F7" s="108" t="s">
        <v>203</v>
      </c>
      <c r="G7" s="108" t="s">
        <v>581</v>
      </c>
      <c r="H7" s="109">
        <v>2914</v>
      </c>
      <c r="I7" s="112">
        <v>3235.7887999999998</v>
      </c>
      <c r="J7" s="143">
        <f t="shared" si="0"/>
        <v>321.78879999999981</v>
      </c>
      <c r="K7" s="143">
        <f t="shared" si="1"/>
        <v>103548.03180543988</v>
      </c>
      <c r="L7" s="143">
        <f t="shared" si="2"/>
        <v>321.78879999999981</v>
      </c>
      <c r="M7" s="143">
        <f t="shared" si="3"/>
        <v>2.5089184573307555</v>
      </c>
      <c r="N7" s="143">
        <f t="shared" si="4"/>
        <v>11.04285518188057</v>
      </c>
      <c r="O7" s="143">
        <f t="shared" si="5"/>
        <v>11.04285518188057</v>
      </c>
      <c r="P7" s="33">
        <v>2866.5974999999999</v>
      </c>
      <c r="Q7" s="143">
        <f t="shared" si="6"/>
        <v>-47.402500000000146</v>
      </c>
      <c r="R7" s="143">
        <f t="shared" si="7"/>
        <v>2246.9970062500138</v>
      </c>
      <c r="S7" s="143">
        <f t="shared" si="8"/>
        <v>47.402500000000146</v>
      </c>
      <c r="T7" s="143">
        <f t="shared" si="9"/>
        <v>1.6848677936312944</v>
      </c>
      <c r="U7" s="33">
        <f t="shared" si="10"/>
        <v>-1.6267158544955438</v>
      </c>
      <c r="V7" s="143">
        <f t="shared" si="11"/>
        <v>1.6267158544955438</v>
      </c>
      <c r="W7" s="103"/>
      <c r="X7" s="103"/>
      <c r="Y7" s="103"/>
      <c r="Z7" s="103"/>
      <c r="AA7" s="103"/>
    </row>
    <row r="8" spans="1:27" ht="14" x14ac:dyDescent="0.15">
      <c r="A8" s="116" t="s">
        <v>592</v>
      </c>
      <c r="B8" s="106" t="s">
        <v>514</v>
      </c>
      <c r="C8" s="106" t="s">
        <v>403</v>
      </c>
      <c r="D8" s="116" t="s">
        <v>82</v>
      </c>
      <c r="E8" s="106" t="s">
        <v>662</v>
      </c>
      <c r="F8" s="108" t="s">
        <v>203</v>
      </c>
      <c r="G8" s="108" t="s">
        <v>581</v>
      </c>
      <c r="H8" s="109">
        <v>2914</v>
      </c>
      <c r="I8" s="112">
        <v>3443.875306618022</v>
      </c>
      <c r="J8" s="143">
        <f t="shared" si="0"/>
        <v>529.87530661802202</v>
      </c>
      <c r="K8" s="143">
        <f t="shared" si="1"/>
        <v>280767.84056354285</v>
      </c>
      <c r="L8" s="143">
        <f t="shared" si="2"/>
        <v>529.87530661802202</v>
      </c>
      <c r="M8" s="143">
        <f t="shared" si="3"/>
        <v>2.7249925248345757</v>
      </c>
      <c r="N8" s="143">
        <f t="shared" si="4"/>
        <v>18.183778538710431</v>
      </c>
      <c r="O8" s="143">
        <f t="shared" si="5"/>
        <v>18.183778538710431</v>
      </c>
      <c r="P8" s="33">
        <v>2961.0856536149267</v>
      </c>
      <c r="Q8" s="143">
        <f t="shared" si="6"/>
        <v>47.085653614926741</v>
      </c>
      <c r="R8" s="143">
        <f t="shared" si="7"/>
        <v>2217.0587763448639</v>
      </c>
      <c r="S8" s="143">
        <f t="shared" si="8"/>
        <v>47.085653614926741</v>
      </c>
      <c r="T8" s="143">
        <f t="shared" si="9"/>
        <v>1.6820155236664451</v>
      </c>
      <c r="U8" s="33">
        <f t="shared" si="10"/>
        <v>1.6158426086110755</v>
      </c>
      <c r="V8" s="143">
        <f t="shared" si="11"/>
        <v>1.6158426086110755</v>
      </c>
      <c r="W8" s="103"/>
      <c r="X8" s="103"/>
      <c r="Y8" s="103"/>
      <c r="Z8" s="103"/>
      <c r="AA8" s="103"/>
    </row>
    <row r="9" spans="1:27" ht="14" x14ac:dyDescent="0.15">
      <c r="A9" s="116" t="s">
        <v>592</v>
      </c>
      <c r="B9" s="106" t="s">
        <v>512</v>
      </c>
      <c r="C9" s="106" t="s">
        <v>403</v>
      </c>
      <c r="D9" s="116" t="s">
        <v>82</v>
      </c>
      <c r="E9" s="106" t="s">
        <v>661</v>
      </c>
      <c r="F9" s="108" t="s">
        <v>203</v>
      </c>
      <c r="G9" s="108" t="s">
        <v>581</v>
      </c>
      <c r="H9" s="109">
        <v>2914</v>
      </c>
      <c r="I9" s="112">
        <v>3512.7766999999999</v>
      </c>
      <c r="J9" s="143">
        <f t="shared" si="0"/>
        <v>598.77669999999989</v>
      </c>
      <c r="K9" s="143">
        <f t="shared" si="1"/>
        <v>358533.53646288987</v>
      </c>
      <c r="L9" s="143">
        <f t="shared" si="2"/>
        <v>598.77669999999989</v>
      </c>
      <c r="M9" s="143">
        <f t="shared" si="3"/>
        <v>2.7779895903698613</v>
      </c>
      <c r="N9" s="143">
        <f t="shared" si="4"/>
        <v>20.548273850377484</v>
      </c>
      <c r="O9" s="143">
        <f t="shared" si="5"/>
        <v>20.548273850377484</v>
      </c>
      <c r="P9" s="33">
        <v>3146.9390000000003</v>
      </c>
      <c r="Q9" s="143">
        <f t="shared" si="6"/>
        <v>232.93900000000031</v>
      </c>
      <c r="R9" s="143">
        <f t="shared" si="7"/>
        <v>54260.57772100014</v>
      </c>
      <c r="S9" s="143">
        <f t="shared" si="8"/>
        <v>232.93900000000031</v>
      </c>
      <c r="T9" s="143">
        <f t="shared" si="9"/>
        <v>2.3691026291323287</v>
      </c>
      <c r="U9" s="33">
        <f t="shared" si="10"/>
        <v>7.9937886067261603</v>
      </c>
      <c r="V9" s="143">
        <f t="shared" si="11"/>
        <v>7.9937886067261603</v>
      </c>
      <c r="W9" s="103"/>
      <c r="X9" s="103"/>
      <c r="Y9" s="103"/>
      <c r="Z9" s="103"/>
      <c r="AA9" s="103"/>
    </row>
    <row r="10" spans="1:27" ht="14" x14ac:dyDescent="0.15">
      <c r="A10" s="116" t="s">
        <v>592</v>
      </c>
      <c r="B10" s="106" t="s">
        <v>516</v>
      </c>
      <c r="C10" s="106" t="s">
        <v>403</v>
      </c>
      <c r="D10" s="116" t="s">
        <v>82</v>
      </c>
      <c r="E10" s="106" t="s">
        <v>661</v>
      </c>
      <c r="F10" s="108" t="s">
        <v>203</v>
      </c>
      <c r="G10" s="108" t="s">
        <v>581</v>
      </c>
      <c r="H10" s="109">
        <v>2914</v>
      </c>
      <c r="I10" s="112">
        <v>3385</v>
      </c>
      <c r="J10" s="143">
        <f t="shared" si="0"/>
        <v>471</v>
      </c>
      <c r="K10" s="143">
        <f t="shared" si="1"/>
        <v>221841</v>
      </c>
      <c r="L10" s="143">
        <f t="shared" si="2"/>
        <v>471</v>
      </c>
      <c r="M10" s="143">
        <f t="shared" si="3"/>
        <v>2.673941998634088</v>
      </c>
      <c r="N10" s="143">
        <f t="shared" si="4"/>
        <v>16.163349347975291</v>
      </c>
      <c r="O10" s="143">
        <f t="shared" si="5"/>
        <v>16.163349347975291</v>
      </c>
      <c r="P10" s="33">
        <v>2903.8461538461538</v>
      </c>
      <c r="Q10" s="143">
        <f t="shared" si="6"/>
        <v>-10.153846153846189</v>
      </c>
      <c r="R10" s="143">
        <f t="shared" si="7"/>
        <v>103.10059171597705</v>
      </c>
      <c r="S10" s="143">
        <f t="shared" si="8"/>
        <v>10.153846153846189</v>
      </c>
      <c r="T10" s="143">
        <f t="shared" si="9"/>
        <v>1.0474246499281394</v>
      </c>
      <c r="U10" s="33">
        <f t="shared" si="10"/>
        <v>-0.34845045140172232</v>
      </c>
      <c r="V10" s="143">
        <f t="shared" si="11"/>
        <v>0.34845045140172232</v>
      </c>
      <c r="W10" s="103"/>
      <c r="X10" s="103"/>
      <c r="Y10" s="103"/>
      <c r="Z10" s="103"/>
      <c r="AA10" s="103"/>
    </row>
    <row r="11" spans="1:27" ht="14" x14ac:dyDescent="0.15">
      <c r="A11" s="116" t="s">
        <v>592</v>
      </c>
      <c r="B11" s="106" t="s">
        <v>522</v>
      </c>
      <c r="C11" s="106" t="s">
        <v>403</v>
      </c>
      <c r="D11" s="116" t="s">
        <v>82</v>
      </c>
      <c r="E11" s="106" t="s">
        <v>663</v>
      </c>
      <c r="F11" s="108" t="s">
        <v>203</v>
      </c>
      <c r="G11" s="108" t="s">
        <v>581</v>
      </c>
      <c r="H11" s="109">
        <v>2914</v>
      </c>
      <c r="I11" s="112">
        <v>3304.6979955391257</v>
      </c>
      <c r="J11" s="143">
        <f t="shared" si="0"/>
        <v>390.69799553912571</v>
      </c>
      <c r="K11" s="143">
        <f t="shared" si="1"/>
        <v>152644.92371829069</v>
      </c>
      <c r="L11" s="143">
        <f t="shared" si="2"/>
        <v>390.69799553912571</v>
      </c>
      <c r="M11" s="143">
        <f t="shared" si="3"/>
        <v>2.5929513491109901</v>
      </c>
      <c r="N11" s="143">
        <f t="shared" si="4"/>
        <v>13.407618240875967</v>
      </c>
      <c r="O11" s="143">
        <f t="shared" si="5"/>
        <v>13.407618240875967</v>
      </c>
      <c r="P11" s="33">
        <v>2979.8395844326592</v>
      </c>
      <c r="Q11" s="143">
        <f t="shared" si="6"/>
        <v>65.839584432659194</v>
      </c>
      <c r="R11" s="143">
        <f t="shared" si="7"/>
        <v>4334.8508782652589</v>
      </c>
      <c r="S11" s="143">
        <f t="shared" si="8"/>
        <v>65.839584432659194</v>
      </c>
      <c r="T11" s="143">
        <f t="shared" si="9"/>
        <v>1.8250337410543276</v>
      </c>
      <c r="U11" s="33">
        <f t="shared" si="10"/>
        <v>2.2594229386636648</v>
      </c>
      <c r="V11" s="143">
        <f t="shared" si="11"/>
        <v>2.2594229386636648</v>
      </c>
      <c r="W11" s="103"/>
      <c r="X11" s="103"/>
      <c r="Y11" s="103"/>
      <c r="Z11" s="103"/>
      <c r="AA11" s="103"/>
    </row>
    <row r="12" spans="1:27" ht="14" x14ac:dyDescent="0.15">
      <c r="A12" s="116" t="s">
        <v>591</v>
      </c>
      <c r="B12" s="106" t="s">
        <v>513</v>
      </c>
      <c r="C12" s="106" t="s">
        <v>403</v>
      </c>
      <c r="D12" s="116" t="s">
        <v>82</v>
      </c>
      <c r="E12" s="106" t="s">
        <v>661</v>
      </c>
      <c r="F12" s="108" t="s">
        <v>203</v>
      </c>
      <c r="G12" s="108" t="s">
        <v>581</v>
      </c>
      <c r="H12" s="109">
        <v>2505</v>
      </c>
      <c r="I12" s="112">
        <v>2736.9679999999994</v>
      </c>
      <c r="J12" s="143">
        <f t="shared" si="0"/>
        <v>231.96799999999939</v>
      </c>
      <c r="K12" s="143">
        <f t="shared" si="1"/>
        <v>53809.153023999716</v>
      </c>
      <c r="L12" s="143">
        <f t="shared" si="2"/>
        <v>231.96799999999939</v>
      </c>
      <c r="M12" s="143">
        <f t="shared" si="3"/>
        <v>2.3672962713357268</v>
      </c>
      <c r="N12" s="143">
        <f t="shared" si="4"/>
        <v>9.2601996007983782</v>
      </c>
      <c r="O12" s="143">
        <f t="shared" si="5"/>
        <v>9.2601996007983782</v>
      </c>
      <c r="P12" s="33">
        <v>2702.7981999999997</v>
      </c>
      <c r="Q12" s="143">
        <f t="shared" si="6"/>
        <v>197.79819999999972</v>
      </c>
      <c r="R12" s="143">
        <f t="shared" si="7"/>
        <v>39124.127923239888</v>
      </c>
      <c r="S12" s="143">
        <f t="shared" si="8"/>
        <v>197.79819999999972</v>
      </c>
      <c r="T12" s="143">
        <f t="shared" si="9"/>
        <v>2.2984124477996919</v>
      </c>
      <c r="U12" s="33">
        <f t="shared" si="10"/>
        <v>7.8961357285429026</v>
      </c>
      <c r="V12" s="143">
        <f t="shared" si="11"/>
        <v>7.8961357285429026</v>
      </c>
      <c r="W12" s="103"/>
      <c r="X12" s="103"/>
      <c r="Y12" s="103"/>
      <c r="Z12" s="103"/>
      <c r="AA12" s="103"/>
    </row>
    <row r="13" spans="1:27" ht="14" x14ac:dyDescent="0.15">
      <c r="A13" s="116" t="s">
        <v>591</v>
      </c>
      <c r="B13" s="106" t="s">
        <v>514</v>
      </c>
      <c r="C13" s="106" t="s">
        <v>403</v>
      </c>
      <c r="D13" s="116" t="s">
        <v>82</v>
      </c>
      <c r="E13" s="106" t="s">
        <v>662</v>
      </c>
      <c r="F13" s="108" t="s">
        <v>203</v>
      </c>
      <c r="G13" s="108" t="s">
        <v>581</v>
      </c>
      <c r="H13" s="109">
        <v>2505</v>
      </c>
      <c r="I13" s="112">
        <v>2875.1845347814906</v>
      </c>
      <c r="J13" s="143">
        <f t="shared" si="0"/>
        <v>370.18453478149058</v>
      </c>
      <c r="K13" s="143">
        <f t="shared" si="1"/>
        <v>137036.5897913886</v>
      </c>
      <c r="L13" s="143">
        <f t="shared" si="2"/>
        <v>370.18453478149058</v>
      </c>
      <c r="M13" s="143">
        <f t="shared" si="3"/>
        <v>2.5695898732607869</v>
      </c>
      <c r="N13" s="143">
        <f t="shared" si="4"/>
        <v>14.777825739780063</v>
      </c>
      <c r="O13" s="143">
        <f t="shared" si="5"/>
        <v>14.777825739780063</v>
      </c>
      <c r="P13" s="33">
        <v>2783.1929179051754</v>
      </c>
      <c r="Q13" s="143">
        <f t="shared" si="6"/>
        <v>278.19291790517536</v>
      </c>
      <c r="R13" s="143">
        <f t="shared" si="7"/>
        <v>77391.299572595643</v>
      </c>
      <c r="S13" s="143">
        <f t="shared" si="8"/>
        <v>278.19291790517536</v>
      </c>
      <c r="T13" s="143">
        <f t="shared" si="9"/>
        <v>2.4459043976412662</v>
      </c>
      <c r="U13" s="33">
        <f t="shared" si="10"/>
        <v>11.105505704797419</v>
      </c>
      <c r="V13" s="143">
        <f t="shared" si="11"/>
        <v>11.105505704797419</v>
      </c>
      <c r="W13" s="103"/>
      <c r="X13" s="103"/>
      <c r="Y13" s="103"/>
      <c r="Z13" s="103"/>
      <c r="AA13" s="103"/>
    </row>
    <row r="14" spans="1:27" ht="14" x14ac:dyDescent="0.15">
      <c r="A14" s="116" t="s">
        <v>591</v>
      </c>
      <c r="B14" s="106" t="s">
        <v>512</v>
      </c>
      <c r="C14" s="106" t="s">
        <v>403</v>
      </c>
      <c r="D14" s="116" t="s">
        <v>82</v>
      </c>
      <c r="E14" s="106" t="s">
        <v>661</v>
      </c>
      <c r="F14" s="108" t="s">
        <v>203</v>
      </c>
      <c r="G14" s="108" t="s">
        <v>581</v>
      </c>
      <c r="H14" s="109">
        <v>2505</v>
      </c>
      <c r="I14" s="112">
        <v>2972.5745000000002</v>
      </c>
      <c r="J14" s="143">
        <f t="shared" si="0"/>
        <v>467.57450000000017</v>
      </c>
      <c r="K14" s="143">
        <f t="shared" si="1"/>
        <v>218625.91305025015</v>
      </c>
      <c r="L14" s="143">
        <f t="shared" si="2"/>
        <v>467.57450000000017</v>
      </c>
      <c r="M14" s="143">
        <f t="shared" si="3"/>
        <v>2.6707786504354587</v>
      </c>
      <c r="N14" s="143">
        <f t="shared" si="4"/>
        <v>18.665648702594819</v>
      </c>
      <c r="O14" s="143">
        <f t="shared" si="5"/>
        <v>18.665648702594819</v>
      </c>
      <c r="P14" s="33">
        <v>2966.9813199999999</v>
      </c>
      <c r="Q14" s="143">
        <f t="shared" si="6"/>
        <v>461.98131999999987</v>
      </c>
      <c r="R14" s="143">
        <f t="shared" si="7"/>
        <v>213426.74002894227</v>
      </c>
      <c r="S14" s="143">
        <f t="shared" si="8"/>
        <v>461.98131999999987</v>
      </c>
      <c r="T14" s="143">
        <f t="shared" si="9"/>
        <v>2.6655634688050363</v>
      </c>
      <c r="U14" s="33">
        <f t="shared" si="10"/>
        <v>18.442368063872248</v>
      </c>
      <c r="V14" s="143">
        <f t="shared" si="11"/>
        <v>18.442368063872248</v>
      </c>
      <c r="W14" s="103"/>
      <c r="X14" s="103"/>
      <c r="Y14" s="103"/>
      <c r="Z14" s="103"/>
      <c r="AA14" s="103"/>
    </row>
    <row r="15" spans="1:27" ht="14" x14ac:dyDescent="0.15">
      <c r="A15" s="116" t="s">
        <v>591</v>
      </c>
      <c r="B15" s="106" t="s">
        <v>516</v>
      </c>
      <c r="C15" s="106" t="s">
        <v>403</v>
      </c>
      <c r="D15" s="116" t="s">
        <v>82</v>
      </c>
      <c r="E15" s="106" t="s">
        <v>661</v>
      </c>
      <c r="F15" s="108" t="s">
        <v>203</v>
      </c>
      <c r="G15" s="108" t="s">
        <v>581</v>
      </c>
      <c r="H15" s="109">
        <v>2505</v>
      </c>
      <c r="I15" s="112">
        <v>2875</v>
      </c>
      <c r="J15" s="143">
        <f t="shared" si="0"/>
        <v>370</v>
      </c>
      <c r="K15" s="143">
        <f t="shared" si="1"/>
        <v>136900</v>
      </c>
      <c r="L15" s="143">
        <f t="shared" si="2"/>
        <v>370</v>
      </c>
      <c r="M15" s="143">
        <f t="shared" si="3"/>
        <v>2.5693739096150461</v>
      </c>
      <c r="N15" s="143">
        <f t="shared" si="4"/>
        <v>14.770459081836327</v>
      </c>
      <c r="O15" s="143">
        <f t="shared" si="5"/>
        <v>14.770459081836327</v>
      </c>
      <c r="P15" s="33">
        <v>2741.5384615384614</v>
      </c>
      <c r="Q15" s="143">
        <f t="shared" si="6"/>
        <v>236.53846153846143</v>
      </c>
      <c r="R15" s="143">
        <f t="shared" si="7"/>
        <v>55950.4437869822</v>
      </c>
      <c r="S15" s="143">
        <f t="shared" si="8"/>
        <v>236.53846153846143</v>
      </c>
      <c r="T15" s="143">
        <f t="shared" si="9"/>
        <v>2.3757339393568615</v>
      </c>
      <c r="U15" s="33">
        <f t="shared" si="10"/>
        <v>9.4426531552280011</v>
      </c>
      <c r="V15" s="143">
        <f t="shared" si="11"/>
        <v>9.4426531552280011</v>
      </c>
      <c r="W15" s="103"/>
      <c r="X15" s="103"/>
      <c r="Y15" s="103"/>
      <c r="Z15" s="103"/>
      <c r="AA15" s="103"/>
    </row>
    <row r="16" spans="1:27" ht="14" x14ac:dyDescent="0.15">
      <c r="A16" s="116" t="s">
        <v>591</v>
      </c>
      <c r="B16" s="106" t="s">
        <v>522</v>
      </c>
      <c r="C16" s="106" t="s">
        <v>403</v>
      </c>
      <c r="D16" s="116" t="s">
        <v>82</v>
      </c>
      <c r="E16" s="106" t="s">
        <v>663</v>
      </c>
      <c r="F16" s="108" t="s">
        <v>203</v>
      </c>
      <c r="G16" s="108" t="s">
        <v>581</v>
      </c>
      <c r="H16" s="109">
        <v>2505</v>
      </c>
      <c r="I16" s="112">
        <v>3044.442559926767</v>
      </c>
      <c r="J16" s="143">
        <f t="shared" si="0"/>
        <v>539.44255992676699</v>
      </c>
      <c r="K16" s="143">
        <f t="shared" si="1"/>
        <v>290998.27546034358</v>
      </c>
      <c r="L16" s="143">
        <f t="shared" si="2"/>
        <v>539.44255992676699</v>
      </c>
      <c r="M16" s="143">
        <f t="shared" si="3"/>
        <v>2.7327495424475785</v>
      </c>
      <c r="N16" s="143">
        <f t="shared" si="4"/>
        <v>21.534633130809063</v>
      </c>
      <c r="O16" s="143">
        <f t="shared" si="5"/>
        <v>21.534633130809063</v>
      </c>
      <c r="P16" s="33">
        <v>2891.4825586655056</v>
      </c>
      <c r="Q16" s="143">
        <f t="shared" si="6"/>
        <v>386.48255866550562</v>
      </c>
      <c r="R16" s="143">
        <f t="shared" si="7"/>
        <v>149368.76815263598</v>
      </c>
      <c r="S16" s="143">
        <f t="shared" si="8"/>
        <v>386.48255866550562</v>
      </c>
      <c r="T16" s="143">
        <f t="shared" si="9"/>
        <v>2.588252158853166</v>
      </c>
      <c r="U16" s="33">
        <f t="shared" si="10"/>
        <v>15.428445455708808</v>
      </c>
      <c r="V16" s="143">
        <f t="shared" si="11"/>
        <v>15.428445455708808</v>
      </c>
      <c r="W16" s="103"/>
      <c r="X16" s="103"/>
      <c r="Y16" s="103"/>
      <c r="Z16" s="103"/>
      <c r="AA16" s="103"/>
    </row>
    <row r="17" spans="1:27" ht="14" x14ac:dyDescent="0.15">
      <c r="A17" s="116" t="s">
        <v>466</v>
      </c>
      <c r="B17" s="106" t="s">
        <v>513</v>
      </c>
      <c r="C17" s="106" t="s">
        <v>458</v>
      </c>
      <c r="D17" s="116" t="s">
        <v>82</v>
      </c>
      <c r="E17" s="106" t="s">
        <v>661</v>
      </c>
      <c r="F17" s="117" t="s">
        <v>494</v>
      </c>
      <c r="G17" s="108" t="s">
        <v>580</v>
      </c>
      <c r="H17" s="109">
        <v>1020</v>
      </c>
      <c r="I17" s="112">
        <v>986.20479999999998</v>
      </c>
      <c r="J17" s="143">
        <f t="shared" si="0"/>
        <v>-33.795200000000023</v>
      </c>
      <c r="K17" s="143">
        <f t="shared" si="1"/>
        <v>1142.1155430400015</v>
      </c>
      <c r="L17" s="143">
        <f t="shared" si="2"/>
        <v>33.795200000000023</v>
      </c>
      <c r="M17" s="143">
        <f t="shared" si="3"/>
        <v>1.5415193371278224</v>
      </c>
      <c r="N17" s="143">
        <f t="shared" si="4"/>
        <v>-3.3132549019607866</v>
      </c>
      <c r="O17" s="143">
        <f t="shared" si="5"/>
        <v>3.3132549019607866</v>
      </c>
      <c r="P17" s="33">
        <v>984.06999999999994</v>
      </c>
      <c r="Q17" s="143">
        <f t="shared" si="6"/>
        <v>-35.930000000000064</v>
      </c>
      <c r="R17" s="143">
        <f t="shared" si="7"/>
        <v>1290.9649000000045</v>
      </c>
      <c r="S17" s="143">
        <f t="shared" si="8"/>
        <v>35.930000000000064</v>
      </c>
      <c r="T17" s="143">
        <f t="shared" si="9"/>
        <v>1.5673793076509794</v>
      </c>
      <c r="U17" s="33">
        <f t="shared" si="10"/>
        <v>-3.5225490196078493</v>
      </c>
      <c r="V17" s="143">
        <f t="shared" si="11"/>
        <v>3.5225490196078493</v>
      </c>
      <c r="W17" s="103"/>
      <c r="X17" s="103"/>
      <c r="Y17" s="103"/>
      <c r="Z17" s="103"/>
      <c r="AA17" s="103"/>
    </row>
    <row r="18" spans="1:27" ht="14" x14ac:dyDescent="0.15">
      <c r="A18" s="116" t="s">
        <v>466</v>
      </c>
      <c r="B18" s="106" t="s">
        <v>514</v>
      </c>
      <c r="C18" s="106" t="s">
        <v>458</v>
      </c>
      <c r="D18" s="116" t="s">
        <v>82</v>
      </c>
      <c r="E18" s="106" t="s">
        <v>662</v>
      </c>
      <c r="F18" s="117" t="s">
        <v>494</v>
      </c>
      <c r="G18" s="108" t="s">
        <v>580</v>
      </c>
      <c r="H18" s="109">
        <v>1020</v>
      </c>
      <c r="I18" s="112">
        <v>979.34592290147737</v>
      </c>
      <c r="J18" s="143">
        <f t="shared" si="0"/>
        <v>-40.654077098522635</v>
      </c>
      <c r="K18" s="143">
        <f t="shared" si="1"/>
        <v>1652.7539847326225</v>
      </c>
      <c r="L18" s="143">
        <f t="shared" si="2"/>
        <v>40.654077098522635</v>
      </c>
      <c r="M18" s="143">
        <f t="shared" si="3"/>
        <v>1.6196575165406843</v>
      </c>
      <c r="N18" s="143">
        <f t="shared" si="4"/>
        <v>-3.9856938331884937</v>
      </c>
      <c r="O18" s="143">
        <f t="shared" si="5"/>
        <v>3.9856938331884937</v>
      </c>
      <c r="P18" s="33">
        <v>978.11869693980543</v>
      </c>
      <c r="Q18" s="143">
        <f t="shared" si="6"/>
        <v>-41.881303060194568</v>
      </c>
      <c r="R18" s="143">
        <f t="shared" si="7"/>
        <v>1754.043546019863</v>
      </c>
      <c r="S18" s="143">
        <f t="shared" si="8"/>
        <v>41.881303060194568</v>
      </c>
      <c r="T18" s="143">
        <f t="shared" si="9"/>
        <v>1.6322679740553676</v>
      </c>
      <c r="U18" s="33">
        <f t="shared" si="10"/>
        <v>-4.106010103940644</v>
      </c>
      <c r="V18" s="143">
        <f t="shared" si="11"/>
        <v>4.106010103940644</v>
      </c>
      <c r="W18" s="103"/>
      <c r="X18" s="103"/>
      <c r="Y18" s="103"/>
      <c r="Z18" s="103"/>
      <c r="AA18" s="103"/>
    </row>
    <row r="19" spans="1:27" ht="14" x14ac:dyDescent="0.15">
      <c r="A19" s="116" t="s">
        <v>466</v>
      </c>
      <c r="B19" s="106" t="s">
        <v>512</v>
      </c>
      <c r="C19" s="106" t="s">
        <v>458</v>
      </c>
      <c r="D19" s="116" t="s">
        <v>82</v>
      </c>
      <c r="E19" s="106" t="s">
        <v>661</v>
      </c>
      <c r="F19" s="117" t="s">
        <v>494</v>
      </c>
      <c r="G19" s="108" t="s">
        <v>580</v>
      </c>
      <c r="H19" s="109">
        <v>1020</v>
      </c>
      <c r="I19" s="112">
        <v>1076.5707</v>
      </c>
      <c r="J19" s="143">
        <f t="shared" si="0"/>
        <v>56.570699999999988</v>
      </c>
      <c r="K19" s="143">
        <f t="shared" si="1"/>
        <v>3200.2440984899986</v>
      </c>
      <c r="L19" s="143">
        <f t="shared" si="2"/>
        <v>56.570699999999988</v>
      </c>
      <c r="M19" s="143">
        <f t="shared" si="3"/>
        <v>1.7602015100576895</v>
      </c>
      <c r="N19" s="143">
        <f t="shared" si="4"/>
        <v>5.5461470588235287</v>
      </c>
      <c r="O19" s="143">
        <f t="shared" si="5"/>
        <v>5.5461470588235287</v>
      </c>
      <c r="P19" s="33">
        <v>1078.7050000000002</v>
      </c>
      <c r="Q19" s="143">
        <f t="shared" si="6"/>
        <v>58.705000000000155</v>
      </c>
      <c r="R19" s="143">
        <f t="shared" si="7"/>
        <v>3446.2770250000181</v>
      </c>
      <c r="S19" s="143">
        <f t="shared" si="8"/>
        <v>58.705000000000155</v>
      </c>
      <c r="T19" s="143">
        <f t="shared" si="9"/>
        <v>1.776010702678481</v>
      </c>
      <c r="U19" s="33">
        <f t="shared" si="10"/>
        <v>5.7553921568627606</v>
      </c>
      <c r="V19" s="143">
        <f t="shared" si="11"/>
        <v>5.7553921568627606</v>
      </c>
      <c r="W19" s="103"/>
      <c r="X19" s="103"/>
      <c r="Y19" s="103"/>
      <c r="Z19" s="103"/>
      <c r="AA19" s="103"/>
    </row>
    <row r="20" spans="1:27" ht="14" x14ac:dyDescent="0.15">
      <c r="A20" s="116" t="s">
        <v>466</v>
      </c>
      <c r="B20" s="106" t="s">
        <v>516</v>
      </c>
      <c r="C20" s="106" t="s">
        <v>458</v>
      </c>
      <c r="D20" s="116" t="s">
        <v>82</v>
      </c>
      <c r="E20" s="106" t="s">
        <v>661</v>
      </c>
      <c r="F20" s="117" t="s">
        <v>494</v>
      </c>
      <c r="G20" s="108" t="s">
        <v>580</v>
      </c>
      <c r="H20" s="109">
        <v>1020</v>
      </c>
      <c r="I20" s="112">
        <v>1085</v>
      </c>
      <c r="J20" s="143">
        <f t="shared" si="0"/>
        <v>65</v>
      </c>
      <c r="K20" s="143">
        <f t="shared" si="1"/>
        <v>4225</v>
      </c>
      <c r="L20" s="143">
        <f t="shared" si="2"/>
        <v>65</v>
      </c>
      <c r="M20" s="143">
        <f t="shared" si="3"/>
        <v>1.8195439355418688</v>
      </c>
      <c r="N20" s="143">
        <f t="shared" si="4"/>
        <v>6.3725490196078427</v>
      </c>
      <c r="O20" s="143">
        <f t="shared" si="5"/>
        <v>6.3725490196078427</v>
      </c>
      <c r="P20" s="33">
        <v>1038.4615384615383</v>
      </c>
      <c r="Q20" s="143">
        <f t="shared" si="6"/>
        <v>18.461538461538339</v>
      </c>
      <c r="R20" s="143">
        <f t="shared" si="7"/>
        <v>340.82840236685939</v>
      </c>
      <c r="S20" s="143">
        <f t="shared" si="8"/>
        <v>18.461538461538339</v>
      </c>
      <c r="T20" s="143">
        <f t="shared" si="9"/>
        <v>1.2891771688689784</v>
      </c>
      <c r="U20" s="33">
        <f t="shared" si="10"/>
        <v>1.8099547511312097</v>
      </c>
      <c r="V20" s="143">
        <f t="shared" si="11"/>
        <v>1.8099547511312097</v>
      </c>
      <c r="W20" s="103"/>
      <c r="X20" s="103"/>
      <c r="Y20" s="103"/>
      <c r="Z20" s="103"/>
      <c r="AA20" s="103"/>
    </row>
    <row r="21" spans="1:27" ht="14" x14ac:dyDescent="0.15">
      <c r="A21" s="116" t="s">
        <v>466</v>
      </c>
      <c r="B21" s="106" t="s">
        <v>522</v>
      </c>
      <c r="C21" s="106" t="s">
        <v>458</v>
      </c>
      <c r="D21" s="116" t="s">
        <v>82</v>
      </c>
      <c r="E21" s="106" t="s">
        <v>663</v>
      </c>
      <c r="F21" s="117" t="s">
        <v>494</v>
      </c>
      <c r="G21" s="108" t="s">
        <v>580</v>
      </c>
      <c r="H21" s="109">
        <v>1020</v>
      </c>
      <c r="I21" s="112">
        <v>1459.102437573923</v>
      </c>
      <c r="J21" s="143">
        <f t="shared" si="0"/>
        <v>439.102437573923</v>
      </c>
      <c r="K21" s="143">
        <f t="shared" si="1"/>
        <v>192810.95068336095</v>
      </c>
      <c r="L21" s="143">
        <f t="shared" si="2"/>
        <v>439.102437573923</v>
      </c>
      <c r="M21" s="143">
        <f t="shared" si="3"/>
        <v>2.6435537739752886</v>
      </c>
      <c r="N21" s="143">
        <f t="shared" si="4"/>
        <v>43.049258585678729</v>
      </c>
      <c r="O21" s="143">
        <f t="shared" si="5"/>
        <v>43.049258585678729</v>
      </c>
      <c r="P21" s="33"/>
      <c r="Q21" s="143"/>
      <c r="R21" s="143"/>
      <c r="S21" s="143"/>
      <c r="T21" s="143"/>
      <c r="U21" s="33"/>
      <c r="V21" s="143"/>
      <c r="W21" s="103"/>
      <c r="X21" s="103"/>
      <c r="Y21" s="103"/>
      <c r="Z21" s="103"/>
      <c r="AA21" s="103"/>
    </row>
    <row r="22" spans="1:27" ht="14" x14ac:dyDescent="0.15">
      <c r="A22" s="116" t="s">
        <v>471</v>
      </c>
      <c r="B22" s="106" t="s">
        <v>513</v>
      </c>
      <c r="C22" s="106" t="s">
        <v>458</v>
      </c>
      <c r="D22" s="116" t="s">
        <v>82</v>
      </c>
      <c r="E22" s="106" t="s">
        <v>661</v>
      </c>
      <c r="F22" s="117" t="s">
        <v>494</v>
      </c>
      <c r="G22" s="108" t="s">
        <v>580</v>
      </c>
      <c r="H22" s="109">
        <v>1065</v>
      </c>
      <c r="I22" s="112">
        <v>956.715688</v>
      </c>
      <c r="J22" s="143">
        <f t="shared" si="0"/>
        <v>-108.284312</v>
      </c>
      <c r="K22" s="143">
        <f t="shared" si="1"/>
        <v>11725.492225313345</v>
      </c>
      <c r="L22" s="143">
        <f t="shared" si="2"/>
        <v>108.284312</v>
      </c>
      <c r="M22" s="143">
        <f t="shared" si="3"/>
        <v>2.0385578225093153</v>
      </c>
      <c r="N22" s="143">
        <f t="shared" si="4"/>
        <v>-10.167541032863848</v>
      </c>
      <c r="O22" s="143">
        <f t="shared" si="5"/>
        <v>10.167541032863848</v>
      </c>
      <c r="P22" s="33">
        <v>1057.8185000000001</v>
      </c>
      <c r="Q22" s="143">
        <f t="shared" ref="Q22:Q30" si="12">P22-H22</f>
        <v>-7.1814999999999145</v>
      </c>
      <c r="R22" s="143">
        <f t="shared" ref="R22:R30" si="13">Q22^2</f>
        <v>51.573942249998773</v>
      </c>
      <c r="S22" s="143">
        <f t="shared" ref="S22:S30" si="14">SQRT(R22)</f>
        <v>7.1814999999999145</v>
      </c>
      <c r="T22" s="143">
        <f t="shared" ref="T22:T30" si="15">LOG10(S22+1)</f>
        <v>0.91283293472283333</v>
      </c>
      <c r="U22" s="33">
        <f t="shared" ref="U22:U30" si="16">100*Q22/H22</f>
        <v>-0.67431924882628302</v>
      </c>
      <c r="V22" s="143">
        <f t="shared" ref="V22:V30" si="17">ABS(U22)</f>
        <v>0.67431924882628302</v>
      </c>
      <c r="W22" s="103"/>
      <c r="X22" s="103"/>
      <c r="Y22" s="103"/>
      <c r="Z22" s="103"/>
      <c r="AA22" s="103"/>
    </row>
    <row r="23" spans="1:27" ht="14" x14ac:dyDescent="0.15">
      <c r="A23" s="116" t="s">
        <v>471</v>
      </c>
      <c r="B23" s="106" t="s">
        <v>514</v>
      </c>
      <c r="C23" s="106" t="s">
        <v>458</v>
      </c>
      <c r="D23" s="116" t="s">
        <v>82</v>
      </c>
      <c r="E23" s="106" t="s">
        <v>662</v>
      </c>
      <c r="F23" s="117" t="s">
        <v>494</v>
      </c>
      <c r="G23" s="108" t="s">
        <v>580</v>
      </c>
      <c r="H23" s="109">
        <v>1065</v>
      </c>
      <c r="I23" s="112">
        <v>949.31325014715162</v>
      </c>
      <c r="J23" s="143">
        <f t="shared" si="0"/>
        <v>-115.68674985284838</v>
      </c>
      <c r="K23" s="143">
        <f t="shared" si="1"/>
        <v>13383.424091515515</v>
      </c>
      <c r="L23" s="143">
        <f t="shared" si="2"/>
        <v>115.68674985284838</v>
      </c>
      <c r="M23" s="143">
        <f t="shared" si="3"/>
        <v>2.0670215433418671</v>
      </c>
      <c r="N23" s="143">
        <f t="shared" si="4"/>
        <v>-10.862605619985763</v>
      </c>
      <c r="O23" s="143">
        <f t="shared" si="5"/>
        <v>10.862605619985763</v>
      </c>
      <c r="P23" s="33">
        <v>1052.4601723955629</v>
      </c>
      <c r="Q23" s="143">
        <f t="shared" si="12"/>
        <v>-12.53982760443705</v>
      </c>
      <c r="R23" s="143">
        <f t="shared" si="13"/>
        <v>157.24727634900145</v>
      </c>
      <c r="S23" s="143">
        <f t="shared" si="14"/>
        <v>12.53982760443705</v>
      </c>
      <c r="T23" s="143">
        <f t="shared" si="15"/>
        <v>1.1316131347392042</v>
      </c>
      <c r="U23" s="33">
        <f t="shared" si="16"/>
        <v>-1.1774486013555916</v>
      </c>
      <c r="V23" s="143">
        <f t="shared" si="17"/>
        <v>1.1774486013555916</v>
      </c>
      <c r="W23" s="103"/>
      <c r="X23" s="103"/>
      <c r="Y23" s="103"/>
      <c r="Z23" s="103"/>
      <c r="AA23" s="103"/>
    </row>
    <row r="24" spans="1:27" ht="14" x14ac:dyDescent="0.15">
      <c r="A24" s="116" t="s">
        <v>471</v>
      </c>
      <c r="B24" s="106" t="s">
        <v>512</v>
      </c>
      <c r="C24" s="106" t="s">
        <v>458</v>
      </c>
      <c r="D24" s="116" t="s">
        <v>82</v>
      </c>
      <c r="E24" s="106" t="s">
        <v>661</v>
      </c>
      <c r="F24" s="117" t="s">
        <v>494</v>
      </c>
      <c r="G24" s="108" t="s">
        <v>580</v>
      </c>
      <c r="H24" s="109">
        <v>1065</v>
      </c>
      <c r="I24" s="112">
        <v>1044.635217</v>
      </c>
      <c r="J24" s="143">
        <f t="shared" si="0"/>
        <v>-20.364782999999989</v>
      </c>
      <c r="K24" s="143">
        <f t="shared" si="1"/>
        <v>414.72438663708851</v>
      </c>
      <c r="L24" s="143">
        <f t="shared" si="2"/>
        <v>20.364782999999989</v>
      </c>
      <c r="M24" s="143">
        <f t="shared" si="3"/>
        <v>1.3296984860892707</v>
      </c>
      <c r="N24" s="143">
        <f t="shared" si="4"/>
        <v>-1.9121861971830976</v>
      </c>
      <c r="O24" s="143">
        <f t="shared" si="5"/>
        <v>1.9121861971830976</v>
      </c>
      <c r="P24" s="33">
        <v>1159.7286000000001</v>
      </c>
      <c r="Q24" s="143">
        <f t="shared" si="12"/>
        <v>94.728600000000142</v>
      </c>
      <c r="R24" s="143">
        <f t="shared" si="13"/>
        <v>8973.5076579600263</v>
      </c>
      <c r="S24" s="143">
        <f t="shared" si="14"/>
        <v>94.728600000000142</v>
      </c>
      <c r="T24" s="143">
        <f t="shared" si="15"/>
        <v>1.9810417075424367</v>
      </c>
      <c r="U24" s="33">
        <f t="shared" si="16"/>
        <v>8.8947042253521271</v>
      </c>
      <c r="V24" s="143">
        <f t="shared" si="17"/>
        <v>8.8947042253521271</v>
      </c>
    </row>
    <row r="25" spans="1:27" ht="14" x14ac:dyDescent="0.15">
      <c r="A25" s="116" t="s">
        <v>471</v>
      </c>
      <c r="B25" s="106" t="s">
        <v>516</v>
      </c>
      <c r="C25" s="106" t="s">
        <v>458</v>
      </c>
      <c r="D25" s="116" t="s">
        <v>82</v>
      </c>
      <c r="E25" s="106" t="s">
        <v>661</v>
      </c>
      <c r="F25" s="117" t="s">
        <v>494</v>
      </c>
      <c r="G25" s="108" t="s">
        <v>580</v>
      </c>
      <c r="H25" s="109">
        <v>1065</v>
      </c>
      <c r="I25" s="112">
        <v>1054.8499999999999</v>
      </c>
      <c r="J25" s="143">
        <f t="shared" si="0"/>
        <v>-10.150000000000091</v>
      </c>
      <c r="K25" s="143">
        <f t="shared" si="1"/>
        <v>103.02250000000184</v>
      </c>
      <c r="L25" s="143">
        <f t="shared" si="2"/>
        <v>10.150000000000091</v>
      </c>
      <c r="M25" s="143">
        <f t="shared" si="3"/>
        <v>1.047274867384183</v>
      </c>
      <c r="N25" s="143">
        <f t="shared" si="4"/>
        <v>-0.9530516431924968</v>
      </c>
      <c r="O25" s="143">
        <f t="shared" si="5"/>
        <v>0.9530516431924968</v>
      </c>
      <c r="P25" s="33">
        <v>1111.5384615384614</v>
      </c>
      <c r="Q25" s="143">
        <f t="shared" si="12"/>
        <v>46.538461538461434</v>
      </c>
      <c r="R25" s="143">
        <f t="shared" si="13"/>
        <v>2165.8284023668543</v>
      </c>
      <c r="S25" s="143">
        <f t="shared" si="14"/>
        <v>46.538461538461434</v>
      </c>
      <c r="T25" s="143">
        <f t="shared" si="15"/>
        <v>1.677045122781978</v>
      </c>
      <c r="U25" s="33">
        <f t="shared" si="16"/>
        <v>4.3698085951606984</v>
      </c>
      <c r="V25" s="143">
        <f t="shared" si="17"/>
        <v>4.3698085951606984</v>
      </c>
    </row>
    <row r="26" spans="1:27" ht="14" x14ac:dyDescent="0.15">
      <c r="A26" s="116" t="s">
        <v>471</v>
      </c>
      <c r="B26" s="106" t="s">
        <v>522</v>
      </c>
      <c r="C26" s="106" t="s">
        <v>458</v>
      </c>
      <c r="D26" s="116" t="s">
        <v>82</v>
      </c>
      <c r="E26" s="106" t="s">
        <v>663</v>
      </c>
      <c r="F26" s="117" t="s">
        <v>494</v>
      </c>
      <c r="G26" s="108" t="s">
        <v>580</v>
      </c>
      <c r="H26" s="109">
        <v>1065</v>
      </c>
      <c r="I26" s="112">
        <v>1379.7576236340833</v>
      </c>
      <c r="J26" s="143">
        <f t="shared" si="0"/>
        <v>314.7576236340833</v>
      </c>
      <c r="K26" s="143">
        <f t="shared" si="1"/>
        <v>99072.361635775233</v>
      </c>
      <c r="L26" s="143">
        <f t="shared" si="2"/>
        <v>314.7576236340833</v>
      </c>
      <c r="M26" s="143">
        <f t="shared" si="3"/>
        <v>2.4993538449351909</v>
      </c>
      <c r="N26" s="143">
        <f t="shared" si="4"/>
        <v>29.554706444514864</v>
      </c>
      <c r="O26" s="143">
        <f t="shared" si="5"/>
        <v>29.554706444514864</v>
      </c>
      <c r="P26" s="33">
        <v>1382.0823058248445</v>
      </c>
      <c r="Q26" s="143">
        <f t="shared" si="12"/>
        <v>317.08230582484452</v>
      </c>
      <c r="R26" s="143">
        <f t="shared" si="13"/>
        <v>100541.18866720023</v>
      </c>
      <c r="S26" s="143">
        <f t="shared" si="14"/>
        <v>317.08230582484452</v>
      </c>
      <c r="T26" s="143">
        <f t="shared" si="15"/>
        <v>2.5025395109924222</v>
      </c>
      <c r="U26" s="33">
        <f t="shared" si="16"/>
        <v>29.772986462426715</v>
      </c>
      <c r="V26" s="143">
        <f t="shared" si="17"/>
        <v>29.772986462426715</v>
      </c>
    </row>
    <row r="27" spans="1:27" ht="14" x14ac:dyDescent="0.15">
      <c r="A27" s="116" t="s">
        <v>473</v>
      </c>
      <c r="B27" s="106" t="s">
        <v>513</v>
      </c>
      <c r="C27" s="106" t="s">
        <v>458</v>
      </c>
      <c r="D27" s="116" t="s">
        <v>82</v>
      </c>
      <c r="E27" s="106" t="s">
        <v>661</v>
      </c>
      <c r="F27" s="117" t="s">
        <v>494</v>
      </c>
      <c r="G27" s="108" t="s">
        <v>580</v>
      </c>
      <c r="H27" s="109">
        <v>1100</v>
      </c>
      <c r="I27" s="112">
        <v>937.30079999999998</v>
      </c>
      <c r="J27" s="143">
        <f t="shared" si="0"/>
        <v>-162.69920000000002</v>
      </c>
      <c r="K27" s="143">
        <f t="shared" si="1"/>
        <v>26471.029680640007</v>
      </c>
      <c r="L27" s="143">
        <f t="shared" si="2"/>
        <v>162.69920000000002</v>
      </c>
      <c r="M27" s="143">
        <f t="shared" si="3"/>
        <v>2.214046557014663</v>
      </c>
      <c r="N27" s="143">
        <f t="shared" si="4"/>
        <v>-14.790836363636366</v>
      </c>
      <c r="O27" s="143">
        <f t="shared" si="5"/>
        <v>14.790836363636366</v>
      </c>
      <c r="P27" s="33">
        <v>984.06999999999994</v>
      </c>
      <c r="Q27" s="143">
        <f t="shared" si="12"/>
        <v>-115.93000000000006</v>
      </c>
      <c r="R27" s="143">
        <f t="shared" si="13"/>
        <v>13439.764900000015</v>
      </c>
      <c r="S27" s="143">
        <f t="shared" si="14"/>
        <v>115.93000000000006</v>
      </c>
      <c r="T27" s="143">
        <f t="shared" si="15"/>
        <v>2.0679259496815221</v>
      </c>
      <c r="U27" s="33">
        <f t="shared" si="16"/>
        <v>-10.539090909090916</v>
      </c>
      <c r="V27" s="143">
        <f t="shared" si="17"/>
        <v>10.539090909090916</v>
      </c>
    </row>
    <row r="28" spans="1:27" ht="14" x14ac:dyDescent="0.15">
      <c r="A28" s="116" t="s">
        <v>473</v>
      </c>
      <c r="B28" s="106" t="s">
        <v>514</v>
      </c>
      <c r="C28" s="106" t="s">
        <v>458</v>
      </c>
      <c r="D28" s="116" t="s">
        <v>82</v>
      </c>
      <c r="E28" s="106" t="s">
        <v>662</v>
      </c>
      <c r="F28" s="117" t="s">
        <v>494</v>
      </c>
      <c r="G28" s="108" t="s">
        <v>580</v>
      </c>
      <c r="H28" s="109">
        <v>1100</v>
      </c>
      <c r="I28" s="112">
        <v>929.58958139215656</v>
      </c>
      <c r="J28" s="143">
        <f t="shared" si="0"/>
        <v>-170.41041860784344</v>
      </c>
      <c r="K28" s="143">
        <f t="shared" si="1"/>
        <v>29039.710770100435</v>
      </c>
      <c r="L28" s="143">
        <f t="shared" si="2"/>
        <v>170.41041860784344</v>
      </c>
      <c r="M28" s="143">
        <f t="shared" si="3"/>
        <v>2.2340372155240642</v>
      </c>
      <c r="N28" s="143">
        <f t="shared" si="4"/>
        <v>-15.491856237076679</v>
      </c>
      <c r="O28" s="143">
        <f t="shared" si="5"/>
        <v>15.491856237076679</v>
      </c>
      <c r="P28" s="33">
        <v>978.11869693980543</v>
      </c>
      <c r="Q28" s="143">
        <f t="shared" si="12"/>
        <v>-121.88130306019457</v>
      </c>
      <c r="R28" s="143">
        <f t="shared" si="13"/>
        <v>14855.052035650993</v>
      </c>
      <c r="S28" s="143">
        <f t="shared" si="14"/>
        <v>121.88130306019457</v>
      </c>
      <c r="T28" s="143">
        <f t="shared" si="15"/>
        <v>2.0894858080654606</v>
      </c>
      <c r="U28" s="33">
        <f t="shared" si="16"/>
        <v>-11.080118460017689</v>
      </c>
      <c r="V28" s="143">
        <f t="shared" si="17"/>
        <v>11.080118460017689</v>
      </c>
    </row>
    <row r="29" spans="1:27" ht="14" x14ac:dyDescent="0.15">
      <c r="A29" s="116" t="s">
        <v>473</v>
      </c>
      <c r="B29" s="106" t="s">
        <v>512</v>
      </c>
      <c r="C29" s="106" t="s">
        <v>458</v>
      </c>
      <c r="D29" s="116" t="s">
        <v>82</v>
      </c>
      <c r="E29" s="106" t="s">
        <v>661</v>
      </c>
      <c r="F29" s="117" t="s">
        <v>494</v>
      </c>
      <c r="G29" s="108" t="s">
        <v>580</v>
      </c>
      <c r="H29" s="109">
        <v>1100</v>
      </c>
      <c r="I29" s="112">
        <v>1023.6097</v>
      </c>
      <c r="J29" s="143">
        <f t="shared" si="0"/>
        <v>-76.390300000000025</v>
      </c>
      <c r="K29" s="143">
        <f t="shared" si="1"/>
        <v>5835.4779340900041</v>
      </c>
      <c r="L29" s="143">
        <f t="shared" si="2"/>
        <v>76.390300000000025</v>
      </c>
      <c r="M29" s="143">
        <f t="shared" si="3"/>
        <v>1.8886865301858917</v>
      </c>
      <c r="N29" s="143">
        <f t="shared" si="4"/>
        <v>-6.9445727272727291</v>
      </c>
      <c r="O29" s="143">
        <f t="shared" si="5"/>
        <v>6.9445727272727291</v>
      </c>
      <c r="P29" s="33">
        <v>1078.7050000000002</v>
      </c>
      <c r="Q29" s="143">
        <f t="shared" si="12"/>
        <v>-21.294999999999845</v>
      </c>
      <c r="R29" s="143">
        <f t="shared" si="13"/>
        <v>453.47702499999343</v>
      </c>
      <c r="S29" s="143">
        <f t="shared" si="14"/>
        <v>21.294999999999845</v>
      </c>
      <c r="T29" s="143">
        <f t="shared" si="15"/>
        <v>1.3482074766856231</v>
      </c>
      <c r="U29" s="33">
        <f t="shared" si="16"/>
        <v>-1.9359090909090768</v>
      </c>
      <c r="V29" s="143">
        <f t="shared" si="17"/>
        <v>1.9359090909090768</v>
      </c>
    </row>
    <row r="30" spans="1:27" ht="14" x14ac:dyDescent="0.15">
      <c r="A30" s="116" t="s">
        <v>473</v>
      </c>
      <c r="B30" s="106" t="s">
        <v>516</v>
      </c>
      <c r="C30" s="106" t="s">
        <v>458</v>
      </c>
      <c r="D30" s="116" t="s">
        <v>82</v>
      </c>
      <c r="E30" s="106" t="s">
        <v>661</v>
      </c>
      <c r="F30" s="117" t="s">
        <v>494</v>
      </c>
      <c r="G30" s="108" t="s">
        <v>580</v>
      </c>
      <c r="H30" s="109">
        <v>1100</v>
      </c>
      <c r="I30" s="112">
        <v>1035</v>
      </c>
      <c r="J30" s="143">
        <f t="shared" si="0"/>
        <v>-65</v>
      </c>
      <c r="K30" s="143">
        <f t="shared" si="1"/>
        <v>4225</v>
      </c>
      <c r="L30" s="143">
        <f t="shared" si="2"/>
        <v>65</v>
      </c>
      <c r="M30" s="143">
        <f t="shared" si="3"/>
        <v>1.8195439355418688</v>
      </c>
      <c r="N30" s="143">
        <f t="shared" si="4"/>
        <v>-5.9090909090909092</v>
      </c>
      <c r="O30" s="143">
        <f t="shared" si="5"/>
        <v>5.9090909090909092</v>
      </c>
      <c r="P30" s="33">
        <v>1038.4615384615383</v>
      </c>
      <c r="Q30" s="143">
        <f t="shared" si="12"/>
        <v>-61.538461538461661</v>
      </c>
      <c r="R30" s="143">
        <f t="shared" si="13"/>
        <v>3786.9822485207251</v>
      </c>
      <c r="S30" s="143">
        <f t="shared" si="14"/>
        <v>61.538461538461661</v>
      </c>
      <c r="T30" s="143">
        <f t="shared" si="15"/>
        <v>1.7961471932872322</v>
      </c>
      <c r="U30" s="33">
        <f t="shared" si="16"/>
        <v>-5.5944055944056057</v>
      </c>
      <c r="V30" s="143">
        <f t="shared" si="17"/>
        <v>5.5944055944056057</v>
      </c>
    </row>
    <row r="31" spans="1:27" ht="14" x14ac:dyDescent="0.15">
      <c r="A31" s="116" t="s">
        <v>473</v>
      </c>
      <c r="B31" s="106" t="s">
        <v>522</v>
      </c>
      <c r="C31" s="106" t="s">
        <v>458</v>
      </c>
      <c r="D31" s="116" t="s">
        <v>82</v>
      </c>
      <c r="E31" s="106" t="s">
        <v>663</v>
      </c>
      <c r="F31" s="117" t="s">
        <v>494</v>
      </c>
      <c r="G31" s="108" t="s">
        <v>580</v>
      </c>
      <c r="H31" s="109">
        <v>1100</v>
      </c>
      <c r="I31" s="112">
        <v>1316.944323776404</v>
      </c>
      <c r="J31" s="143">
        <f t="shared" si="0"/>
        <v>216.94432377640396</v>
      </c>
      <c r="K31" s="143">
        <f t="shared" si="1"/>
        <v>47064.83961880119</v>
      </c>
      <c r="L31" s="143">
        <f t="shared" si="2"/>
        <v>216.94432377640396</v>
      </c>
      <c r="M31" s="143">
        <f t="shared" si="3"/>
        <v>2.3383455625728482</v>
      </c>
      <c r="N31" s="143">
        <f t="shared" si="4"/>
        <v>19.722211252400363</v>
      </c>
      <c r="O31" s="143">
        <f t="shared" si="5"/>
        <v>19.722211252400363</v>
      </c>
      <c r="P31" s="33"/>
      <c r="Q31" s="143"/>
      <c r="R31" s="143"/>
      <c r="S31" s="143"/>
      <c r="T31" s="143"/>
      <c r="U31" s="33"/>
      <c r="V31" s="143"/>
    </row>
    <row r="32" spans="1:27" ht="14" x14ac:dyDescent="0.15">
      <c r="A32" s="116" t="s">
        <v>467</v>
      </c>
      <c r="B32" s="106" t="s">
        <v>513</v>
      </c>
      <c r="C32" s="106" t="s">
        <v>458</v>
      </c>
      <c r="D32" s="116" t="s">
        <v>82</v>
      </c>
      <c r="E32" s="106" t="s">
        <v>661</v>
      </c>
      <c r="F32" s="117" t="s">
        <v>494</v>
      </c>
      <c r="G32" s="108" t="s">
        <v>580</v>
      </c>
      <c r="H32" s="109">
        <v>1000</v>
      </c>
      <c r="I32" s="112">
        <v>1044.8896</v>
      </c>
      <c r="J32" s="143">
        <f t="shared" si="0"/>
        <v>44.889599999999973</v>
      </c>
      <c r="K32" s="143">
        <f t="shared" si="1"/>
        <v>2015.0761881599976</v>
      </c>
      <c r="L32" s="143">
        <f t="shared" si="2"/>
        <v>44.889599999999973</v>
      </c>
      <c r="M32" s="143">
        <f t="shared" si="3"/>
        <v>1.6617142721520599</v>
      </c>
      <c r="N32" s="143">
        <f t="shared" si="4"/>
        <v>4.488959999999997</v>
      </c>
      <c r="O32" s="143">
        <f t="shared" si="5"/>
        <v>4.488959999999997</v>
      </c>
      <c r="P32" s="33">
        <v>1034.5295000000001</v>
      </c>
      <c r="Q32" s="143">
        <f t="shared" ref="Q32:Q45" si="18">P32-H32</f>
        <v>34.529500000000098</v>
      </c>
      <c r="R32" s="143">
        <f t="shared" ref="R32:R45" si="19">Q32^2</f>
        <v>1192.2863702500067</v>
      </c>
      <c r="S32" s="143">
        <f t="shared" ref="S32:S45" si="20">SQRT(R32)</f>
        <v>34.529500000000098</v>
      </c>
      <c r="T32" s="143">
        <f t="shared" ref="T32:T45" si="21">LOG10(S32+1)</f>
        <v>1.5505890957874187</v>
      </c>
      <c r="U32" s="33">
        <f t="shared" ref="U32:U45" si="22">100*Q32/H32</f>
        <v>3.4529500000000097</v>
      </c>
      <c r="V32" s="143">
        <f t="shared" ref="V32:V45" si="23">ABS(U32)</f>
        <v>3.4529500000000097</v>
      </c>
    </row>
    <row r="33" spans="1:22" ht="14" x14ac:dyDescent="0.15">
      <c r="A33" s="116" t="s">
        <v>467</v>
      </c>
      <c r="B33" s="106" t="s">
        <v>514</v>
      </c>
      <c r="C33" s="106" t="s">
        <v>458</v>
      </c>
      <c r="D33" s="116" t="s">
        <v>82</v>
      </c>
      <c r="E33" s="106" t="s">
        <v>662</v>
      </c>
      <c r="F33" s="117" t="s">
        <v>494</v>
      </c>
      <c r="G33" s="108" t="s">
        <v>580</v>
      </c>
      <c r="H33" s="109">
        <v>1000</v>
      </c>
      <c r="I33" s="112">
        <v>1039.37196136491</v>
      </c>
      <c r="J33" s="143">
        <f t="shared" si="0"/>
        <v>39.371961364910021</v>
      </c>
      <c r="K33" s="143">
        <f t="shared" si="1"/>
        <v>1550.1513417199674</v>
      </c>
      <c r="L33" s="143">
        <f t="shared" si="2"/>
        <v>39.371961364910021</v>
      </c>
      <c r="M33" s="143">
        <f t="shared" si="3"/>
        <v>1.6060798489710184</v>
      </c>
      <c r="N33" s="143">
        <f t="shared" si="4"/>
        <v>3.9371961364910022</v>
      </c>
      <c r="O33" s="143">
        <f t="shared" si="5"/>
        <v>3.9371961364910022</v>
      </c>
      <c r="P33" s="33">
        <v>1028.941922572779</v>
      </c>
      <c r="Q33" s="143">
        <f t="shared" si="18"/>
        <v>28.941922572779049</v>
      </c>
      <c r="R33" s="143">
        <f t="shared" si="19"/>
        <v>837.63488220873739</v>
      </c>
      <c r="S33" s="143">
        <f t="shared" si="20"/>
        <v>28.941922572779049</v>
      </c>
      <c r="T33" s="143">
        <f t="shared" si="21"/>
        <v>1.4762796829790414</v>
      </c>
      <c r="U33" s="33">
        <f t="shared" si="22"/>
        <v>2.8941922572779051</v>
      </c>
      <c r="V33" s="143">
        <f t="shared" si="23"/>
        <v>2.8941922572779051</v>
      </c>
    </row>
    <row r="34" spans="1:22" ht="14" x14ac:dyDescent="0.15">
      <c r="A34" s="116" t="s">
        <v>467</v>
      </c>
      <c r="B34" s="106" t="s">
        <v>512</v>
      </c>
      <c r="C34" s="106" t="s">
        <v>458</v>
      </c>
      <c r="D34" s="116" t="s">
        <v>82</v>
      </c>
      <c r="E34" s="106" t="s">
        <v>661</v>
      </c>
      <c r="F34" s="117" t="s">
        <v>494</v>
      </c>
      <c r="G34" s="108" t="s">
        <v>580</v>
      </c>
      <c r="H34" s="109">
        <v>1000</v>
      </c>
      <c r="I34" s="112">
        <v>1140.1239</v>
      </c>
      <c r="J34" s="143">
        <f t="shared" si="0"/>
        <v>140.12390000000005</v>
      </c>
      <c r="K34" s="143">
        <f t="shared" si="1"/>
        <v>19634.707351210014</v>
      </c>
      <c r="L34" s="143">
        <f t="shared" si="2"/>
        <v>140.12390000000005</v>
      </c>
      <c r="M34" s="143">
        <f t="shared" si="3"/>
        <v>2.1496005698078382</v>
      </c>
      <c r="N34" s="143">
        <f t="shared" si="4"/>
        <v>14.012390000000005</v>
      </c>
      <c r="O34" s="143">
        <f t="shared" si="5"/>
        <v>14.012390000000005</v>
      </c>
      <c r="P34" s="33">
        <v>1134.1422</v>
      </c>
      <c r="Q34" s="143">
        <f t="shared" si="18"/>
        <v>134.1422</v>
      </c>
      <c r="R34" s="143">
        <f t="shared" si="19"/>
        <v>17994.12982084</v>
      </c>
      <c r="S34" s="143">
        <f t="shared" si="20"/>
        <v>134.1422</v>
      </c>
      <c r="T34" s="143">
        <f t="shared" si="21"/>
        <v>2.130790984591052</v>
      </c>
      <c r="U34" s="33">
        <f t="shared" si="22"/>
        <v>13.414220000000002</v>
      </c>
      <c r="V34" s="143">
        <f t="shared" si="23"/>
        <v>13.414220000000002</v>
      </c>
    </row>
    <row r="35" spans="1:22" ht="14" x14ac:dyDescent="0.15">
      <c r="A35" s="116" t="s">
        <v>467</v>
      </c>
      <c r="B35" s="106" t="s">
        <v>516</v>
      </c>
      <c r="C35" s="106" t="s">
        <v>458</v>
      </c>
      <c r="D35" s="116" t="s">
        <v>82</v>
      </c>
      <c r="E35" s="106" t="s">
        <v>661</v>
      </c>
      <c r="F35" s="117" t="s">
        <v>494</v>
      </c>
      <c r="G35" s="108" t="s">
        <v>580</v>
      </c>
      <c r="H35" s="109">
        <v>1000</v>
      </c>
      <c r="I35" s="112">
        <v>1145</v>
      </c>
      <c r="J35" s="143">
        <f t="shared" si="0"/>
        <v>145</v>
      </c>
      <c r="K35" s="143">
        <f t="shared" si="1"/>
        <v>21025</v>
      </c>
      <c r="L35" s="143">
        <f t="shared" si="2"/>
        <v>145</v>
      </c>
      <c r="M35" s="143">
        <f t="shared" si="3"/>
        <v>2.1643528557844371</v>
      </c>
      <c r="N35" s="143">
        <f t="shared" si="4"/>
        <v>14.5</v>
      </c>
      <c r="O35" s="143">
        <f t="shared" si="5"/>
        <v>14.5</v>
      </c>
      <c r="P35" s="33">
        <v>1088.4615384615383</v>
      </c>
      <c r="Q35" s="143">
        <f t="shared" si="18"/>
        <v>88.461538461538339</v>
      </c>
      <c r="R35" s="143">
        <f t="shared" si="19"/>
        <v>7825.4437869822268</v>
      </c>
      <c r="S35" s="143">
        <f t="shared" si="20"/>
        <v>88.461538461538339</v>
      </c>
      <c r="T35" s="143">
        <f t="shared" si="21"/>
        <v>1.9516363624216111</v>
      </c>
      <c r="U35" s="33">
        <f t="shared" si="22"/>
        <v>8.8461538461538325</v>
      </c>
      <c r="V35" s="143">
        <f t="shared" si="23"/>
        <v>8.8461538461538325</v>
      </c>
    </row>
    <row r="36" spans="1:22" ht="14" x14ac:dyDescent="0.15">
      <c r="A36" s="116" t="s">
        <v>467</v>
      </c>
      <c r="B36" s="106" t="s">
        <v>522</v>
      </c>
      <c r="C36" s="106" t="s">
        <v>458</v>
      </c>
      <c r="D36" s="116" t="s">
        <v>82</v>
      </c>
      <c r="E36" s="106" t="s">
        <v>663</v>
      </c>
      <c r="F36" s="117" t="s">
        <v>494</v>
      </c>
      <c r="G36" s="108" t="s">
        <v>580</v>
      </c>
      <c r="H36" s="109">
        <v>1000</v>
      </c>
      <c r="I36" s="112">
        <v>1586.0062799774121</v>
      </c>
      <c r="J36" s="143">
        <f t="shared" si="0"/>
        <v>586.00627997741208</v>
      </c>
      <c r="K36" s="143">
        <f t="shared" si="1"/>
        <v>343403.3601729651</v>
      </c>
      <c r="L36" s="143">
        <f t="shared" si="2"/>
        <v>586.00627997741208</v>
      </c>
      <c r="M36" s="143">
        <f t="shared" si="3"/>
        <v>2.7686427474911364</v>
      </c>
      <c r="N36" s="143">
        <f t="shared" si="4"/>
        <v>58.600627997741206</v>
      </c>
      <c r="O36" s="143">
        <f t="shared" si="5"/>
        <v>58.600627997741206</v>
      </c>
      <c r="P36" s="33">
        <v>1312.5214138591714</v>
      </c>
      <c r="Q36" s="143">
        <f t="shared" si="18"/>
        <v>312.52141385917139</v>
      </c>
      <c r="R36" s="143">
        <f t="shared" si="19"/>
        <v>97669.634120535484</v>
      </c>
      <c r="S36" s="143">
        <f t="shared" si="20"/>
        <v>312.52141385917139</v>
      </c>
      <c r="T36" s="143">
        <f t="shared" si="21"/>
        <v>2.496267208973018</v>
      </c>
      <c r="U36" s="33">
        <f t="shared" si="22"/>
        <v>31.252141385917138</v>
      </c>
      <c r="V36" s="143">
        <f t="shared" si="23"/>
        <v>31.252141385917138</v>
      </c>
    </row>
    <row r="37" spans="1:22" ht="14" x14ac:dyDescent="0.15">
      <c r="A37" s="116" t="s">
        <v>468</v>
      </c>
      <c r="B37" s="106" t="s">
        <v>513</v>
      </c>
      <c r="C37" s="106" t="s">
        <v>458</v>
      </c>
      <c r="D37" s="116" t="s">
        <v>82</v>
      </c>
      <c r="E37" s="106" t="s">
        <v>661</v>
      </c>
      <c r="F37" s="117" t="s">
        <v>494</v>
      </c>
      <c r="G37" s="108" t="s">
        <v>580</v>
      </c>
      <c r="H37" s="109">
        <v>1050</v>
      </c>
      <c r="I37" s="112">
        <v>924.58575999999971</v>
      </c>
      <c r="J37" s="143">
        <f t="shared" si="0"/>
        <v>-125.41424000000029</v>
      </c>
      <c r="K37" s="143">
        <f t="shared" si="1"/>
        <v>15728.731594777673</v>
      </c>
      <c r="L37" s="143">
        <f t="shared" si="2"/>
        <v>125.41424000000029</v>
      </c>
      <c r="M37" s="143">
        <f t="shared" si="3"/>
        <v>2.1017959980372636</v>
      </c>
      <c r="N37" s="143">
        <f t="shared" si="4"/>
        <v>-11.94421333333336</v>
      </c>
      <c r="O37" s="143">
        <f t="shared" si="5"/>
        <v>11.94421333333336</v>
      </c>
      <c r="P37" s="33">
        <v>1022.885</v>
      </c>
      <c r="Q37" s="143">
        <f t="shared" si="18"/>
        <v>-27.115000000000009</v>
      </c>
      <c r="R37" s="143">
        <f t="shared" si="19"/>
        <v>735.22322500000053</v>
      </c>
      <c r="S37" s="143">
        <f t="shared" si="20"/>
        <v>27.115000000000009</v>
      </c>
      <c r="T37" s="143">
        <f t="shared" si="21"/>
        <v>1.4489380878454219</v>
      </c>
      <c r="U37" s="33">
        <f t="shared" si="22"/>
        <v>-2.5823809523809533</v>
      </c>
      <c r="V37" s="143">
        <f t="shared" si="23"/>
        <v>2.5823809523809533</v>
      </c>
    </row>
    <row r="38" spans="1:22" ht="14" x14ac:dyDescent="0.15">
      <c r="A38" s="116" t="s">
        <v>468</v>
      </c>
      <c r="B38" s="106" t="s">
        <v>514</v>
      </c>
      <c r="C38" s="106" t="s">
        <v>458</v>
      </c>
      <c r="D38" s="116" t="s">
        <v>82</v>
      </c>
      <c r="E38" s="106" t="s">
        <v>662</v>
      </c>
      <c r="F38" s="117" t="s">
        <v>494</v>
      </c>
      <c r="G38" s="108" t="s">
        <v>580</v>
      </c>
      <c r="H38" s="109">
        <v>1050</v>
      </c>
      <c r="I38" s="112">
        <v>916.69381903489079</v>
      </c>
      <c r="J38" s="143">
        <f t="shared" si="0"/>
        <v>-133.30618096510921</v>
      </c>
      <c r="K38" s="143">
        <f t="shared" si="1"/>
        <v>17770.537883502446</v>
      </c>
      <c r="L38" s="143">
        <f t="shared" si="2"/>
        <v>133.30618096510921</v>
      </c>
      <c r="M38" s="143">
        <f t="shared" si="3"/>
        <v>2.1280959999901583</v>
      </c>
      <c r="N38" s="143">
        <f t="shared" si="4"/>
        <v>-12.695826758581829</v>
      </c>
      <c r="O38" s="143">
        <f t="shared" si="5"/>
        <v>12.695826758581829</v>
      </c>
      <c r="P38" s="33">
        <v>1017.1971746673019</v>
      </c>
      <c r="Q38" s="143">
        <f t="shared" si="18"/>
        <v>-32.802825332698148</v>
      </c>
      <c r="R38" s="143">
        <f t="shared" si="19"/>
        <v>1076.0253498075033</v>
      </c>
      <c r="S38" s="143">
        <f t="shared" si="20"/>
        <v>32.802825332698148</v>
      </c>
      <c r="T38" s="143">
        <f t="shared" si="21"/>
        <v>1.5289530013167023</v>
      </c>
      <c r="U38" s="33">
        <f t="shared" si="22"/>
        <v>-3.1240786031141092</v>
      </c>
      <c r="V38" s="143">
        <f t="shared" si="23"/>
        <v>3.1240786031141092</v>
      </c>
    </row>
    <row r="39" spans="1:22" ht="14" x14ac:dyDescent="0.15">
      <c r="A39" s="116" t="s">
        <v>468</v>
      </c>
      <c r="B39" s="106" t="s">
        <v>512</v>
      </c>
      <c r="C39" s="106" t="s">
        <v>458</v>
      </c>
      <c r="D39" s="116" t="s">
        <v>82</v>
      </c>
      <c r="E39" s="106" t="s">
        <v>661</v>
      </c>
      <c r="F39" s="117" t="s">
        <v>494</v>
      </c>
      <c r="G39" s="108" t="s">
        <v>580</v>
      </c>
      <c r="H39" s="109">
        <v>1050</v>
      </c>
      <c r="I39" s="112">
        <v>1009.8398399999999</v>
      </c>
      <c r="J39" s="143">
        <f t="shared" si="0"/>
        <v>-40.160160000000133</v>
      </c>
      <c r="K39" s="143">
        <f t="shared" si="1"/>
        <v>1612.8384512256107</v>
      </c>
      <c r="L39" s="143">
        <f t="shared" si="2"/>
        <v>40.160160000000133</v>
      </c>
      <c r="M39" s="143">
        <f t="shared" si="3"/>
        <v>1.6144770543066758</v>
      </c>
      <c r="N39" s="143">
        <f t="shared" si="4"/>
        <v>-3.8247771428571555</v>
      </c>
      <c r="O39" s="143">
        <f t="shared" si="5"/>
        <v>3.8247771428571555</v>
      </c>
      <c r="P39" s="33">
        <v>1121.3490000000002</v>
      </c>
      <c r="Q39" s="143">
        <f t="shared" si="18"/>
        <v>71.34900000000016</v>
      </c>
      <c r="R39" s="143">
        <f t="shared" si="19"/>
        <v>5090.679801000023</v>
      </c>
      <c r="S39" s="143">
        <f t="shared" si="20"/>
        <v>71.34900000000016</v>
      </c>
      <c r="T39" s="143">
        <f t="shared" si="21"/>
        <v>1.8594325327255026</v>
      </c>
      <c r="U39" s="33">
        <f t="shared" si="22"/>
        <v>6.7951428571428725</v>
      </c>
      <c r="V39" s="143">
        <f t="shared" si="23"/>
        <v>6.7951428571428725</v>
      </c>
    </row>
    <row r="40" spans="1:22" ht="14" x14ac:dyDescent="0.15">
      <c r="A40" s="116" t="s">
        <v>468</v>
      </c>
      <c r="B40" s="106" t="s">
        <v>516</v>
      </c>
      <c r="C40" s="106" t="s">
        <v>458</v>
      </c>
      <c r="D40" s="116" t="s">
        <v>82</v>
      </c>
      <c r="E40" s="106" t="s">
        <v>661</v>
      </c>
      <c r="F40" s="117" t="s">
        <v>494</v>
      </c>
      <c r="G40" s="108" t="s">
        <v>580</v>
      </c>
      <c r="H40" s="109">
        <v>1050</v>
      </c>
      <c r="I40" s="112">
        <v>1021.9999999999999</v>
      </c>
      <c r="J40" s="143">
        <f t="shared" si="0"/>
        <v>-28.000000000000114</v>
      </c>
      <c r="K40" s="143">
        <f t="shared" si="1"/>
        <v>784.00000000000637</v>
      </c>
      <c r="L40" s="143">
        <f t="shared" si="2"/>
        <v>28.000000000000114</v>
      </c>
      <c r="M40" s="143">
        <f t="shared" si="3"/>
        <v>1.4623979978989579</v>
      </c>
      <c r="N40" s="143">
        <f t="shared" si="4"/>
        <v>-2.6666666666666776</v>
      </c>
      <c r="O40" s="143">
        <f t="shared" si="5"/>
        <v>2.6666666666666776</v>
      </c>
      <c r="P40" s="33">
        <v>1076.9230769230769</v>
      </c>
      <c r="Q40" s="143">
        <f t="shared" si="18"/>
        <v>26.923076923076906</v>
      </c>
      <c r="R40" s="143">
        <f t="shared" si="19"/>
        <v>724.85207100591617</v>
      </c>
      <c r="S40" s="143">
        <f t="shared" si="20"/>
        <v>26.923076923076906</v>
      </c>
      <c r="T40" s="143">
        <f t="shared" si="21"/>
        <v>1.4459632727292755</v>
      </c>
      <c r="U40" s="33">
        <f t="shared" si="22"/>
        <v>2.5641025641025625</v>
      </c>
      <c r="V40" s="143">
        <f t="shared" si="23"/>
        <v>2.5641025641025625</v>
      </c>
    </row>
    <row r="41" spans="1:22" ht="14" x14ac:dyDescent="0.15">
      <c r="A41" s="116" t="s">
        <v>468</v>
      </c>
      <c r="B41" s="106" t="s">
        <v>522</v>
      </c>
      <c r="C41" s="106" t="s">
        <v>458</v>
      </c>
      <c r="D41" s="116" t="s">
        <v>82</v>
      </c>
      <c r="E41" s="106" t="s">
        <v>663</v>
      </c>
      <c r="F41" s="117" t="s">
        <v>494</v>
      </c>
      <c r="G41" s="108" t="s">
        <v>580</v>
      </c>
      <c r="H41" s="109">
        <v>1050</v>
      </c>
      <c r="I41" s="112">
        <v>1268.0235023767543</v>
      </c>
      <c r="J41" s="143">
        <f t="shared" si="0"/>
        <v>218.02350237675432</v>
      </c>
      <c r="K41" s="143">
        <f t="shared" si="1"/>
        <v>47534.247588626597</v>
      </c>
      <c r="L41" s="143">
        <f t="shared" si="2"/>
        <v>218.02350237675432</v>
      </c>
      <c r="M41" s="143">
        <f t="shared" si="3"/>
        <v>2.3404907194286411</v>
      </c>
      <c r="N41" s="143">
        <f t="shared" si="4"/>
        <v>20.764143083500411</v>
      </c>
      <c r="O41" s="143">
        <f t="shared" si="5"/>
        <v>20.764143083500411</v>
      </c>
      <c r="P41" s="33">
        <v>1271.1961779097323</v>
      </c>
      <c r="Q41" s="143">
        <f t="shared" si="18"/>
        <v>221.19617790973234</v>
      </c>
      <c r="R41" s="143">
        <f t="shared" si="19"/>
        <v>48927.74912187396</v>
      </c>
      <c r="S41" s="143">
        <f t="shared" si="20"/>
        <v>221.19617790973234</v>
      </c>
      <c r="T41" s="143">
        <f t="shared" si="21"/>
        <v>2.346736584186357</v>
      </c>
      <c r="U41" s="33">
        <f t="shared" si="22"/>
        <v>21.066302658069748</v>
      </c>
      <c r="V41" s="143">
        <f t="shared" si="23"/>
        <v>21.066302658069748</v>
      </c>
    </row>
    <row r="42" spans="1:22" ht="14" x14ac:dyDescent="0.15">
      <c r="A42" s="116" t="s">
        <v>470</v>
      </c>
      <c r="B42" s="106" t="s">
        <v>513</v>
      </c>
      <c r="C42" s="106" t="s">
        <v>458</v>
      </c>
      <c r="D42" s="116" t="s">
        <v>82</v>
      </c>
      <c r="E42" s="106" t="s">
        <v>661</v>
      </c>
      <c r="F42" s="117" t="s">
        <v>494</v>
      </c>
      <c r="G42" s="108" t="s">
        <v>580</v>
      </c>
      <c r="H42" s="109">
        <v>960</v>
      </c>
      <c r="I42" s="112">
        <v>868.83519999999999</v>
      </c>
      <c r="J42" s="143">
        <f t="shared" si="0"/>
        <v>-91.164800000000014</v>
      </c>
      <c r="K42" s="143">
        <f t="shared" si="1"/>
        <v>8311.0207590400023</v>
      </c>
      <c r="L42" s="143">
        <f t="shared" si="2"/>
        <v>91.164800000000014</v>
      </c>
      <c r="M42" s="143">
        <f t="shared" si="3"/>
        <v>1.9645650849943737</v>
      </c>
      <c r="N42" s="143">
        <f t="shared" si="4"/>
        <v>-9.4963333333333342</v>
      </c>
      <c r="O42" s="143">
        <f t="shared" si="5"/>
        <v>9.4963333333333342</v>
      </c>
      <c r="P42" s="33">
        <v>906.44</v>
      </c>
      <c r="Q42" s="143">
        <f t="shared" si="18"/>
        <v>-53.559999999999945</v>
      </c>
      <c r="R42" s="143">
        <f t="shared" si="19"/>
        <v>2868.6735999999942</v>
      </c>
      <c r="S42" s="143">
        <f t="shared" si="20"/>
        <v>53.559999999999945</v>
      </c>
      <c r="T42" s="143">
        <f t="shared" si="21"/>
        <v>1.7368743616484221</v>
      </c>
      <c r="U42" s="33">
        <f t="shared" si="22"/>
        <v>-5.5791666666666613</v>
      </c>
      <c r="V42" s="143">
        <f t="shared" si="23"/>
        <v>5.5791666666666613</v>
      </c>
    </row>
    <row r="43" spans="1:22" ht="14" x14ac:dyDescent="0.15">
      <c r="A43" s="116" t="s">
        <v>470</v>
      </c>
      <c r="B43" s="106" t="s">
        <v>514</v>
      </c>
      <c r="C43" s="106" t="s">
        <v>458</v>
      </c>
      <c r="D43" s="116" t="s">
        <v>82</v>
      </c>
      <c r="E43" s="106" t="s">
        <v>662</v>
      </c>
      <c r="F43" s="117" t="s">
        <v>494</v>
      </c>
      <c r="G43" s="108" t="s">
        <v>580</v>
      </c>
      <c r="H43" s="109">
        <v>960</v>
      </c>
      <c r="I43" s="112">
        <v>860.35712516588171</v>
      </c>
      <c r="J43" s="143">
        <f t="shared" si="0"/>
        <v>-99.642874834118288</v>
      </c>
      <c r="K43" s="143">
        <f t="shared" si="1"/>
        <v>9928.7025052077643</v>
      </c>
      <c r="L43" s="143">
        <f t="shared" si="2"/>
        <v>99.642874834118288</v>
      </c>
      <c r="M43" s="143">
        <f t="shared" si="3"/>
        <v>2.0027830337725163</v>
      </c>
      <c r="N43" s="143">
        <f t="shared" si="4"/>
        <v>-10.379466128553988</v>
      </c>
      <c r="O43" s="143">
        <f t="shared" si="5"/>
        <v>10.379466128553988</v>
      </c>
      <c r="P43" s="33">
        <v>900.30049971911114</v>
      </c>
      <c r="Q43" s="143">
        <f t="shared" si="18"/>
        <v>-59.699500280888856</v>
      </c>
      <c r="R43" s="143">
        <f t="shared" si="19"/>
        <v>3564.0303337878486</v>
      </c>
      <c r="S43" s="143">
        <f t="shared" si="20"/>
        <v>59.699500280888856</v>
      </c>
      <c r="T43" s="143">
        <f t="shared" si="21"/>
        <v>1.7831851156857055</v>
      </c>
      <c r="U43" s="33">
        <f t="shared" si="22"/>
        <v>-6.2186979459259231</v>
      </c>
      <c r="V43" s="143">
        <f t="shared" si="23"/>
        <v>6.2186979459259231</v>
      </c>
    </row>
    <row r="44" spans="1:22" ht="14" x14ac:dyDescent="0.15">
      <c r="A44" s="116" t="s">
        <v>470</v>
      </c>
      <c r="B44" s="106" t="s">
        <v>512</v>
      </c>
      <c r="C44" s="106" t="s">
        <v>458</v>
      </c>
      <c r="D44" s="116" t="s">
        <v>82</v>
      </c>
      <c r="E44" s="106" t="s">
        <v>661</v>
      </c>
      <c r="F44" s="117" t="s">
        <v>494</v>
      </c>
      <c r="G44" s="108" t="s">
        <v>580</v>
      </c>
      <c r="H44" s="109">
        <v>960</v>
      </c>
      <c r="I44" s="112">
        <v>949.46429999999998</v>
      </c>
      <c r="J44" s="143">
        <f t="shared" si="0"/>
        <v>-10.53570000000002</v>
      </c>
      <c r="K44" s="143">
        <f t="shared" si="1"/>
        <v>111.00097449000042</v>
      </c>
      <c r="L44" s="143">
        <f t="shared" si="2"/>
        <v>10.53570000000002</v>
      </c>
      <c r="M44" s="143">
        <f t="shared" si="3"/>
        <v>1.0620439531625676</v>
      </c>
      <c r="N44" s="143">
        <f t="shared" si="4"/>
        <v>-1.097468750000002</v>
      </c>
      <c r="O44" s="143">
        <f t="shared" si="5"/>
        <v>1.097468750000002</v>
      </c>
      <c r="P44" s="33">
        <v>993.41700000000014</v>
      </c>
      <c r="Q44" s="143">
        <f t="shared" si="18"/>
        <v>33.417000000000144</v>
      </c>
      <c r="R44" s="143">
        <f t="shared" si="19"/>
        <v>1116.6958890000096</v>
      </c>
      <c r="S44" s="143">
        <f t="shared" si="20"/>
        <v>33.417000000000144</v>
      </c>
      <c r="T44" s="143">
        <f t="shared" si="21"/>
        <v>1.5367730118303644</v>
      </c>
      <c r="U44" s="33">
        <f t="shared" si="22"/>
        <v>3.4809375000000151</v>
      </c>
      <c r="V44" s="143">
        <f t="shared" si="23"/>
        <v>3.4809375000000151</v>
      </c>
    </row>
    <row r="45" spans="1:22" ht="14" x14ac:dyDescent="0.15">
      <c r="A45" s="116" t="s">
        <v>470</v>
      </c>
      <c r="B45" s="106" t="s">
        <v>516</v>
      </c>
      <c r="C45" s="106" t="s">
        <v>458</v>
      </c>
      <c r="D45" s="116" t="s">
        <v>82</v>
      </c>
      <c r="E45" s="106" t="s">
        <v>661</v>
      </c>
      <c r="F45" s="117" t="s">
        <v>494</v>
      </c>
      <c r="G45" s="108" t="s">
        <v>580</v>
      </c>
      <c r="H45" s="109">
        <v>960</v>
      </c>
      <c r="I45" s="112">
        <v>965</v>
      </c>
      <c r="J45" s="143">
        <f t="shared" si="0"/>
        <v>5</v>
      </c>
      <c r="K45" s="143">
        <f t="shared" si="1"/>
        <v>25</v>
      </c>
      <c r="L45" s="143">
        <f t="shared" si="2"/>
        <v>5</v>
      </c>
      <c r="M45" s="143">
        <f t="shared" si="3"/>
        <v>0.77815125038364363</v>
      </c>
      <c r="N45" s="143">
        <f t="shared" si="4"/>
        <v>0.52083333333333337</v>
      </c>
      <c r="O45" s="143">
        <f t="shared" si="5"/>
        <v>0.52083333333333337</v>
      </c>
      <c r="P45" s="33">
        <v>961.53846153846155</v>
      </c>
      <c r="Q45" s="143">
        <f t="shared" si="18"/>
        <v>1.5384615384615472</v>
      </c>
      <c r="R45" s="143">
        <f t="shared" si="19"/>
        <v>2.3668639053254705</v>
      </c>
      <c r="S45" s="143">
        <f t="shared" si="20"/>
        <v>1.5384615384615472</v>
      </c>
      <c r="T45" s="143">
        <f t="shared" si="21"/>
        <v>0.40457058757105219</v>
      </c>
      <c r="U45" s="33">
        <f t="shared" si="22"/>
        <v>0.16025641025641116</v>
      </c>
      <c r="V45" s="143">
        <f t="shared" si="23"/>
        <v>0.16025641025641116</v>
      </c>
    </row>
    <row r="46" spans="1:22" ht="14" x14ac:dyDescent="0.15">
      <c r="A46" s="116" t="s">
        <v>470</v>
      </c>
      <c r="B46" s="106" t="s">
        <v>522</v>
      </c>
      <c r="C46" s="106" t="s">
        <v>458</v>
      </c>
      <c r="D46" s="116" t="s">
        <v>82</v>
      </c>
      <c r="E46" s="106" t="s">
        <v>663</v>
      </c>
      <c r="F46" s="117" t="s">
        <v>494</v>
      </c>
      <c r="G46" s="108" t="s">
        <v>580</v>
      </c>
      <c r="H46" s="109">
        <v>960</v>
      </c>
      <c r="I46" s="112"/>
      <c r="J46" s="143"/>
      <c r="K46" s="143"/>
      <c r="L46" s="143"/>
      <c r="M46" s="143"/>
      <c r="N46" s="143"/>
      <c r="O46" s="143"/>
      <c r="P46" s="33"/>
      <c r="Q46" s="143"/>
      <c r="R46" s="143"/>
      <c r="S46" s="143"/>
      <c r="T46" s="143"/>
      <c r="U46" s="33"/>
      <c r="V46" s="143"/>
    </row>
    <row r="47" spans="1:22" ht="14" x14ac:dyDescent="0.15">
      <c r="A47" s="116" t="s">
        <v>474</v>
      </c>
      <c r="B47" s="106" t="s">
        <v>513</v>
      </c>
      <c r="C47" s="106" t="s">
        <v>458</v>
      </c>
      <c r="D47" s="116" t="s">
        <v>82</v>
      </c>
      <c r="E47" s="106" t="s">
        <v>661</v>
      </c>
      <c r="F47" s="117" t="s">
        <v>494</v>
      </c>
      <c r="G47" s="108" t="s">
        <v>580</v>
      </c>
      <c r="H47" s="109">
        <v>970</v>
      </c>
      <c r="I47" s="112">
        <v>903.06799999999998</v>
      </c>
      <c r="J47" s="143">
        <f t="shared" ref="J47:J60" si="24">I47-H47</f>
        <v>-66.932000000000016</v>
      </c>
      <c r="K47" s="143">
        <f t="shared" ref="K47:K60" si="25">J47^2</f>
        <v>4479.8926240000019</v>
      </c>
      <c r="L47" s="143">
        <f t="shared" ref="L47:L60" si="26">SQRT(K47)</f>
        <v>66.932000000000016</v>
      </c>
      <c r="M47" s="143">
        <f t="shared" ref="M47:M60" si="27">LOG10(L47+1)</f>
        <v>1.8320744009322187</v>
      </c>
      <c r="N47" s="143">
        <f t="shared" ref="N47:N60" si="28">100*J47/H47</f>
        <v>-6.9002061855670123</v>
      </c>
      <c r="O47" s="143">
        <f t="shared" ref="O47:O60" si="29">ABS(N47)</f>
        <v>6.9002061855670123</v>
      </c>
      <c r="P47" s="33">
        <v>972.42550000000006</v>
      </c>
      <c r="Q47" s="143">
        <f>P47-H47</f>
        <v>2.4255000000000564</v>
      </c>
      <c r="R47" s="143">
        <f>Q47^2</f>
        <v>5.8830502500002737</v>
      </c>
      <c r="S47" s="143">
        <f>SQRT(R47)</f>
        <v>2.4255000000000564</v>
      </c>
      <c r="T47" s="143">
        <f>LOG10(S47+1)</f>
        <v>0.53472397185540932</v>
      </c>
      <c r="U47" s="33">
        <f>100*Q47/H47</f>
        <v>0.25005154639175842</v>
      </c>
      <c r="V47" s="143">
        <f>ABS(U47)</f>
        <v>0.25005154639175842</v>
      </c>
    </row>
    <row r="48" spans="1:22" ht="14" x14ac:dyDescent="0.15">
      <c r="A48" s="116" t="s">
        <v>474</v>
      </c>
      <c r="B48" s="106" t="s">
        <v>514</v>
      </c>
      <c r="C48" s="106" t="s">
        <v>458</v>
      </c>
      <c r="D48" s="116" t="s">
        <v>82</v>
      </c>
      <c r="E48" s="106" t="s">
        <v>662</v>
      </c>
      <c r="F48" s="117" t="s">
        <v>494</v>
      </c>
      <c r="G48" s="108" t="s">
        <v>580</v>
      </c>
      <c r="H48" s="109">
        <v>970</v>
      </c>
      <c r="I48" s="112">
        <v>894.90961254249169</v>
      </c>
      <c r="J48" s="143">
        <f t="shared" si="24"/>
        <v>-75.090387457508314</v>
      </c>
      <c r="K48" s="143">
        <f t="shared" si="25"/>
        <v>5638.5662885187221</v>
      </c>
      <c r="L48" s="143">
        <f t="shared" si="26"/>
        <v>75.090387457508314</v>
      </c>
      <c r="M48" s="143">
        <f t="shared" si="27"/>
        <v>1.8813297955636794</v>
      </c>
      <c r="N48" s="143">
        <f t="shared" si="28"/>
        <v>-7.7412770574750835</v>
      </c>
      <c r="O48" s="143">
        <f t="shared" si="29"/>
        <v>7.7412770574750835</v>
      </c>
      <c r="P48" s="33">
        <v>966.41674118855633</v>
      </c>
      <c r="Q48" s="143">
        <f>P48-H48</f>
        <v>-3.5832588114436703</v>
      </c>
      <c r="R48" s="143">
        <f>Q48^2</f>
        <v>12.839743709788705</v>
      </c>
      <c r="S48" s="143">
        <f>SQRT(R48)</f>
        <v>3.5832588114436703</v>
      </c>
      <c r="T48" s="143">
        <f>LOG10(S48+1)</f>
        <v>0.66117438205565693</v>
      </c>
      <c r="U48" s="33">
        <f>100*Q48/H48</f>
        <v>-0.36940812489110003</v>
      </c>
      <c r="V48" s="143">
        <f>ABS(U48)</f>
        <v>0.36940812489110003</v>
      </c>
    </row>
    <row r="49" spans="1:22" ht="14" x14ac:dyDescent="0.15">
      <c r="A49" s="116" t="s">
        <v>474</v>
      </c>
      <c r="B49" s="106" t="s">
        <v>512</v>
      </c>
      <c r="C49" s="106" t="s">
        <v>458</v>
      </c>
      <c r="D49" s="116" t="s">
        <v>82</v>
      </c>
      <c r="E49" s="106" t="s">
        <v>661</v>
      </c>
      <c r="F49" s="117" t="s">
        <v>494</v>
      </c>
      <c r="G49" s="108" t="s">
        <v>580</v>
      </c>
      <c r="H49" s="109">
        <v>970</v>
      </c>
      <c r="I49" s="112">
        <v>986.53700000000003</v>
      </c>
      <c r="J49" s="143">
        <f t="shared" si="24"/>
        <v>16.537000000000035</v>
      </c>
      <c r="K49" s="143">
        <f t="shared" si="25"/>
        <v>273.47236900000115</v>
      </c>
      <c r="L49" s="143">
        <f t="shared" si="26"/>
        <v>16.537000000000035</v>
      </c>
      <c r="M49" s="143">
        <f t="shared" si="27"/>
        <v>1.2439553019787419</v>
      </c>
      <c r="N49" s="143">
        <f t="shared" si="28"/>
        <v>1.7048453608247458</v>
      </c>
      <c r="O49" s="143">
        <f t="shared" si="29"/>
        <v>1.7048453608247458</v>
      </c>
      <c r="P49" s="33">
        <v>1065.9118000000001</v>
      </c>
      <c r="Q49" s="143">
        <f>P49-H49</f>
        <v>95.911800000000085</v>
      </c>
      <c r="R49" s="143">
        <f>Q49^2</f>
        <v>9199.0733792400169</v>
      </c>
      <c r="S49" s="143">
        <f>SQRT(R49)</f>
        <v>95.911800000000085</v>
      </c>
      <c r="T49" s="143">
        <f>LOG10(S49+1)</f>
        <v>1.9863766600526551</v>
      </c>
      <c r="U49" s="33">
        <f>100*Q49/H49</f>
        <v>9.887814432989698</v>
      </c>
      <c r="V49" s="143">
        <f>ABS(U49)</f>
        <v>9.887814432989698</v>
      </c>
    </row>
    <row r="50" spans="1:22" ht="14" x14ac:dyDescent="0.15">
      <c r="A50" s="116" t="s">
        <v>474</v>
      </c>
      <c r="B50" s="106" t="s">
        <v>516</v>
      </c>
      <c r="C50" s="106" t="s">
        <v>458</v>
      </c>
      <c r="D50" s="116" t="s">
        <v>82</v>
      </c>
      <c r="E50" s="106" t="s">
        <v>661</v>
      </c>
      <c r="F50" s="117" t="s">
        <v>494</v>
      </c>
      <c r="G50" s="108" t="s">
        <v>580</v>
      </c>
      <c r="H50" s="109">
        <v>970</v>
      </c>
      <c r="I50" s="112">
        <v>1000</v>
      </c>
      <c r="J50" s="143">
        <f t="shared" si="24"/>
        <v>30</v>
      </c>
      <c r="K50" s="143">
        <f t="shared" si="25"/>
        <v>900</v>
      </c>
      <c r="L50" s="143">
        <f t="shared" si="26"/>
        <v>30</v>
      </c>
      <c r="M50" s="143">
        <f t="shared" si="27"/>
        <v>1.4913616938342726</v>
      </c>
      <c r="N50" s="143">
        <f t="shared" si="28"/>
        <v>3.0927835051546393</v>
      </c>
      <c r="O50" s="143">
        <f t="shared" si="29"/>
        <v>3.0927835051546393</v>
      </c>
      <c r="P50" s="33">
        <v>1026.9230769230769</v>
      </c>
      <c r="Q50" s="143">
        <f>P50-H50</f>
        <v>56.923076923076906</v>
      </c>
      <c r="R50" s="143">
        <f>Q50^2</f>
        <v>3240.2366863905304</v>
      </c>
      <c r="S50" s="143">
        <f>SQRT(R50)</f>
        <v>56.923076923076906</v>
      </c>
      <c r="T50" s="143">
        <f>LOG10(S50+1)</f>
        <v>1.7628516238938636</v>
      </c>
      <c r="U50" s="33">
        <f>100*Q50/H50</f>
        <v>5.8683584456780311</v>
      </c>
      <c r="V50" s="143">
        <f>ABS(U50)</f>
        <v>5.8683584456780311</v>
      </c>
    </row>
    <row r="51" spans="1:22" ht="14" x14ac:dyDescent="0.15">
      <c r="A51" s="116" t="s">
        <v>474</v>
      </c>
      <c r="B51" s="106" t="s">
        <v>522</v>
      </c>
      <c r="C51" s="106" t="s">
        <v>458</v>
      </c>
      <c r="D51" s="116" t="s">
        <v>82</v>
      </c>
      <c r="E51" s="106" t="s">
        <v>663</v>
      </c>
      <c r="F51" s="117" t="s">
        <v>494</v>
      </c>
      <c r="G51" s="108" t="s">
        <v>580</v>
      </c>
      <c r="H51" s="109">
        <v>970</v>
      </c>
      <c r="I51" s="112">
        <v>1153.5694142163379</v>
      </c>
      <c r="J51" s="143">
        <f t="shared" si="24"/>
        <v>183.56941421633792</v>
      </c>
      <c r="K51" s="143">
        <f t="shared" si="25"/>
        <v>33697.729835729449</v>
      </c>
      <c r="L51" s="143">
        <f t="shared" si="26"/>
        <v>183.56941421633792</v>
      </c>
      <c r="M51" s="143">
        <f t="shared" si="27"/>
        <v>2.2661597338642201</v>
      </c>
      <c r="N51" s="143">
        <f t="shared" si="28"/>
        <v>18.924681877972979</v>
      </c>
      <c r="O51" s="143">
        <f t="shared" si="29"/>
        <v>18.924681877972979</v>
      </c>
      <c r="P51" s="33"/>
      <c r="Q51" s="143"/>
      <c r="R51" s="143"/>
      <c r="S51" s="143"/>
      <c r="T51" s="143"/>
      <c r="U51" s="33"/>
      <c r="V51" s="143"/>
    </row>
    <row r="52" spans="1:22" ht="14" x14ac:dyDescent="0.15">
      <c r="A52" s="116" t="s">
        <v>212</v>
      </c>
      <c r="B52" s="106" t="s">
        <v>513</v>
      </c>
      <c r="C52" s="106" t="s">
        <v>403</v>
      </c>
      <c r="D52" s="116" t="s">
        <v>82</v>
      </c>
      <c r="E52" s="106" t="s">
        <v>661</v>
      </c>
      <c r="F52" s="117" t="s">
        <v>494</v>
      </c>
      <c r="G52" s="108" t="s">
        <v>580</v>
      </c>
      <c r="H52" s="109">
        <v>1287.4000000000001</v>
      </c>
      <c r="I52" s="112">
        <v>1181.0872400000001</v>
      </c>
      <c r="J52" s="143">
        <f t="shared" si="24"/>
        <v>-106.31276000000003</v>
      </c>
      <c r="K52" s="143">
        <f t="shared" si="25"/>
        <v>11302.402938817606</v>
      </c>
      <c r="L52" s="143">
        <f t="shared" si="26"/>
        <v>106.31276000000003</v>
      </c>
      <c r="M52" s="143">
        <f t="shared" si="27"/>
        <v>2.0306513647256419</v>
      </c>
      <c r="N52" s="143">
        <f t="shared" si="28"/>
        <v>-8.2579431412148523</v>
      </c>
      <c r="O52" s="143">
        <f t="shared" si="29"/>
        <v>8.2579431412148523</v>
      </c>
      <c r="P52" s="33">
        <v>1152.13895</v>
      </c>
      <c r="Q52" s="143">
        <f t="shared" ref="Q52:Q60" si="30">P52-H52</f>
        <v>-135.26105000000007</v>
      </c>
      <c r="R52" s="143">
        <f t="shared" ref="R52:R60" si="31">Q52^2</f>
        <v>18295.551647102518</v>
      </c>
      <c r="S52" s="143">
        <f t="shared" ref="S52:S60" si="32">SQRT(R52)</f>
        <v>135.26105000000007</v>
      </c>
      <c r="T52" s="143">
        <f t="shared" ref="T52:T60" si="33">LOG10(S52+1)</f>
        <v>2.1343717312014197</v>
      </c>
      <c r="U52" s="33">
        <f t="shared" ref="U52:U60" si="34">100*Q52/H52</f>
        <v>-10.506528662420386</v>
      </c>
      <c r="V52" s="143">
        <f t="shared" ref="V52:V60" si="35">ABS(U52)</f>
        <v>10.506528662420386</v>
      </c>
    </row>
    <row r="53" spans="1:22" ht="14" x14ac:dyDescent="0.15">
      <c r="A53" s="116" t="s">
        <v>212</v>
      </c>
      <c r="B53" s="106" t="s">
        <v>514</v>
      </c>
      <c r="C53" s="106" t="s">
        <v>403</v>
      </c>
      <c r="D53" s="116" t="s">
        <v>82</v>
      </c>
      <c r="E53" s="106" t="s">
        <v>662</v>
      </c>
      <c r="F53" s="117" t="s">
        <v>494</v>
      </c>
      <c r="G53" s="108" t="s">
        <v>580</v>
      </c>
      <c r="H53" s="109">
        <v>1287.4000000000001</v>
      </c>
      <c r="I53" s="112">
        <v>1179.9366274113261</v>
      </c>
      <c r="J53" s="143">
        <f t="shared" si="24"/>
        <v>-107.46337258867402</v>
      </c>
      <c r="K53" s="143">
        <f t="shared" si="25"/>
        <v>11548.376448132174</v>
      </c>
      <c r="L53" s="143">
        <f t="shared" si="26"/>
        <v>107.46337258867402</v>
      </c>
      <c r="M53" s="143">
        <f t="shared" si="27"/>
        <v>2.0352831043763935</v>
      </c>
      <c r="N53" s="143">
        <f t="shared" si="28"/>
        <v>-8.34731805100777</v>
      </c>
      <c r="O53" s="143">
        <f t="shared" si="29"/>
        <v>8.34731805100777</v>
      </c>
      <c r="P53" s="33">
        <v>1148.0876657894387</v>
      </c>
      <c r="Q53" s="143">
        <f t="shared" si="30"/>
        <v>-139.3123342105614</v>
      </c>
      <c r="R53" s="143">
        <f t="shared" si="31"/>
        <v>19407.926463195156</v>
      </c>
      <c r="S53" s="143">
        <f t="shared" si="32"/>
        <v>139.3123342105614</v>
      </c>
      <c r="T53" s="143">
        <f t="shared" si="33"/>
        <v>2.1470958495325512</v>
      </c>
      <c r="U53" s="33">
        <f t="shared" si="34"/>
        <v>-10.821215955457619</v>
      </c>
      <c r="V53" s="143">
        <f t="shared" si="35"/>
        <v>10.821215955457619</v>
      </c>
    </row>
    <row r="54" spans="1:22" ht="14" x14ac:dyDescent="0.15">
      <c r="A54" s="116" t="s">
        <v>212</v>
      </c>
      <c r="B54" s="106" t="s">
        <v>512</v>
      </c>
      <c r="C54" s="106" t="s">
        <v>403</v>
      </c>
      <c r="D54" s="116" t="s">
        <v>82</v>
      </c>
      <c r="E54" s="106" t="s">
        <v>661</v>
      </c>
      <c r="F54" s="117" t="s">
        <v>494</v>
      </c>
      <c r="G54" s="108" t="s">
        <v>580</v>
      </c>
      <c r="H54" s="109">
        <v>1287.4000000000001</v>
      </c>
      <c r="I54" s="112">
        <v>1287.6202850000002</v>
      </c>
      <c r="J54" s="143">
        <f t="shared" si="24"/>
        <v>0.22028500000010354</v>
      </c>
      <c r="K54" s="143">
        <f t="shared" si="25"/>
        <v>4.8525481225045616E-2</v>
      </c>
      <c r="L54" s="143">
        <f t="shared" si="26"/>
        <v>0.22028500000010354</v>
      </c>
      <c r="M54" s="143">
        <f t="shared" si="27"/>
        <v>8.6461272865271166E-2</v>
      </c>
      <c r="N54" s="143">
        <f t="shared" si="28"/>
        <v>1.7110843560672946E-2</v>
      </c>
      <c r="O54" s="143">
        <f t="shared" si="29"/>
        <v>1.7110843560672946E-2</v>
      </c>
      <c r="P54" s="33">
        <v>1263.3535200000001</v>
      </c>
      <c r="Q54" s="143">
        <f t="shared" si="30"/>
        <v>-24.046479999999974</v>
      </c>
      <c r="R54" s="143">
        <f t="shared" si="31"/>
        <v>578.23320039039879</v>
      </c>
      <c r="S54" s="143">
        <f t="shared" si="32"/>
        <v>24.046479999999974</v>
      </c>
      <c r="T54" s="143">
        <f t="shared" si="33"/>
        <v>1.3987466993053321</v>
      </c>
      <c r="U54" s="33">
        <f t="shared" si="34"/>
        <v>-1.8678328413857366</v>
      </c>
      <c r="V54" s="143">
        <f t="shared" si="35"/>
        <v>1.8678328413857366</v>
      </c>
    </row>
    <row r="55" spans="1:22" ht="14" x14ac:dyDescent="0.15">
      <c r="A55" s="116" t="s">
        <v>212</v>
      </c>
      <c r="B55" s="106" t="s">
        <v>516</v>
      </c>
      <c r="C55" s="106" t="s">
        <v>403</v>
      </c>
      <c r="D55" s="116" t="s">
        <v>82</v>
      </c>
      <c r="E55" s="106" t="s">
        <v>661</v>
      </c>
      <c r="F55" s="117" t="s">
        <v>494</v>
      </c>
      <c r="G55" s="108" t="s">
        <v>580</v>
      </c>
      <c r="H55" s="109">
        <v>1287.4000000000001</v>
      </c>
      <c r="I55" s="112">
        <v>1284.25</v>
      </c>
      <c r="J55" s="143">
        <f t="shared" si="24"/>
        <v>-3.1500000000000909</v>
      </c>
      <c r="K55" s="143">
        <f t="shared" si="25"/>
        <v>9.9225000000005732</v>
      </c>
      <c r="L55" s="143">
        <f t="shared" si="26"/>
        <v>3.1500000000000909</v>
      </c>
      <c r="M55" s="143">
        <f t="shared" si="27"/>
        <v>0.61804809671210226</v>
      </c>
      <c r="N55" s="143">
        <f t="shared" si="28"/>
        <v>-0.24467919838434757</v>
      </c>
      <c r="O55" s="143">
        <f t="shared" si="29"/>
        <v>0.24467919838434757</v>
      </c>
      <c r="P55" s="33">
        <v>1205</v>
      </c>
      <c r="Q55" s="143">
        <f t="shared" si="30"/>
        <v>-82.400000000000091</v>
      </c>
      <c r="R55" s="143">
        <f t="shared" si="31"/>
        <v>6789.7600000000148</v>
      </c>
      <c r="S55" s="143">
        <f t="shared" si="32"/>
        <v>82.400000000000091</v>
      </c>
      <c r="T55" s="143">
        <f t="shared" si="33"/>
        <v>1.9211660506377393</v>
      </c>
      <c r="U55" s="33">
        <f t="shared" si="34"/>
        <v>-6.4004971259903751</v>
      </c>
      <c r="V55" s="143">
        <f t="shared" si="35"/>
        <v>6.4004971259903751</v>
      </c>
    </row>
    <row r="56" spans="1:22" ht="14" x14ac:dyDescent="0.15">
      <c r="A56" s="116" t="s">
        <v>212</v>
      </c>
      <c r="B56" s="106" t="s">
        <v>522</v>
      </c>
      <c r="C56" s="106" t="s">
        <v>403</v>
      </c>
      <c r="D56" s="116" t="s">
        <v>82</v>
      </c>
      <c r="E56" s="106" t="s">
        <v>663</v>
      </c>
      <c r="F56" s="117" t="s">
        <v>494</v>
      </c>
      <c r="G56" s="108" t="s">
        <v>580</v>
      </c>
      <c r="H56" s="109">
        <v>1287.4000000000001</v>
      </c>
      <c r="I56" s="112">
        <v>1807.2290809037468</v>
      </c>
      <c r="J56" s="143">
        <f t="shared" si="24"/>
        <v>519.82908090374667</v>
      </c>
      <c r="K56" s="143">
        <f t="shared" si="25"/>
        <v>270222.27335323399</v>
      </c>
      <c r="L56" s="143">
        <f t="shared" si="26"/>
        <v>519.82908090374667</v>
      </c>
      <c r="M56" s="143">
        <f t="shared" si="27"/>
        <v>2.7166952254131029</v>
      </c>
      <c r="N56" s="143">
        <f t="shared" si="28"/>
        <v>40.37821041663404</v>
      </c>
      <c r="O56" s="143">
        <f t="shared" si="29"/>
        <v>40.37821041663404</v>
      </c>
      <c r="P56" s="33">
        <v>1584.9017981397601</v>
      </c>
      <c r="Q56" s="143">
        <f t="shared" si="30"/>
        <v>297.50179813976001</v>
      </c>
      <c r="R56" s="143">
        <f t="shared" si="31"/>
        <v>88507.319896390516</v>
      </c>
      <c r="S56" s="143">
        <f t="shared" si="32"/>
        <v>297.50179813976001</v>
      </c>
      <c r="T56" s="143">
        <f t="shared" si="33"/>
        <v>2.4749469516121998</v>
      </c>
      <c r="U56" s="33">
        <f t="shared" si="34"/>
        <v>23.108730630709957</v>
      </c>
      <c r="V56" s="143">
        <f t="shared" si="35"/>
        <v>23.108730630709957</v>
      </c>
    </row>
    <row r="57" spans="1:22" ht="14" x14ac:dyDescent="0.15">
      <c r="A57" s="116" t="s">
        <v>224</v>
      </c>
      <c r="B57" s="106" t="s">
        <v>513</v>
      </c>
      <c r="C57" s="106" t="s">
        <v>403</v>
      </c>
      <c r="D57" s="116" t="s">
        <v>82</v>
      </c>
      <c r="E57" s="106" t="s">
        <v>661</v>
      </c>
      <c r="F57" s="117" t="s">
        <v>494</v>
      </c>
      <c r="G57" s="108" t="s">
        <v>580</v>
      </c>
      <c r="H57" s="109">
        <v>908.46</v>
      </c>
      <c r="I57" s="112">
        <v>844.38319999999999</v>
      </c>
      <c r="J57" s="143">
        <f t="shared" si="24"/>
        <v>-64.076800000000048</v>
      </c>
      <c r="K57" s="143">
        <f t="shared" si="25"/>
        <v>4105.8362982400058</v>
      </c>
      <c r="L57" s="143">
        <f t="shared" si="26"/>
        <v>64.076800000000048</v>
      </c>
      <c r="M57" s="143">
        <f t="shared" si="27"/>
        <v>1.813426189370688</v>
      </c>
      <c r="N57" s="143">
        <f t="shared" si="28"/>
        <v>-7.053343020055924</v>
      </c>
      <c r="O57" s="143">
        <f t="shared" si="29"/>
        <v>7.053343020055924</v>
      </c>
      <c r="P57" s="33">
        <v>867.625</v>
      </c>
      <c r="Q57" s="143">
        <f t="shared" si="30"/>
        <v>-40.835000000000036</v>
      </c>
      <c r="R57" s="143">
        <f t="shared" si="31"/>
        <v>1667.497225000003</v>
      </c>
      <c r="S57" s="143">
        <f t="shared" si="32"/>
        <v>40.835000000000036</v>
      </c>
      <c r="T57" s="143">
        <f t="shared" si="33"/>
        <v>1.6215397733217314</v>
      </c>
      <c r="U57" s="33">
        <f t="shared" si="34"/>
        <v>-4.4949695088391382</v>
      </c>
      <c r="V57" s="143">
        <f t="shared" si="35"/>
        <v>4.4949695088391382</v>
      </c>
    </row>
    <row r="58" spans="1:22" ht="14" x14ac:dyDescent="0.15">
      <c r="A58" s="116" t="s">
        <v>224</v>
      </c>
      <c r="B58" s="106" t="s">
        <v>514</v>
      </c>
      <c r="C58" s="106" t="s">
        <v>403</v>
      </c>
      <c r="D58" s="116" t="s">
        <v>82</v>
      </c>
      <c r="E58" s="106" t="s">
        <v>662</v>
      </c>
      <c r="F58" s="117" t="s">
        <v>494</v>
      </c>
      <c r="G58" s="108" t="s">
        <v>580</v>
      </c>
      <c r="H58" s="109">
        <v>908.46</v>
      </c>
      <c r="I58" s="112">
        <v>835.75710399945694</v>
      </c>
      <c r="J58" s="143">
        <f t="shared" si="24"/>
        <v>-72.702896000543092</v>
      </c>
      <c r="K58" s="143">
        <f t="shared" si="25"/>
        <v>5285.7110868657846</v>
      </c>
      <c r="L58" s="143">
        <f t="shared" si="26"/>
        <v>72.702896000543092</v>
      </c>
      <c r="M58" s="143">
        <f t="shared" si="27"/>
        <v>1.8674845528840915</v>
      </c>
      <c r="N58" s="143">
        <f t="shared" si="28"/>
        <v>-8.0028725536119474</v>
      </c>
      <c r="O58" s="143">
        <f t="shared" si="29"/>
        <v>8.0028725536119474</v>
      </c>
      <c r="P58" s="33">
        <v>861.5689983229438</v>
      </c>
      <c r="Q58" s="143">
        <f t="shared" si="30"/>
        <v>-46.891001677056238</v>
      </c>
      <c r="R58" s="143">
        <f t="shared" si="31"/>
        <v>2198.7660382776908</v>
      </c>
      <c r="S58" s="143">
        <f t="shared" si="32"/>
        <v>46.891001677056238</v>
      </c>
      <c r="T58" s="143">
        <f t="shared" si="33"/>
        <v>1.6802539207400127</v>
      </c>
      <c r="U58" s="33">
        <f t="shared" si="34"/>
        <v>-5.1615923295528958</v>
      </c>
      <c r="V58" s="143">
        <f t="shared" si="35"/>
        <v>5.1615923295528958</v>
      </c>
    </row>
    <row r="59" spans="1:22" ht="14" x14ac:dyDescent="0.15">
      <c r="A59" s="116" t="s">
        <v>224</v>
      </c>
      <c r="B59" s="106" t="s">
        <v>512</v>
      </c>
      <c r="C59" s="106" t="s">
        <v>403</v>
      </c>
      <c r="D59" s="116" t="s">
        <v>82</v>
      </c>
      <c r="E59" s="106" t="s">
        <v>661</v>
      </c>
      <c r="F59" s="117" t="s">
        <v>494</v>
      </c>
      <c r="G59" s="108" t="s">
        <v>580</v>
      </c>
      <c r="H59" s="109">
        <v>908.46</v>
      </c>
      <c r="I59" s="112">
        <v>922.98379999999997</v>
      </c>
      <c r="J59" s="143">
        <f t="shared" si="24"/>
        <v>14.523799999999937</v>
      </c>
      <c r="K59" s="143">
        <f t="shared" si="25"/>
        <v>210.94076643999819</v>
      </c>
      <c r="L59" s="143">
        <f t="shared" si="26"/>
        <v>14.523799999999937</v>
      </c>
      <c r="M59" s="143">
        <f t="shared" si="27"/>
        <v>1.1909980388956038</v>
      </c>
      <c r="N59" s="143">
        <f t="shared" si="28"/>
        <v>1.5987275168967194</v>
      </c>
      <c r="O59" s="143">
        <f t="shared" si="29"/>
        <v>1.5987275168967194</v>
      </c>
      <c r="P59" s="33">
        <v>950.77300000000002</v>
      </c>
      <c r="Q59" s="143">
        <f t="shared" si="30"/>
        <v>42.312999999999988</v>
      </c>
      <c r="R59" s="143">
        <f t="shared" si="31"/>
        <v>1790.3899689999989</v>
      </c>
      <c r="S59" s="143">
        <f t="shared" si="32"/>
        <v>42.312999999999988</v>
      </c>
      <c r="T59" s="143">
        <f t="shared" si="33"/>
        <v>1.6366182654274568</v>
      </c>
      <c r="U59" s="33">
        <f t="shared" si="34"/>
        <v>4.6576624177178951</v>
      </c>
      <c r="V59" s="143">
        <f t="shared" si="35"/>
        <v>4.6576624177178951</v>
      </c>
    </row>
    <row r="60" spans="1:22" ht="14" x14ac:dyDescent="0.15">
      <c r="A60" s="116" t="s">
        <v>224</v>
      </c>
      <c r="B60" s="106" t="s">
        <v>516</v>
      </c>
      <c r="C60" s="106" t="s">
        <v>403</v>
      </c>
      <c r="D60" s="116" t="s">
        <v>82</v>
      </c>
      <c r="E60" s="106" t="s">
        <v>661</v>
      </c>
      <c r="F60" s="117" t="s">
        <v>494</v>
      </c>
      <c r="G60" s="108" t="s">
        <v>580</v>
      </c>
      <c r="H60" s="109">
        <v>908.46</v>
      </c>
      <c r="I60" s="112">
        <v>940</v>
      </c>
      <c r="J60" s="143">
        <f t="shared" si="24"/>
        <v>31.539999999999964</v>
      </c>
      <c r="K60" s="143">
        <f t="shared" si="25"/>
        <v>994.77159999999776</v>
      </c>
      <c r="L60" s="143">
        <f t="shared" si="26"/>
        <v>31.539999999999964</v>
      </c>
      <c r="M60" s="143">
        <f t="shared" si="27"/>
        <v>1.5124175486008395</v>
      </c>
      <c r="N60" s="143">
        <f t="shared" si="28"/>
        <v>3.4718094357484053</v>
      </c>
      <c r="O60" s="143">
        <f t="shared" si="29"/>
        <v>3.4718094357484053</v>
      </c>
      <c r="P60" s="33">
        <v>923.07692307692309</v>
      </c>
      <c r="Q60" s="143">
        <f t="shared" si="30"/>
        <v>14.616923076923058</v>
      </c>
      <c r="R60" s="143">
        <f t="shared" si="31"/>
        <v>213.65444023668584</v>
      </c>
      <c r="S60" s="143">
        <f t="shared" si="32"/>
        <v>14.616923076923058</v>
      </c>
      <c r="T60" s="143">
        <f t="shared" si="33"/>
        <v>1.1935954711324339</v>
      </c>
      <c r="U60" s="33">
        <f t="shared" si="34"/>
        <v>1.6089781693110381</v>
      </c>
      <c r="V60" s="143">
        <f t="shared" si="35"/>
        <v>1.6089781693110381</v>
      </c>
    </row>
    <row r="61" spans="1:22" ht="14" x14ac:dyDescent="0.15">
      <c r="A61" s="116" t="s">
        <v>224</v>
      </c>
      <c r="B61" s="106" t="s">
        <v>522</v>
      </c>
      <c r="C61" s="106" t="s">
        <v>403</v>
      </c>
      <c r="D61" s="116" t="s">
        <v>82</v>
      </c>
      <c r="E61" s="106" t="s">
        <v>663</v>
      </c>
      <c r="F61" s="117" t="s">
        <v>494</v>
      </c>
      <c r="G61" s="108" t="s">
        <v>580</v>
      </c>
      <c r="H61" s="109">
        <v>908.46</v>
      </c>
      <c r="I61" s="112"/>
      <c r="J61" s="143"/>
      <c r="K61" s="143"/>
      <c r="L61" s="143"/>
      <c r="M61" s="143"/>
      <c r="N61" s="143"/>
      <c r="O61" s="143"/>
      <c r="P61" s="33"/>
      <c r="Q61" s="143"/>
      <c r="R61" s="143"/>
      <c r="S61" s="143"/>
      <c r="T61" s="143"/>
      <c r="U61" s="33"/>
      <c r="V61" s="143"/>
    </row>
    <row r="62" spans="1:22" ht="14" x14ac:dyDescent="0.15">
      <c r="A62" s="116" t="s">
        <v>175</v>
      </c>
      <c r="B62" s="106" t="s">
        <v>513</v>
      </c>
      <c r="C62" s="106" t="s">
        <v>403</v>
      </c>
      <c r="D62" s="116" t="s">
        <v>148</v>
      </c>
      <c r="E62" s="106" t="s">
        <v>661</v>
      </c>
      <c r="F62" s="117" t="s">
        <v>494</v>
      </c>
      <c r="G62" s="108" t="s">
        <v>580</v>
      </c>
      <c r="H62" s="109">
        <v>1287.2</v>
      </c>
      <c r="I62" s="112">
        <v>1075.0633679999999</v>
      </c>
      <c r="J62" s="143">
        <f t="shared" ref="J62:J80" si="36">I62-H62</f>
        <v>-212.13663200000019</v>
      </c>
      <c r="K62" s="143">
        <f t="shared" ref="K62:K80" si="37">J62^2</f>
        <v>45001.950636303503</v>
      </c>
      <c r="L62" s="143">
        <f t="shared" ref="L62:L80" si="38">SQRT(K62)</f>
        <v>212.13663200000019</v>
      </c>
      <c r="M62" s="143">
        <f t="shared" ref="M62:M80" si="39">LOG10(L62+1)</f>
        <v>2.3286580987439001</v>
      </c>
      <c r="N62" s="143">
        <f t="shared" ref="N62:N80" si="40">100*J62/H62</f>
        <v>-16.480471721566204</v>
      </c>
      <c r="O62" s="143">
        <f t="shared" ref="O62:O80" si="41">ABS(N62)</f>
        <v>16.480471721566204</v>
      </c>
      <c r="P62" s="33">
        <v>1183.0356899999999</v>
      </c>
      <c r="Q62" s="143">
        <f t="shared" ref="Q62:Q80" si="42">P62-H62</f>
        <v>-104.16431000000011</v>
      </c>
      <c r="R62" s="143">
        <f t="shared" ref="R62:R80" si="43">Q62^2</f>
        <v>10850.203477776124</v>
      </c>
      <c r="S62" s="143">
        <f t="shared" ref="S62:S80" si="44">SQRT(R62)</f>
        <v>104.16431000000011</v>
      </c>
      <c r="T62" s="143">
        <f t="shared" ref="T62:T80" si="45">LOG10(S62+1)</f>
        <v>2.0218683767007755</v>
      </c>
      <c r="U62" s="33">
        <f t="shared" ref="U62:U80" si="46">100*Q62/H62</f>
        <v>-8.0923174331883239</v>
      </c>
      <c r="V62" s="143">
        <f t="shared" ref="V62:V80" si="47">ABS(U62)</f>
        <v>8.0923174331883239</v>
      </c>
    </row>
    <row r="63" spans="1:22" ht="14" x14ac:dyDescent="0.15">
      <c r="A63" s="116" t="s">
        <v>175</v>
      </c>
      <c r="B63" s="106" t="s">
        <v>514</v>
      </c>
      <c r="C63" s="106" t="s">
        <v>403</v>
      </c>
      <c r="D63" s="116" t="s">
        <v>148</v>
      </c>
      <c r="E63" s="106" t="s">
        <v>662</v>
      </c>
      <c r="F63" s="117" t="s">
        <v>494</v>
      </c>
      <c r="G63" s="108" t="s">
        <v>580</v>
      </c>
      <c r="H63" s="109">
        <v>1287.2</v>
      </c>
      <c r="I63" s="112">
        <v>1070.365540408266</v>
      </c>
      <c r="J63" s="143">
        <f t="shared" si="36"/>
        <v>-216.834459591734</v>
      </c>
      <c r="K63" s="143">
        <f t="shared" si="37"/>
        <v>47017.182866439325</v>
      </c>
      <c r="L63" s="143">
        <f t="shared" si="38"/>
        <v>216.834459591734</v>
      </c>
      <c r="M63" s="143">
        <f t="shared" si="39"/>
        <v>2.3381265826133237</v>
      </c>
      <c r="N63" s="143">
        <f t="shared" si="40"/>
        <v>-16.845436574870572</v>
      </c>
      <c r="O63" s="143">
        <f t="shared" si="41"/>
        <v>16.845436574870572</v>
      </c>
      <c r="P63" s="33">
        <v>1179.5395371773282</v>
      </c>
      <c r="Q63" s="143">
        <f t="shared" si="42"/>
        <v>-107.66046282267189</v>
      </c>
      <c r="R63" s="143">
        <f t="shared" si="43"/>
        <v>11590.775255191917</v>
      </c>
      <c r="S63" s="143">
        <f t="shared" si="44"/>
        <v>107.66046282267189</v>
      </c>
      <c r="T63" s="143">
        <f t="shared" si="45"/>
        <v>2.0360715505127622</v>
      </c>
      <c r="U63" s="33">
        <f t="shared" si="46"/>
        <v>-8.363926571059034</v>
      </c>
      <c r="V63" s="143">
        <f t="shared" si="47"/>
        <v>8.363926571059034</v>
      </c>
    </row>
    <row r="64" spans="1:22" ht="14" x14ac:dyDescent="0.15">
      <c r="A64" s="116" t="s">
        <v>175</v>
      </c>
      <c r="B64" s="106" t="s">
        <v>512</v>
      </c>
      <c r="C64" s="106" t="s">
        <v>403</v>
      </c>
      <c r="D64" s="116" t="s">
        <v>148</v>
      </c>
      <c r="E64" s="106" t="s">
        <v>661</v>
      </c>
      <c r="F64" s="117" t="s">
        <v>494</v>
      </c>
      <c r="G64" s="108" t="s">
        <v>580</v>
      </c>
      <c r="H64" s="109">
        <v>1287.2</v>
      </c>
      <c r="I64" s="112">
        <v>1172.800837</v>
      </c>
      <c r="J64" s="143">
        <f t="shared" si="36"/>
        <v>-114.39916300000004</v>
      </c>
      <c r="K64" s="143">
        <f t="shared" si="37"/>
        <v>13087.168495100579</v>
      </c>
      <c r="L64" s="143">
        <f t="shared" si="38"/>
        <v>114.39916300000004</v>
      </c>
      <c r="M64" s="143">
        <f t="shared" si="39"/>
        <v>2.0622026588561111</v>
      </c>
      <c r="N64" s="143">
        <f t="shared" si="40"/>
        <v>-8.8874427439403387</v>
      </c>
      <c r="O64" s="143">
        <f t="shared" si="41"/>
        <v>8.8874427439403387</v>
      </c>
      <c r="P64" s="33">
        <v>1297.2981440000001</v>
      </c>
      <c r="Q64" s="143">
        <f t="shared" si="42"/>
        <v>10.098144000000048</v>
      </c>
      <c r="R64" s="143">
        <f t="shared" si="43"/>
        <v>101.97251224473696</v>
      </c>
      <c r="S64" s="143">
        <f t="shared" si="44"/>
        <v>10.098144000000048</v>
      </c>
      <c r="T64" s="143">
        <f t="shared" si="45"/>
        <v>1.045250355547501</v>
      </c>
      <c r="U64" s="33">
        <f t="shared" si="46"/>
        <v>0.78450466128030194</v>
      </c>
      <c r="V64" s="143">
        <f t="shared" si="47"/>
        <v>0.78450466128030194</v>
      </c>
    </row>
    <row r="65" spans="1:22" ht="14" x14ac:dyDescent="0.15">
      <c r="A65" s="116" t="s">
        <v>175</v>
      </c>
      <c r="B65" s="106" t="s">
        <v>516</v>
      </c>
      <c r="C65" s="106" t="s">
        <v>403</v>
      </c>
      <c r="D65" s="116" t="s">
        <v>148</v>
      </c>
      <c r="E65" s="106" t="s">
        <v>661</v>
      </c>
      <c r="F65" s="117" t="s">
        <v>494</v>
      </c>
      <c r="G65" s="108" t="s">
        <v>580</v>
      </c>
      <c r="H65" s="109">
        <v>1287.2</v>
      </c>
      <c r="I65" s="112">
        <v>1175.8499999999999</v>
      </c>
      <c r="J65" s="143">
        <f t="shared" si="36"/>
        <v>-111.35000000000014</v>
      </c>
      <c r="K65" s="143">
        <f t="shared" si="37"/>
        <v>12398.822500000031</v>
      </c>
      <c r="L65" s="143">
        <f t="shared" si="38"/>
        <v>111.35000000000014</v>
      </c>
      <c r="M65" s="143">
        <f t="shared" si="39"/>
        <v>2.0505730767551484</v>
      </c>
      <c r="N65" s="143">
        <f t="shared" si="40"/>
        <v>-8.6505593536358099</v>
      </c>
      <c r="O65" s="143">
        <f t="shared" si="41"/>
        <v>8.6505593536358099</v>
      </c>
      <c r="P65" s="33">
        <v>1235.6153846153845</v>
      </c>
      <c r="Q65" s="143">
        <f t="shared" si="42"/>
        <v>-51.584615384615518</v>
      </c>
      <c r="R65" s="143">
        <f t="shared" si="43"/>
        <v>2660.972544378712</v>
      </c>
      <c r="S65" s="143">
        <f t="shared" si="44"/>
        <v>51.584615384615518</v>
      </c>
      <c r="T65" s="143">
        <f t="shared" si="45"/>
        <v>1.7208587017418635</v>
      </c>
      <c r="U65" s="33">
        <f t="shared" si="46"/>
        <v>-4.0075058564803854</v>
      </c>
      <c r="V65" s="143">
        <f t="shared" si="47"/>
        <v>4.0075058564803854</v>
      </c>
    </row>
    <row r="66" spans="1:22" ht="14" x14ac:dyDescent="0.15">
      <c r="A66" s="116" t="s">
        <v>175</v>
      </c>
      <c r="B66" s="106" t="s">
        <v>522</v>
      </c>
      <c r="C66" s="106" t="s">
        <v>403</v>
      </c>
      <c r="D66" s="116" t="s">
        <v>148</v>
      </c>
      <c r="E66" s="106" t="s">
        <v>663</v>
      </c>
      <c r="F66" s="117" t="s">
        <v>494</v>
      </c>
      <c r="G66" s="108" t="s">
        <v>580</v>
      </c>
      <c r="H66" s="109">
        <v>1287.2</v>
      </c>
      <c r="I66" s="112">
        <v>1641.5996133698495</v>
      </c>
      <c r="J66" s="143">
        <f t="shared" si="36"/>
        <v>354.39961336984948</v>
      </c>
      <c r="K66" s="143">
        <f t="shared" si="37"/>
        <v>125599.08595669879</v>
      </c>
      <c r="L66" s="143">
        <f t="shared" si="38"/>
        <v>354.39961336984948</v>
      </c>
      <c r="M66" s="143">
        <f t="shared" si="39"/>
        <v>2.5507169510116792</v>
      </c>
      <c r="N66" s="143">
        <f t="shared" si="40"/>
        <v>27.532598925563196</v>
      </c>
      <c r="O66" s="143">
        <f t="shared" si="41"/>
        <v>27.532598925563196</v>
      </c>
      <c r="P66" s="33">
        <v>1637.5197032398587</v>
      </c>
      <c r="Q66" s="143">
        <f t="shared" si="42"/>
        <v>350.31970323985865</v>
      </c>
      <c r="R66" s="143">
        <f t="shared" si="43"/>
        <v>122723.89447806263</v>
      </c>
      <c r="S66" s="143">
        <f t="shared" si="44"/>
        <v>350.31970323985865</v>
      </c>
      <c r="T66" s="143">
        <f t="shared" si="45"/>
        <v>2.5457025072312178</v>
      </c>
      <c r="U66" s="33">
        <f t="shared" si="46"/>
        <v>27.215638847099022</v>
      </c>
      <c r="V66" s="143">
        <f t="shared" si="47"/>
        <v>27.215638847099022</v>
      </c>
    </row>
    <row r="67" spans="1:22" ht="14" x14ac:dyDescent="0.15">
      <c r="A67" s="116" t="s">
        <v>204</v>
      </c>
      <c r="B67" s="106" t="s">
        <v>513</v>
      </c>
      <c r="C67" s="106" t="s">
        <v>403</v>
      </c>
      <c r="D67" s="116" t="s">
        <v>82</v>
      </c>
      <c r="E67" s="106" t="s">
        <v>661</v>
      </c>
      <c r="F67" s="117" t="s">
        <v>494</v>
      </c>
      <c r="G67" s="108" t="s">
        <v>580</v>
      </c>
      <c r="H67" s="109">
        <v>1235.4099999999999</v>
      </c>
      <c r="I67" s="112">
        <v>1066.4073599999999</v>
      </c>
      <c r="J67" s="143">
        <f t="shared" si="36"/>
        <v>-169.00263999999993</v>
      </c>
      <c r="K67" s="143">
        <f t="shared" si="37"/>
        <v>28561.892326969577</v>
      </c>
      <c r="L67" s="143">
        <f t="shared" si="38"/>
        <v>169.00263999999993</v>
      </c>
      <c r="M67" s="143">
        <f t="shared" si="39"/>
        <v>2.2304556656637433</v>
      </c>
      <c r="N67" s="143">
        <f t="shared" si="40"/>
        <v>-13.679882791947607</v>
      </c>
      <c r="O67" s="143">
        <f t="shared" si="41"/>
        <v>13.679882791947607</v>
      </c>
      <c r="P67" s="33">
        <v>1080.7193499999998</v>
      </c>
      <c r="Q67" s="143">
        <f t="shared" si="42"/>
        <v>-154.69065000000001</v>
      </c>
      <c r="R67" s="143">
        <f t="shared" si="43"/>
        <v>23929.197197422502</v>
      </c>
      <c r="S67" s="143">
        <f t="shared" si="44"/>
        <v>154.69065000000001</v>
      </c>
      <c r="T67" s="143">
        <f t="shared" si="45"/>
        <v>2.1922625318016808</v>
      </c>
      <c r="U67" s="33">
        <f t="shared" si="46"/>
        <v>-12.521401801830972</v>
      </c>
      <c r="V67" s="143">
        <f t="shared" si="47"/>
        <v>12.521401801830972</v>
      </c>
    </row>
    <row r="68" spans="1:22" ht="14" x14ac:dyDescent="0.15">
      <c r="A68" s="116" t="s">
        <v>204</v>
      </c>
      <c r="B68" s="106" t="s">
        <v>514</v>
      </c>
      <c r="C68" s="106" t="s">
        <v>403</v>
      </c>
      <c r="D68" s="116" t="s">
        <v>82</v>
      </c>
      <c r="E68" s="106" t="s">
        <v>662</v>
      </c>
      <c r="F68" s="117" t="s">
        <v>494</v>
      </c>
      <c r="G68" s="108" t="s">
        <v>580</v>
      </c>
      <c r="H68" s="109">
        <v>1235.4099999999999</v>
      </c>
      <c r="I68" s="112">
        <v>1061.465499826679</v>
      </c>
      <c r="J68" s="143">
        <f t="shared" si="36"/>
        <v>-173.94450017332088</v>
      </c>
      <c r="K68" s="143">
        <f t="shared" si="37"/>
        <v>30256.689140546427</v>
      </c>
      <c r="L68" s="143">
        <f t="shared" si="38"/>
        <v>173.94450017332088</v>
      </c>
      <c r="M68" s="143">
        <f t="shared" si="39"/>
        <v>2.2429002938785265</v>
      </c>
      <c r="N68" s="143">
        <f t="shared" si="40"/>
        <v>-14.079900613830299</v>
      </c>
      <c r="O68" s="143">
        <f t="shared" si="41"/>
        <v>14.079900613830299</v>
      </c>
      <c r="P68" s="33">
        <v>1075.6232444613163</v>
      </c>
      <c r="Q68" s="143">
        <f t="shared" si="42"/>
        <v>-159.78675553868356</v>
      </c>
      <c r="R68" s="143">
        <f t="shared" si="43"/>
        <v>25531.807245579024</v>
      </c>
      <c r="S68" s="143">
        <f t="shared" si="44"/>
        <v>159.78675553868356</v>
      </c>
      <c r="T68" s="143">
        <f t="shared" si="45"/>
        <v>2.2062502718168906</v>
      </c>
      <c r="U68" s="33">
        <f t="shared" si="46"/>
        <v>-12.933904982045117</v>
      </c>
      <c r="V68" s="143">
        <f t="shared" si="47"/>
        <v>12.933904982045117</v>
      </c>
    </row>
    <row r="69" spans="1:22" ht="14" x14ac:dyDescent="0.15">
      <c r="A69" s="116" t="s">
        <v>204</v>
      </c>
      <c r="B69" s="106" t="s">
        <v>512</v>
      </c>
      <c r="C69" s="106" t="s">
        <v>403</v>
      </c>
      <c r="D69" s="116" t="s">
        <v>82</v>
      </c>
      <c r="E69" s="106" t="s">
        <v>661</v>
      </c>
      <c r="F69" s="117" t="s">
        <v>494</v>
      </c>
      <c r="G69" s="108" t="s">
        <v>580</v>
      </c>
      <c r="H69" s="109">
        <v>1235.4099999999999</v>
      </c>
      <c r="I69" s="112">
        <v>1163.4267400000001</v>
      </c>
      <c r="J69" s="143">
        <f t="shared" si="36"/>
        <v>-71.983259999999746</v>
      </c>
      <c r="K69" s="143">
        <f t="shared" si="37"/>
        <v>5181.5897202275637</v>
      </c>
      <c r="L69" s="143">
        <f t="shared" si="38"/>
        <v>71.983259999999746</v>
      </c>
      <c r="M69" s="143">
        <f t="shared" si="39"/>
        <v>1.86322325843107</v>
      </c>
      <c r="N69" s="143">
        <f t="shared" si="40"/>
        <v>-5.8266696886053824</v>
      </c>
      <c r="O69" s="143">
        <f t="shared" si="41"/>
        <v>5.8266696886053824</v>
      </c>
      <c r="P69" s="33">
        <v>1184.8885599999999</v>
      </c>
      <c r="Q69" s="143">
        <f t="shared" si="42"/>
        <v>-50.521439999999984</v>
      </c>
      <c r="R69" s="143">
        <f t="shared" si="43"/>
        <v>2552.4158996735982</v>
      </c>
      <c r="S69" s="143">
        <f t="shared" si="44"/>
        <v>50.521439999999984</v>
      </c>
      <c r="T69" s="143">
        <f t="shared" si="45"/>
        <v>1.7119879928477622</v>
      </c>
      <c r="U69" s="33">
        <f t="shared" si="46"/>
        <v>-4.0894472280457492</v>
      </c>
      <c r="V69" s="143">
        <f t="shared" si="47"/>
        <v>4.0894472280457492</v>
      </c>
    </row>
    <row r="70" spans="1:22" ht="14" x14ac:dyDescent="0.15">
      <c r="A70" s="116" t="s">
        <v>204</v>
      </c>
      <c r="B70" s="106" t="s">
        <v>516</v>
      </c>
      <c r="C70" s="106" t="s">
        <v>403</v>
      </c>
      <c r="D70" s="116" t="s">
        <v>82</v>
      </c>
      <c r="E70" s="106" t="s">
        <v>661</v>
      </c>
      <c r="F70" s="117" t="s">
        <v>494</v>
      </c>
      <c r="G70" s="108" t="s">
        <v>580</v>
      </c>
      <c r="H70" s="109">
        <v>1235.4099999999999</v>
      </c>
      <c r="I70" s="112">
        <v>1167</v>
      </c>
      <c r="J70" s="143">
        <f t="shared" si="36"/>
        <v>-68.409999999999854</v>
      </c>
      <c r="K70" s="143">
        <f t="shared" si="37"/>
        <v>4679.9280999999801</v>
      </c>
      <c r="L70" s="143">
        <f t="shared" si="38"/>
        <v>68.409999999999854</v>
      </c>
      <c r="M70" s="143">
        <f t="shared" si="39"/>
        <v>1.8414220444023583</v>
      </c>
      <c r="N70" s="143">
        <f t="shared" si="40"/>
        <v>-5.5374329170072984</v>
      </c>
      <c r="O70" s="143">
        <f t="shared" si="41"/>
        <v>5.5374329170072984</v>
      </c>
      <c r="P70" s="33">
        <v>1134.2307692307691</v>
      </c>
      <c r="Q70" s="143">
        <f t="shared" si="42"/>
        <v>-101.1792307692308</v>
      </c>
      <c r="R70" s="143">
        <f t="shared" si="43"/>
        <v>10237.23673905326</v>
      </c>
      <c r="S70" s="143">
        <f t="shared" si="44"/>
        <v>101.1792307692308</v>
      </c>
      <c r="T70" s="143">
        <f t="shared" si="45"/>
        <v>2.0093626288812234</v>
      </c>
      <c r="U70" s="33">
        <f t="shared" si="46"/>
        <v>-8.1899313401405855</v>
      </c>
      <c r="V70" s="143">
        <f t="shared" si="47"/>
        <v>8.1899313401405855</v>
      </c>
    </row>
    <row r="71" spans="1:22" ht="14" x14ac:dyDescent="0.15">
      <c r="A71" s="116" t="s">
        <v>204</v>
      </c>
      <c r="B71" s="106" t="s">
        <v>522</v>
      </c>
      <c r="C71" s="106" t="s">
        <v>403</v>
      </c>
      <c r="D71" s="116" t="s">
        <v>82</v>
      </c>
      <c r="E71" s="106" t="s">
        <v>663</v>
      </c>
      <c r="F71" s="117" t="s">
        <v>494</v>
      </c>
      <c r="G71" s="108" t="s">
        <v>580</v>
      </c>
      <c r="H71" s="109">
        <v>1235.4099999999999</v>
      </c>
      <c r="I71" s="112">
        <v>1626.1542976926623</v>
      </c>
      <c r="J71" s="143">
        <f t="shared" si="36"/>
        <v>390.74429769266249</v>
      </c>
      <c r="K71" s="143">
        <f t="shared" si="37"/>
        <v>152681.10617933204</v>
      </c>
      <c r="L71" s="143">
        <f t="shared" si="38"/>
        <v>390.74429769266249</v>
      </c>
      <c r="M71" s="143">
        <f t="shared" si="39"/>
        <v>2.5930026835104178</v>
      </c>
      <c r="N71" s="143">
        <f t="shared" si="40"/>
        <v>31.628714167172237</v>
      </c>
      <c r="O71" s="143">
        <f t="shared" si="41"/>
        <v>31.628714167172237</v>
      </c>
      <c r="P71" s="33">
        <v>1439.9515517896896</v>
      </c>
      <c r="Q71" s="143">
        <f t="shared" si="42"/>
        <v>204.54155178968972</v>
      </c>
      <c r="R71" s="143">
        <f t="shared" si="43"/>
        <v>41837.246408534324</v>
      </c>
      <c r="S71" s="143">
        <f t="shared" si="44"/>
        <v>204.54155178968972</v>
      </c>
      <c r="T71" s="143">
        <f t="shared" si="45"/>
        <v>2.3128996310238321</v>
      </c>
      <c r="U71" s="33">
        <f t="shared" si="46"/>
        <v>16.556572456892024</v>
      </c>
      <c r="V71" s="143">
        <f t="shared" si="47"/>
        <v>16.556572456892024</v>
      </c>
    </row>
    <row r="72" spans="1:22" ht="14" x14ac:dyDescent="0.15">
      <c r="A72" s="116" t="s">
        <v>187</v>
      </c>
      <c r="B72" s="106" t="s">
        <v>513</v>
      </c>
      <c r="C72" s="106" t="s">
        <v>403</v>
      </c>
      <c r="D72" s="116" t="s">
        <v>82</v>
      </c>
      <c r="E72" s="106" t="s">
        <v>661</v>
      </c>
      <c r="F72" s="108" t="s">
        <v>374</v>
      </c>
      <c r="G72" s="108" t="s">
        <v>580</v>
      </c>
      <c r="H72" s="109">
        <v>1460.1000000000001</v>
      </c>
      <c r="I72" s="112">
        <v>1568.1623999999999</v>
      </c>
      <c r="J72" s="143">
        <f t="shared" si="36"/>
        <v>108.0623999999998</v>
      </c>
      <c r="K72" s="143">
        <f t="shared" si="37"/>
        <v>11677.482293759957</v>
      </c>
      <c r="L72" s="143">
        <f t="shared" si="38"/>
        <v>108.0623999999998</v>
      </c>
      <c r="M72" s="143">
        <f t="shared" si="39"/>
        <v>2.0376750504321159</v>
      </c>
      <c r="N72" s="143">
        <f t="shared" si="40"/>
        <v>7.4010273268954032</v>
      </c>
      <c r="O72" s="143">
        <f t="shared" si="41"/>
        <v>7.4010273268954032</v>
      </c>
      <c r="P72" s="33">
        <v>1617.91895</v>
      </c>
      <c r="Q72" s="143">
        <f t="shared" si="42"/>
        <v>157.81894999999986</v>
      </c>
      <c r="R72" s="143">
        <f t="shared" si="43"/>
        <v>24906.820979102456</v>
      </c>
      <c r="S72" s="143">
        <f t="shared" si="44"/>
        <v>157.81894999999986</v>
      </c>
      <c r="T72" s="143">
        <f t="shared" si="45"/>
        <v>2.2009023204426201</v>
      </c>
      <c r="U72" s="33">
        <f t="shared" si="46"/>
        <v>10.808776796109845</v>
      </c>
      <c r="V72" s="143">
        <f t="shared" si="47"/>
        <v>10.808776796109845</v>
      </c>
    </row>
    <row r="73" spans="1:22" ht="14" x14ac:dyDescent="0.15">
      <c r="A73" s="116" t="s">
        <v>187</v>
      </c>
      <c r="B73" s="106" t="s">
        <v>514</v>
      </c>
      <c r="C73" s="106" t="s">
        <v>403</v>
      </c>
      <c r="D73" s="116" t="s">
        <v>82</v>
      </c>
      <c r="E73" s="106" t="s">
        <v>662</v>
      </c>
      <c r="F73" s="108" t="s">
        <v>374</v>
      </c>
      <c r="G73" s="108" t="s">
        <v>580</v>
      </c>
      <c r="H73" s="109">
        <v>1460.1000000000001</v>
      </c>
      <c r="I73" s="112">
        <v>1587.7824275870107</v>
      </c>
      <c r="J73" s="143">
        <f t="shared" si="36"/>
        <v>127.68242758701058</v>
      </c>
      <c r="K73" s="143">
        <f t="shared" si="37"/>
        <v>16302.802314512201</v>
      </c>
      <c r="L73" s="143">
        <f t="shared" si="38"/>
        <v>127.68242758701058</v>
      </c>
      <c r="M73" s="143">
        <f t="shared" si="39"/>
        <v>2.1095192452490372</v>
      </c>
      <c r="N73" s="143">
        <f t="shared" si="40"/>
        <v>8.7447727954941818</v>
      </c>
      <c r="O73" s="143">
        <f t="shared" si="41"/>
        <v>8.7447727954941818</v>
      </c>
      <c r="P73" s="33">
        <v>1628.0783070781238</v>
      </c>
      <c r="Q73" s="143">
        <f t="shared" si="42"/>
        <v>167.97830707812363</v>
      </c>
      <c r="R73" s="143">
        <f t="shared" si="43"/>
        <v>28216.711648832399</v>
      </c>
      <c r="S73" s="143">
        <f t="shared" si="44"/>
        <v>167.97830707812363</v>
      </c>
      <c r="T73" s="143">
        <f t="shared" si="45"/>
        <v>2.2278309547854573</v>
      </c>
      <c r="U73" s="33">
        <f t="shared" si="46"/>
        <v>11.504575513877379</v>
      </c>
      <c r="V73" s="143">
        <f t="shared" si="47"/>
        <v>11.504575513877379</v>
      </c>
    </row>
    <row r="74" spans="1:22" ht="14" x14ac:dyDescent="0.15">
      <c r="A74" s="116" t="s">
        <v>187</v>
      </c>
      <c r="B74" s="106" t="s">
        <v>512</v>
      </c>
      <c r="C74" s="106" t="s">
        <v>403</v>
      </c>
      <c r="D74" s="116" t="s">
        <v>82</v>
      </c>
      <c r="E74" s="106" t="s">
        <v>661</v>
      </c>
      <c r="F74" s="108" t="s">
        <v>374</v>
      </c>
      <c r="G74" s="108" t="s">
        <v>580</v>
      </c>
      <c r="H74" s="109">
        <v>1460.1000000000001</v>
      </c>
      <c r="I74" s="112">
        <v>1706.8066000000001</v>
      </c>
      <c r="J74" s="143">
        <f t="shared" si="36"/>
        <v>246.70659999999998</v>
      </c>
      <c r="K74" s="143">
        <f t="shared" si="37"/>
        <v>60864.146483559991</v>
      </c>
      <c r="L74" s="143">
        <f t="shared" si="38"/>
        <v>246.70659999999998</v>
      </c>
      <c r="M74" s="143">
        <f t="shared" si="39"/>
        <v>2.3939375782668795</v>
      </c>
      <c r="N74" s="143">
        <f t="shared" si="40"/>
        <v>16.896555030477359</v>
      </c>
      <c r="O74" s="143">
        <f t="shared" si="41"/>
        <v>16.896555030477359</v>
      </c>
      <c r="P74" s="33">
        <v>1775.0815200000002</v>
      </c>
      <c r="Q74" s="143">
        <f t="shared" si="42"/>
        <v>314.98152000000005</v>
      </c>
      <c r="R74" s="143">
        <f t="shared" si="43"/>
        <v>99213.357941510432</v>
      </c>
      <c r="S74" s="143">
        <f t="shared" si="44"/>
        <v>314.98152000000005</v>
      </c>
      <c r="T74" s="143">
        <f t="shared" si="45"/>
        <v>2.4996616838946317</v>
      </c>
      <c r="U74" s="33">
        <f t="shared" si="46"/>
        <v>21.572599137045408</v>
      </c>
      <c r="V74" s="143">
        <f t="shared" si="47"/>
        <v>21.572599137045408</v>
      </c>
    </row>
    <row r="75" spans="1:22" ht="14" x14ac:dyDescent="0.15">
      <c r="A75" s="116" t="s">
        <v>187</v>
      </c>
      <c r="B75" s="106" t="s">
        <v>516</v>
      </c>
      <c r="C75" s="106" t="s">
        <v>403</v>
      </c>
      <c r="D75" s="116" t="s">
        <v>82</v>
      </c>
      <c r="E75" s="106" t="s">
        <v>661</v>
      </c>
      <c r="F75" s="108" t="s">
        <v>374</v>
      </c>
      <c r="G75" s="108" t="s">
        <v>580</v>
      </c>
      <c r="H75" s="109">
        <v>1460.1000000000001</v>
      </c>
      <c r="I75" s="112">
        <v>1680</v>
      </c>
      <c r="J75" s="143">
        <f t="shared" si="36"/>
        <v>219.89999999999986</v>
      </c>
      <c r="K75" s="143">
        <f t="shared" si="37"/>
        <v>48356.009999999937</v>
      </c>
      <c r="L75" s="143">
        <f t="shared" si="38"/>
        <v>219.89999999999986</v>
      </c>
      <c r="M75" s="143">
        <f t="shared" si="39"/>
        <v>2.3441957158714346</v>
      </c>
      <c r="N75" s="143">
        <f t="shared" si="40"/>
        <v>15.060612286829658</v>
      </c>
      <c r="O75" s="143">
        <f t="shared" si="41"/>
        <v>15.060612286829658</v>
      </c>
      <c r="P75" s="33">
        <v>1666.5384615384614</v>
      </c>
      <c r="Q75" s="143">
        <f t="shared" si="42"/>
        <v>206.4384615384613</v>
      </c>
      <c r="R75" s="143">
        <f t="shared" si="43"/>
        <v>42616.838402366768</v>
      </c>
      <c r="S75" s="143">
        <f t="shared" si="44"/>
        <v>206.4384615384613</v>
      </c>
      <c r="T75" s="143">
        <f t="shared" si="45"/>
        <v>2.3168892828403806</v>
      </c>
      <c r="U75" s="33">
        <f t="shared" si="46"/>
        <v>14.138652252480055</v>
      </c>
      <c r="V75" s="143">
        <f t="shared" si="47"/>
        <v>14.138652252480055</v>
      </c>
    </row>
    <row r="76" spans="1:22" ht="14" x14ac:dyDescent="0.15">
      <c r="A76" s="116" t="s">
        <v>187</v>
      </c>
      <c r="B76" s="106" t="s">
        <v>522</v>
      </c>
      <c r="C76" s="106" t="s">
        <v>403</v>
      </c>
      <c r="D76" s="116" t="s">
        <v>82</v>
      </c>
      <c r="E76" s="106" t="s">
        <v>663</v>
      </c>
      <c r="F76" s="108" t="s">
        <v>374</v>
      </c>
      <c r="G76" s="108" t="s">
        <v>580</v>
      </c>
      <c r="H76" s="109">
        <v>1460.1000000000001</v>
      </c>
      <c r="I76" s="112">
        <v>2236.3975752516294</v>
      </c>
      <c r="J76" s="143">
        <f t="shared" si="36"/>
        <v>776.29757525162927</v>
      </c>
      <c r="K76" s="143">
        <f t="shared" si="37"/>
        <v>602637.92534155899</v>
      </c>
      <c r="L76" s="143">
        <f t="shared" si="38"/>
        <v>776.29757525162927</v>
      </c>
      <c r="M76" s="143">
        <f t="shared" si="39"/>
        <v>2.8905873129435165</v>
      </c>
      <c r="N76" s="143">
        <f t="shared" si="40"/>
        <v>53.167425193591484</v>
      </c>
      <c r="O76" s="143">
        <f t="shared" si="41"/>
        <v>53.167425193591484</v>
      </c>
      <c r="P76" s="33">
        <v>2145.8916080877511</v>
      </c>
      <c r="Q76" s="143">
        <f t="shared" si="42"/>
        <v>685.791608087751</v>
      </c>
      <c r="R76" s="143">
        <f t="shared" si="43"/>
        <v>470310.12972358346</v>
      </c>
      <c r="S76" s="143">
        <f t="shared" si="44"/>
        <v>685.791608087751</v>
      </c>
      <c r="T76" s="143">
        <f t="shared" si="45"/>
        <v>2.8368249798734904</v>
      </c>
      <c r="U76" s="33">
        <f t="shared" si="46"/>
        <v>46.968810909372706</v>
      </c>
      <c r="V76" s="143">
        <f t="shared" si="47"/>
        <v>46.968810909372706</v>
      </c>
    </row>
    <row r="77" spans="1:22" ht="14" x14ac:dyDescent="0.15">
      <c r="A77" s="116" t="s">
        <v>163</v>
      </c>
      <c r="B77" s="106" t="s">
        <v>513</v>
      </c>
      <c r="C77" s="106" t="s">
        <v>403</v>
      </c>
      <c r="D77" s="116" t="s">
        <v>82</v>
      </c>
      <c r="E77" s="106" t="s">
        <v>661</v>
      </c>
      <c r="F77" s="117" t="s">
        <v>494</v>
      </c>
      <c r="G77" s="108" t="s">
        <v>580</v>
      </c>
      <c r="H77" s="26">
        <v>786.09999999999991</v>
      </c>
      <c r="I77" s="112">
        <v>598.83621599999992</v>
      </c>
      <c r="J77" s="143">
        <f t="shared" si="36"/>
        <v>-187.26378399999999</v>
      </c>
      <c r="K77" s="143">
        <f t="shared" si="37"/>
        <v>35067.72479799865</v>
      </c>
      <c r="L77" s="143">
        <f t="shared" si="38"/>
        <v>187.26378399999999</v>
      </c>
      <c r="M77" s="143">
        <f t="shared" si="39"/>
        <v>2.2747667835233885</v>
      </c>
      <c r="N77" s="143">
        <f t="shared" si="40"/>
        <v>-23.82187813255311</v>
      </c>
      <c r="O77" s="143">
        <f t="shared" si="41"/>
        <v>23.82187813255311</v>
      </c>
      <c r="P77" s="33">
        <v>662.21602000000007</v>
      </c>
      <c r="Q77" s="143">
        <f t="shared" si="42"/>
        <v>-123.88397999999984</v>
      </c>
      <c r="R77" s="143">
        <f t="shared" si="43"/>
        <v>15347.240500640361</v>
      </c>
      <c r="S77" s="143">
        <f t="shared" si="44"/>
        <v>123.88397999999984</v>
      </c>
      <c r="T77" s="143">
        <f t="shared" si="45"/>
        <v>2.0965067310576799</v>
      </c>
      <c r="U77" s="33">
        <f t="shared" si="46"/>
        <v>-15.759315608701163</v>
      </c>
      <c r="V77" s="143">
        <f t="shared" si="47"/>
        <v>15.759315608701163</v>
      </c>
    </row>
    <row r="78" spans="1:22" ht="14" x14ac:dyDescent="0.15">
      <c r="A78" s="116" t="s">
        <v>163</v>
      </c>
      <c r="B78" s="106" t="s">
        <v>514</v>
      </c>
      <c r="C78" s="106" t="s">
        <v>403</v>
      </c>
      <c r="D78" s="116" t="s">
        <v>82</v>
      </c>
      <c r="E78" s="106" t="s">
        <v>662</v>
      </c>
      <c r="F78" s="117" t="s">
        <v>494</v>
      </c>
      <c r="G78" s="108" t="s">
        <v>580</v>
      </c>
      <c r="H78" s="26">
        <v>786.09999999999991</v>
      </c>
      <c r="I78" s="112">
        <v>592.84918067480032</v>
      </c>
      <c r="J78" s="143">
        <f t="shared" si="36"/>
        <v>-193.25081932519959</v>
      </c>
      <c r="K78" s="143">
        <f t="shared" si="37"/>
        <v>37345.879169860935</v>
      </c>
      <c r="L78" s="143">
        <f t="shared" si="38"/>
        <v>193.25081932519959</v>
      </c>
      <c r="M78" s="143">
        <f t="shared" si="39"/>
        <v>2.2883628592755909</v>
      </c>
      <c r="N78" s="143">
        <f t="shared" si="40"/>
        <v>-24.583490564202979</v>
      </c>
      <c r="O78" s="143">
        <f t="shared" si="41"/>
        <v>24.583490564202979</v>
      </c>
      <c r="P78" s="33">
        <v>658.80120883475547</v>
      </c>
      <c r="Q78" s="143">
        <f t="shared" si="42"/>
        <v>-127.29879116524444</v>
      </c>
      <c r="R78" s="143">
        <f t="shared" si="43"/>
        <v>16204.982232132515</v>
      </c>
      <c r="S78" s="143">
        <f t="shared" si="44"/>
        <v>127.29879116524444</v>
      </c>
      <c r="T78" s="143">
        <f t="shared" si="45"/>
        <v>2.1082225644595964</v>
      </c>
      <c r="U78" s="33">
        <f t="shared" si="46"/>
        <v>-16.193714688365915</v>
      </c>
      <c r="V78" s="143">
        <f t="shared" si="47"/>
        <v>16.193714688365915</v>
      </c>
    </row>
    <row r="79" spans="1:22" ht="14" x14ac:dyDescent="0.15">
      <c r="A79" s="116" t="s">
        <v>163</v>
      </c>
      <c r="B79" s="106" t="s">
        <v>512</v>
      </c>
      <c r="C79" s="106" t="s">
        <v>403</v>
      </c>
      <c r="D79" s="116" t="s">
        <v>82</v>
      </c>
      <c r="E79" s="106" t="s">
        <v>661</v>
      </c>
      <c r="F79" s="117" t="s">
        <v>494</v>
      </c>
      <c r="G79" s="108" t="s">
        <v>580</v>
      </c>
      <c r="H79" s="26">
        <v>786.09999999999991</v>
      </c>
      <c r="I79" s="112">
        <v>657.06661899999995</v>
      </c>
      <c r="J79" s="143">
        <f t="shared" si="36"/>
        <v>-129.03338099999996</v>
      </c>
      <c r="K79" s="143">
        <f t="shared" si="37"/>
        <v>16649.61341229115</v>
      </c>
      <c r="L79" s="143">
        <f t="shared" si="38"/>
        <v>129.03338099999996</v>
      </c>
      <c r="M79" s="143">
        <f t="shared" si="39"/>
        <v>2.114054854792589</v>
      </c>
      <c r="N79" s="143">
        <f t="shared" si="40"/>
        <v>-16.414372344485432</v>
      </c>
      <c r="O79" s="143">
        <f t="shared" si="41"/>
        <v>16.414372344485432</v>
      </c>
      <c r="P79" s="33">
        <v>725.10095200000012</v>
      </c>
      <c r="Q79" s="143">
        <f t="shared" si="42"/>
        <v>-60.999047999999789</v>
      </c>
      <c r="R79" s="143">
        <f t="shared" si="43"/>
        <v>3720.8838569062782</v>
      </c>
      <c r="S79" s="143">
        <f t="shared" si="44"/>
        <v>60.999047999999789</v>
      </c>
      <c r="T79" s="143">
        <f t="shared" si="45"/>
        <v>1.7923850209253327</v>
      </c>
      <c r="U79" s="33">
        <f t="shared" si="46"/>
        <v>-7.759705889835872</v>
      </c>
      <c r="V79" s="143">
        <f t="shared" si="47"/>
        <v>7.759705889835872</v>
      </c>
    </row>
    <row r="80" spans="1:22" ht="14" x14ac:dyDescent="0.15">
      <c r="A80" s="116" t="s">
        <v>163</v>
      </c>
      <c r="B80" s="106" t="s">
        <v>516</v>
      </c>
      <c r="C80" s="106" t="s">
        <v>403</v>
      </c>
      <c r="D80" s="116" t="s">
        <v>82</v>
      </c>
      <c r="E80" s="106" t="s">
        <v>661</v>
      </c>
      <c r="F80" s="117" t="s">
        <v>494</v>
      </c>
      <c r="G80" s="108" t="s">
        <v>580</v>
      </c>
      <c r="H80" s="26">
        <v>786.09999999999991</v>
      </c>
      <c r="I80" s="112">
        <v>688.94999999999993</v>
      </c>
      <c r="J80" s="143">
        <f t="shared" si="36"/>
        <v>-97.149999999999977</v>
      </c>
      <c r="K80" s="143">
        <f t="shared" si="37"/>
        <v>9438.1224999999959</v>
      </c>
      <c r="L80" s="143">
        <f t="shared" si="38"/>
        <v>97.149999999999977</v>
      </c>
      <c r="M80" s="143">
        <f t="shared" si="39"/>
        <v>1.991890303936025</v>
      </c>
      <c r="N80" s="143">
        <f t="shared" si="40"/>
        <v>-12.358478565068056</v>
      </c>
      <c r="O80" s="143">
        <f t="shared" si="41"/>
        <v>12.358478565068056</v>
      </c>
      <c r="P80" s="33">
        <v>719.53846153846155</v>
      </c>
      <c r="Q80" s="143">
        <f t="shared" si="42"/>
        <v>-66.561538461538362</v>
      </c>
      <c r="R80" s="143">
        <f t="shared" si="43"/>
        <v>4430.4384023668508</v>
      </c>
      <c r="S80" s="143">
        <f t="shared" si="44"/>
        <v>66.561538461538362</v>
      </c>
      <c r="T80" s="143">
        <f t="shared" si="45"/>
        <v>1.8296995304452917</v>
      </c>
      <c r="U80" s="33">
        <f t="shared" si="46"/>
        <v>-8.4673118511052508</v>
      </c>
      <c r="V80" s="143">
        <f t="shared" si="47"/>
        <v>8.4673118511052508</v>
      </c>
    </row>
    <row r="81" spans="1:22" ht="14" x14ac:dyDescent="0.15">
      <c r="A81" s="116" t="s">
        <v>163</v>
      </c>
      <c r="B81" s="106" t="s">
        <v>522</v>
      </c>
      <c r="C81" s="106" t="s">
        <v>403</v>
      </c>
      <c r="D81" s="116" t="s">
        <v>82</v>
      </c>
      <c r="E81" s="106" t="s">
        <v>663</v>
      </c>
      <c r="F81" s="117" t="s">
        <v>494</v>
      </c>
      <c r="G81" s="108" t="s">
        <v>580</v>
      </c>
      <c r="H81" s="26">
        <v>786.09999999999991</v>
      </c>
      <c r="I81" s="112"/>
      <c r="J81" s="143"/>
      <c r="K81" s="143"/>
      <c r="L81" s="143"/>
      <c r="M81" s="143"/>
      <c r="N81" s="143"/>
      <c r="O81" s="143"/>
      <c r="P81" s="33"/>
      <c r="Q81" s="143"/>
      <c r="R81" s="143"/>
      <c r="S81" s="143"/>
      <c r="T81" s="143"/>
      <c r="U81" s="33"/>
      <c r="V81" s="143"/>
    </row>
    <row r="82" spans="1:22" ht="14" x14ac:dyDescent="0.15">
      <c r="A82" s="116" t="s">
        <v>599</v>
      </c>
      <c r="B82" s="106" t="s">
        <v>513</v>
      </c>
      <c r="C82" s="106" t="s">
        <v>403</v>
      </c>
      <c r="D82" s="116" t="s">
        <v>82</v>
      </c>
      <c r="E82" s="106" t="s">
        <v>661</v>
      </c>
      <c r="F82" s="108" t="s">
        <v>203</v>
      </c>
      <c r="G82" s="108" t="s">
        <v>581</v>
      </c>
      <c r="H82" s="115">
        <v>2556</v>
      </c>
      <c r="I82" s="112">
        <v>3050</v>
      </c>
      <c r="J82" s="143">
        <f t="shared" ref="J82:J91" si="48">I82-H82</f>
        <v>494</v>
      </c>
      <c r="K82" s="143">
        <f t="shared" ref="K82:K91" si="49">J82^2</f>
        <v>244036</v>
      </c>
      <c r="L82" s="143">
        <f t="shared" ref="L82:L91" si="50">SQRT(K82)</f>
        <v>494</v>
      </c>
      <c r="M82" s="143">
        <f t="shared" ref="M82:M91" si="51">LOG10(L82+1)</f>
        <v>2.6946051989335689</v>
      </c>
      <c r="N82" s="143">
        <f t="shared" ref="N82:N91" si="52">100*J82/H82</f>
        <v>19.327073552425666</v>
      </c>
      <c r="O82" s="143">
        <f t="shared" ref="O82:O91" si="53">ABS(N82)</f>
        <v>19.327073552425666</v>
      </c>
      <c r="P82" s="242">
        <v>2901.5309999999999</v>
      </c>
      <c r="Q82" s="143">
        <f t="shared" ref="Q82:Q90" si="54">P82-H82</f>
        <v>345.53099999999995</v>
      </c>
      <c r="R82" s="143">
        <f t="shared" ref="R82:R90" si="55">Q82^2</f>
        <v>119391.67196099997</v>
      </c>
      <c r="S82" s="143">
        <f t="shared" ref="S82:S90" si="56">SQRT(R82)</f>
        <v>345.53099999999995</v>
      </c>
      <c r="T82" s="143">
        <f t="shared" ref="T82:T90" si="57">LOG10(S82+1)</f>
        <v>2.5397420918388161</v>
      </c>
      <c r="U82" s="33">
        <f t="shared" ref="U82:U90" si="58">100*Q82/H82</f>
        <v>13.518427230046944</v>
      </c>
      <c r="V82" s="143">
        <f t="shared" ref="V82:V90" si="59">ABS(U82)</f>
        <v>13.518427230046944</v>
      </c>
    </row>
    <row r="83" spans="1:22" ht="14" x14ac:dyDescent="0.15">
      <c r="A83" s="116" t="s">
        <v>599</v>
      </c>
      <c r="B83" s="106" t="s">
        <v>514</v>
      </c>
      <c r="C83" s="106" t="s">
        <v>403</v>
      </c>
      <c r="D83" s="116" t="s">
        <v>82</v>
      </c>
      <c r="E83" s="106" t="s">
        <v>662</v>
      </c>
      <c r="F83" s="108" t="s">
        <v>203</v>
      </c>
      <c r="G83" s="108" t="s">
        <v>581</v>
      </c>
      <c r="H83" s="115">
        <v>2556</v>
      </c>
      <c r="I83" s="112">
        <v>3230.9</v>
      </c>
      <c r="J83" s="143">
        <f t="shared" si="48"/>
        <v>674.90000000000009</v>
      </c>
      <c r="K83" s="143">
        <f t="shared" si="49"/>
        <v>455490.01000000013</v>
      </c>
      <c r="L83" s="143">
        <f t="shared" si="50"/>
        <v>674.90000000000009</v>
      </c>
      <c r="M83" s="143">
        <f t="shared" si="51"/>
        <v>2.8298824464434933</v>
      </c>
      <c r="N83" s="143">
        <f t="shared" si="52"/>
        <v>26.404538341158066</v>
      </c>
      <c r="O83" s="143">
        <f t="shared" si="53"/>
        <v>26.404538341158066</v>
      </c>
      <c r="P83" s="33">
        <v>2999.1257782763191</v>
      </c>
      <c r="Q83" s="143">
        <f t="shared" si="54"/>
        <v>443.12577827631912</v>
      </c>
      <c r="R83" s="143">
        <f t="shared" si="55"/>
        <v>196360.45537299354</v>
      </c>
      <c r="S83" s="143">
        <f t="shared" si="56"/>
        <v>443.12577827631912</v>
      </c>
      <c r="T83" s="143">
        <f t="shared" si="57"/>
        <v>2.647505981546221</v>
      </c>
      <c r="U83" s="33">
        <f t="shared" si="58"/>
        <v>17.336689290935801</v>
      </c>
      <c r="V83" s="143">
        <f t="shared" si="59"/>
        <v>17.336689290935801</v>
      </c>
    </row>
    <row r="84" spans="1:22" ht="14" x14ac:dyDescent="0.15">
      <c r="A84" s="116" t="s">
        <v>599</v>
      </c>
      <c r="B84" s="106" t="s">
        <v>512</v>
      </c>
      <c r="C84" s="106" t="s">
        <v>403</v>
      </c>
      <c r="D84" s="116" t="s">
        <v>82</v>
      </c>
      <c r="E84" s="106" t="s">
        <v>661</v>
      </c>
      <c r="F84" s="108" t="s">
        <v>203</v>
      </c>
      <c r="G84" s="108" t="s">
        <v>581</v>
      </c>
      <c r="H84" s="115">
        <v>2556</v>
      </c>
      <c r="I84" s="112">
        <v>3311.5</v>
      </c>
      <c r="J84" s="143">
        <f t="shared" si="48"/>
        <v>755.5</v>
      </c>
      <c r="K84" s="143">
        <f t="shared" si="49"/>
        <v>570780.25</v>
      </c>
      <c r="L84" s="143">
        <f t="shared" si="50"/>
        <v>755.5</v>
      </c>
      <c r="M84" s="143">
        <f t="shared" si="51"/>
        <v>2.8788089323592057</v>
      </c>
      <c r="N84" s="143">
        <f t="shared" si="52"/>
        <v>29.55790297339593</v>
      </c>
      <c r="O84" s="143">
        <f t="shared" si="53"/>
        <v>29.55790297339593</v>
      </c>
      <c r="P84" s="242">
        <v>3185.3186000000001</v>
      </c>
      <c r="Q84" s="143">
        <f t="shared" si="54"/>
        <v>629.31860000000006</v>
      </c>
      <c r="R84" s="143">
        <f t="shared" si="55"/>
        <v>396041.90030596009</v>
      </c>
      <c r="S84" s="143">
        <f t="shared" si="56"/>
        <v>629.31860000000006</v>
      </c>
      <c r="T84" s="143">
        <f t="shared" si="57"/>
        <v>2.7995601228612612</v>
      </c>
      <c r="U84" s="33">
        <f t="shared" si="58"/>
        <v>24.621228482003133</v>
      </c>
      <c r="V84" s="143">
        <f t="shared" si="59"/>
        <v>24.621228482003133</v>
      </c>
    </row>
    <row r="85" spans="1:22" ht="14" x14ac:dyDescent="0.15">
      <c r="A85" s="116" t="s">
        <v>599</v>
      </c>
      <c r="B85" s="106" t="s">
        <v>516</v>
      </c>
      <c r="C85" s="106" t="s">
        <v>403</v>
      </c>
      <c r="D85" s="116" t="s">
        <v>82</v>
      </c>
      <c r="E85" s="106" t="s">
        <v>661</v>
      </c>
      <c r="F85" s="108" t="s">
        <v>203</v>
      </c>
      <c r="G85" s="108" t="s">
        <v>581</v>
      </c>
      <c r="H85" s="115">
        <v>2556</v>
      </c>
      <c r="I85" s="112">
        <v>3211</v>
      </c>
      <c r="J85" s="143">
        <f t="shared" si="48"/>
        <v>655</v>
      </c>
      <c r="K85" s="143">
        <f t="shared" si="49"/>
        <v>429025</v>
      </c>
      <c r="L85" s="143">
        <f t="shared" si="50"/>
        <v>655</v>
      </c>
      <c r="M85" s="143">
        <f t="shared" si="51"/>
        <v>2.8169038393756605</v>
      </c>
      <c r="N85" s="143">
        <f t="shared" si="52"/>
        <v>25.625978090766822</v>
      </c>
      <c r="O85" s="143">
        <f t="shared" si="53"/>
        <v>25.625978090766822</v>
      </c>
      <c r="P85" s="33">
        <v>2938.4615384615386</v>
      </c>
      <c r="Q85" s="143">
        <f t="shared" si="54"/>
        <v>382.46153846153857</v>
      </c>
      <c r="R85" s="143">
        <f t="shared" si="55"/>
        <v>146276.82840236695</v>
      </c>
      <c r="S85" s="143">
        <f t="shared" si="56"/>
        <v>382.46153846153857</v>
      </c>
      <c r="T85" s="143">
        <f t="shared" si="57"/>
        <v>2.5837218103408377</v>
      </c>
      <c r="U85" s="33">
        <f t="shared" si="58"/>
        <v>14.963283977368489</v>
      </c>
      <c r="V85" s="143">
        <f t="shared" si="59"/>
        <v>14.963283977368489</v>
      </c>
    </row>
    <row r="86" spans="1:22" ht="14" x14ac:dyDescent="0.15">
      <c r="A86" s="116" t="s">
        <v>599</v>
      </c>
      <c r="B86" s="106" t="s">
        <v>522</v>
      </c>
      <c r="C86" s="106" t="s">
        <v>403</v>
      </c>
      <c r="D86" s="116" t="s">
        <v>82</v>
      </c>
      <c r="E86" s="106" t="s">
        <v>663</v>
      </c>
      <c r="F86" s="108" t="s">
        <v>203</v>
      </c>
      <c r="G86" s="108" t="s">
        <v>581</v>
      </c>
      <c r="H86" s="115">
        <v>2556</v>
      </c>
      <c r="I86" s="112">
        <v>3195</v>
      </c>
      <c r="J86" s="143">
        <f t="shared" si="48"/>
        <v>639</v>
      </c>
      <c r="K86" s="143">
        <f t="shared" si="49"/>
        <v>408321</v>
      </c>
      <c r="L86" s="143">
        <f t="shared" si="50"/>
        <v>639</v>
      </c>
      <c r="M86" s="143">
        <f t="shared" si="51"/>
        <v>2.8061799739838871</v>
      </c>
      <c r="N86" s="143">
        <f t="shared" si="52"/>
        <v>25</v>
      </c>
      <c r="O86" s="143">
        <f t="shared" si="53"/>
        <v>25</v>
      </c>
      <c r="P86" s="33">
        <v>2998.1787835932651</v>
      </c>
      <c r="Q86" s="143">
        <f t="shared" si="54"/>
        <v>442.17878359326505</v>
      </c>
      <c r="R86" s="143">
        <f t="shared" si="55"/>
        <v>195522.07666001952</v>
      </c>
      <c r="S86" s="143">
        <f t="shared" si="56"/>
        <v>442.17878359326505</v>
      </c>
      <c r="T86" s="143">
        <f t="shared" si="57"/>
        <v>2.6465789611316475</v>
      </c>
      <c r="U86" s="33">
        <f t="shared" si="58"/>
        <v>17.299639420706768</v>
      </c>
      <c r="V86" s="143">
        <f t="shared" si="59"/>
        <v>17.299639420706768</v>
      </c>
    </row>
    <row r="87" spans="1:22" ht="14" x14ac:dyDescent="0.15">
      <c r="A87" s="116" t="s">
        <v>594</v>
      </c>
      <c r="B87" s="106" t="s">
        <v>513</v>
      </c>
      <c r="C87" s="106" t="s">
        <v>403</v>
      </c>
      <c r="D87" s="116" t="s">
        <v>82</v>
      </c>
      <c r="E87" s="106" t="s">
        <v>661</v>
      </c>
      <c r="F87" s="108" t="s">
        <v>494</v>
      </c>
      <c r="G87" s="108" t="s">
        <v>580</v>
      </c>
      <c r="H87" s="109">
        <v>870</v>
      </c>
      <c r="I87" s="112">
        <v>893.28719999999998</v>
      </c>
      <c r="J87" s="143">
        <f t="shared" si="48"/>
        <v>23.287199999999984</v>
      </c>
      <c r="K87" s="143">
        <f t="shared" si="49"/>
        <v>542.29368383999929</v>
      </c>
      <c r="L87" s="143">
        <f t="shared" si="50"/>
        <v>23.287199999999984</v>
      </c>
      <c r="M87" s="143">
        <f t="shared" si="51"/>
        <v>1.385377449154962</v>
      </c>
      <c r="N87" s="143">
        <f t="shared" si="52"/>
        <v>2.676689655172412</v>
      </c>
      <c r="O87" s="143">
        <f t="shared" si="53"/>
        <v>2.676689655172412</v>
      </c>
      <c r="P87" s="33">
        <v>883.15100000000007</v>
      </c>
      <c r="Q87" s="143">
        <f t="shared" si="54"/>
        <v>13.151000000000067</v>
      </c>
      <c r="R87" s="143">
        <f t="shared" si="55"/>
        <v>172.94880100000177</v>
      </c>
      <c r="S87" s="143">
        <f t="shared" si="56"/>
        <v>13.151000000000067</v>
      </c>
      <c r="T87" s="143">
        <f t="shared" si="57"/>
        <v>1.1507871309653663</v>
      </c>
      <c r="U87" s="33">
        <f t="shared" si="58"/>
        <v>1.5116091954023065</v>
      </c>
      <c r="V87" s="143">
        <f t="shared" si="59"/>
        <v>1.5116091954023065</v>
      </c>
    </row>
    <row r="88" spans="1:22" ht="14" x14ac:dyDescent="0.15">
      <c r="A88" s="116" t="s">
        <v>594</v>
      </c>
      <c r="B88" s="106" t="s">
        <v>514</v>
      </c>
      <c r="C88" s="106" t="s">
        <v>403</v>
      </c>
      <c r="D88" s="116" t="s">
        <v>82</v>
      </c>
      <c r="E88" s="106" t="s">
        <v>662</v>
      </c>
      <c r="F88" s="108" t="s">
        <v>494</v>
      </c>
      <c r="G88" s="108" t="s">
        <v>580</v>
      </c>
      <c r="H88" s="109">
        <v>870</v>
      </c>
      <c r="I88" s="112">
        <v>885.02428952029015</v>
      </c>
      <c r="J88" s="143">
        <f t="shared" si="48"/>
        <v>15.024289520290154</v>
      </c>
      <c r="K88" s="143">
        <f t="shared" si="49"/>
        <v>225.72927558950053</v>
      </c>
      <c r="L88" s="143">
        <f t="shared" si="50"/>
        <v>15.024289520290154</v>
      </c>
      <c r="M88" s="143">
        <f t="shared" si="51"/>
        <v>1.2047787830109644</v>
      </c>
      <c r="N88" s="143">
        <f t="shared" si="52"/>
        <v>1.7269298299184084</v>
      </c>
      <c r="O88" s="143">
        <f t="shared" si="53"/>
        <v>1.7269298299184084</v>
      </c>
      <c r="P88" s="33">
        <v>877.04693423108313</v>
      </c>
      <c r="Q88" s="143">
        <f t="shared" si="54"/>
        <v>7.046934231083128</v>
      </c>
      <c r="R88" s="143">
        <f t="shared" si="55"/>
        <v>49.659282057211158</v>
      </c>
      <c r="S88" s="143">
        <f t="shared" si="56"/>
        <v>7.046934231083128</v>
      </c>
      <c r="T88" s="143">
        <f t="shared" si="57"/>
        <v>0.90563045178123547</v>
      </c>
      <c r="U88" s="33">
        <f t="shared" si="58"/>
        <v>0.80999244035438256</v>
      </c>
      <c r="V88" s="143">
        <f t="shared" si="59"/>
        <v>0.80999244035438256</v>
      </c>
    </row>
    <row r="89" spans="1:22" ht="14" x14ac:dyDescent="0.15">
      <c r="A89" s="116" t="s">
        <v>594</v>
      </c>
      <c r="B89" s="106" t="s">
        <v>512</v>
      </c>
      <c r="C89" s="106" t="s">
        <v>403</v>
      </c>
      <c r="D89" s="116" t="s">
        <v>82</v>
      </c>
      <c r="E89" s="106" t="s">
        <v>661</v>
      </c>
      <c r="F89" s="108" t="s">
        <v>494</v>
      </c>
      <c r="G89" s="108" t="s">
        <v>580</v>
      </c>
      <c r="H89" s="109">
        <v>870</v>
      </c>
      <c r="I89" s="112">
        <v>975.94479999999999</v>
      </c>
      <c r="J89" s="143">
        <f t="shared" si="48"/>
        <v>105.94479999999999</v>
      </c>
      <c r="K89" s="143">
        <f t="shared" si="49"/>
        <v>11224.300647039998</v>
      </c>
      <c r="L89" s="143">
        <f t="shared" si="50"/>
        <v>105.94479999999999</v>
      </c>
      <c r="M89" s="143">
        <f t="shared" si="51"/>
        <v>2.0291596726269607</v>
      </c>
      <c r="N89" s="143">
        <f t="shared" si="52"/>
        <v>12.177563218390803</v>
      </c>
      <c r="O89" s="143">
        <f t="shared" si="53"/>
        <v>12.177563218390803</v>
      </c>
      <c r="P89" s="33">
        <v>967.8306</v>
      </c>
      <c r="Q89" s="143">
        <f t="shared" si="54"/>
        <v>97.830600000000004</v>
      </c>
      <c r="R89" s="143">
        <f t="shared" si="55"/>
        <v>9570.8262963600009</v>
      </c>
      <c r="S89" s="143">
        <f t="shared" si="56"/>
        <v>97.830600000000004</v>
      </c>
      <c r="T89" s="143">
        <f t="shared" si="57"/>
        <v>1.9948914319721975</v>
      </c>
      <c r="U89" s="33">
        <f t="shared" si="58"/>
        <v>11.244896551724139</v>
      </c>
      <c r="V89" s="143">
        <f t="shared" si="59"/>
        <v>11.244896551724139</v>
      </c>
    </row>
    <row r="90" spans="1:22" ht="14" x14ac:dyDescent="0.15">
      <c r="A90" s="116" t="s">
        <v>594</v>
      </c>
      <c r="B90" s="106" t="s">
        <v>516</v>
      </c>
      <c r="C90" s="106" t="s">
        <v>403</v>
      </c>
      <c r="D90" s="116" t="s">
        <v>82</v>
      </c>
      <c r="E90" s="106" t="s">
        <v>661</v>
      </c>
      <c r="F90" s="108" t="s">
        <v>494</v>
      </c>
      <c r="G90" s="108" t="s">
        <v>580</v>
      </c>
      <c r="H90" s="109">
        <v>870</v>
      </c>
      <c r="I90" s="112">
        <v>990</v>
      </c>
      <c r="J90" s="143">
        <f t="shared" si="48"/>
        <v>120</v>
      </c>
      <c r="K90" s="143">
        <f t="shared" si="49"/>
        <v>14400</v>
      </c>
      <c r="L90" s="143">
        <f t="shared" si="50"/>
        <v>120</v>
      </c>
      <c r="M90" s="143">
        <f t="shared" si="51"/>
        <v>2.0827853703164503</v>
      </c>
      <c r="N90" s="143">
        <f t="shared" si="52"/>
        <v>13.793103448275861</v>
      </c>
      <c r="O90" s="143">
        <f t="shared" si="53"/>
        <v>13.793103448275861</v>
      </c>
      <c r="P90" s="33">
        <v>938.46153846153845</v>
      </c>
      <c r="Q90" s="143">
        <f t="shared" si="54"/>
        <v>68.461538461538453</v>
      </c>
      <c r="R90" s="143">
        <f t="shared" si="55"/>
        <v>4686.9822485207087</v>
      </c>
      <c r="S90" s="143">
        <f t="shared" si="56"/>
        <v>68.461538461538453</v>
      </c>
      <c r="T90" s="143">
        <f t="shared" si="57"/>
        <v>1.841744398006669</v>
      </c>
      <c r="U90" s="33">
        <f t="shared" si="58"/>
        <v>7.8691423519009724</v>
      </c>
      <c r="V90" s="143">
        <f t="shared" si="59"/>
        <v>7.8691423519009724</v>
      </c>
    </row>
    <row r="91" spans="1:22" ht="14" x14ac:dyDescent="0.15">
      <c r="A91" s="116" t="s">
        <v>594</v>
      </c>
      <c r="B91" s="106" t="s">
        <v>522</v>
      </c>
      <c r="C91" s="106" t="s">
        <v>403</v>
      </c>
      <c r="D91" s="116" t="s">
        <v>82</v>
      </c>
      <c r="E91" s="106" t="s">
        <v>663</v>
      </c>
      <c r="F91" s="108" t="s">
        <v>494</v>
      </c>
      <c r="G91" s="108" t="s">
        <v>580</v>
      </c>
      <c r="H91" s="109">
        <v>870</v>
      </c>
      <c r="I91" s="112">
        <v>1044.3626743013306</v>
      </c>
      <c r="J91" s="143">
        <f t="shared" si="48"/>
        <v>174.36267430133057</v>
      </c>
      <c r="K91" s="143">
        <f t="shared" si="49"/>
        <v>30402.342189511884</v>
      </c>
      <c r="L91" s="143">
        <f t="shared" si="50"/>
        <v>174.36267430133057</v>
      </c>
      <c r="M91" s="143">
        <f t="shared" si="51"/>
        <v>2.2439371598965128</v>
      </c>
      <c r="N91" s="143">
        <f t="shared" si="52"/>
        <v>20.041686701302364</v>
      </c>
      <c r="O91" s="143">
        <f t="shared" si="53"/>
        <v>20.041686701302364</v>
      </c>
      <c r="P91" s="33">
        <v>2671.3098535859299</v>
      </c>
      <c r="Q91" s="143"/>
      <c r="R91" s="143"/>
      <c r="S91" s="143"/>
      <c r="T91" s="143"/>
      <c r="U91" s="33"/>
      <c r="V91" s="143"/>
    </row>
    <row r="92" spans="1:22" ht="14" x14ac:dyDescent="0.15">
      <c r="A92" s="116"/>
      <c r="B92" s="24"/>
      <c r="C92" s="24"/>
      <c r="D92" s="24"/>
      <c r="E92" s="24"/>
      <c r="F92" s="117"/>
      <c r="G92" s="108"/>
      <c r="H92" s="109"/>
      <c r="I92" s="143"/>
      <c r="J92" s="143"/>
      <c r="K92" s="143"/>
      <c r="L92" s="143"/>
      <c r="M92" s="143"/>
      <c r="N92" s="143"/>
      <c r="O92" s="143"/>
      <c r="P92" s="33"/>
      <c r="Q92" s="143"/>
      <c r="R92" s="143"/>
      <c r="S92" s="143"/>
      <c r="T92" s="143"/>
      <c r="U92" s="33"/>
      <c r="V92" s="143"/>
    </row>
    <row r="93" spans="1:22" ht="14" x14ac:dyDescent="0.15">
      <c r="A93" s="116"/>
      <c r="B93" s="24"/>
      <c r="C93" s="24"/>
      <c r="D93" s="24"/>
      <c r="E93" s="24"/>
      <c r="F93" s="117"/>
      <c r="G93" s="108"/>
      <c r="H93" s="109"/>
      <c r="I93" s="56"/>
      <c r="J93" s="56"/>
      <c r="K93" s="56"/>
      <c r="L93" s="56"/>
      <c r="M93" s="143"/>
      <c r="N93" s="143"/>
      <c r="O93" s="143"/>
      <c r="P93" s="34"/>
      <c r="Q93" s="56"/>
      <c r="R93" s="56"/>
      <c r="S93" s="56"/>
      <c r="T93" s="56"/>
      <c r="U93" s="33"/>
      <c r="V93" s="143"/>
    </row>
    <row r="94" spans="1:22" ht="14" x14ac:dyDescent="0.15">
      <c r="A94" s="116"/>
      <c r="B94" s="24"/>
      <c r="C94" s="24"/>
      <c r="D94" s="24"/>
      <c r="E94" s="24"/>
      <c r="F94" s="117"/>
      <c r="G94" s="108"/>
      <c r="H94" s="109"/>
      <c r="I94" s="56"/>
      <c r="J94" s="56"/>
      <c r="K94" s="56"/>
      <c r="L94" s="56"/>
      <c r="M94" s="143"/>
      <c r="N94" s="143"/>
      <c r="O94" s="143"/>
      <c r="P94" s="34"/>
      <c r="Q94" s="56"/>
      <c r="R94" s="56"/>
      <c r="S94" s="56"/>
      <c r="T94" s="56"/>
      <c r="U94" s="33"/>
      <c r="V94" s="143"/>
    </row>
    <row r="95" spans="1:22" ht="14" x14ac:dyDescent="0.15">
      <c r="A95" s="116"/>
      <c r="B95" s="24"/>
      <c r="C95" s="24"/>
      <c r="D95" s="24"/>
      <c r="E95" s="24"/>
      <c r="F95" s="117"/>
      <c r="G95" s="241"/>
      <c r="H95" s="134"/>
      <c r="I95" s="143"/>
      <c r="J95" s="143"/>
      <c r="K95" s="143"/>
      <c r="L95" s="56"/>
      <c r="M95" s="143"/>
      <c r="N95" s="143"/>
      <c r="O95" s="143"/>
      <c r="P95" s="34"/>
      <c r="Q95" s="56"/>
      <c r="R95" s="56"/>
      <c r="S95" s="56"/>
      <c r="T95" s="56"/>
      <c r="U95" s="33"/>
      <c r="V95" s="143"/>
    </row>
    <row r="96" spans="1:22" ht="14" x14ac:dyDescent="0.15">
      <c r="A96" s="116"/>
      <c r="B96" s="24"/>
      <c r="C96" s="24"/>
      <c r="D96" s="24"/>
      <c r="E96" s="24"/>
      <c r="F96" s="117"/>
      <c r="G96" s="108"/>
      <c r="H96" s="109"/>
      <c r="I96" s="129"/>
      <c r="J96" s="56"/>
      <c r="K96" s="56"/>
      <c r="L96" s="56"/>
      <c r="M96" s="143"/>
      <c r="N96" s="143"/>
      <c r="O96" s="143"/>
      <c r="P96" s="6"/>
      <c r="Q96" s="56"/>
      <c r="R96" s="56"/>
      <c r="S96" s="56"/>
      <c r="T96" s="56"/>
      <c r="U96" s="33"/>
      <c r="V96" s="143"/>
    </row>
    <row r="97" spans="1:22" ht="14" x14ac:dyDescent="0.15">
      <c r="A97" s="116"/>
      <c r="B97" s="24"/>
      <c r="C97" s="24"/>
      <c r="D97" s="24"/>
      <c r="E97" s="24"/>
      <c r="F97" s="117"/>
      <c r="G97" s="108"/>
      <c r="H97" s="109"/>
      <c r="I97" s="56"/>
      <c r="J97" s="56"/>
      <c r="K97" s="56"/>
      <c r="L97" s="56"/>
      <c r="M97" s="143"/>
      <c r="N97" s="143"/>
      <c r="O97" s="143"/>
      <c r="P97" s="34"/>
      <c r="Q97" s="56"/>
      <c r="R97" s="56"/>
      <c r="S97" s="56"/>
      <c r="T97" s="56"/>
      <c r="U97" s="33"/>
      <c r="V97" s="143"/>
    </row>
    <row r="98" spans="1:22" ht="14" x14ac:dyDescent="0.15">
      <c r="A98" s="116"/>
      <c r="B98" s="24"/>
      <c r="C98" s="24"/>
      <c r="D98" s="24"/>
      <c r="E98" s="24"/>
      <c r="F98" s="117"/>
      <c r="G98" s="108"/>
      <c r="H98" s="109"/>
      <c r="I98" s="56"/>
      <c r="J98" s="56"/>
      <c r="K98" s="56"/>
      <c r="L98" s="56"/>
      <c r="M98" s="143"/>
      <c r="N98" s="143"/>
      <c r="O98" s="143"/>
      <c r="P98" s="34"/>
      <c r="Q98" s="56"/>
      <c r="R98" s="56"/>
      <c r="S98" s="56"/>
      <c r="T98" s="56"/>
      <c r="U98" s="33"/>
      <c r="V98" s="143"/>
    </row>
    <row r="99" spans="1:22" ht="14" x14ac:dyDescent="0.15">
      <c r="A99" s="116"/>
      <c r="B99" s="24"/>
      <c r="C99" s="24"/>
      <c r="D99" s="24"/>
      <c r="E99" s="24"/>
      <c r="F99" s="117"/>
      <c r="G99" s="108"/>
      <c r="H99" s="109"/>
      <c r="I99" s="56"/>
      <c r="J99" s="56"/>
      <c r="K99" s="56"/>
      <c r="L99" s="56"/>
      <c r="M99" s="143"/>
      <c r="N99" s="143"/>
      <c r="O99" s="143"/>
      <c r="P99" s="34"/>
      <c r="Q99" s="56"/>
      <c r="R99" s="56"/>
      <c r="S99" s="56"/>
      <c r="T99" s="56"/>
      <c r="U99" s="33"/>
      <c r="V99" s="143"/>
    </row>
    <row r="100" spans="1:22" ht="14" x14ac:dyDescent="0.15">
      <c r="A100" s="116"/>
      <c r="B100" s="24"/>
      <c r="C100" s="24"/>
      <c r="D100" s="24"/>
      <c r="E100" s="24"/>
      <c r="F100" s="117"/>
      <c r="G100" s="108"/>
      <c r="H100" s="109"/>
      <c r="I100" s="56"/>
      <c r="J100" s="56"/>
      <c r="K100" s="56"/>
      <c r="L100" s="56"/>
      <c r="M100" s="143"/>
      <c r="N100" s="143"/>
      <c r="O100" s="143"/>
      <c r="P100" s="34"/>
      <c r="Q100" s="56"/>
      <c r="R100" s="56"/>
      <c r="S100" s="56"/>
      <c r="T100" s="56"/>
      <c r="U100" s="33"/>
      <c r="V100" s="143"/>
    </row>
    <row r="101" spans="1:22" ht="14" x14ac:dyDescent="0.15">
      <c r="A101" s="116"/>
      <c r="B101" s="24"/>
      <c r="C101" s="24"/>
      <c r="D101" s="24"/>
      <c r="E101" s="24"/>
      <c r="F101" s="117"/>
      <c r="G101" s="108"/>
      <c r="H101" s="109"/>
      <c r="I101" s="129"/>
      <c r="J101" s="56"/>
      <c r="K101" s="56"/>
      <c r="L101" s="56"/>
      <c r="M101" s="143"/>
      <c r="N101" s="143"/>
      <c r="O101" s="143"/>
      <c r="P101" s="6"/>
      <c r="Q101" s="56"/>
      <c r="R101" s="56"/>
      <c r="S101" s="56"/>
      <c r="T101" s="56"/>
      <c r="U101" s="33"/>
      <c r="V101" s="143"/>
    </row>
    <row r="102" spans="1:22" ht="14" x14ac:dyDescent="0.15">
      <c r="A102" s="116"/>
      <c r="B102" s="24"/>
      <c r="C102" s="24"/>
      <c r="D102" s="24"/>
      <c r="E102" s="24"/>
      <c r="F102" s="117"/>
      <c r="G102" s="108"/>
      <c r="H102" s="115"/>
      <c r="I102" s="56"/>
      <c r="J102" s="56"/>
      <c r="K102" s="56"/>
      <c r="L102" s="56"/>
      <c r="M102" s="143"/>
      <c r="N102" s="143"/>
      <c r="O102" s="143"/>
      <c r="P102" s="34"/>
      <c r="Q102" s="56"/>
      <c r="R102" s="56"/>
      <c r="S102" s="56"/>
      <c r="T102" s="56"/>
      <c r="U102" s="33"/>
      <c r="V102" s="143"/>
    </row>
    <row r="103" spans="1:22" ht="14" x14ac:dyDescent="0.15">
      <c r="A103" s="116"/>
      <c r="B103" s="24"/>
      <c r="C103" s="24"/>
      <c r="D103" s="24"/>
      <c r="E103" s="24"/>
      <c r="F103" s="117"/>
      <c r="G103" s="108"/>
      <c r="H103" s="115"/>
      <c r="I103" s="56"/>
      <c r="J103" s="56"/>
      <c r="K103" s="56"/>
      <c r="L103" s="56"/>
      <c r="M103" s="143"/>
      <c r="N103" s="143"/>
      <c r="O103" s="143"/>
      <c r="P103" s="34"/>
      <c r="Q103" s="56"/>
      <c r="R103" s="56"/>
      <c r="S103" s="56"/>
      <c r="T103" s="56"/>
      <c r="U103" s="33"/>
      <c r="V103" s="143"/>
    </row>
    <row r="104" spans="1:22" ht="14" x14ac:dyDescent="0.15">
      <c r="A104" s="116"/>
      <c r="B104" s="24"/>
      <c r="C104" s="24"/>
      <c r="D104" s="24"/>
      <c r="E104" s="24"/>
      <c r="F104" s="117"/>
      <c r="G104" s="108"/>
      <c r="H104" s="115"/>
      <c r="I104" s="56"/>
      <c r="J104" s="56"/>
      <c r="K104" s="56"/>
      <c r="L104" s="56"/>
      <c r="M104" s="143"/>
      <c r="N104" s="143"/>
      <c r="O104" s="143"/>
      <c r="P104" s="34"/>
      <c r="Q104" s="56"/>
      <c r="R104" s="56"/>
      <c r="S104" s="56"/>
      <c r="T104" s="56"/>
      <c r="U104" s="33"/>
      <c r="V104" s="143"/>
    </row>
    <row r="105" spans="1:22" ht="14" x14ac:dyDescent="0.15">
      <c r="A105" s="116"/>
      <c r="B105" s="24"/>
      <c r="C105" s="24"/>
      <c r="D105" s="24"/>
      <c r="E105" s="24"/>
      <c r="F105" s="117"/>
      <c r="G105" s="108"/>
      <c r="H105" s="115"/>
      <c r="I105" s="56"/>
      <c r="J105" s="56"/>
      <c r="K105" s="56"/>
      <c r="L105" s="56"/>
      <c r="M105" s="143"/>
      <c r="N105" s="143"/>
      <c r="O105" s="143"/>
      <c r="P105" s="34"/>
      <c r="Q105" s="56"/>
      <c r="R105" s="56"/>
      <c r="S105" s="56"/>
      <c r="T105" s="56"/>
      <c r="U105" s="33"/>
      <c r="V105" s="143"/>
    </row>
    <row r="106" spans="1:22" ht="14" x14ac:dyDescent="0.15">
      <c r="A106" s="116"/>
      <c r="B106" s="24"/>
      <c r="C106" s="24"/>
      <c r="D106" s="24"/>
      <c r="E106" s="24"/>
      <c r="F106" s="117"/>
      <c r="G106" s="108"/>
      <c r="H106" s="115"/>
      <c r="I106" s="129"/>
      <c r="J106" s="56"/>
      <c r="K106" s="56"/>
      <c r="L106" s="56"/>
      <c r="M106" s="143"/>
      <c r="N106" s="143"/>
      <c r="O106" s="143"/>
      <c r="P106" s="6"/>
      <c r="Q106" s="56"/>
      <c r="R106" s="56"/>
      <c r="S106" s="56"/>
      <c r="T106" s="56"/>
      <c r="U106" s="33"/>
      <c r="V106" s="143"/>
    </row>
    <row r="107" spans="1:22" ht="14" x14ac:dyDescent="0.15">
      <c r="A107" s="116"/>
      <c r="B107" s="24"/>
      <c r="C107" s="24"/>
      <c r="D107" s="24"/>
      <c r="E107" s="24"/>
      <c r="F107" s="117"/>
      <c r="G107" s="108"/>
      <c r="H107" s="109"/>
      <c r="I107" s="56"/>
      <c r="J107" s="56"/>
      <c r="K107" s="56"/>
      <c r="L107" s="56"/>
      <c r="M107" s="143"/>
      <c r="N107" s="143"/>
      <c r="O107" s="143"/>
      <c r="P107" s="34"/>
      <c r="Q107" s="56"/>
      <c r="R107" s="56"/>
      <c r="S107" s="56"/>
      <c r="T107" s="56"/>
      <c r="U107" s="33"/>
      <c r="V107" s="143"/>
    </row>
    <row r="108" spans="1:22" ht="14" x14ac:dyDescent="0.15">
      <c r="A108" s="116"/>
      <c r="B108" s="24"/>
      <c r="C108" s="24"/>
      <c r="D108" s="24"/>
      <c r="E108" s="24"/>
      <c r="F108" s="117"/>
      <c r="G108" s="108"/>
      <c r="H108" s="109"/>
      <c r="I108" s="56"/>
      <c r="J108" s="56"/>
      <c r="K108" s="56"/>
      <c r="L108" s="56"/>
      <c r="M108" s="143"/>
      <c r="N108" s="143"/>
      <c r="O108" s="143"/>
      <c r="P108" s="34"/>
      <c r="Q108" s="56"/>
      <c r="R108" s="56"/>
      <c r="S108" s="56"/>
      <c r="T108" s="56"/>
      <c r="U108" s="33"/>
      <c r="V108" s="143"/>
    </row>
    <row r="109" spans="1:22" ht="14" x14ac:dyDescent="0.15">
      <c r="A109" s="116"/>
      <c r="B109" s="24"/>
      <c r="C109" s="24"/>
      <c r="D109" s="24"/>
      <c r="E109" s="24"/>
      <c r="F109" s="117"/>
      <c r="G109" s="108"/>
      <c r="H109" s="109"/>
      <c r="I109" s="56"/>
      <c r="J109" s="56"/>
      <c r="K109" s="56"/>
      <c r="L109" s="56"/>
      <c r="M109" s="143"/>
      <c r="N109" s="143"/>
      <c r="O109" s="143"/>
      <c r="P109" s="34"/>
      <c r="Q109" s="56"/>
      <c r="R109" s="56"/>
      <c r="S109" s="56"/>
      <c r="T109" s="56"/>
      <c r="U109" s="33"/>
      <c r="V109" s="143"/>
    </row>
    <row r="110" spans="1:22" ht="14" x14ac:dyDescent="0.15">
      <c r="A110" s="116"/>
      <c r="B110" s="24"/>
      <c r="C110" s="24"/>
      <c r="D110" s="24"/>
      <c r="E110" s="24"/>
      <c r="F110" s="117"/>
      <c r="G110" s="108"/>
      <c r="H110" s="109"/>
      <c r="I110" s="56"/>
      <c r="J110" s="56"/>
      <c r="K110" s="56"/>
      <c r="L110" s="56"/>
      <c r="M110" s="143"/>
      <c r="N110" s="143"/>
      <c r="O110" s="143"/>
      <c r="P110" s="34"/>
      <c r="Q110" s="56"/>
      <c r="R110" s="56"/>
      <c r="S110" s="56"/>
      <c r="T110" s="56"/>
      <c r="U110" s="33"/>
      <c r="V110" s="143"/>
    </row>
    <row r="111" spans="1:22" ht="14" x14ac:dyDescent="0.15">
      <c r="A111" s="116"/>
      <c r="B111" s="24"/>
      <c r="C111" s="24"/>
      <c r="D111" s="24"/>
      <c r="E111" s="24"/>
      <c r="F111" s="117"/>
      <c r="G111" s="108"/>
      <c r="H111" s="109"/>
      <c r="I111" s="129"/>
      <c r="J111" s="56"/>
      <c r="K111" s="56"/>
      <c r="L111" s="56"/>
      <c r="M111" s="143"/>
      <c r="N111" s="143"/>
      <c r="O111" s="143"/>
      <c r="P111" s="6"/>
      <c r="Q111" s="56"/>
      <c r="R111" s="56"/>
      <c r="S111" s="56"/>
      <c r="T111" s="56"/>
      <c r="U111" s="33"/>
      <c r="V111" s="143"/>
    </row>
    <row r="112" spans="1:22" ht="14" x14ac:dyDescent="0.15">
      <c r="A112" s="116"/>
      <c r="B112" s="24"/>
      <c r="C112" s="24"/>
      <c r="D112" s="24"/>
      <c r="E112" s="24"/>
      <c r="F112" s="108"/>
      <c r="G112" s="108"/>
      <c r="H112" s="109"/>
      <c r="I112" s="56"/>
      <c r="J112" s="56"/>
      <c r="K112" s="56"/>
      <c r="L112" s="56"/>
      <c r="M112" s="143"/>
      <c r="N112" s="143"/>
      <c r="O112" s="143"/>
      <c r="P112" s="34"/>
      <c r="Q112" s="56"/>
      <c r="R112" s="56"/>
      <c r="S112" s="56"/>
      <c r="T112" s="56"/>
      <c r="U112" s="33"/>
      <c r="V112" s="143"/>
    </row>
    <row r="113" spans="1:22" ht="14" x14ac:dyDescent="0.15">
      <c r="A113" s="116"/>
      <c r="B113" s="24"/>
      <c r="C113" s="24"/>
      <c r="D113" s="24"/>
      <c r="E113" s="24"/>
      <c r="F113" s="108"/>
      <c r="G113" s="108"/>
      <c r="H113" s="109"/>
      <c r="I113" s="56"/>
      <c r="J113" s="56"/>
      <c r="K113" s="56"/>
      <c r="L113" s="56"/>
      <c r="M113" s="143"/>
      <c r="N113" s="143"/>
      <c r="O113" s="143"/>
      <c r="P113" s="34"/>
      <c r="Q113" s="56"/>
      <c r="R113" s="56"/>
      <c r="S113" s="56"/>
      <c r="T113" s="56"/>
      <c r="U113" s="33"/>
      <c r="V113" s="143"/>
    </row>
    <row r="114" spans="1:22" ht="14" x14ac:dyDescent="0.15">
      <c r="A114" s="116"/>
      <c r="B114" s="24"/>
      <c r="C114" s="24"/>
      <c r="D114" s="24"/>
      <c r="E114" s="24"/>
      <c r="F114" s="108"/>
      <c r="G114" s="108"/>
      <c r="H114" s="109"/>
      <c r="I114" s="56"/>
      <c r="J114" s="56"/>
      <c r="K114" s="56"/>
      <c r="L114" s="56"/>
      <c r="M114" s="143"/>
      <c r="N114" s="143"/>
      <c r="O114" s="143"/>
      <c r="P114" s="34"/>
      <c r="Q114" s="56"/>
      <c r="R114" s="56"/>
      <c r="S114" s="56"/>
      <c r="T114" s="56"/>
      <c r="U114" s="33"/>
      <c r="V114" s="143"/>
    </row>
    <row r="115" spans="1:22" ht="14" x14ac:dyDescent="0.15">
      <c r="A115" s="116"/>
      <c r="B115" s="24"/>
      <c r="C115" s="24"/>
      <c r="D115" s="24"/>
      <c r="E115" s="24"/>
      <c r="F115" s="108"/>
      <c r="G115" s="108"/>
      <c r="H115" s="109"/>
      <c r="I115" s="56"/>
      <c r="J115" s="56"/>
      <c r="K115" s="56"/>
      <c r="L115" s="56"/>
      <c r="M115" s="143"/>
      <c r="N115" s="143"/>
      <c r="O115" s="143"/>
      <c r="P115" s="34"/>
      <c r="Q115" s="56"/>
      <c r="R115" s="56"/>
      <c r="S115" s="56"/>
      <c r="T115" s="56"/>
      <c r="U115" s="33"/>
      <c r="V115" s="143"/>
    </row>
    <row r="116" spans="1:22" ht="14" x14ac:dyDescent="0.15">
      <c r="A116" s="116"/>
      <c r="B116" s="24"/>
      <c r="C116" s="24"/>
      <c r="D116" s="24"/>
      <c r="E116" s="24"/>
      <c r="F116" s="108"/>
      <c r="G116" s="108"/>
      <c r="H116" s="109"/>
      <c r="I116" s="129"/>
      <c r="J116" s="56"/>
      <c r="K116" s="56"/>
      <c r="L116" s="56"/>
      <c r="M116" s="143"/>
      <c r="N116" s="143"/>
      <c r="O116" s="143"/>
      <c r="P116" s="6"/>
      <c r="Q116" s="56"/>
      <c r="R116" s="56"/>
      <c r="S116" s="56"/>
      <c r="T116" s="56"/>
      <c r="U116" s="33"/>
      <c r="V116" s="143"/>
    </row>
    <row r="117" spans="1:22" ht="14" x14ac:dyDescent="0.15">
      <c r="A117" s="116"/>
      <c r="B117" s="24"/>
      <c r="C117" s="24"/>
      <c r="D117" s="24"/>
      <c r="E117" s="24"/>
      <c r="F117" s="117"/>
      <c r="G117" s="108"/>
      <c r="H117" s="26"/>
      <c r="I117" s="56"/>
      <c r="J117" s="56"/>
      <c r="K117" s="56"/>
      <c r="L117" s="56"/>
      <c r="M117" s="143"/>
      <c r="N117" s="143"/>
      <c r="O117" s="143"/>
      <c r="P117" s="34"/>
      <c r="Q117" s="56"/>
      <c r="R117" s="56"/>
      <c r="S117" s="56"/>
      <c r="T117" s="56"/>
      <c r="U117" s="33"/>
      <c r="V117" s="143"/>
    </row>
    <row r="118" spans="1:22" ht="14" x14ac:dyDescent="0.15">
      <c r="A118" s="116"/>
      <c r="B118" s="24"/>
      <c r="C118" s="24"/>
      <c r="D118" s="24"/>
      <c r="E118" s="24"/>
      <c r="F118" s="117"/>
      <c r="G118" s="108"/>
      <c r="H118" s="26"/>
      <c r="I118" s="56"/>
      <c r="J118" s="56"/>
      <c r="K118" s="56"/>
      <c r="L118" s="56"/>
      <c r="M118" s="143"/>
      <c r="N118" s="143"/>
      <c r="O118" s="143"/>
      <c r="P118" s="34"/>
      <c r="Q118" s="56"/>
      <c r="R118" s="56"/>
      <c r="S118" s="56"/>
      <c r="T118" s="56"/>
      <c r="U118" s="33"/>
      <c r="V118" s="143"/>
    </row>
    <row r="119" spans="1:22" ht="14" x14ac:dyDescent="0.15">
      <c r="A119" s="116"/>
      <c r="B119" s="24"/>
      <c r="C119" s="24"/>
      <c r="D119" s="24"/>
      <c r="E119" s="24"/>
      <c r="F119" s="117"/>
      <c r="G119" s="108"/>
      <c r="H119" s="26"/>
      <c r="I119" s="56"/>
      <c r="J119" s="56"/>
      <c r="K119" s="56"/>
      <c r="L119" s="56"/>
      <c r="M119" s="143"/>
      <c r="N119" s="143"/>
      <c r="O119" s="143"/>
      <c r="P119" s="34"/>
      <c r="Q119" s="56"/>
      <c r="R119" s="56"/>
      <c r="S119" s="56"/>
      <c r="T119" s="56"/>
      <c r="U119" s="33"/>
      <c r="V119" s="143"/>
    </row>
    <row r="120" spans="1:22" ht="14" x14ac:dyDescent="0.15">
      <c r="A120" s="116"/>
      <c r="B120" s="24"/>
      <c r="C120" s="24"/>
      <c r="D120" s="24"/>
      <c r="E120" s="24"/>
      <c r="F120" s="117"/>
      <c r="G120" s="108"/>
      <c r="H120" s="26"/>
      <c r="I120" s="56"/>
      <c r="J120" s="56"/>
      <c r="K120" s="56"/>
      <c r="L120" s="56"/>
      <c r="M120" s="143"/>
      <c r="N120" s="143"/>
      <c r="O120" s="143"/>
      <c r="P120" s="34"/>
      <c r="Q120" s="56"/>
      <c r="R120" s="56"/>
      <c r="S120" s="56"/>
      <c r="T120" s="56"/>
      <c r="U120" s="33"/>
      <c r="V120" s="143"/>
    </row>
    <row r="121" spans="1:22" ht="14" x14ac:dyDescent="0.15">
      <c r="A121" s="116"/>
      <c r="B121" s="24"/>
      <c r="C121" s="24"/>
      <c r="D121" s="24"/>
      <c r="E121" s="24"/>
      <c r="F121" s="117"/>
      <c r="G121" s="108"/>
      <c r="H121" s="26"/>
      <c r="I121" s="129"/>
      <c r="J121" s="56"/>
      <c r="K121" s="56"/>
      <c r="L121" s="56"/>
      <c r="M121" s="143"/>
      <c r="N121" s="143"/>
      <c r="O121" s="143"/>
      <c r="P121" s="6"/>
      <c r="Q121" s="56"/>
      <c r="R121" s="56"/>
      <c r="S121" s="56"/>
      <c r="T121" s="56"/>
      <c r="U121" s="33"/>
      <c r="V121" s="143"/>
    </row>
    <row r="122" spans="1:22" ht="14" x14ac:dyDescent="0.15">
      <c r="A122" s="116"/>
      <c r="B122" s="24"/>
      <c r="C122" s="24"/>
      <c r="D122" s="24"/>
      <c r="E122" s="24"/>
      <c r="F122" s="108"/>
      <c r="G122" s="108"/>
      <c r="H122" s="115"/>
      <c r="I122" s="56"/>
      <c r="J122" s="56"/>
      <c r="K122" s="56"/>
      <c r="L122" s="56"/>
      <c r="M122" s="143"/>
      <c r="N122" s="143"/>
      <c r="O122" s="143"/>
      <c r="P122" s="34"/>
      <c r="Q122" s="56"/>
      <c r="R122" s="56"/>
      <c r="S122" s="56"/>
      <c r="T122" s="56"/>
      <c r="U122" s="33"/>
      <c r="V122" s="143"/>
    </row>
    <row r="123" spans="1:22" ht="14" x14ac:dyDescent="0.15">
      <c r="A123" s="116"/>
      <c r="B123" s="24"/>
      <c r="C123" s="24"/>
      <c r="D123" s="24"/>
      <c r="E123" s="24"/>
      <c r="F123" s="108"/>
      <c r="G123" s="108"/>
      <c r="H123" s="115"/>
      <c r="I123" s="56"/>
      <c r="J123" s="56"/>
      <c r="K123" s="56"/>
      <c r="L123" s="56"/>
      <c r="M123" s="143"/>
      <c r="N123" s="143"/>
      <c r="O123" s="143"/>
      <c r="P123" s="34"/>
      <c r="Q123" s="56"/>
      <c r="R123" s="56"/>
      <c r="S123" s="56"/>
      <c r="T123" s="56"/>
      <c r="U123" s="33"/>
      <c r="V123" s="143"/>
    </row>
    <row r="124" spans="1:22" ht="14" x14ac:dyDescent="0.15">
      <c r="A124" s="116"/>
      <c r="B124" s="24"/>
      <c r="C124" s="24"/>
      <c r="D124" s="24"/>
      <c r="E124" s="24"/>
      <c r="F124" s="108"/>
      <c r="G124" s="108"/>
      <c r="H124" s="115"/>
      <c r="I124" s="56"/>
      <c r="J124" s="56"/>
      <c r="K124" s="56"/>
      <c r="L124" s="56"/>
      <c r="M124" s="143"/>
      <c r="N124" s="143"/>
      <c r="O124" s="143"/>
      <c r="P124" s="34"/>
      <c r="Q124" s="56"/>
      <c r="R124" s="56"/>
      <c r="S124" s="56"/>
      <c r="T124" s="56"/>
      <c r="U124" s="33"/>
      <c r="V124" s="143"/>
    </row>
    <row r="125" spans="1:22" ht="14" x14ac:dyDescent="0.15">
      <c r="A125" s="116"/>
      <c r="B125" s="24"/>
      <c r="C125" s="24"/>
      <c r="D125" s="24"/>
      <c r="E125" s="24"/>
      <c r="F125" s="108"/>
      <c r="G125" s="108"/>
      <c r="H125" s="115"/>
      <c r="I125" s="56"/>
      <c r="J125" s="56"/>
      <c r="K125" s="56"/>
      <c r="L125" s="56"/>
      <c r="M125" s="143"/>
      <c r="N125" s="143"/>
      <c r="O125" s="143"/>
      <c r="P125" s="34"/>
      <c r="Q125" s="56"/>
      <c r="R125" s="56"/>
      <c r="S125" s="56"/>
      <c r="T125" s="56"/>
      <c r="U125" s="33"/>
      <c r="V125" s="143"/>
    </row>
    <row r="126" spans="1:22" ht="14" x14ac:dyDescent="0.15">
      <c r="A126" s="116"/>
      <c r="B126" s="24"/>
      <c r="C126" s="24"/>
      <c r="D126" s="24"/>
      <c r="E126" s="24"/>
      <c r="F126" s="108"/>
      <c r="G126" s="108"/>
      <c r="H126" s="115"/>
      <c r="I126" s="129"/>
      <c r="J126" s="56"/>
      <c r="K126" s="56"/>
      <c r="L126" s="56"/>
      <c r="M126" s="143"/>
      <c r="N126" s="143"/>
      <c r="O126" s="143"/>
      <c r="P126" s="6"/>
      <c r="Q126" s="56"/>
      <c r="R126" s="56"/>
      <c r="S126" s="56"/>
      <c r="T126" s="56"/>
      <c r="U126" s="33"/>
      <c r="V126" s="143"/>
    </row>
    <row r="127" spans="1:22" ht="14" x14ac:dyDescent="0.15">
      <c r="A127" s="116"/>
      <c r="B127" s="24"/>
      <c r="C127" s="24"/>
      <c r="D127" s="24"/>
      <c r="E127" s="24"/>
      <c r="F127" s="108"/>
      <c r="G127" s="108"/>
      <c r="H127" s="109"/>
      <c r="I127" s="56"/>
      <c r="J127" s="56"/>
      <c r="K127" s="56"/>
      <c r="L127" s="56"/>
      <c r="M127" s="143"/>
      <c r="N127" s="143"/>
      <c r="O127" s="143"/>
      <c r="P127" s="34"/>
      <c r="Q127" s="56"/>
      <c r="R127" s="56"/>
      <c r="S127" s="56"/>
      <c r="T127" s="56"/>
      <c r="U127" s="33"/>
      <c r="V127" s="143"/>
    </row>
    <row r="128" spans="1:22" ht="14" x14ac:dyDescent="0.15">
      <c r="A128" s="116"/>
      <c r="B128" s="24"/>
      <c r="C128" s="24"/>
      <c r="D128" s="24"/>
      <c r="E128" s="24"/>
      <c r="F128" s="108"/>
      <c r="G128" s="108"/>
      <c r="H128" s="109"/>
      <c r="I128" s="56"/>
      <c r="J128" s="56"/>
      <c r="K128" s="56"/>
      <c r="L128" s="56"/>
      <c r="M128" s="143"/>
      <c r="N128" s="143"/>
      <c r="O128" s="143"/>
      <c r="P128" s="34"/>
      <c r="Q128" s="56"/>
      <c r="R128" s="56"/>
      <c r="S128" s="56"/>
      <c r="T128" s="56"/>
      <c r="U128" s="33"/>
      <c r="V128" s="143"/>
    </row>
    <row r="129" spans="1:22" ht="14" x14ac:dyDescent="0.15">
      <c r="A129" s="116"/>
      <c r="B129" s="24"/>
      <c r="C129" s="24"/>
      <c r="D129" s="24"/>
      <c r="E129" s="24"/>
      <c r="F129" s="108"/>
      <c r="G129" s="108"/>
      <c r="H129" s="109"/>
      <c r="I129" s="56"/>
      <c r="J129" s="56"/>
      <c r="K129" s="56"/>
      <c r="L129" s="56"/>
      <c r="M129" s="143"/>
      <c r="N129" s="143"/>
      <c r="O129" s="143"/>
      <c r="P129" s="34"/>
      <c r="Q129" s="56"/>
      <c r="R129" s="56"/>
      <c r="S129" s="56"/>
      <c r="T129" s="56"/>
      <c r="U129" s="33"/>
      <c r="V129" s="143"/>
    </row>
    <row r="130" spans="1:22" ht="14" x14ac:dyDescent="0.15">
      <c r="A130" s="116"/>
      <c r="B130" s="24"/>
      <c r="C130" s="24"/>
      <c r="D130" s="24"/>
      <c r="E130" s="24"/>
      <c r="F130" s="108"/>
      <c r="G130" s="108"/>
      <c r="H130" s="109"/>
      <c r="I130" s="56"/>
      <c r="J130" s="56"/>
      <c r="K130" s="56"/>
      <c r="L130" s="56"/>
      <c r="M130" s="143"/>
      <c r="N130" s="143"/>
      <c r="O130" s="143"/>
      <c r="P130" s="34"/>
      <c r="Q130" s="56"/>
      <c r="R130" s="56"/>
      <c r="S130" s="56"/>
      <c r="T130" s="56"/>
      <c r="U130" s="33"/>
      <c r="V130" s="143"/>
    </row>
    <row r="131" spans="1:22" ht="14" x14ac:dyDescent="0.15">
      <c r="A131" s="116"/>
      <c r="B131" s="24"/>
      <c r="C131" s="24"/>
      <c r="D131" s="24"/>
      <c r="E131" s="24"/>
      <c r="F131" s="108"/>
      <c r="G131" s="108"/>
      <c r="H131" s="109"/>
      <c r="I131" s="129"/>
      <c r="J131" s="56"/>
      <c r="K131" s="56"/>
      <c r="L131" s="56"/>
      <c r="M131" s="143"/>
      <c r="N131" s="143"/>
      <c r="O131" s="143"/>
      <c r="P131" s="6"/>
      <c r="Q131" s="56"/>
      <c r="R131" s="56"/>
      <c r="S131" s="56"/>
      <c r="T131" s="56"/>
    </row>
    <row r="132" spans="1:22" ht="14" x14ac:dyDescent="0.15">
      <c r="B132" s="24"/>
      <c r="C132" s="24"/>
      <c r="D132" s="24"/>
      <c r="E132" s="24"/>
      <c r="F132" s="10"/>
      <c r="G132" s="10"/>
      <c r="H132" s="9"/>
      <c r="I132" s="139"/>
      <c r="J132" s="56"/>
      <c r="K132" s="56"/>
      <c r="L132" s="56"/>
      <c r="M132" s="34"/>
      <c r="N132" s="56"/>
      <c r="O132" s="56"/>
      <c r="P132" s="34"/>
      <c r="Q132" s="56"/>
    </row>
    <row r="133" spans="1:22" ht="14" x14ac:dyDescent="0.15">
      <c r="B133" s="24"/>
      <c r="C133" s="24"/>
      <c r="D133" s="24"/>
      <c r="E133" s="24"/>
      <c r="F133" s="10"/>
      <c r="G133" s="10"/>
      <c r="H133" s="9"/>
      <c r="I133" s="139"/>
      <c r="M133" s="34"/>
      <c r="N133" s="56"/>
      <c r="O133" s="56"/>
      <c r="P133" s="34"/>
      <c r="Q133" s="56"/>
    </row>
    <row r="134" spans="1:22" ht="14" x14ac:dyDescent="0.15">
      <c r="B134" s="24"/>
      <c r="C134" s="24"/>
      <c r="D134" s="24"/>
      <c r="E134" s="24"/>
      <c r="F134" s="10"/>
      <c r="G134" s="10"/>
      <c r="H134" s="9"/>
      <c r="I134" s="139"/>
      <c r="J134" s="56"/>
      <c r="K134" s="56"/>
      <c r="L134" s="56"/>
      <c r="M134" s="34"/>
      <c r="N134" s="56"/>
      <c r="O134" s="56"/>
      <c r="P134" s="34"/>
      <c r="Q134" s="56"/>
    </row>
    <row r="135" spans="1:22" ht="14" x14ac:dyDescent="0.15">
      <c r="B135" s="24"/>
      <c r="C135" s="24"/>
      <c r="D135" s="24"/>
      <c r="E135" s="24"/>
      <c r="F135" s="10"/>
      <c r="G135" s="10"/>
      <c r="H135" s="9"/>
      <c r="I135" s="139"/>
      <c r="J135" s="56"/>
      <c r="K135" s="56"/>
      <c r="L135" s="56"/>
      <c r="M135" s="34"/>
      <c r="N135" s="56"/>
      <c r="O135" s="56"/>
      <c r="P135" s="34"/>
      <c r="Q135" s="56"/>
    </row>
    <row r="136" spans="1:22" ht="14" x14ac:dyDescent="0.15">
      <c r="B136" s="24"/>
      <c r="C136" s="24"/>
      <c r="D136" s="24"/>
      <c r="E136" s="24"/>
      <c r="F136" s="10"/>
      <c r="G136" s="10"/>
      <c r="H136" s="9"/>
      <c r="I136" s="139"/>
      <c r="J136" s="56"/>
      <c r="K136" s="56"/>
      <c r="L136" s="56"/>
      <c r="M136" s="34"/>
      <c r="N136" s="56"/>
      <c r="O136" s="56"/>
      <c r="P136" s="34"/>
      <c r="Q136" s="56"/>
    </row>
    <row r="137" spans="1:22" ht="14" x14ac:dyDescent="0.15">
      <c r="B137" s="24"/>
      <c r="C137" s="24"/>
      <c r="D137" s="24"/>
      <c r="E137" s="24"/>
      <c r="F137" s="10"/>
      <c r="G137" s="10"/>
      <c r="H137" s="9"/>
      <c r="I137" s="139"/>
      <c r="J137" s="56"/>
      <c r="K137" s="56"/>
      <c r="L137" s="56"/>
      <c r="M137" s="34"/>
      <c r="N137" s="56"/>
      <c r="O137" s="56"/>
      <c r="P137" s="34"/>
      <c r="Q137" s="56"/>
    </row>
    <row r="138" spans="1:22" x14ac:dyDescent="0.15">
      <c r="B138" s="24"/>
      <c r="C138" s="24"/>
      <c r="D138" s="24"/>
      <c r="E138" s="24"/>
      <c r="F138" s="29"/>
      <c r="G138" s="29"/>
      <c r="I138" s="139"/>
      <c r="J138" s="56"/>
      <c r="K138" s="56"/>
      <c r="L138" s="56"/>
      <c r="M138" s="34"/>
      <c r="N138" s="56"/>
      <c r="O138" s="56"/>
      <c r="P138" s="34"/>
      <c r="Q138" s="56"/>
    </row>
    <row r="139" spans="1:22" x14ac:dyDescent="0.15">
      <c r="B139" s="24"/>
      <c r="C139" s="24"/>
      <c r="D139" s="24"/>
      <c r="E139" s="24"/>
      <c r="F139" s="29"/>
      <c r="G139" s="29"/>
      <c r="I139" s="139"/>
      <c r="J139" s="56"/>
      <c r="K139" s="56"/>
      <c r="L139" s="56"/>
      <c r="M139" s="34"/>
      <c r="N139" s="56"/>
      <c r="O139" s="56"/>
      <c r="P139" s="34"/>
      <c r="Q139" s="56"/>
    </row>
    <row r="140" spans="1:22" ht="15" x14ac:dyDescent="0.2">
      <c r="B140" s="24"/>
      <c r="C140" s="24"/>
      <c r="D140" s="24"/>
      <c r="E140" s="24"/>
      <c r="F140" s="35"/>
      <c r="G140" s="35"/>
      <c r="H140" s="17"/>
      <c r="I140" s="139"/>
      <c r="J140" s="56"/>
      <c r="K140" s="56"/>
      <c r="L140" s="56"/>
      <c r="M140" s="34"/>
      <c r="N140" s="56"/>
      <c r="O140" s="56"/>
      <c r="P140" s="34"/>
      <c r="Q140" s="56"/>
    </row>
    <row r="141" spans="1:22" ht="15" x14ac:dyDescent="0.2">
      <c r="B141" s="24"/>
      <c r="C141" s="24"/>
      <c r="D141" s="24"/>
      <c r="E141" s="24"/>
      <c r="F141" s="35"/>
      <c r="G141" s="35"/>
      <c r="H141" s="17"/>
      <c r="I141" s="139"/>
      <c r="J141" s="56"/>
      <c r="K141" s="56"/>
      <c r="L141" s="56"/>
      <c r="M141" s="34"/>
      <c r="N141" s="56"/>
      <c r="O141" s="56"/>
      <c r="P141" s="34"/>
      <c r="Q141" s="56"/>
    </row>
    <row r="142" spans="1:22" ht="15" x14ac:dyDescent="0.2">
      <c r="B142" s="24"/>
      <c r="C142" s="24"/>
      <c r="D142" s="24"/>
      <c r="E142" s="24"/>
      <c r="F142" s="35"/>
      <c r="G142" s="35"/>
      <c r="H142" s="17"/>
      <c r="I142" s="139"/>
      <c r="J142" s="56"/>
      <c r="K142" s="56"/>
      <c r="L142" s="56"/>
      <c r="M142" s="34"/>
      <c r="N142" s="56"/>
      <c r="O142" s="56"/>
      <c r="P142" s="34"/>
      <c r="Q142" s="56"/>
    </row>
    <row r="143" spans="1:22" ht="15" x14ac:dyDescent="0.2">
      <c r="B143" s="24"/>
      <c r="C143" s="24"/>
      <c r="D143" s="24"/>
      <c r="E143" s="24"/>
      <c r="F143" s="35"/>
      <c r="G143" s="35"/>
      <c r="H143" s="17"/>
      <c r="I143" s="139"/>
      <c r="J143" s="56"/>
      <c r="K143" s="56"/>
      <c r="L143" s="56"/>
      <c r="M143" s="34"/>
      <c r="N143" s="56"/>
      <c r="O143" s="56"/>
      <c r="P143" s="34"/>
      <c r="Q143" s="56"/>
    </row>
    <row r="144" spans="1:22" ht="15" x14ac:dyDescent="0.2">
      <c r="B144" s="24"/>
      <c r="C144" s="24"/>
      <c r="D144" s="24"/>
      <c r="E144" s="24"/>
      <c r="F144" s="35"/>
      <c r="G144" s="35"/>
      <c r="H144" s="9"/>
      <c r="I144" s="139"/>
      <c r="J144" s="56"/>
      <c r="K144" s="56"/>
      <c r="L144" s="56"/>
      <c r="M144" s="34"/>
      <c r="N144" s="56"/>
      <c r="O144" s="56"/>
      <c r="P144" s="34"/>
      <c r="Q144" s="56"/>
    </row>
    <row r="145" spans="2:17" ht="15" x14ac:dyDescent="0.2">
      <c r="B145" s="24"/>
      <c r="C145" s="24"/>
      <c r="D145" s="24"/>
      <c r="E145" s="24"/>
      <c r="F145" s="35"/>
      <c r="G145" s="35"/>
      <c r="H145" s="9"/>
      <c r="I145" s="139"/>
      <c r="J145" s="56"/>
      <c r="K145" s="56"/>
      <c r="L145" s="56"/>
      <c r="M145" s="34"/>
      <c r="N145" s="56"/>
      <c r="O145" s="56"/>
      <c r="P145" s="34"/>
      <c r="Q145" s="56"/>
    </row>
    <row r="146" spans="2:17" ht="15" x14ac:dyDescent="0.2">
      <c r="B146" s="24"/>
      <c r="C146" s="24"/>
      <c r="D146" s="24"/>
      <c r="E146" s="24"/>
      <c r="F146" s="35"/>
      <c r="G146" s="35"/>
      <c r="H146" s="9"/>
      <c r="I146" s="139"/>
      <c r="J146" s="56"/>
      <c r="K146" s="56"/>
      <c r="L146" s="56"/>
      <c r="N146" s="56"/>
      <c r="O146" s="56"/>
      <c r="P146" s="34"/>
      <c r="Q146" s="56"/>
    </row>
    <row r="147" spans="2:17" ht="15" x14ac:dyDescent="0.2">
      <c r="B147" s="24"/>
      <c r="C147" s="24"/>
      <c r="D147" s="24"/>
      <c r="E147" s="24"/>
      <c r="F147" s="35"/>
      <c r="G147" s="35"/>
      <c r="H147" s="9"/>
      <c r="I147" s="139"/>
      <c r="J147" s="56"/>
      <c r="K147" s="56"/>
      <c r="L147" s="56"/>
      <c r="N147" s="56"/>
      <c r="O147" s="56"/>
      <c r="P147" s="34"/>
      <c r="Q147" s="56"/>
    </row>
    <row r="148" spans="2:17" ht="15" x14ac:dyDescent="0.2">
      <c r="B148" s="24"/>
      <c r="C148" s="24"/>
      <c r="D148" s="24"/>
      <c r="E148" s="24"/>
      <c r="F148" s="35"/>
      <c r="G148" s="35"/>
      <c r="H148" s="141"/>
      <c r="I148" s="139"/>
      <c r="J148" s="56"/>
      <c r="K148" s="56"/>
      <c r="L148" s="56"/>
      <c r="N148" s="56"/>
      <c r="O148" s="56"/>
      <c r="P148" s="34"/>
      <c r="Q148" s="56"/>
    </row>
    <row r="149" spans="2:17" ht="15" x14ac:dyDescent="0.2">
      <c r="B149" s="24"/>
      <c r="C149" s="24"/>
      <c r="D149" s="24"/>
      <c r="E149" s="24"/>
      <c r="F149" s="35"/>
      <c r="G149" s="35"/>
      <c r="I149" s="139"/>
      <c r="J149" s="56"/>
      <c r="K149" s="56"/>
      <c r="L149" s="56"/>
      <c r="N149" s="56"/>
      <c r="O149" s="56"/>
      <c r="P149" s="34"/>
      <c r="Q149" s="56"/>
    </row>
    <row r="150" spans="2:17" ht="15" x14ac:dyDescent="0.2">
      <c r="B150" s="24"/>
      <c r="C150" s="24"/>
      <c r="D150" s="24"/>
      <c r="E150" s="24"/>
      <c r="F150" s="35"/>
      <c r="G150" s="35"/>
      <c r="I150" s="139"/>
      <c r="J150" s="56"/>
      <c r="K150" s="56"/>
      <c r="L150" s="56"/>
      <c r="N150" s="56"/>
      <c r="O150" s="56"/>
      <c r="P150" s="34"/>
      <c r="Q150" s="56"/>
    </row>
    <row r="151" spans="2:17" ht="15" x14ac:dyDescent="0.2">
      <c r="B151" s="24"/>
      <c r="C151" s="24"/>
      <c r="D151" s="24"/>
      <c r="E151" s="24"/>
      <c r="F151" s="35"/>
      <c r="G151" s="35"/>
      <c r="I151" s="139"/>
      <c r="J151" s="56"/>
      <c r="K151" s="56"/>
      <c r="L151" s="56"/>
      <c r="N151" s="56"/>
      <c r="O151" s="56"/>
      <c r="P151" s="34"/>
      <c r="Q151" s="56"/>
    </row>
    <row r="152" spans="2:17" ht="15" x14ac:dyDescent="0.2">
      <c r="B152" s="24"/>
      <c r="C152" s="24"/>
      <c r="D152" s="24"/>
      <c r="E152" s="24"/>
      <c r="F152" s="35"/>
      <c r="G152" s="35"/>
      <c r="I152" s="139"/>
      <c r="J152" s="56"/>
      <c r="K152" s="56"/>
      <c r="L152" s="56"/>
      <c r="N152" s="56"/>
      <c r="O152" s="56"/>
      <c r="P152" s="34"/>
      <c r="Q152" s="56"/>
    </row>
    <row r="153" spans="2:17" ht="15" x14ac:dyDescent="0.2">
      <c r="B153" s="24"/>
      <c r="C153" s="24"/>
      <c r="D153" s="24"/>
      <c r="E153" s="24"/>
      <c r="F153" s="35"/>
      <c r="G153" s="35"/>
      <c r="I153" s="139"/>
      <c r="J153" s="56"/>
      <c r="K153" s="56"/>
      <c r="L153" s="56"/>
      <c r="P153" s="34"/>
      <c r="Q153" s="56"/>
    </row>
    <row r="154" spans="2:17" ht="15" x14ac:dyDescent="0.2">
      <c r="B154" s="24"/>
      <c r="C154" s="24"/>
      <c r="D154" s="24"/>
      <c r="E154" s="24"/>
      <c r="F154" s="35"/>
      <c r="G154" s="35"/>
      <c r="I154" s="139"/>
      <c r="J154" s="56"/>
      <c r="K154" s="56"/>
      <c r="L154" s="56"/>
      <c r="P154" s="34"/>
      <c r="Q154" s="56"/>
    </row>
    <row r="155" spans="2:17" ht="14" x14ac:dyDescent="0.15">
      <c r="B155" s="24"/>
      <c r="C155" s="24"/>
      <c r="D155" s="24"/>
      <c r="E155" s="24"/>
      <c r="F155" s="10"/>
      <c r="G155" s="10"/>
      <c r="H155" s="9"/>
      <c r="I155" s="56"/>
      <c r="J155" s="56"/>
      <c r="K155" s="56"/>
      <c r="L155" s="56"/>
      <c r="P155" s="34"/>
      <c r="Q155" s="56"/>
    </row>
    <row r="156" spans="2:17" ht="14" x14ac:dyDescent="0.15">
      <c r="B156" s="24"/>
      <c r="C156" s="24"/>
      <c r="D156" s="24"/>
      <c r="E156" s="24"/>
      <c r="F156" s="10"/>
      <c r="G156" s="10"/>
      <c r="H156" s="9"/>
      <c r="I156" s="56"/>
      <c r="J156" s="56"/>
      <c r="K156" s="56"/>
      <c r="L156" s="56"/>
      <c r="P156" s="34"/>
      <c r="Q156" s="56"/>
    </row>
    <row r="157" spans="2:17" ht="14" x14ac:dyDescent="0.15">
      <c r="B157" s="24"/>
      <c r="C157" s="24"/>
      <c r="D157" s="24"/>
      <c r="E157" s="24"/>
      <c r="F157" s="10"/>
      <c r="G157" s="10"/>
      <c r="H157" s="9"/>
      <c r="I157" s="56"/>
      <c r="J157" s="56"/>
      <c r="K157" s="56"/>
      <c r="L157" s="56"/>
      <c r="P157" s="34"/>
      <c r="Q157" s="56"/>
    </row>
    <row r="158" spans="2:17" ht="14" x14ac:dyDescent="0.15">
      <c r="B158" s="24"/>
      <c r="C158" s="24"/>
      <c r="D158" s="24"/>
      <c r="E158" s="24"/>
      <c r="F158" s="10"/>
      <c r="G158" s="10"/>
      <c r="H158" s="9"/>
      <c r="I158" s="56"/>
      <c r="J158" s="56"/>
      <c r="K158" s="56"/>
      <c r="L158" s="56"/>
      <c r="P158" s="34"/>
      <c r="Q158" s="56"/>
    </row>
    <row r="159" spans="2:17" ht="14" x14ac:dyDescent="0.15">
      <c r="B159" s="24"/>
      <c r="C159" s="24"/>
      <c r="D159" s="24"/>
      <c r="E159" s="24"/>
      <c r="F159" s="10"/>
      <c r="G159" s="10"/>
      <c r="H159" s="9"/>
      <c r="I159" s="56"/>
      <c r="J159" s="56"/>
      <c r="K159" s="56"/>
      <c r="L159" s="56"/>
      <c r="P159" s="34"/>
      <c r="Q159" s="56"/>
    </row>
    <row r="160" spans="2:17" ht="14" x14ac:dyDescent="0.15">
      <c r="B160" s="24"/>
      <c r="C160" s="24"/>
      <c r="D160" s="24"/>
      <c r="E160" s="24"/>
      <c r="F160" s="10"/>
      <c r="G160" s="10"/>
      <c r="H160" s="9"/>
      <c r="I160" s="56"/>
      <c r="J160" s="56"/>
      <c r="K160" s="56"/>
      <c r="L160" s="56"/>
      <c r="P160" s="34"/>
      <c r="Q160" s="56"/>
    </row>
    <row r="161" spans="2:17" ht="14" x14ac:dyDescent="0.15">
      <c r="B161" s="24"/>
      <c r="C161" s="24"/>
      <c r="D161" s="24"/>
      <c r="E161" s="24"/>
      <c r="F161" s="10"/>
      <c r="G161" s="10"/>
      <c r="H161" s="9"/>
      <c r="I161" s="56"/>
      <c r="J161" s="56"/>
      <c r="K161" s="56"/>
      <c r="L161" s="56"/>
      <c r="P161" s="34"/>
      <c r="Q161" s="56"/>
    </row>
    <row r="162" spans="2:17" ht="14" x14ac:dyDescent="0.15">
      <c r="B162" s="24"/>
      <c r="C162" s="24"/>
      <c r="D162" s="24"/>
      <c r="E162" s="24"/>
      <c r="F162" s="10"/>
      <c r="G162" s="10"/>
      <c r="H162" s="9"/>
      <c r="I162" s="56"/>
      <c r="J162" s="56"/>
      <c r="K162" s="56"/>
      <c r="L162" s="56"/>
      <c r="P162" s="34"/>
      <c r="Q162" s="56"/>
    </row>
    <row r="163" spans="2:17" x14ac:dyDescent="0.15">
      <c r="B163" s="24"/>
      <c r="C163" s="24"/>
      <c r="D163" s="24"/>
      <c r="E163" s="24"/>
      <c r="F163" s="29"/>
      <c r="G163" s="29"/>
      <c r="I163" s="56"/>
      <c r="J163" s="56"/>
      <c r="K163" s="56"/>
      <c r="L163" s="56"/>
      <c r="P163" s="34"/>
      <c r="Q163" s="56"/>
    </row>
    <row r="164" spans="2:17" x14ac:dyDescent="0.15">
      <c r="B164" s="24"/>
      <c r="C164" s="24"/>
      <c r="D164" s="24"/>
      <c r="E164" s="24"/>
      <c r="F164" s="29"/>
      <c r="G164" s="29"/>
      <c r="I164" s="56"/>
      <c r="J164" s="56"/>
      <c r="K164" s="56"/>
      <c r="L164" s="56"/>
      <c r="P164" s="34"/>
      <c r="Q164" s="56"/>
    </row>
    <row r="165" spans="2:17" ht="15" x14ac:dyDescent="0.2">
      <c r="B165" s="24"/>
      <c r="C165" s="24"/>
      <c r="D165" s="24"/>
      <c r="E165" s="24"/>
      <c r="F165" s="35"/>
      <c r="G165" s="35"/>
      <c r="H165" s="17"/>
      <c r="I165" s="56"/>
      <c r="J165" s="56"/>
      <c r="K165" s="56"/>
      <c r="L165" s="56"/>
      <c r="P165" s="34"/>
      <c r="Q165" s="56"/>
    </row>
    <row r="166" spans="2:17" ht="15" x14ac:dyDescent="0.2">
      <c r="B166" s="24"/>
      <c r="C166" s="24"/>
      <c r="D166" s="24"/>
      <c r="E166" s="24"/>
      <c r="F166" s="35"/>
      <c r="G166" s="35"/>
      <c r="H166" s="17"/>
      <c r="I166" s="56"/>
      <c r="J166" s="56"/>
      <c r="K166" s="56"/>
      <c r="L166" s="56"/>
      <c r="P166" s="34"/>
      <c r="Q166" s="56"/>
    </row>
    <row r="167" spans="2:17" ht="15" x14ac:dyDescent="0.2">
      <c r="B167" s="24"/>
      <c r="C167" s="24"/>
      <c r="D167" s="24"/>
      <c r="E167" s="24"/>
      <c r="F167" s="35"/>
      <c r="G167" s="35"/>
      <c r="H167" s="17"/>
      <c r="I167" s="56"/>
      <c r="J167" s="56"/>
      <c r="K167" s="56"/>
      <c r="L167" s="56"/>
      <c r="P167" s="34"/>
      <c r="Q167" s="56"/>
    </row>
    <row r="168" spans="2:17" ht="15" x14ac:dyDescent="0.2">
      <c r="B168" s="24"/>
      <c r="C168" s="24"/>
      <c r="D168" s="24"/>
      <c r="E168" s="24"/>
      <c r="F168" s="35"/>
      <c r="G168" s="35"/>
      <c r="H168" s="17"/>
      <c r="I168" s="56"/>
      <c r="J168" s="56"/>
      <c r="K168" s="56"/>
      <c r="L168" s="56"/>
      <c r="P168" s="34"/>
      <c r="Q168" s="56"/>
    </row>
    <row r="169" spans="2:17" ht="15" x14ac:dyDescent="0.2">
      <c r="B169" s="24"/>
      <c r="C169" s="24"/>
      <c r="D169" s="24"/>
      <c r="E169" s="24"/>
      <c r="F169" s="35"/>
      <c r="G169" s="35"/>
      <c r="H169" s="9"/>
      <c r="I169" s="56"/>
      <c r="J169" s="56"/>
      <c r="K169" s="56"/>
      <c r="L169" s="56"/>
      <c r="P169" s="34"/>
      <c r="Q169" s="56"/>
    </row>
    <row r="170" spans="2:17" ht="15" x14ac:dyDescent="0.2">
      <c r="B170" s="24"/>
      <c r="C170" s="24"/>
      <c r="D170" s="24"/>
      <c r="E170" s="24"/>
      <c r="F170" s="35"/>
      <c r="G170" s="35"/>
      <c r="H170" s="9"/>
      <c r="I170" s="56"/>
      <c r="J170" s="56"/>
      <c r="K170" s="56"/>
      <c r="L170" s="56"/>
      <c r="P170" s="34"/>
      <c r="Q170" s="56"/>
    </row>
    <row r="171" spans="2:17" ht="15" x14ac:dyDescent="0.2">
      <c r="B171" s="24"/>
      <c r="C171" s="24"/>
      <c r="D171" s="24"/>
      <c r="E171" s="24"/>
      <c r="F171" s="35"/>
      <c r="G171" s="35"/>
      <c r="H171" s="9"/>
      <c r="I171" s="56"/>
      <c r="J171" s="56"/>
      <c r="K171" s="56"/>
      <c r="L171" s="56"/>
      <c r="P171" s="34"/>
      <c r="Q171" s="56"/>
    </row>
    <row r="172" spans="2:17" ht="15" x14ac:dyDescent="0.2">
      <c r="B172" s="24"/>
      <c r="C172" s="24"/>
      <c r="D172" s="24"/>
      <c r="E172" s="24"/>
      <c r="F172" s="35"/>
      <c r="G172" s="35"/>
      <c r="H172" s="9"/>
      <c r="I172" s="56"/>
      <c r="J172" s="56"/>
      <c r="K172" s="56"/>
      <c r="L172" s="56"/>
      <c r="P172" s="34"/>
      <c r="Q172" s="56"/>
    </row>
    <row r="173" spans="2:17" ht="15" x14ac:dyDescent="0.2">
      <c r="B173" s="24"/>
      <c r="C173" s="24"/>
      <c r="D173" s="24"/>
      <c r="E173" s="24"/>
      <c r="F173" s="35"/>
      <c r="G173" s="35"/>
      <c r="H173" s="141"/>
      <c r="I173" s="56"/>
      <c r="J173" s="56"/>
      <c r="K173" s="56"/>
      <c r="L173" s="56"/>
      <c r="P173" s="34"/>
      <c r="Q173" s="56"/>
    </row>
    <row r="174" spans="2:17" ht="15" x14ac:dyDescent="0.2">
      <c r="B174" s="24"/>
      <c r="C174" s="24"/>
      <c r="D174" s="24"/>
      <c r="E174" s="24"/>
      <c r="F174" s="35"/>
      <c r="G174" s="35"/>
      <c r="I174" s="56"/>
      <c r="J174" s="56"/>
      <c r="K174" s="56"/>
      <c r="L174" s="56"/>
      <c r="P174" s="34"/>
      <c r="Q174" s="56"/>
    </row>
    <row r="175" spans="2:17" ht="15" x14ac:dyDescent="0.2">
      <c r="B175" s="24"/>
      <c r="C175" s="24"/>
      <c r="D175" s="24"/>
      <c r="E175" s="24"/>
      <c r="F175" s="35"/>
      <c r="G175" s="35"/>
      <c r="I175" s="56"/>
      <c r="J175" s="56"/>
      <c r="K175" s="56"/>
      <c r="L175" s="56"/>
      <c r="P175" s="34"/>
      <c r="Q175" s="56"/>
    </row>
    <row r="176" spans="2:17" ht="15" x14ac:dyDescent="0.2">
      <c r="B176" s="24"/>
      <c r="C176" s="24"/>
      <c r="D176" s="24"/>
      <c r="E176" s="24"/>
      <c r="F176" s="35"/>
      <c r="G176" s="35"/>
      <c r="I176" s="56"/>
      <c r="J176" s="56"/>
      <c r="K176" s="56"/>
      <c r="L176" s="56"/>
      <c r="P176" s="34"/>
      <c r="Q176" s="56"/>
    </row>
    <row r="177" spans="2:17" ht="15" x14ac:dyDescent="0.2">
      <c r="B177" s="24"/>
      <c r="C177" s="24"/>
      <c r="D177" s="24"/>
      <c r="E177" s="24"/>
      <c r="F177" s="35"/>
      <c r="G177" s="35"/>
      <c r="I177" s="56"/>
      <c r="J177" s="56"/>
      <c r="K177" s="56"/>
      <c r="L177" s="56"/>
      <c r="P177" s="34"/>
      <c r="Q177" s="56"/>
    </row>
    <row r="178" spans="2:17" ht="15" x14ac:dyDescent="0.2">
      <c r="B178" s="24"/>
      <c r="C178" s="24"/>
      <c r="D178" s="24"/>
      <c r="E178" s="24"/>
      <c r="F178" s="35"/>
      <c r="G178" s="35"/>
      <c r="I178" s="56"/>
      <c r="J178" s="56"/>
      <c r="K178" s="56"/>
      <c r="L178" s="56"/>
      <c r="P178" s="34"/>
      <c r="Q178" s="56"/>
    </row>
    <row r="179" spans="2:17" ht="15" x14ac:dyDescent="0.2">
      <c r="B179" s="24"/>
      <c r="C179" s="24"/>
      <c r="D179" s="24"/>
      <c r="E179" s="24"/>
      <c r="F179" s="35"/>
      <c r="G179" s="35"/>
      <c r="I179" s="56"/>
      <c r="J179" s="56"/>
      <c r="K179" s="56"/>
      <c r="L179" s="56"/>
      <c r="P179" s="34"/>
      <c r="Q179" s="56"/>
    </row>
    <row r="180" spans="2:17" ht="14" x14ac:dyDescent="0.15">
      <c r="B180" s="24"/>
      <c r="C180" s="24"/>
      <c r="D180" s="24"/>
      <c r="E180" s="24"/>
      <c r="F180" s="10"/>
      <c r="G180" s="10"/>
      <c r="H180" s="9"/>
      <c r="I180" s="60"/>
      <c r="J180" s="56"/>
      <c r="K180" s="56"/>
      <c r="L180" s="56"/>
      <c r="P180" s="34"/>
      <c r="Q180" s="56"/>
    </row>
    <row r="181" spans="2:17" ht="14" x14ac:dyDescent="0.15">
      <c r="B181" s="24"/>
      <c r="C181" s="24"/>
      <c r="D181" s="24"/>
      <c r="E181" s="24"/>
      <c r="F181" s="10"/>
      <c r="G181" s="10"/>
      <c r="H181" s="9"/>
      <c r="I181" s="60"/>
      <c r="J181" s="56"/>
      <c r="K181" s="56"/>
      <c r="L181" s="56"/>
      <c r="P181" s="34"/>
      <c r="Q181" s="56"/>
    </row>
    <row r="182" spans="2:17" ht="14" x14ac:dyDescent="0.15">
      <c r="B182" s="24"/>
      <c r="C182" s="24"/>
      <c r="D182" s="24"/>
      <c r="E182" s="24"/>
      <c r="F182" s="10"/>
      <c r="G182" s="10"/>
      <c r="H182" s="9"/>
      <c r="I182" s="56"/>
      <c r="J182" s="56"/>
      <c r="K182" s="56"/>
      <c r="L182" s="56"/>
      <c r="P182" s="34"/>
      <c r="Q182" s="56"/>
    </row>
    <row r="183" spans="2:17" ht="14" x14ac:dyDescent="0.15">
      <c r="B183" s="24"/>
      <c r="C183" s="24"/>
      <c r="D183" s="24"/>
      <c r="E183" s="24"/>
      <c r="F183" s="10"/>
      <c r="G183" s="10"/>
      <c r="H183" s="9"/>
      <c r="I183" s="60"/>
      <c r="J183" s="56"/>
      <c r="K183" s="56"/>
      <c r="L183" s="56"/>
      <c r="P183" s="34"/>
      <c r="Q183" s="56"/>
    </row>
    <row r="184" spans="2:17" ht="14" x14ac:dyDescent="0.15">
      <c r="B184" s="24"/>
      <c r="C184" s="24"/>
      <c r="D184" s="24"/>
      <c r="E184" s="24"/>
      <c r="F184" s="10"/>
      <c r="G184" s="10"/>
      <c r="H184" s="9"/>
      <c r="I184" s="60"/>
      <c r="J184" s="56"/>
      <c r="K184" s="56"/>
      <c r="L184" s="56"/>
      <c r="P184" s="34"/>
      <c r="Q184" s="56"/>
    </row>
    <row r="185" spans="2:17" ht="14" x14ac:dyDescent="0.15">
      <c r="B185" s="24"/>
      <c r="C185" s="24"/>
      <c r="D185" s="24"/>
      <c r="E185" s="24"/>
      <c r="F185" s="10"/>
      <c r="G185" s="10"/>
      <c r="H185" s="9"/>
      <c r="I185" s="60"/>
      <c r="J185" s="56"/>
      <c r="K185" s="56"/>
      <c r="L185" s="56"/>
      <c r="P185" s="34"/>
      <c r="Q185" s="56"/>
    </row>
    <row r="186" spans="2:17" ht="14" x14ac:dyDescent="0.15">
      <c r="B186" s="24"/>
      <c r="C186" s="24"/>
      <c r="D186" s="24"/>
      <c r="E186" s="24"/>
      <c r="F186" s="10"/>
      <c r="G186" s="10"/>
      <c r="H186" s="9"/>
      <c r="I186" s="60"/>
      <c r="J186" s="56"/>
      <c r="K186" s="56"/>
      <c r="L186" s="56"/>
      <c r="P186" s="34"/>
      <c r="Q186" s="56"/>
    </row>
    <row r="187" spans="2:17" ht="14" x14ac:dyDescent="0.15">
      <c r="B187" s="24"/>
      <c r="C187" s="24"/>
      <c r="D187" s="24"/>
      <c r="E187" s="24"/>
      <c r="F187" s="10"/>
      <c r="G187" s="10"/>
      <c r="H187" s="9"/>
      <c r="I187" s="60"/>
      <c r="J187" s="56"/>
      <c r="K187" s="56"/>
      <c r="L187" s="56"/>
      <c r="P187" s="34"/>
      <c r="Q187" s="56"/>
    </row>
    <row r="188" spans="2:17" ht="14" x14ac:dyDescent="0.15">
      <c r="B188" s="24"/>
      <c r="C188" s="24"/>
      <c r="D188" s="24"/>
      <c r="E188" s="24"/>
      <c r="F188" s="29"/>
      <c r="G188" s="29"/>
      <c r="I188" s="60"/>
      <c r="J188" s="56"/>
      <c r="K188" s="56"/>
      <c r="L188" s="56"/>
      <c r="P188" s="34"/>
      <c r="Q188" s="56"/>
    </row>
    <row r="189" spans="2:17" x14ac:dyDescent="0.15">
      <c r="B189" s="24"/>
      <c r="C189" s="24"/>
      <c r="D189" s="24"/>
      <c r="E189" s="24"/>
      <c r="F189" s="29"/>
      <c r="G189" s="29"/>
      <c r="I189" s="56"/>
      <c r="J189" s="56"/>
      <c r="K189" s="56"/>
      <c r="L189" s="56"/>
      <c r="P189" s="34"/>
      <c r="Q189" s="56"/>
    </row>
    <row r="190" spans="2:17" ht="15" x14ac:dyDescent="0.2">
      <c r="B190" s="24"/>
      <c r="C190" s="24"/>
      <c r="D190" s="24"/>
      <c r="E190" s="24"/>
      <c r="F190" s="35"/>
      <c r="G190" s="35"/>
      <c r="H190" s="17"/>
      <c r="I190" s="56"/>
      <c r="J190" s="56"/>
      <c r="K190" s="56"/>
      <c r="L190" s="56"/>
      <c r="P190" s="34"/>
      <c r="Q190" s="56"/>
    </row>
    <row r="191" spans="2:17" ht="15" x14ac:dyDescent="0.2">
      <c r="B191" s="24"/>
      <c r="C191" s="24"/>
      <c r="D191" s="24"/>
      <c r="E191" s="24"/>
      <c r="F191" s="35"/>
      <c r="G191" s="35"/>
      <c r="H191" s="17"/>
      <c r="I191" s="61"/>
      <c r="J191" s="56"/>
      <c r="K191" s="56"/>
      <c r="L191" s="56"/>
      <c r="P191" s="34"/>
      <c r="Q191" s="56"/>
    </row>
    <row r="192" spans="2:17" ht="15" x14ac:dyDescent="0.2">
      <c r="B192" s="24"/>
      <c r="C192" s="24"/>
      <c r="D192" s="24"/>
      <c r="E192" s="24"/>
      <c r="F192" s="35"/>
      <c r="G192" s="35"/>
      <c r="H192" s="17"/>
      <c r="I192" s="61"/>
      <c r="J192" s="56"/>
      <c r="K192" s="56"/>
      <c r="L192" s="56"/>
      <c r="P192" s="34"/>
      <c r="Q192" s="56"/>
    </row>
    <row r="193" spans="2:17" ht="15" x14ac:dyDescent="0.2">
      <c r="B193" s="24"/>
      <c r="C193" s="24"/>
      <c r="D193" s="24"/>
      <c r="E193" s="24"/>
      <c r="F193" s="35"/>
      <c r="G193" s="35"/>
      <c r="H193" s="17"/>
      <c r="I193" s="61"/>
      <c r="J193" s="56"/>
      <c r="K193" s="56"/>
      <c r="L193" s="56"/>
      <c r="P193" s="34"/>
      <c r="Q193" s="56"/>
    </row>
    <row r="194" spans="2:17" ht="15" x14ac:dyDescent="0.2">
      <c r="B194" s="24"/>
      <c r="C194" s="24"/>
      <c r="D194" s="24"/>
      <c r="E194" s="24"/>
      <c r="F194" s="35"/>
      <c r="G194" s="35"/>
      <c r="H194" s="9"/>
      <c r="I194" s="61"/>
      <c r="J194" s="56"/>
      <c r="K194" s="56"/>
      <c r="L194" s="56"/>
      <c r="P194" s="34"/>
      <c r="Q194" s="56"/>
    </row>
    <row r="195" spans="2:17" ht="15" x14ac:dyDescent="0.2">
      <c r="B195" s="24"/>
      <c r="C195" s="24"/>
      <c r="D195" s="24"/>
      <c r="E195" s="24"/>
      <c r="F195" s="35"/>
      <c r="G195" s="35"/>
      <c r="H195" s="9"/>
      <c r="I195" s="60"/>
      <c r="J195" s="56"/>
      <c r="K195" s="56"/>
      <c r="L195" s="56"/>
      <c r="P195" s="34"/>
      <c r="Q195" s="56"/>
    </row>
    <row r="196" spans="2:17" ht="15" x14ac:dyDescent="0.2">
      <c r="B196" s="24"/>
      <c r="C196" s="24"/>
      <c r="D196" s="24"/>
      <c r="E196" s="24"/>
      <c r="F196" s="35"/>
      <c r="G196" s="35"/>
      <c r="H196" s="9"/>
      <c r="I196" s="60"/>
      <c r="J196" s="56"/>
      <c r="K196" s="56"/>
      <c r="L196" s="56"/>
      <c r="P196" s="34"/>
      <c r="Q196" s="56"/>
    </row>
    <row r="197" spans="2:17" ht="15" x14ac:dyDescent="0.2">
      <c r="B197" s="24"/>
      <c r="C197" s="24"/>
      <c r="D197" s="24"/>
      <c r="E197" s="24"/>
      <c r="F197" s="35"/>
      <c r="G197" s="35"/>
      <c r="H197" s="9"/>
      <c r="I197" s="60"/>
      <c r="J197" s="56"/>
      <c r="K197" s="56"/>
      <c r="L197" s="56"/>
      <c r="P197" s="34"/>
      <c r="Q197" s="56"/>
    </row>
    <row r="198" spans="2:17" ht="15" x14ac:dyDescent="0.2">
      <c r="B198" s="24"/>
      <c r="C198" s="24"/>
      <c r="D198" s="24"/>
      <c r="E198" s="24"/>
      <c r="F198" s="35"/>
      <c r="G198" s="35"/>
      <c r="H198" s="141"/>
      <c r="I198" s="60"/>
      <c r="J198" s="56"/>
      <c r="K198" s="56"/>
      <c r="L198" s="56"/>
      <c r="P198" s="34"/>
      <c r="Q198" s="56"/>
    </row>
    <row r="199" spans="2:17" ht="15" x14ac:dyDescent="0.2">
      <c r="B199" s="24"/>
      <c r="C199" s="24"/>
      <c r="D199" s="24"/>
      <c r="E199" s="24"/>
      <c r="F199" s="35"/>
      <c r="G199" s="35"/>
      <c r="I199" s="142"/>
      <c r="J199" s="56"/>
      <c r="K199" s="56"/>
      <c r="L199" s="56"/>
      <c r="P199" s="34"/>
      <c r="Q199" s="56"/>
    </row>
    <row r="200" spans="2:17" ht="15" x14ac:dyDescent="0.2">
      <c r="B200" s="24"/>
      <c r="C200" s="24"/>
      <c r="D200" s="24"/>
      <c r="E200" s="24"/>
      <c r="F200" s="35"/>
      <c r="G200" s="35"/>
      <c r="I200" s="56"/>
      <c r="J200" s="56"/>
      <c r="K200" s="56"/>
      <c r="L200" s="56"/>
      <c r="P200" s="34"/>
      <c r="Q200" s="56"/>
    </row>
    <row r="201" spans="2:17" ht="15" x14ac:dyDescent="0.2">
      <c r="B201" s="24"/>
      <c r="C201" s="24"/>
      <c r="D201" s="24"/>
      <c r="E201" s="24"/>
      <c r="F201" s="35"/>
      <c r="G201" s="35"/>
      <c r="I201" s="56"/>
      <c r="J201" s="56"/>
      <c r="K201" s="56"/>
      <c r="L201" s="56"/>
      <c r="P201" s="34"/>
      <c r="Q201" s="56"/>
    </row>
    <row r="202" spans="2:17" ht="15" x14ac:dyDescent="0.2">
      <c r="B202" s="24"/>
      <c r="C202" s="24"/>
      <c r="D202" s="24"/>
      <c r="E202" s="24"/>
      <c r="F202" s="35"/>
      <c r="G202" s="35"/>
      <c r="I202" s="56"/>
      <c r="J202" s="56"/>
      <c r="K202" s="56"/>
      <c r="L202" s="56"/>
      <c r="P202" s="34"/>
      <c r="Q202" s="56"/>
    </row>
    <row r="203" spans="2:17" ht="15" x14ac:dyDescent="0.2">
      <c r="B203" s="24"/>
      <c r="C203" s="24"/>
      <c r="D203" s="24"/>
      <c r="E203" s="24"/>
      <c r="F203" s="35"/>
      <c r="G203" s="35"/>
      <c r="I203" s="56"/>
      <c r="J203" s="56"/>
      <c r="K203" s="56"/>
      <c r="L203" s="56"/>
      <c r="P203" s="34"/>
      <c r="Q203" s="56"/>
    </row>
    <row r="204" spans="2:17" ht="15" x14ac:dyDescent="0.2">
      <c r="B204" s="24"/>
      <c r="C204" s="24"/>
      <c r="D204" s="24"/>
      <c r="E204" s="24"/>
      <c r="F204" s="35"/>
      <c r="G204" s="35"/>
      <c r="I204" s="56"/>
      <c r="J204" s="56"/>
      <c r="K204" s="56"/>
      <c r="L204" s="56"/>
      <c r="P204" s="34"/>
      <c r="Q204" s="56"/>
    </row>
    <row r="205" spans="2:17" ht="15" x14ac:dyDescent="0.2">
      <c r="F205" s="35"/>
      <c r="G205" s="35"/>
    </row>
    <row r="206" spans="2:17" ht="15" x14ac:dyDescent="0.2">
      <c r="F206" s="35"/>
      <c r="G206" s="35"/>
    </row>
  </sheetData>
  <sortState xmlns:xlrd2="http://schemas.microsoft.com/office/spreadsheetml/2017/richdata2" ref="A2:V206">
    <sortCondition ref="A1:A20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A44C-23D2-5C43-85CA-AF629D5F8C94}">
  <dimension ref="A1:BK37"/>
  <sheetViews>
    <sheetView zoomScale="93" workbookViewId="0">
      <pane xSplit="2" topLeftCell="AR1" activePane="topRight" state="frozen"/>
      <selection pane="topRight" activeCell="E17" sqref="E17"/>
    </sheetView>
  </sheetViews>
  <sheetFormatPr baseColWidth="10" defaultRowHeight="14" x14ac:dyDescent="0.15"/>
  <cols>
    <col min="1" max="1" width="10.83203125" style="77"/>
    <col min="2" max="2" width="12.6640625" style="77" bestFit="1" customWidth="1"/>
    <col min="3" max="12" width="10.83203125" style="77"/>
    <col min="13" max="13" width="7" style="77" bestFit="1" customWidth="1"/>
    <col min="14" max="19" width="10.83203125" style="77" customWidth="1"/>
    <col min="20" max="21" width="10.83203125" style="77" hidden="1" customWidth="1"/>
    <col min="22" max="22" width="12.33203125" style="77" bestFit="1" customWidth="1"/>
    <col min="23" max="23" width="10.83203125" style="77" customWidth="1"/>
    <col min="28" max="29" width="10.83203125" style="77" customWidth="1"/>
    <col min="31" max="33" width="10.83203125" style="103"/>
    <col min="34" max="35" width="10.83203125" style="77" customWidth="1"/>
    <col min="37" max="39" width="10.83203125" style="103"/>
    <col min="40" max="41" width="10.83203125" style="77" customWidth="1"/>
    <col min="43" max="44" width="10.83203125" style="103"/>
    <col min="45" max="45" width="5.5" style="103" bestFit="1" customWidth="1"/>
    <col min="46" max="46" width="12" style="77" bestFit="1" customWidth="1"/>
    <col min="47" max="47" width="10.83203125" style="77" customWidth="1"/>
    <col min="48" max="48" width="6.5" bestFit="1" customWidth="1"/>
    <col min="49" max="49" width="11.83203125" style="77" bestFit="1" customWidth="1"/>
    <col min="50" max="50" width="10.83203125" style="77" customWidth="1"/>
    <col min="52" max="63" width="10.83203125" style="77" customWidth="1"/>
    <col min="64" max="16384" width="10.83203125" style="77"/>
  </cols>
  <sheetData>
    <row r="1" spans="1:63" x14ac:dyDescent="0.15">
      <c r="A1" s="78" t="s">
        <v>0</v>
      </c>
      <c r="B1" s="78" t="s">
        <v>402</v>
      </c>
      <c r="C1" s="78" t="s">
        <v>400</v>
      </c>
      <c r="D1" s="78" t="s">
        <v>81</v>
      </c>
      <c r="E1" s="78" t="s">
        <v>442</v>
      </c>
      <c r="F1" s="78" t="s">
        <v>583</v>
      </c>
      <c r="G1" s="78" t="s">
        <v>502</v>
      </c>
      <c r="H1" s="78" t="s">
        <v>503</v>
      </c>
      <c r="I1" s="78" t="s">
        <v>510</v>
      </c>
      <c r="J1" s="78" t="s">
        <v>28</v>
      </c>
      <c r="K1" s="78" t="s">
        <v>6</v>
      </c>
      <c r="L1" s="78" t="s">
        <v>5</v>
      </c>
      <c r="M1" s="77" t="s">
        <v>487</v>
      </c>
      <c r="N1" s="79" t="s">
        <v>545</v>
      </c>
      <c r="O1" s="79" t="s">
        <v>546</v>
      </c>
      <c r="P1" s="79" t="s">
        <v>547</v>
      </c>
      <c r="Q1" s="79" t="s">
        <v>562</v>
      </c>
      <c r="R1" s="79" t="s">
        <v>554</v>
      </c>
      <c r="S1" s="79" t="s">
        <v>549</v>
      </c>
      <c r="T1" s="79" t="s">
        <v>561</v>
      </c>
      <c r="U1" s="79" t="s">
        <v>559</v>
      </c>
      <c r="V1" s="80" t="s">
        <v>551</v>
      </c>
      <c r="W1" s="80" t="s">
        <v>495</v>
      </c>
      <c r="X1" s="53" t="s">
        <v>650</v>
      </c>
      <c r="Y1" s="105" t="s">
        <v>686</v>
      </c>
      <c r="Z1" s="105" t="s">
        <v>687</v>
      </c>
      <c r="AA1" s="105" t="s">
        <v>679</v>
      </c>
      <c r="AB1" s="80" t="s">
        <v>564</v>
      </c>
      <c r="AC1" s="80" t="s">
        <v>496</v>
      </c>
      <c r="AD1" s="53" t="s">
        <v>651</v>
      </c>
      <c r="AE1" s="105" t="s">
        <v>688</v>
      </c>
      <c r="AF1" s="105" t="s">
        <v>689</v>
      </c>
      <c r="AG1" s="105" t="s">
        <v>680</v>
      </c>
      <c r="AH1" s="80" t="s">
        <v>565</v>
      </c>
      <c r="AI1" s="80" t="s">
        <v>497</v>
      </c>
      <c r="AJ1" s="53" t="s">
        <v>652</v>
      </c>
      <c r="AK1" s="105" t="s">
        <v>690</v>
      </c>
      <c r="AL1" s="105" t="s">
        <v>691</v>
      </c>
      <c r="AM1" s="105" t="s">
        <v>696</v>
      </c>
      <c r="AN1" s="80" t="s">
        <v>563</v>
      </c>
      <c r="AO1" s="80" t="s">
        <v>538</v>
      </c>
      <c r="AP1" s="53" t="s">
        <v>655</v>
      </c>
      <c r="AQ1" s="105" t="s">
        <v>699</v>
      </c>
      <c r="AR1" s="105" t="s">
        <v>700</v>
      </c>
      <c r="AS1" s="105" t="s">
        <v>701</v>
      </c>
      <c r="AT1" s="80" t="s">
        <v>555</v>
      </c>
      <c r="AU1" s="80" t="s">
        <v>531</v>
      </c>
      <c r="AV1" s="53" t="s">
        <v>656</v>
      </c>
      <c r="AW1" s="105" t="s">
        <v>702</v>
      </c>
      <c r="AX1" s="105" t="s">
        <v>703</v>
      </c>
      <c r="AY1" s="105" t="s">
        <v>704</v>
      </c>
      <c r="AZ1" s="80" t="s">
        <v>557</v>
      </c>
      <c r="BA1" s="80" t="s">
        <v>499</v>
      </c>
      <c r="BB1" s="53" t="s">
        <v>654</v>
      </c>
      <c r="BC1" s="105" t="s">
        <v>697</v>
      </c>
      <c r="BD1" s="105" t="s">
        <v>698</v>
      </c>
      <c r="BE1" s="105" t="s">
        <v>681</v>
      </c>
      <c r="BF1" s="80" t="s">
        <v>558</v>
      </c>
      <c r="BG1" s="80" t="s">
        <v>500</v>
      </c>
      <c r="BH1" s="80" t="s">
        <v>671</v>
      </c>
      <c r="BI1" s="80" t="s">
        <v>566</v>
      </c>
      <c r="BJ1" s="81" t="s">
        <v>535</v>
      </c>
      <c r="BK1" s="81" t="s">
        <v>536</v>
      </c>
    </row>
    <row r="2" spans="1:63" x14ac:dyDescent="0.15">
      <c r="A2" s="69" t="s">
        <v>16</v>
      </c>
      <c r="B2" s="70" t="s">
        <v>714</v>
      </c>
      <c r="C2" s="8" t="s">
        <v>458</v>
      </c>
      <c r="D2" s="9" t="s">
        <v>82</v>
      </c>
      <c r="E2" s="10" t="s">
        <v>293</v>
      </c>
      <c r="F2" s="10" t="s">
        <v>580</v>
      </c>
      <c r="G2" s="64">
        <v>1890</v>
      </c>
      <c r="H2" s="64">
        <v>1890</v>
      </c>
      <c r="I2" s="10" t="s">
        <v>640</v>
      </c>
      <c r="J2" s="64">
        <v>351</v>
      </c>
      <c r="K2" s="64">
        <v>325</v>
      </c>
      <c r="L2" s="64">
        <v>445</v>
      </c>
      <c r="M2" s="77" t="s">
        <v>37</v>
      </c>
      <c r="N2" s="82">
        <f t="shared" ref="N2:N12" si="0">J2*7.8 - 437.5</f>
        <v>2300.2999999999997</v>
      </c>
      <c r="O2" s="82">
        <f t="shared" ref="O2:O12" si="1">5.3769*J2-115.64</f>
        <v>1771.6518999999998</v>
      </c>
      <c r="P2" s="82">
        <f t="shared" ref="P2:P12" si="2">2.2177*J2^1.1454</f>
        <v>1825.1458180929744</v>
      </c>
      <c r="Q2" s="82">
        <f t="shared" ref="Q2:Q12" si="3">((1.55958*J2)^1.1799)</f>
        <v>1701.9139631565849</v>
      </c>
      <c r="R2" s="82">
        <f t="shared" ref="R2:R12" si="4">(1.901*J2)^1.157</f>
        <v>1852.2629634430446</v>
      </c>
      <c r="S2" s="82">
        <f t="shared" ref="S2:S12" si="5">J2/0.2</f>
        <v>1755</v>
      </c>
      <c r="T2" s="82">
        <f t="shared" ref="T2:T12" si="6">J2*6.0172 - 204.33</f>
        <v>1907.7071999999998</v>
      </c>
      <c r="U2" s="82">
        <f t="shared" ref="U2:U12" si="7">2.7244*(J2^1.1135)</f>
        <v>1859.8175680702582</v>
      </c>
      <c r="V2" s="82">
        <f t="shared" ref="V2:V12" si="8">K2*8.16 - 437.5</f>
        <v>2214.5</v>
      </c>
      <c r="W2" s="83">
        <f t="shared" ref="W2:W12" si="9">-(G2-V2)</f>
        <v>324.5</v>
      </c>
      <c r="X2" s="34">
        <f t="shared" ref="X2:X12" si="10">ABS(W2)</f>
        <v>324.5</v>
      </c>
      <c r="Y2" s="113">
        <f>W2/G2*100</f>
        <v>17.169312169312171</v>
      </c>
      <c r="Z2" s="113">
        <f>ABS(Y2)</f>
        <v>17.169312169312171</v>
      </c>
      <c r="AA2" s="113">
        <f>LOG10(X2+1)</f>
        <v>2.5125509929042109</v>
      </c>
      <c r="AB2" s="83">
        <f t="shared" ref="AB2:AB12" si="11">K2*5.8895 - 170.44</f>
        <v>1743.6475</v>
      </c>
      <c r="AC2" s="83">
        <f t="shared" ref="AC2:AC12" si="12">-(G2-AB2)</f>
        <v>-146.35249999999996</v>
      </c>
      <c r="AD2" s="34">
        <f t="shared" ref="AD2:AD12" si="13">ABS(AC2)</f>
        <v>146.35249999999996</v>
      </c>
      <c r="AE2" s="113">
        <f>AC2/G2*100</f>
        <v>-7.743518518518516</v>
      </c>
      <c r="AF2" s="113">
        <f>ABS(AE2)</f>
        <v>7.743518518518516</v>
      </c>
      <c r="AG2" s="113">
        <f t="shared" ref="AG2:AG12" si="14">LOG10(AD2+1)</f>
        <v>2.1683575085401641</v>
      </c>
      <c r="AH2" s="83">
        <f t="shared" ref="AH2:AH12" si="15">(K2^1.2085)*1.6671</f>
        <v>1809.5587731770622</v>
      </c>
      <c r="AI2" s="83">
        <f t="shared" ref="AI2:AI12" si="16">-(G2-AH2)</f>
        <v>-80.441226822937779</v>
      </c>
      <c r="AJ2" s="34">
        <f t="shared" ref="AJ2:AJ12" si="17">ABS(AI2)</f>
        <v>80.441226822937779</v>
      </c>
      <c r="AK2" s="113">
        <f>AI2/G2*100</f>
        <v>-4.2561495673512049</v>
      </c>
      <c r="AL2" s="113">
        <f>ABS(AK2)</f>
        <v>4.2561495673512049</v>
      </c>
      <c r="AM2" s="113">
        <f t="shared" ref="AM2:AM12" si="18">LOG10(AJ2+1)</f>
        <v>1.9108443072129573</v>
      </c>
      <c r="AN2" s="82">
        <f t="shared" ref="AN2:AN12" si="19">1.81733*(K2)^1.1799</f>
        <v>1671.8795032376424</v>
      </c>
      <c r="AO2" s="83">
        <f t="shared" ref="AO2:AO12" si="20">-(G2-AN2)</f>
        <v>-218.12049676235756</v>
      </c>
      <c r="AP2" s="34">
        <f t="shared" ref="AP2:AP12" si="21">ABS(AO2)</f>
        <v>218.12049676235756</v>
      </c>
      <c r="AQ2" s="113">
        <f t="shared" ref="AQ2:AQ12" si="22">AO2/G2*100</f>
        <v>-11.540767024463364</v>
      </c>
      <c r="AR2" s="113">
        <f t="shared" ref="AR2:AR12" si="23">ABS(AQ2)</f>
        <v>11.540767024463364</v>
      </c>
      <c r="AS2" s="113">
        <f t="shared" ref="AS2:AS12" si="24">LOG10(AN2+1)</f>
        <v>3.2234646600516799</v>
      </c>
      <c r="AT2" s="82">
        <f t="shared" ref="AT2:AT12" si="25">((1.9869*K2)^1.157)</f>
        <v>1783.3586472756149</v>
      </c>
      <c r="AU2" s="83">
        <f t="shared" ref="AU2:AU12" si="26">-(G2-AT2)</f>
        <v>-106.64135272438511</v>
      </c>
      <c r="AV2" s="34">
        <f t="shared" ref="AV2:AV12" si="27">ABS(AU2)</f>
        <v>106.64135272438511</v>
      </c>
      <c r="AW2" s="113">
        <f>AU2/G2*100</f>
        <v>-5.6423996150468314</v>
      </c>
      <c r="AX2" s="113">
        <f>ABS(AW2)</f>
        <v>5.6423996150468314</v>
      </c>
      <c r="AY2" s="113">
        <f t="shared" ref="AY2:AY12" si="28">LOG10(AV2+1)</f>
        <v>2.0319791468866311</v>
      </c>
      <c r="AZ2" s="82">
        <f t="shared" ref="AZ2:AZ12" si="29">K2/0.19</f>
        <v>1710.5263157894738</v>
      </c>
      <c r="BA2" s="83">
        <f t="shared" ref="BA2:BA12" si="30">-(G2-AZ2)</f>
        <v>-179.47368421052624</v>
      </c>
      <c r="BB2" s="34">
        <f t="shared" ref="BB2:BB12" si="31">ABS(BA2)</f>
        <v>179.47368421052624</v>
      </c>
      <c r="BC2" s="113">
        <f>BA2/G2*100</f>
        <v>-9.4959621275410715</v>
      </c>
      <c r="BD2" s="113">
        <f>ABS(BC2)</f>
        <v>9.4959621275410715</v>
      </c>
      <c r="BE2" s="113">
        <f t="shared" ref="BE2:BE12" si="32">LOG10(BB2+1)</f>
        <v>2.2564138841621149</v>
      </c>
      <c r="BF2" s="83">
        <f t="shared" ref="BF2:BF12" si="33">6.1443*K2 - 166.83</f>
        <v>1830.0675000000001</v>
      </c>
      <c r="BG2" s="83">
        <f t="shared" ref="BG2:BG12" si="34">-(G2-BF2)</f>
        <v>-59.932499999999891</v>
      </c>
      <c r="BH2" s="83">
        <f t="shared" ref="BH2:BH12" si="35">ABS(BG2)</f>
        <v>59.932499999999891</v>
      </c>
      <c r="BI2" s="83">
        <f t="shared" ref="BI2:BI12" si="36">2.7587*K2^1.1215</f>
        <v>1810.4296943113645</v>
      </c>
      <c r="BJ2" s="83">
        <f t="shared" ref="BJ2:BJ12" si="37">-(G2-BI2)</f>
        <v>-79.570305688635472</v>
      </c>
      <c r="BK2" s="83">
        <f t="shared" ref="BK2:BK12" si="38">ABS(BJ2)</f>
        <v>79.570305688635472</v>
      </c>
    </row>
    <row r="3" spans="1:63" x14ac:dyDescent="0.15">
      <c r="A3" s="69" t="s">
        <v>16</v>
      </c>
      <c r="B3" s="70" t="s">
        <v>715</v>
      </c>
      <c r="C3" s="8" t="s">
        <v>458</v>
      </c>
      <c r="D3" s="9" t="s">
        <v>82</v>
      </c>
      <c r="E3" s="10" t="s">
        <v>293</v>
      </c>
      <c r="F3" s="10" t="s">
        <v>580</v>
      </c>
      <c r="G3" s="85">
        <v>1940</v>
      </c>
      <c r="H3" s="85">
        <v>1940</v>
      </c>
      <c r="I3" s="10" t="s">
        <v>640</v>
      </c>
      <c r="J3" s="85">
        <v>349</v>
      </c>
      <c r="K3" s="85">
        <v>333</v>
      </c>
      <c r="L3" s="85"/>
      <c r="M3" s="77" t="s">
        <v>37</v>
      </c>
      <c r="N3" s="82">
        <f t="shared" si="0"/>
        <v>2284.6999999999998</v>
      </c>
      <c r="O3" s="82">
        <f t="shared" si="1"/>
        <v>1760.8980999999999</v>
      </c>
      <c r="P3" s="82">
        <f t="shared" si="2"/>
        <v>1813.238954147982</v>
      </c>
      <c r="Q3" s="82">
        <f t="shared" si="3"/>
        <v>1690.4777383073251</v>
      </c>
      <c r="R3" s="82">
        <f t="shared" si="4"/>
        <v>1840.0572191156639</v>
      </c>
      <c r="S3" s="82">
        <f t="shared" si="5"/>
        <v>1745</v>
      </c>
      <c r="T3" s="82">
        <f t="shared" si="6"/>
        <v>1895.6727999999998</v>
      </c>
      <c r="U3" s="82">
        <f t="shared" si="7"/>
        <v>1848.0213510944568</v>
      </c>
      <c r="V3" s="82">
        <f t="shared" si="8"/>
        <v>2279.7800000000002</v>
      </c>
      <c r="W3" s="83">
        <f t="shared" si="9"/>
        <v>339.7800000000002</v>
      </c>
      <c r="X3" s="34">
        <f t="shared" si="10"/>
        <v>339.7800000000002</v>
      </c>
      <c r="Y3" s="113">
        <f t="shared" ref="Y3:Y12" si="39">W3/G3*100</f>
        <v>17.514432989690732</v>
      </c>
      <c r="Z3" s="113">
        <f t="shared" ref="Z3:Z12" si="40">ABS(Y3)</f>
        <v>17.514432989690732</v>
      </c>
      <c r="AA3" s="113">
        <f t="shared" ref="AA3:AA12" si="41">LOG10(X3+1)</f>
        <v>2.5324740985814125</v>
      </c>
      <c r="AB3" s="83">
        <f t="shared" si="11"/>
        <v>1790.7635</v>
      </c>
      <c r="AC3" s="83">
        <f t="shared" si="12"/>
        <v>-149.23649999999998</v>
      </c>
      <c r="AD3" s="34">
        <f t="shared" si="13"/>
        <v>149.23649999999998</v>
      </c>
      <c r="AE3" s="113">
        <f>AC3/G3*100</f>
        <v>-7.6926030927835036</v>
      </c>
      <c r="AF3" s="113">
        <f t="shared" ref="AF3:AF12" si="42">ABS(AE3)</f>
        <v>7.6926030927835036</v>
      </c>
      <c r="AG3" s="113">
        <f t="shared" si="14"/>
        <v>2.1767754574540357</v>
      </c>
      <c r="AH3" s="83">
        <f t="shared" si="15"/>
        <v>1863.5262199907938</v>
      </c>
      <c r="AI3" s="83">
        <f t="shared" si="16"/>
        <v>-76.473780009206166</v>
      </c>
      <c r="AJ3" s="34">
        <f t="shared" si="17"/>
        <v>76.473780009206166</v>
      </c>
      <c r="AK3" s="113">
        <f t="shared" ref="AK3:AK12" si="43">AI3/G3*100</f>
        <v>-3.9419474231549567</v>
      </c>
      <c r="AL3" s="113">
        <f t="shared" ref="AL3:AL12" si="44">ABS(AK3)</f>
        <v>3.9419474231549567</v>
      </c>
      <c r="AM3" s="113">
        <f t="shared" si="18"/>
        <v>1.8891547460672882</v>
      </c>
      <c r="AN3" s="82">
        <f t="shared" si="19"/>
        <v>1720.5438555285875</v>
      </c>
      <c r="AO3" s="83">
        <f t="shared" si="20"/>
        <v>-219.45614447141247</v>
      </c>
      <c r="AP3" s="34">
        <f t="shared" si="21"/>
        <v>219.45614447141247</v>
      </c>
      <c r="AQ3" s="113">
        <f t="shared" si="22"/>
        <v>-11.312172395433633</v>
      </c>
      <c r="AR3" s="113">
        <f t="shared" si="23"/>
        <v>11.312172395433633</v>
      </c>
      <c r="AS3" s="113">
        <f t="shared" si="24"/>
        <v>3.2359180906314373</v>
      </c>
      <c r="AT3" s="82">
        <f t="shared" si="25"/>
        <v>1834.2461723148485</v>
      </c>
      <c r="AU3" s="83">
        <f t="shared" si="26"/>
        <v>-105.75382768515146</v>
      </c>
      <c r="AV3" s="34">
        <f t="shared" si="27"/>
        <v>105.75382768515146</v>
      </c>
      <c r="AW3" s="113">
        <f t="shared" ref="AW3:AW12" si="45">AU3/G3*100</f>
        <v>-5.4512282311933742</v>
      </c>
      <c r="AX3" s="113">
        <f t="shared" ref="AX3:AX12" si="46">ABS(AW3)</f>
        <v>5.4512282311933742</v>
      </c>
      <c r="AY3" s="113">
        <f t="shared" si="28"/>
        <v>2.028383455713338</v>
      </c>
      <c r="AZ3" s="82">
        <f t="shared" si="29"/>
        <v>1752.6315789473683</v>
      </c>
      <c r="BA3" s="83">
        <f t="shared" si="30"/>
        <v>-187.36842105263167</v>
      </c>
      <c r="BB3" s="34">
        <f t="shared" si="31"/>
        <v>187.36842105263167</v>
      </c>
      <c r="BC3" s="113">
        <f t="shared" ref="BC3:BC12" si="47">BA3/G3*100</f>
        <v>-9.6581660336408088</v>
      </c>
      <c r="BD3" s="113">
        <f t="shared" ref="BD3:BD12" si="48">ABS(BC3)</f>
        <v>9.6581660336408088</v>
      </c>
      <c r="BE3" s="113">
        <f t="shared" si="32"/>
        <v>2.2750080974371754</v>
      </c>
      <c r="BF3" s="83">
        <f t="shared" si="33"/>
        <v>1879.2219000000002</v>
      </c>
      <c r="BG3" s="83">
        <f t="shared" si="34"/>
        <v>-60.778099999999768</v>
      </c>
      <c r="BH3" s="83">
        <f t="shared" si="35"/>
        <v>60.778099999999768</v>
      </c>
      <c r="BI3" s="83">
        <f t="shared" si="36"/>
        <v>1860.4829002240576</v>
      </c>
      <c r="BJ3" s="83">
        <f t="shared" si="37"/>
        <v>-79.51709977594237</v>
      </c>
      <c r="BK3" s="83">
        <f t="shared" si="38"/>
        <v>79.51709977594237</v>
      </c>
    </row>
    <row r="4" spans="1:63" x14ac:dyDescent="0.15">
      <c r="A4" s="69" t="s">
        <v>16</v>
      </c>
      <c r="B4" s="7" t="s">
        <v>808</v>
      </c>
      <c r="C4" s="64" t="s">
        <v>824</v>
      </c>
      <c r="D4" s="68" t="s">
        <v>148</v>
      </c>
      <c r="E4" s="22" t="s">
        <v>374</v>
      </c>
      <c r="F4" s="10" t="s">
        <v>580</v>
      </c>
      <c r="G4" s="9">
        <v>1450</v>
      </c>
      <c r="H4" s="9">
        <v>1450</v>
      </c>
      <c r="I4" s="10" t="s">
        <v>634</v>
      </c>
      <c r="J4" s="9">
        <v>294</v>
      </c>
      <c r="K4" s="9">
        <v>273</v>
      </c>
      <c r="L4" s="64"/>
      <c r="M4" s="77" t="s">
        <v>488</v>
      </c>
      <c r="N4" s="82">
        <f t="shared" si="0"/>
        <v>1855.6999999999998</v>
      </c>
      <c r="O4" s="82">
        <f t="shared" si="1"/>
        <v>1465.1686</v>
      </c>
      <c r="P4" s="82">
        <f t="shared" si="2"/>
        <v>1489.8681249857366</v>
      </c>
      <c r="Q4" s="82">
        <f t="shared" si="3"/>
        <v>1380.8062681629879</v>
      </c>
      <c r="R4" s="82">
        <f t="shared" si="4"/>
        <v>1508.8989992496111</v>
      </c>
      <c r="S4" s="82">
        <f t="shared" si="5"/>
        <v>1470</v>
      </c>
      <c r="T4" s="82">
        <f t="shared" si="6"/>
        <v>1564.7268000000001</v>
      </c>
      <c r="U4" s="82">
        <f t="shared" si="7"/>
        <v>1526.7770530487428</v>
      </c>
      <c r="V4" s="82">
        <f t="shared" si="8"/>
        <v>1790.1799999999998</v>
      </c>
      <c r="W4" s="83">
        <f t="shared" si="9"/>
        <v>340.17999999999984</v>
      </c>
      <c r="X4" s="34">
        <f t="shared" si="10"/>
        <v>340.17999999999984</v>
      </c>
      <c r="Y4" s="113">
        <f t="shared" si="39"/>
        <v>23.460689655172402</v>
      </c>
      <c r="Z4" s="113">
        <f t="shared" si="40"/>
        <v>23.460689655172402</v>
      </c>
      <c r="AA4" s="113">
        <f t="shared" si="41"/>
        <v>2.5329835648629619</v>
      </c>
      <c r="AB4" s="60">
        <f t="shared" si="11"/>
        <v>1437.3934999999999</v>
      </c>
      <c r="AC4" s="83">
        <f t="shared" si="12"/>
        <v>-12.606500000000096</v>
      </c>
      <c r="AD4" s="34">
        <f t="shared" si="13"/>
        <v>12.606500000000096</v>
      </c>
      <c r="AE4" s="113">
        <f t="shared" ref="AE4:AE12" si="49">AC4/G4*100</f>
        <v>-0.8694137931034549</v>
      </c>
      <c r="AF4" s="113">
        <f t="shared" si="42"/>
        <v>0.8694137931034549</v>
      </c>
      <c r="AG4" s="113">
        <f t="shared" si="14"/>
        <v>1.1337464259991756</v>
      </c>
      <c r="AH4" s="60">
        <f t="shared" si="15"/>
        <v>1465.7645382725773</v>
      </c>
      <c r="AI4" s="83">
        <f t="shared" si="16"/>
        <v>15.764538272577283</v>
      </c>
      <c r="AJ4" s="34">
        <f t="shared" si="17"/>
        <v>15.764538272577283</v>
      </c>
      <c r="AK4" s="113">
        <f t="shared" si="43"/>
        <v>1.0872095360398126</v>
      </c>
      <c r="AL4" s="113">
        <f t="shared" si="44"/>
        <v>1.0872095360398126</v>
      </c>
      <c r="AM4" s="113">
        <f t="shared" si="18"/>
        <v>1.2243915966295431</v>
      </c>
      <c r="AN4" s="82">
        <f t="shared" si="19"/>
        <v>1361.0124660855174</v>
      </c>
      <c r="AO4" s="83">
        <f t="shared" si="20"/>
        <v>-88.987533914482583</v>
      </c>
      <c r="AP4" s="34">
        <f t="shared" si="21"/>
        <v>88.987533914482583</v>
      </c>
      <c r="AQ4" s="113">
        <f t="shared" si="22"/>
        <v>-6.1370713044470744</v>
      </c>
      <c r="AR4" s="113">
        <f t="shared" si="23"/>
        <v>6.1370713044470744</v>
      </c>
      <c r="AS4" s="113">
        <f t="shared" si="24"/>
        <v>3.1341810825601546</v>
      </c>
      <c r="AT4" s="61">
        <f t="shared" si="25"/>
        <v>1457.5713590579346</v>
      </c>
      <c r="AU4" s="83">
        <f t="shared" si="26"/>
        <v>7.5713590579346146</v>
      </c>
      <c r="AV4" s="34">
        <f t="shared" si="27"/>
        <v>7.5713590579346146</v>
      </c>
      <c r="AW4" s="113">
        <f t="shared" si="45"/>
        <v>0.52216269365066315</v>
      </c>
      <c r="AX4" s="113">
        <f t="shared" si="46"/>
        <v>0.52216269365066315</v>
      </c>
      <c r="AY4" s="113">
        <f t="shared" si="28"/>
        <v>0.9330496882669731</v>
      </c>
      <c r="AZ4" s="61">
        <f t="shared" si="29"/>
        <v>1436.8421052631579</v>
      </c>
      <c r="BA4" s="83">
        <f t="shared" si="30"/>
        <v>-13.157894736842081</v>
      </c>
      <c r="BB4" s="34">
        <f t="shared" si="31"/>
        <v>13.157894736842081</v>
      </c>
      <c r="BC4" s="113">
        <f t="shared" si="47"/>
        <v>-0.90744101633393659</v>
      </c>
      <c r="BD4" s="113">
        <f t="shared" si="48"/>
        <v>0.90744101633393659</v>
      </c>
      <c r="BE4" s="113">
        <f t="shared" si="32"/>
        <v>1.1509986790495783</v>
      </c>
      <c r="BF4" s="83">
        <f t="shared" si="33"/>
        <v>1510.5639000000001</v>
      </c>
      <c r="BG4" s="83">
        <f t="shared" si="34"/>
        <v>60.563900000000103</v>
      </c>
      <c r="BH4" s="83">
        <f t="shared" si="35"/>
        <v>60.563900000000103</v>
      </c>
      <c r="BI4" s="83">
        <f t="shared" si="36"/>
        <v>1488.8840708094838</v>
      </c>
      <c r="BJ4" s="83">
        <f t="shared" si="37"/>
        <v>38.884070809483774</v>
      </c>
      <c r="BK4" s="83">
        <f t="shared" si="38"/>
        <v>38.884070809483774</v>
      </c>
    </row>
    <row r="5" spans="1:63" s="9" customFormat="1" x14ac:dyDescent="0.15">
      <c r="A5" s="86" t="s">
        <v>16</v>
      </c>
      <c r="B5" s="7" t="s">
        <v>809</v>
      </c>
      <c r="C5" s="64" t="s">
        <v>824</v>
      </c>
      <c r="D5" s="9" t="s">
        <v>148</v>
      </c>
      <c r="E5" s="22" t="s">
        <v>374</v>
      </c>
      <c r="F5" s="10" t="s">
        <v>580</v>
      </c>
      <c r="G5" s="64">
        <v>1333</v>
      </c>
      <c r="H5" s="64">
        <v>1333</v>
      </c>
      <c r="I5" s="10" t="s">
        <v>634</v>
      </c>
      <c r="J5" s="64">
        <v>277</v>
      </c>
      <c r="K5" s="64">
        <v>261</v>
      </c>
      <c r="L5" s="64"/>
      <c r="M5" s="77" t="s">
        <v>488</v>
      </c>
      <c r="N5" s="82">
        <f t="shared" si="0"/>
        <v>1723.1</v>
      </c>
      <c r="O5" s="82">
        <f t="shared" si="1"/>
        <v>1373.7612999999999</v>
      </c>
      <c r="P5" s="82">
        <f t="shared" si="2"/>
        <v>1391.6150726418284</v>
      </c>
      <c r="Q5" s="82">
        <f t="shared" si="3"/>
        <v>1287.0979963041912</v>
      </c>
      <c r="R5" s="82">
        <f t="shared" si="4"/>
        <v>1408.4174654719584</v>
      </c>
      <c r="S5" s="82">
        <f t="shared" si="5"/>
        <v>1385</v>
      </c>
      <c r="T5" s="82">
        <f t="shared" si="6"/>
        <v>1462.4344000000001</v>
      </c>
      <c r="U5" s="82">
        <f t="shared" si="7"/>
        <v>1428.8021480629529</v>
      </c>
      <c r="V5" s="82">
        <f t="shared" si="8"/>
        <v>1692.2600000000002</v>
      </c>
      <c r="W5" s="83">
        <f t="shared" si="9"/>
        <v>359.26000000000022</v>
      </c>
      <c r="X5" s="34">
        <f t="shared" si="10"/>
        <v>359.26000000000022</v>
      </c>
      <c r="Y5" s="113">
        <f t="shared" si="39"/>
        <v>26.951237809452376</v>
      </c>
      <c r="Z5" s="113">
        <f t="shared" si="40"/>
        <v>26.951237809452376</v>
      </c>
      <c r="AA5" s="113">
        <f t="shared" si="41"/>
        <v>2.556616044682539</v>
      </c>
      <c r="AB5" s="83">
        <f t="shared" si="11"/>
        <v>1366.7194999999999</v>
      </c>
      <c r="AC5" s="83">
        <f t="shared" si="12"/>
        <v>33.719499999999925</v>
      </c>
      <c r="AD5" s="34">
        <f t="shared" si="13"/>
        <v>33.719499999999925</v>
      </c>
      <c r="AE5" s="113">
        <f t="shared" si="49"/>
        <v>2.5295948987246755</v>
      </c>
      <c r="AF5" s="113">
        <f t="shared" si="42"/>
        <v>2.5295948987246755</v>
      </c>
      <c r="AG5" s="113">
        <f t="shared" si="14"/>
        <v>1.5405734622186087</v>
      </c>
      <c r="AH5" s="83">
        <f t="shared" si="15"/>
        <v>1388.2628581693255</v>
      </c>
      <c r="AI5" s="83">
        <f t="shared" si="16"/>
        <v>55.262858169325455</v>
      </c>
      <c r="AJ5" s="34">
        <f t="shared" si="17"/>
        <v>55.262858169325455</v>
      </c>
      <c r="AK5" s="113">
        <f t="shared" si="43"/>
        <v>4.1457508003995089</v>
      </c>
      <c r="AL5" s="113">
        <f t="shared" si="44"/>
        <v>4.1457508003995089</v>
      </c>
      <c r="AM5" s="113">
        <f t="shared" si="18"/>
        <v>1.7502217906737785</v>
      </c>
      <c r="AN5" s="82">
        <f t="shared" si="19"/>
        <v>1290.7077877641104</v>
      </c>
      <c r="AO5" s="83">
        <f t="shared" si="20"/>
        <v>-42.292212235889565</v>
      </c>
      <c r="AP5" s="34">
        <f t="shared" si="21"/>
        <v>42.292212235889565</v>
      </c>
      <c r="AQ5" s="113">
        <f t="shared" si="22"/>
        <v>-3.1727090949654588</v>
      </c>
      <c r="AR5" s="113">
        <f t="shared" si="23"/>
        <v>3.1727090949654588</v>
      </c>
      <c r="AS5" s="113">
        <f t="shared" si="24"/>
        <v>3.1111642779663655</v>
      </c>
      <c r="AT5" s="82">
        <f t="shared" si="25"/>
        <v>1383.7024512221533</v>
      </c>
      <c r="AU5" s="83">
        <f t="shared" si="26"/>
        <v>50.702451222153286</v>
      </c>
      <c r="AV5" s="34">
        <f t="shared" si="27"/>
        <v>50.702451222153286</v>
      </c>
      <c r="AW5" s="113">
        <f t="shared" si="45"/>
        <v>3.8036347503490839</v>
      </c>
      <c r="AX5" s="113">
        <f t="shared" si="46"/>
        <v>3.8036347503490839</v>
      </c>
      <c r="AY5" s="113">
        <f t="shared" si="28"/>
        <v>1.7135111335585342</v>
      </c>
      <c r="AZ5" s="82">
        <f t="shared" si="29"/>
        <v>1373.6842105263158</v>
      </c>
      <c r="BA5" s="83">
        <f t="shared" si="30"/>
        <v>40.684210526315837</v>
      </c>
      <c r="BB5" s="34">
        <f t="shared" si="31"/>
        <v>40.684210526315837</v>
      </c>
      <c r="BC5" s="113">
        <f t="shared" si="47"/>
        <v>3.0520788091759821</v>
      </c>
      <c r="BD5" s="113">
        <f t="shared" si="48"/>
        <v>3.0520788091759821</v>
      </c>
      <c r="BE5" s="113">
        <f t="shared" si="32"/>
        <v>1.619971580636665</v>
      </c>
      <c r="BF5" s="83">
        <f t="shared" si="33"/>
        <v>1436.8323000000003</v>
      </c>
      <c r="BG5" s="83">
        <f t="shared" si="34"/>
        <v>103.83230000000026</v>
      </c>
      <c r="BH5" s="83">
        <f t="shared" si="35"/>
        <v>103.83230000000026</v>
      </c>
      <c r="BI5" s="83">
        <f t="shared" si="36"/>
        <v>1415.6855651519802</v>
      </c>
      <c r="BJ5" s="83">
        <f t="shared" si="37"/>
        <v>82.6855651519802</v>
      </c>
      <c r="BK5" s="83">
        <f t="shared" si="38"/>
        <v>82.6855651519802</v>
      </c>
    </row>
    <row r="6" spans="1:63" x14ac:dyDescent="0.15">
      <c r="A6" s="69" t="s">
        <v>16</v>
      </c>
      <c r="B6" s="7" t="s">
        <v>810</v>
      </c>
      <c r="C6" s="64" t="s">
        <v>824</v>
      </c>
      <c r="D6" s="9" t="s">
        <v>148</v>
      </c>
      <c r="E6" s="10" t="s">
        <v>374</v>
      </c>
      <c r="F6" s="10" t="s">
        <v>580</v>
      </c>
      <c r="G6" s="64">
        <v>1622</v>
      </c>
      <c r="H6" s="64">
        <v>1622</v>
      </c>
      <c r="I6" s="10" t="s">
        <v>640</v>
      </c>
      <c r="J6" s="64">
        <v>320</v>
      </c>
      <c r="K6" s="64">
        <v>306</v>
      </c>
      <c r="L6" s="64"/>
      <c r="M6" s="77" t="s">
        <v>488</v>
      </c>
      <c r="N6" s="82">
        <f t="shared" si="0"/>
        <v>2058.5</v>
      </c>
      <c r="O6" s="82">
        <f t="shared" si="1"/>
        <v>1604.9679999999998</v>
      </c>
      <c r="P6" s="82">
        <f t="shared" si="2"/>
        <v>1641.7294229318225</v>
      </c>
      <c r="Q6" s="82">
        <f t="shared" si="3"/>
        <v>1526.0058345868642</v>
      </c>
      <c r="R6" s="82">
        <f t="shared" si="4"/>
        <v>1664.3353368218502</v>
      </c>
      <c r="S6" s="82">
        <f t="shared" si="5"/>
        <v>1600</v>
      </c>
      <c r="T6" s="82">
        <f t="shared" si="6"/>
        <v>1721.174</v>
      </c>
      <c r="U6" s="82">
        <f t="shared" si="7"/>
        <v>1677.85865488176</v>
      </c>
      <c r="V6" s="82">
        <f t="shared" si="8"/>
        <v>2059.46</v>
      </c>
      <c r="W6" s="83">
        <f t="shared" si="9"/>
        <v>437.46000000000004</v>
      </c>
      <c r="X6" s="34">
        <f t="shared" si="10"/>
        <v>437.46000000000004</v>
      </c>
      <c r="Y6" s="113">
        <f t="shared" si="39"/>
        <v>26.970406905055487</v>
      </c>
      <c r="Z6" s="113">
        <f t="shared" si="40"/>
        <v>26.970406905055487</v>
      </c>
      <c r="AA6" s="113">
        <f t="shared" si="41"/>
        <v>2.6419299795226938</v>
      </c>
      <c r="AB6" s="83">
        <f t="shared" si="11"/>
        <v>1631.7469999999998</v>
      </c>
      <c r="AC6" s="83">
        <f t="shared" si="12"/>
        <v>9.7469999999998436</v>
      </c>
      <c r="AD6" s="34">
        <f t="shared" si="13"/>
        <v>9.7469999999998436</v>
      </c>
      <c r="AE6" s="113">
        <f t="shared" si="49"/>
        <v>0.60092478421700646</v>
      </c>
      <c r="AF6" s="113">
        <f t="shared" si="42"/>
        <v>0.60092478421700646</v>
      </c>
      <c r="AG6" s="113">
        <f t="shared" si="14"/>
        <v>1.0312872488769917</v>
      </c>
      <c r="AH6" s="83">
        <f t="shared" si="15"/>
        <v>1682.5035739070624</v>
      </c>
      <c r="AI6" s="83">
        <f t="shared" si="16"/>
        <v>60.503573907062446</v>
      </c>
      <c r="AJ6" s="34">
        <f t="shared" si="17"/>
        <v>60.503573907062446</v>
      </c>
      <c r="AK6" s="113">
        <f t="shared" si="43"/>
        <v>3.7301833481542812</v>
      </c>
      <c r="AL6" s="113">
        <f t="shared" si="44"/>
        <v>3.7301833481542812</v>
      </c>
      <c r="AM6" s="113">
        <f t="shared" si="18"/>
        <v>1.7889003528976757</v>
      </c>
      <c r="AN6" s="82">
        <f t="shared" si="19"/>
        <v>1557.1717168838918</v>
      </c>
      <c r="AO6" s="83">
        <f t="shared" si="20"/>
        <v>-64.828283116108196</v>
      </c>
      <c r="AP6" s="34">
        <f t="shared" si="21"/>
        <v>64.828283116108196</v>
      </c>
      <c r="AQ6" s="113">
        <f t="shared" si="22"/>
        <v>-3.9968115361349073</v>
      </c>
      <c r="AR6" s="113">
        <f t="shared" si="23"/>
        <v>3.9968115361349073</v>
      </c>
      <c r="AS6" s="113">
        <f t="shared" si="24"/>
        <v>3.1926153169987406</v>
      </c>
      <c r="AT6" s="82">
        <f t="shared" si="25"/>
        <v>1663.2951981631145</v>
      </c>
      <c r="AU6" s="83">
        <f t="shared" si="26"/>
        <v>41.295198163114492</v>
      </c>
      <c r="AV6" s="34">
        <f t="shared" si="27"/>
        <v>41.295198163114492</v>
      </c>
      <c r="AW6" s="113">
        <f t="shared" si="45"/>
        <v>2.5459431666531747</v>
      </c>
      <c r="AX6" s="113">
        <f t="shared" si="46"/>
        <v>2.5459431666531747</v>
      </c>
      <c r="AY6" s="113">
        <f t="shared" si="28"/>
        <v>1.6262910640739119</v>
      </c>
      <c r="AZ6" s="82">
        <f t="shared" si="29"/>
        <v>1610.5263157894738</v>
      </c>
      <c r="BA6" s="83">
        <f t="shared" si="30"/>
        <v>-11.473684210526244</v>
      </c>
      <c r="BB6" s="34">
        <f t="shared" si="31"/>
        <v>11.473684210526244</v>
      </c>
      <c r="BC6" s="113">
        <f t="shared" si="47"/>
        <v>-0.70737880459471292</v>
      </c>
      <c r="BD6" s="113">
        <f t="shared" si="48"/>
        <v>0.70737880459471292</v>
      </c>
      <c r="BE6" s="113">
        <f t="shared" si="32"/>
        <v>1.0959947450572725</v>
      </c>
      <c r="BF6" s="83">
        <f t="shared" si="33"/>
        <v>1713.3258000000001</v>
      </c>
      <c r="BG6" s="83">
        <f t="shared" si="34"/>
        <v>91.325800000000072</v>
      </c>
      <c r="BH6" s="83">
        <f t="shared" si="35"/>
        <v>91.325800000000072</v>
      </c>
      <c r="BI6" s="83">
        <f t="shared" si="36"/>
        <v>1692.1585578920653</v>
      </c>
      <c r="BJ6" s="83">
        <f t="shared" si="37"/>
        <v>70.158557892065346</v>
      </c>
      <c r="BK6" s="83">
        <f t="shared" si="38"/>
        <v>70.158557892065346</v>
      </c>
    </row>
    <row r="7" spans="1:63" x14ac:dyDescent="0.15">
      <c r="A7" s="84" t="s">
        <v>16</v>
      </c>
      <c r="B7" s="64" t="s">
        <v>811</v>
      </c>
      <c r="C7" s="64" t="s">
        <v>824</v>
      </c>
      <c r="D7" s="9" t="s">
        <v>148</v>
      </c>
      <c r="E7" s="10" t="s">
        <v>374</v>
      </c>
      <c r="F7" s="10" t="s">
        <v>580</v>
      </c>
      <c r="G7" s="64">
        <v>1774</v>
      </c>
      <c r="H7" s="64">
        <v>1774</v>
      </c>
      <c r="I7" s="10" t="s">
        <v>640</v>
      </c>
      <c r="J7" s="64">
        <v>340</v>
      </c>
      <c r="K7" s="64">
        <v>333</v>
      </c>
      <c r="L7" s="64"/>
      <c r="M7" s="77" t="s">
        <v>488</v>
      </c>
      <c r="N7" s="82">
        <f t="shared" si="0"/>
        <v>2214.5</v>
      </c>
      <c r="O7" s="82">
        <f t="shared" si="1"/>
        <v>1712.5059999999999</v>
      </c>
      <c r="P7" s="82">
        <f t="shared" si="2"/>
        <v>1759.781501063999</v>
      </c>
      <c r="Q7" s="82">
        <f t="shared" si="3"/>
        <v>1639.1613639294715</v>
      </c>
      <c r="R7" s="82">
        <f t="shared" si="4"/>
        <v>1785.2679822400087</v>
      </c>
      <c r="S7" s="82">
        <f t="shared" si="5"/>
        <v>1700</v>
      </c>
      <c r="T7" s="82">
        <f t="shared" si="6"/>
        <v>1841.518</v>
      </c>
      <c r="U7" s="82">
        <f t="shared" si="7"/>
        <v>1795.0338624049459</v>
      </c>
      <c r="V7" s="82">
        <f t="shared" si="8"/>
        <v>2279.7800000000002</v>
      </c>
      <c r="W7" s="83">
        <f t="shared" si="9"/>
        <v>505.7800000000002</v>
      </c>
      <c r="X7" s="34">
        <f t="shared" si="10"/>
        <v>505.7800000000002</v>
      </c>
      <c r="Y7" s="113">
        <f t="shared" si="39"/>
        <v>28.510710259301025</v>
      </c>
      <c r="Z7" s="113">
        <f t="shared" si="40"/>
        <v>28.510710259301025</v>
      </c>
      <c r="AA7" s="113">
        <f t="shared" si="41"/>
        <v>2.7048194671801697</v>
      </c>
      <c r="AB7" s="83">
        <f t="shared" si="11"/>
        <v>1790.7635</v>
      </c>
      <c r="AC7" s="83">
        <f t="shared" si="12"/>
        <v>16.763500000000022</v>
      </c>
      <c r="AD7" s="34">
        <f t="shared" si="13"/>
        <v>16.763500000000022</v>
      </c>
      <c r="AE7" s="113">
        <f t="shared" si="49"/>
        <v>0.9449549041713653</v>
      </c>
      <c r="AF7" s="113">
        <f t="shared" si="42"/>
        <v>0.9449549041713653</v>
      </c>
      <c r="AG7" s="113">
        <f t="shared" si="14"/>
        <v>1.2495285403236942</v>
      </c>
      <c r="AH7" s="83">
        <f t="shared" si="15"/>
        <v>1863.5262199907938</v>
      </c>
      <c r="AI7" s="83">
        <f t="shared" si="16"/>
        <v>89.526219990793834</v>
      </c>
      <c r="AJ7" s="34">
        <f t="shared" si="17"/>
        <v>89.526219990793834</v>
      </c>
      <c r="AK7" s="113">
        <f t="shared" si="43"/>
        <v>5.0465738439004415</v>
      </c>
      <c r="AL7" s="113">
        <f t="shared" si="44"/>
        <v>5.0465738439004415</v>
      </c>
      <c r="AM7" s="113">
        <f t="shared" si="18"/>
        <v>1.9567743863661498</v>
      </c>
      <c r="AN7" s="82">
        <f t="shared" si="19"/>
        <v>1720.5438555285875</v>
      </c>
      <c r="AO7" s="83">
        <f t="shared" si="20"/>
        <v>-53.456144471412472</v>
      </c>
      <c r="AP7" s="34">
        <f t="shared" si="21"/>
        <v>53.456144471412472</v>
      </c>
      <c r="AQ7" s="113">
        <f t="shared" si="22"/>
        <v>-3.0133114132701504</v>
      </c>
      <c r="AR7" s="113">
        <f t="shared" si="23"/>
        <v>3.0133114132701504</v>
      </c>
      <c r="AS7" s="113">
        <f t="shared" si="24"/>
        <v>3.2359180906314373</v>
      </c>
      <c r="AT7" s="82">
        <f t="shared" si="25"/>
        <v>1834.2461723148485</v>
      </c>
      <c r="AU7" s="83">
        <f t="shared" si="26"/>
        <v>60.246172314848536</v>
      </c>
      <c r="AV7" s="34">
        <f t="shared" si="27"/>
        <v>60.246172314848536</v>
      </c>
      <c r="AW7" s="113">
        <f t="shared" si="45"/>
        <v>3.3960638283454645</v>
      </c>
      <c r="AX7" s="113">
        <f t="shared" si="46"/>
        <v>3.3960638283454645</v>
      </c>
      <c r="AY7" s="113">
        <f t="shared" si="28"/>
        <v>1.7870789519021351</v>
      </c>
      <c r="AZ7" s="82">
        <f t="shared" si="29"/>
        <v>1752.6315789473683</v>
      </c>
      <c r="BA7" s="83">
        <f t="shared" si="30"/>
        <v>-21.368421052631675</v>
      </c>
      <c r="BB7" s="34">
        <f t="shared" si="31"/>
        <v>21.368421052631675</v>
      </c>
      <c r="BC7" s="113">
        <f t="shared" si="47"/>
        <v>-1.2045333175102411</v>
      </c>
      <c r="BD7" s="113">
        <f t="shared" si="48"/>
        <v>1.2045333175102411</v>
      </c>
      <c r="BE7" s="113">
        <f t="shared" si="32"/>
        <v>1.3496353290974845</v>
      </c>
      <c r="BF7" s="83">
        <f t="shared" si="33"/>
        <v>1879.2219000000002</v>
      </c>
      <c r="BG7" s="83">
        <f t="shared" si="34"/>
        <v>105.22190000000023</v>
      </c>
      <c r="BH7" s="83">
        <f t="shared" si="35"/>
        <v>105.22190000000023</v>
      </c>
      <c r="BI7" s="83">
        <f t="shared" si="36"/>
        <v>1860.4829002240576</v>
      </c>
      <c r="BJ7" s="83">
        <f t="shared" si="37"/>
        <v>86.48290022405763</v>
      </c>
      <c r="BK7" s="83">
        <f t="shared" si="38"/>
        <v>86.48290022405763</v>
      </c>
    </row>
    <row r="8" spans="1:63" x14ac:dyDescent="0.15">
      <c r="A8" s="84" t="s">
        <v>16</v>
      </c>
      <c r="B8" s="64" t="s">
        <v>812</v>
      </c>
      <c r="C8" s="64" t="s">
        <v>824</v>
      </c>
      <c r="D8" s="9" t="s">
        <v>148</v>
      </c>
      <c r="E8" s="10" t="s">
        <v>374</v>
      </c>
      <c r="F8" s="10" t="s">
        <v>580</v>
      </c>
      <c r="G8" s="64">
        <v>1911</v>
      </c>
      <c r="H8" s="64">
        <v>1911</v>
      </c>
      <c r="I8" s="10" t="s">
        <v>640</v>
      </c>
      <c r="J8" s="64">
        <v>385</v>
      </c>
      <c r="K8" s="64">
        <v>362</v>
      </c>
      <c r="L8" s="64"/>
      <c r="M8" s="77" t="s">
        <v>488</v>
      </c>
      <c r="N8" s="82">
        <f t="shared" si="0"/>
        <v>2565.5</v>
      </c>
      <c r="O8" s="82">
        <f t="shared" si="1"/>
        <v>1954.4664999999998</v>
      </c>
      <c r="P8" s="82">
        <f t="shared" si="2"/>
        <v>2029.0348951623014</v>
      </c>
      <c r="Q8" s="82">
        <f t="shared" si="3"/>
        <v>1898.0814701865286</v>
      </c>
      <c r="R8" s="82">
        <f t="shared" si="4"/>
        <v>2061.3909889086103</v>
      </c>
      <c r="S8" s="82">
        <f t="shared" si="5"/>
        <v>1925</v>
      </c>
      <c r="T8" s="82">
        <f t="shared" si="6"/>
        <v>2112.2919999999999</v>
      </c>
      <c r="U8" s="82">
        <f t="shared" si="7"/>
        <v>2061.4907664952207</v>
      </c>
      <c r="V8" s="82">
        <f t="shared" si="8"/>
        <v>2516.42</v>
      </c>
      <c r="W8" s="83">
        <f t="shared" si="9"/>
        <v>605.42000000000007</v>
      </c>
      <c r="X8" s="34">
        <f t="shared" si="10"/>
        <v>605.42000000000007</v>
      </c>
      <c r="Y8" s="113">
        <f t="shared" si="39"/>
        <v>31.680795395081113</v>
      </c>
      <c r="Z8" s="113">
        <f t="shared" si="40"/>
        <v>31.680795395081113</v>
      </c>
      <c r="AA8" s="113">
        <f t="shared" si="41"/>
        <v>2.7827735160844265</v>
      </c>
      <c r="AB8" s="83">
        <f t="shared" si="11"/>
        <v>1961.5589999999997</v>
      </c>
      <c r="AC8" s="83">
        <f t="shared" si="12"/>
        <v>50.558999999999742</v>
      </c>
      <c r="AD8" s="34">
        <f t="shared" si="13"/>
        <v>50.558999999999742</v>
      </c>
      <c r="AE8" s="113">
        <f t="shared" si="49"/>
        <v>2.6456828885400179</v>
      </c>
      <c r="AF8" s="113">
        <f t="shared" si="42"/>
        <v>2.6456828885400179</v>
      </c>
      <c r="AG8" s="113">
        <f t="shared" si="14"/>
        <v>1.7123044855104264</v>
      </c>
      <c r="AH8" s="83">
        <f t="shared" si="15"/>
        <v>2061.3937691405577</v>
      </c>
      <c r="AI8" s="83">
        <f t="shared" si="16"/>
        <v>150.39376914055765</v>
      </c>
      <c r="AJ8" s="34">
        <f t="shared" si="17"/>
        <v>150.39376914055765</v>
      </c>
      <c r="AK8" s="113">
        <f t="shared" si="43"/>
        <v>7.869898960782713</v>
      </c>
      <c r="AL8" s="113">
        <f t="shared" si="44"/>
        <v>7.869898960782713</v>
      </c>
      <c r="AM8" s="113">
        <f t="shared" si="18"/>
        <v>2.1801080014285317</v>
      </c>
      <c r="AN8" s="82">
        <f t="shared" si="19"/>
        <v>1898.6898914602536</v>
      </c>
      <c r="AO8" s="83">
        <f t="shared" si="20"/>
        <v>-12.310108539746352</v>
      </c>
      <c r="AP8" s="34">
        <f t="shared" si="21"/>
        <v>12.310108539746352</v>
      </c>
      <c r="AQ8" s="113">
        <f t="shared" si="22"/>
        <v>-0.64417103818662236</v>
      </c>
      <c r="AR8" s="113">
        <f t="shared" si="23"/>
        <v>0.64417103818662236</v>
      </c>
      <c r="AS8" s="113">
        <f t="shared" si="24"/>
        <v>3.2786827117846342</v>
      </c>
      <c r="AT8" s="82">
        <f t="shared" si="25"/>
        <v>2020.2981186219599</v>
      </c>
      <c r="AU8" s="83">
        <f t="shared" si="26"/>
        <v>109.29811862195993</v>
      </c>
      <c r="AV8" s="34">
        <f t="shared" si="27"/>
        <v>109.29811862195993</v>
      </c>
      <c r="AW8" s="113">
        <f t="shared" si="45"/>
        <v>5.7194201267378304</v>
      </c>
      <c r="AX8" s="113">
        <f t="shared" si="46"/>
        <v>5.7194201267378304</v>
      </c>
      <c r="AY8" s="113">
        <f t="shared" si="28"/>
        <v>2.0425681046517079</v>
      </c>
      <c r="AZ8" s="82">
        <f t="shared" si="29"/>
        <v>1905.2631578947369</v>
      </c>
      <c r="BA8" s="83">
        <f t="shared" si="30"/>
        <v>-5.736842105263122</v>
      </c>
      <c r="BB8" s="34">
        <f t="shared" si="31"/>
        <v>5.736842105263122</v>
      </c>
      <c r="BC8" s="113">
        <f t="shared" si="47"/>
        <v>-0.30020105208074949</v>
      </c>
      <c r="BD8" s="113">
        <f t="shared" si="48"/>
        <v>0.30020105208074949</v>
      </c>
      <c r="BE8" s="113">
        <f t="shared" si="32"/>
        <v>0.82845636869503714</v>
      </c>
      <c r="BF8" s="83">
        <f t="shared" si="33"/>
        <v>2057.4066000000003</v>
      </c>
      <c r="BG8" s="83">
        <f t="shared" si="34"/>
        <v>146.40660000000025</v>
      </c>
      <c r="BH8" s="83">
        <f t="shared" si="35"/>
        <v>146.40660000000025</v>
      </c>
      <c r="BI8" s="83">
        <f t="shared" si="36"/>
        <v>2043.1306397647572</v>
      </c>
      <c r="BJ8" s="83">
        <f t="shared" si="37"/>
        <v>132.13063976475723</v>
      </c>
      <c r="BK8" s="83">
        <f t="shared" si="38"/>
        <v>132.13063976475723</v>
      </c>
    </row>
    <row r="9" spans="1:63" x14ac:dyDescent="0.15">
      <c r="A9" s="84" t="s">
        <v>16</v>
      </c>
      <c r="B9" s="7" t="s">
        <v>813</v>
      </c>
      <c r="C9" s="64" t="s">
        <v>824</v>
      </c>
      <c r="D9" s="9" t="s">
        <v>148</v>
      </c>
      <c r="E9" s="22" t="s">
        <v>374</v>
      </c>
      <c r="F9" s="10" t="s">
        <v>580</v>
      </c>
      <c r="G9" s="64">
        <v>1427</v>
      </c>
      <c r="H9" s="64">
        <v>1427</v>
      </c>
      <c r="I9" s="10" t="s">
        <v>634</v>
      </c>
      <c r="J9" s="64">
        <v>288</v>
      </c>
      <c r="K9" s="64">
        <v>272</v>
      </c>
      <c r="L9" s="64"/>
      <c r="M9" s="77" t="s">
        <v>488</v>
      </c>
      <c r="N9" s="82">
        <f t="shared" si="0"/>
        <v>1808.9</v>
      </c>
      <c r="O9" s="82">
        <f t="shared" si="1"/>
        <v>1432.9071999999999</v>
      </c>
      <c r="P9" s="82">
        <f t="shared" si="2"/>
        <v>1455.093671745047</v>
      </c>
      <c r="Q9" s="82">
        <f t="shared" si="3"/>
        <v>1347.6183966598242</v>
      </c>
      <c r="R9" s="82">
        <f t="shared" si="4"/>
        <v>1473.3279152932034</v>
      </c>
      <c r="S9" s="82">
        <f t="shared" si="5"/>
        <v>1440</v>
      </c>
      <c r="T9" s="82">
        <f t="shared" si="6"/>
        <v>1528.6236000000001</v>
      </c>
      <c r="U9" s="82">
        <f t="shared" si="7"/>
        <v>1492.1222509132222</v>
      </c>
      <c r="V9" s="82">
        <f t="shared" si="8"/>
        <v>1782.02</v>
      </c>
      <c r="W9" s="83">
        <f t="shared" si="9"/>
        <v>355.02</v>
      </c>
      <c r="X9" s="34">
        <f t="shared" si="10"/>
        <v>355.02</v>
      </c>
      <c r="Y9" s="113">
        <f t="shared" si="39"/>
        <v>24.878766643307635</v>
      </c>
      <c r="Z9" s="113">
        <f t="shared" si="40"/>
        <v>24.878766643307635</v>
      </c>
      <c r="AA9" s="113">
        <f t="shared" si="41"/>
        <v>2.5514743958539468</v>
      </c>
      <c r="AB9" s="83">
        <f t="shared" si="11"/>
        <v>1431.5039999999999</v>
      </c>
      <c r="AC9" s="83">
        <f t="shared" si="12"/>
        <v>4.5039999999999054</v>
      </c>
      <c r="AD9" s="34">
        <f t="shared" si="13"/>
        <v>4.5039999999999054</v>
      </c>
      <c r="AE9" s="113">
        <f t="shared" si="49"/>
        <v>0.31562718990889316</v>
      </c>
      <c r="AF9" s="113">
        <f t="shared" si="42"/>
        <v>0.31562718990889316</v>
      </c>
      <c r="AG9" s="113">
        <f t="shared" si="14"/>
        <v>0.74067842522744742</v>
      </c>
      <c r="AH9" s="83">
        <f t="shared" si="15"/>
        <v>1459.2784600399964</v>
      </c>
      <c r="AI9" s="83">
        <f t="shared" si="16"/>
        <v>32.278460039996389</v>
      </c>
      <c r="AJ9" s="34">
        <f t="shared" si="17"/>
        <v>32.278460039996389</v>
      </c>
      <c r="AK9" s="113">
        <f t="shared" si="43"/>
        <v>2.2619803812190882</v>
      </c>
      <c r="AL9" s="113">
        <f t="shared" si="44"/>
        <v>2.2619803812190882</v>
      </c>
      <c r="AM9" s="113">
        <f t="shared" si="18"/>
        <v>1.5221632211161038</v>
      </c>
      <c r="AN9" s="82">
        <f t="shared" si="19"/>
        <v>1355.1321401946566</v>
      </c>
      <c r="AO9" s="83">
        <f t="shared" si="20"/>
        <v>-71.867859805343414</v>
      </c>
      <c r="AP9" s="34">
        <f t="shared" si="21"/>
        <v>71.867859805343414</v>
      </c>
      <c r="AQ9" s="113">
        <f t="shared" si="22"/>
        <v>-5.0362901054900782</v>
      </c>
      <c r="AR9" s="113">
        <f t="shared" si="23"/>
        <v>5.0362901054900782</v>
      </c>
      <c r="AS9" s="113">
        <f t="shared" si="24"/>
        <v>3.1323020088240994</v>
      </c>
      <c r="AT9" s="82">
        <f t="shared" si="25"/>
        <v>1451.3958109174741</v>
      </c>
      <c r="AU9" s="83">
        <f t="shared" si="26"/>
        <v>24.395810917474137</v>
      </c>
      <c r="AV9" s="34">
        <f t="shared" si="27"/>
        <v>24.395810917474137</v>
      </c>
      <c r="AW9" s="113">
        <f t="shared" si="45"/>
        <v>1.7095873102644803</v>
      </c>
      <c r="AX9" s="113">
        <f t="shared" si="46"/>
        <v>1.7095873102644803</v>
      </c>
      <c r="AY9" s="113">
        <f t="shared" si="28"/>
        <v>1.4047620849087208</v>
      </c>
      <c r="AZ9" s="82">
        <f t="shared" si="29"/>
        <v>1431.578947368421</v>
      </c>
      <c r="BA9" s="83">
        <f t="shared" si="30"/>
        <v>4.5789473684210407</v>
      </c>
      <c r="BB9" s="34">
        <f t="shared" si="31"/>
        <v>4.5789473684210407</v>
      </c>
      <c r="BC9" s="113">
        <f t="shared" si="47"/>
        <v>0.32087928300077367</v>
      </c>
      <c r="BD9" s="113">
        <f t="shared" si="48"/>
        <v>0.32087928300077367</v>
      </c>
      <c r="BE9" s="113">
        <f t="shared" si="32"/>
        <v>0.74655226431194033</v>
      </c>
      <c r="BF9" s="83">
        <f t="shared" si="33"/>
        <v>1504.4196000000002</v>
      </c>
      <c r="BG9" s="83">
        <f t="shared" si="34"/>
        <v>77.419600000000173</v>
      </c>
      <c r="BH9" s="83">
        <f t="shared" si="35"/>
        <v>77.419600000000173</v>
      </c>
      <c r="BI9" s="83">
        <f t="shared" si="36"/>
        <v>1482.7690103206203</v>
      </c>
      <c r="BJ9" s="83">
        <f t="shared" si="37"/>
        <v>55.769010320620282</v>
      </c>
      <c r="BK9" s="83">
        <f t="shared" si="38"/>
        <v>55.769010320620282</v>
      </c>
    </row>
    <row r="10" spans="1:63" x14ac:dyDescent="0.15">
      <c r="A10" s="86" t="s">
        <v>16</v>
      </c>
      <c r="B10" s="7" t="s">
        <v>814</v>
      </c>
      <c r="C10" s="64" t="s">
        <v>824</v>
      </c>
      <c r="D10" s="9" t="s">
        <v>148</v>
      </c>
      <c r="E10" s="22" t="s">
        <v>374</v>
      </c>
      <c r="F10" s="10" t="s">
        <v>580</v>
      </c>
      <c r="G10" s="64">
        <v>1408</v>
      </c>
      <c r="H10" s="64">
        <v>1408</v>
      </c>
      <c r="I10" s="10" t="s">
        <v>634</v>
      </c>
      <c r="J10" s="64">
        <v>285</v>
      </c>
      <c r="K10" s="64">
        <v>273</v>
      </c>
      <c r="L10" s="64"/>
      <c r="M10" s="77" t="s">
        <v>488</v>
      </c>
      <c r="N10" s="82">
        <f t="shared" si="0"/>
        <v>1785.5</v>
      </c>
      <c r="O10" s="82">
        <f t="shared" si="1"/>
        <v>1416.7764999999999</v>
      </c>
      <c r="P10" s="82">
        <f t="shared" si="2"/>
        <v>1437.7457719827225</v>
      </c>
      <c r="Q10" s="82">
        <f t="shared" si="3"/>
        <v>1331.0708879599656</v>
      </c>
      <c r="R10" s="82">
        <f t="shared" si="4"/>
        <v>1455.5858069642557</v>
      </c>
      <c r="S10" s="82">
        <f t="shared" si="5"/>
        <v>1425</v>
      </c>
      <c r="T10" s="82">
        <f t="shared" si="6"/>
        <v>1510.5720000000001</v>
      </c>
      <c r="U10" s="82">
        <f t="shared" si="7"/>
        <v>1474.8254497432463</v>
      </c>
      <c r="V10" s="82">
        <f t="shared" si="8"/>
        <v>1790.1799999999998</v>
      </c>
      <c r="W10" s="83">
        <f t="shared" si="9"/>
        <v>382.17999999999984</v>
      </c>
      <c r="X10" s="34">
        <f t="shared" si="10"/>
        <v>382.17999999999984</v>
      </c>
      <c r="Y10" s="113">
        <f t="shared" si="39"/>
        <v>27.143465909090896</v>
      </c>
      <c r="Z10" s="113">
        <f t="shared" si="40"/>
        <v>27.143465909090896</v>
      </c>
      <c r="AA10" s="113">
        <f t="shared" si="41"/>
        <v>2.5834028330883614</v>
      </c>
      <c r="AB10" s="83">
        <f t="shared" si="11"/>
        <v>1437.3934999999999</v>
      </c>
      <c r="AC10" s="83">
        <f t="shared" si="12"/>
        <v>29.393499999999904</v>
      </c>
      <c r="AD10" s="34">
        <f t="shared" si="13"/>
        <v>29.393499999999904</v>
      </c>
      <c r="AE10" s="113">
        <f t="shared" si="49"/>
        <v>2.0876065340909022</v>
      </c>
      <c r="AF10" s="113">
        <f t="shared" si="42"/>
        <v>2.0876065340909022</v>
      </c>
      <c r="AG10" s="113">
        <f t="shared" si="14"/>
        <v>1.4827807146624628</v>
      </c>
      <c r="AH10" s="83">
        <f t="shared" si="15"/>
        <v>1465.7645382725773</v>
      </c>
      <c r="AI10" s="83">
        <f t="shared" si="16"/>
        <v>57.764538272577283</v>
      </c>
      <c r="AJ10" s="34">
        <f t="shared" si="17"/>
        <v>57.764538272577283</v>
      </c>
      <c r="AK10" s="113">
        <f t="shared" si="43"/>
        <v>4.1025950477682729</v>
      </c>
      <c r="AL10" s="113">
        <f t="shared" si="44"/>
        <v>4.1025950477682729</v>
      </c>
      <c r="AM10" s="113">
        <f t="shared" si="18"/>
        <v>1.7691153281432275</v>
      </c>
      <c r="AN10" s="82">
        <f t="shared" si="19"/>
        <v>1361.0124660855174</v>
      </c>
      <c r="AO10" s="83">
        <f t="shared" si="20"/>
        <v>-46.987533914482583</v>
      </c>
      <c r="AP10" s="34">
        <f t="shared" si="21"/>
        <v>46.987533914482583</v>
      </c>
      <c r="AQ10" s="113">
        <f t="shared" si="22"/>
        <v>-3.3371828064263198</v>
      </c>
      <c r="AR10" s="113">
        <f t="shared" si="23"/>
        <v>3.3371828064263198</v>
      </c>
      <c r="AS10" s="113">
        <f t="shared" si="24"/>
        <v>3.1341810825601546</v>
      </c>
      <c r="AT10" s="82">
        <f t="shared" si="25"/>
        <v>1457.5713590579346</v>
      </c>
      <c r="AU10" s="83">
        <f t="shared" si="26"/>
        <v>49.571359057934615</v>
      </c>
      <c r="AV10" s="34">
        <f t="shared" si="27"/>
        <v>49.571359057934615</v>
      </c>
      <c r="AW10" s="113">
        <f t="shared" si="45"/>
        <v>3.520693114910129</v>
      </c>
      <c r="AX10" s="113">
        <f t="shared" si="46"/>
        <v>3.520693114910129</v>
      </c>
      <c r="AY10" s="113">
        <f t="shared" si="28"/>
        <v>1.7039046250470307</v>
      </c>
      <c r="AZ10" s="82">
        <f t="shared" si="29"/>
        <v>1436.8421052631579</v>
      </c>
      <c r="BA10" s="83">
        <f t="shared" si="30"/>
        <v>28.842105263157919</v>
      </c>
      <c r="BB10" s="34">
        <f t="shared" si="31"/>
        <v>28.842105263157919</v>
      </c>
      <c r="BC10" s="113">
        <f t="shared" si="47"/>
        <v>2.0484449760765568</v>
      </c>
      <c r="BD10" s="113">
        <f t="shared" si="48"/>
        <v>2.0484449760765568</v>
      </c>
      <c r="BE10" s="113">
        <f t="shared" si="32"/>
        <v>1.474829457940078</v>
      </c>
      <c r="BF10" s="83">
        <f t="shared" si="33"/>
        <v>1510.5639000000001</v>
      </c>
      <c r="BG10" s="83">
        <f t="shared" si="34"/>
        <v>102.5639000000001</v>
      </c>
      <c r="BH10" s="83">
        <f t="shared" si="35"/>
        <v>102.5639000000001</v>
      </c>
      <c r="BI10" s="83">
        <f t="shared" si="36"/>
        <v>1488.8840708094838</v>
      </c>
      <c r="BJ10" s="83">
        <f t="shared" si="37"/>
        <v>80.884070809483774</v>
      </c>
      <c r="BK10" s="83">
        <f t="shared" si="38"/>
        <v>80.884070809483774</v>
      </c>
    </row>
    <row r="11" spans="1:63" x14ac:dyDescent="0.15">
      <c r="A11" s="86" t="s">
        <v>16</v>
      </c>
      <c r="B11" s="64" t="s">
        <v>815</v>
      </c>
      <c r="C11" s="64" t="s">
        <v>824</v>
      </c>
      <c r="D11" s="77" t="s">
        <v>148</v>
      </c>
      <c r="E11" s="10" t="s">
        <v>374</v>
      </c>
      <c r="F11" s="10" t="s">
        <v>580</v>
      </c>
      <c r="G11" s="64">
        <v>1651</v>
      </c>
      <c r="H11" s="64">
        <v>1651</v>
      </c>
      <c r="I11" s="10" t="s">
        <v>640</v>
      </c>
      <c r="J11" s="64">
        <v>316</v>
      </c>
      <c r="K11" s="64">
        <v>305</v>
      </c>
      <c r="L11" s="64"/>
      <c r="M11" s="77" t="s">
        <v>488</v>
      </c>
      <c r="N11" s="82">
        <f t="shared" si="0"/>
        <v>2027.2999999999997</v>
      </c>
      <c r="O11" s="82">
        <f t="shared" si="1"/>
        <v>1583.4603999999999</v>
      </c>
      <c r="P11" s="82">
        <f t="shared" si="2"/>
        <v>1618.2453990121803</v>
      </c>
      <c r="Q11" s="82">
        <f t="shared" si="3"/>
        <v>1503.5245489485635</v>
      </c>
      <c r="R11" s="82">
        <f t="shared" si="4"/>
        <v>1640.2885895853622</v>
      </c>
      <c r="S11" s="82">
        <f t="shared" si="5"/>
        <v>1580</v>
      </c>
      <c r="T11" s="82">
        <f t="shared" si="6"/>
        <v>1697.1052</v>
      </c>
      <c r="U11" s="82">
        <f t="shared" si="7"/>
        <v>1654.5215878126091</v>
      </c>
      <c r="V11" s="82">
        <f t="shared" si="8"/>
        <v>2051.3000000000002</v>
      </c>
      <c r="W11" s="83">
        <f t="shared" si="9"/>
        <v>400.30000000000018</v>
      </c>
      <c r="X11" s="34">
        <f t="shared" si="10"/>
        <v>400.30000000000018</v>
      </c>
      <c r="Y11" s="113">
        <f t="shared" si="39"/>
        <v>24.245911568746227</v>
      </c>
      <c r="Z11" s="113">
        <f t="shared" si="40"/>
        <v>24.245911568746227</v>
      </c>
      <c r="AA11" s="113">
        <f t="shared" si="41"/>
        <v>2.6034691597338391</v>
      </c>
      <c r="AB11" s="83">
        <f t="shared" si="11"/>
        <v>1625.8574999999998</v>
      </c>
      <c r="AC11" s="83">
        <f t="shared" si="12"/>
        <v>-25.142500000000155</v>
      </c>
      <c r="AD11" s="34">
        <f t="shared" si="13"/>
        <v>25.142500000000155</v>
      </c>
      <c r="AE11" s="113">
        <f t="shared" si="49"/>
        <v>-1.5228649303452546</v>
      </c>
      <c r="AF11" s="113">
        <f t="shared" si="42"/>
        <v>1.5228649303452546</v>
      </c>
      <c r="AG11" s="113">
        <f t="shared" si="14"/>
        <v>1.4173471166909235</v>
      </c>
      <c r="AH11" s="83">
        <f t="shared" si="15"/>
        <v>1675.8610502089291</v>
      </c>
      <c r="AI11" s="83">
        <f t="shared" si="16"/>
        <v>24.8610502089291</v>
      </c>
      <c r="AJ11" s="34">
        <f t="shared" si="17"/>
        <v>24.8610502089291</v>
      </c>
      <c r="AK11" s="113">
        <f t="shared" si="43"/>
        <v>1.5058176989054575</v>
      </c>
      <c r="AL11" s="113">
        <f t="shared" si="44"/>
        <v>1.5058176989054575</v>
      </c>
      <c r="AM11" s="113">
        <f t="shared" si="18"/>
        <v>1.4126461574616835</v>
      </c>
      <c r="AN11" s="82">
        <f t="shared" si="19"/>
        <v>1551.1692125003165</v>
      </c>
      <c r="AO11" s="83">
        <f t="shared" si="20"/>
        <v>-99.830787499683538</v>
      </c>
      <c r="AP11" s="34">
        <f t="shared" si="21"/>
        <v>99.830787499683538</v>
      </c>
      <c r="AQ11" s="113">
        <f t="shared" si="22"/>
        <v>-6.0466860993145692</v>
      </c>
      <c r="AR11" s="113">
        <f t="shared" si="23"/>
        <v>6.0466860993145692</v>
      </c>
      <c r="AS11" s="113">
        <f t="shared" si="24"/>
        <v>3.1909390648920763</v>
      </c>
      <c r="AT11" s="82">
        <f t="shared" si="25"/>
        <v>1657.0078177575213</v>
      </c>
      <c r="AU11" s="83">
        <f t="shared" si="26"/>
        <v>6.0078177575212521</v>
      </c>
      <c r="AV11" s="34">
        <f t="shared" si="27"/>
        <v>6.0078177575212521</v>
      </c>
      <c r="AW11" s="113">
        <f t="shared" si="45"/>
        <v>0.36388962795404312</v>
      </c>
      <c r="AX11" s="113">
        <f t="shared" si="46"/>
        <v>0.36388962795404312</v>
      </c>
      <c r="AY11" s="113">
        <f t="shared" si="28"/>
        <v>0.84558279921995427</v>
      </c>
      <c r="AZ11" s="82">
        <f t="shared" si="29"/>
        <v>1605.2631578947369</v>
      </c>
      <c r="BA11" s="83">
        <f t="shared" si="30"/>
        <v>-45.736842105263122</v>
      </c>
      <c r="BB11" s="34">
        <f t="shared" si="31"/>
        <v>45.736842105263122</v>
      </c>
      <c r="BC11" s="113">
        <f t="shared" si="47"/>
        <v>-2.7702508846313219</v>
      </c>
      <c r="BD11" s="113">
        <f t="shared" si="48"/>
        <v>2.7702508846313219</v>
      </c>
      <c r="BE11" s="113">
        <f t="shared" si="32"/>
        <v>1.6696593648257718</v>
      </c>
      <c r="BF11" s="83">
        <f t="shared" si="33"/>
        <v>1707.1815000000001</v>
      </c>
      <c r="BG11" s="83">
        <f t="shared" si="34"/>
        <v>56.181500000000142</v>
      </c>
      <c r="BH11" s="83">
        <f t="shared" si="35"/>
        <v>56.181500000000142</v>
      </c>
      <c r="BI11" s="83">
        <f t="shared" si="36"/>
        <v>1685.9579739011322</v>
      </c>
      <c r="BJ11" s="83">
        <f t="shared" si="37"/>
        <v>34.957973901132164</v>
      </c>
      <c r="BK11" s="83">
        <f t="shared" si="38"/>
        <v>34.957973901132164</v>
      </c>
    </row>
    <row r="12" spans="1:63" x14ac:dyDescent="0.15">
      <c r="A12" s="64" t="s">
        <v>16</v>
      </c>
      <c r="B12" s="64" t="s">
        <v>816</v>
      </c>
      <c r="C12" s="64" t="s">
        <v>824</v>
      </c>
      <c r="D12" s="77" t="s">
        <v>148</v>
      </c>
      <c r="E12" s="22" t="s">
        <v>374</v>
      </c>
      <c r="F12" s="10" t="s">
        <v>580</v>
      </c>
      <c r="G12" s="64">
        <v>1476</v>
      </c>
      <c r="H12" s="64">
        <v>1476</v>
      </c>
      <c r="I12" s="10" t="s">
        <v>634</v>
      </c>
      <c r="J12" s="64">
        <v>310</v>
      </c>
      <c r="K12" s="64">
        <v>288</v>
      </c>
      <c r="L12" s="64"/>
      <c r="M12" s="77" t="s">
        <v>488</v>
      </c>
      <c r="N12" s="82">
        <f t="shared" si="0"/>
        <v>1980.5</v>
      </c>
      <c r="O12" s="82">
        <f t="shared" si="1"/>
        <v>1551.1989999999998</v>
      </c>
      <c r="P12" s="82">
        <f t="shared" si="2"/>
        <v>1583.1004800668854</v>
      </c>
      <c r="Q12" s="82">
        <f t="shared" si="3"/>
        <v>1469.8986710628274</v>
      </c>
      <c r="R12" s="82">
        <f t="shared" si="4"/>
        <v>1604.3081471424712</v>
      </c>
      <c r="S12" s="82">
        <f t="shared" si="5"/>
        <v>1550</v>
      </c>
      <c r="T12" s="82">
        <f t="shared" si="6"/>
        <v>1661.002</v>
      </c>
      <c r="U12" s="82">
        <f t="shared" si="7"/>
        <v>1619.5789282828521</v>
      </c>
      <c r="V12" s="82">
        <f t="shared" si="8"/>
        <v>1912.58</v>
      </c>
      <c r="W12" s="83">
        <f t="shared" si="9"/>
        <v>436.57999999999993</v>
      </c>
      <c r="X12" s="34">
        <f t="shared" si="10"/>
        <v>436.57999999999993</v>
      </c>
      <c r="Y12" s="113">
        <f t="shared" si="39"/>
        <v>29.578590785907856</v>
      </c>
      <c r="Z12" s="113">
        <f t="shared" si="40"/>
        <v>29.578590785907856</v>
      </c>
      <c r="AA12" s="113">
        <f t="shared" si="41"/>
        <v>2.6410574639466415</v>
      </c>
      <c r="AB12" s="83">
        <f t="shared" si="11"/>
        <v>1525.7359999999999</v>
      </c>
      <c r="AC12" s="83">
        <f t="shared" si="12"/>
        <v>49.735999999999876</v>
      </c>
      <c r="AD12" s="34">
        <f t="shared" si="13"/>
        <v>49.735999999999876</v>
      </c>
      <c r="AE12" s="113">
        <f t="shared" si="49"/>
        <v>3.3696476964769566</v>
      </c>
      <c r="AF12" s="113">
        <f t="shared" si="42"/>
        <v>3.3696476964769566</v>
      </c>
      <c r="AG12" s="113">
        <f t="shared" si="14"/>
        <v>1.7053162246830125</v>
      </c>
      <c r="AH12" s="83">
        <f t="shared" si="15"/>
        <v>1563.6425247087732</v>
      </c>
      <c r="AI12" s="83">
        <f t="shared" si="16"/>
        <v>87.64252470877318</v>
      </c>
      <c r="AJ12" s="34">
        <f t="shared" si="17"/>
        <v>87.64252470877318</v>
      </c>
      <c r="AK12" s="113">
        <f t="shared" si="43"/>
        <v>5.9378404274236569</v>
      </c>
      <c r="AL12" s="113">
        <f t="shared" si="44"/>
        <v>5.9378404274236569</v>
      </c>
      <c r="AM12" s="113">
        <f t="shared" si="18"/>
        <v>1.9476421170986338</v>
      </c>
      <c r="AN12" s="82">
        <f t="shared" si="19"/>
        <v>1449.6761439776756</v>
      </c>
      <c r="AO12" s="83">
        <f t="shared" si="20"/>
        <v>-26.323856022324435</v>
      </c>
      <c r="AP12" s="34">
        <f t="shared" si="21"/>
        <v>26.323856022324435</v>
      </c>
      <c r="AQ12" s="113">
        <f t="shared" si="22"/>
        <v>-1.7834590801032815</v>
      </c>
      <c r="AR12" s="113">
        <f t="shared" si="23"/>
        <v>1.7834590801032815</v>
      </c>
      <c r="AS12" s="113">
        <f t="shared" si="24"/>
        <v>3.1615704692386801</v>
      </c>
      <c r="AT12" s="82">
        <f t="shared" si="25"/>
        <v>1550.6248929617627</v>
      </c>
      <c r="AU12" s="83">
        <f t="shared" si="26"/>
        <v>74.624892961762725</v>
      </c>
      <c r="AV12" s="34">
        <f t="shared" si="27"/>
        <v>74.624892961762725</v>
      </c>
      <c r="AW12" s="113">
        <f t="shared" si="45"/>
        <v>5.0558870570299952</v>
      </c>
      <c r="AX12" s="113">
        <f t="shared" si="46"/>
        <v>5.0558870570299952</v>
      </c>
      <c r="AY12" s="113">
        <f t="shared" si="28"/>
        <v>1.87866477296765</v>
      </c>
      <c r="AZ12" s="82">
        <f t="shared" si="29"/>
        <v>1515.7894736842104</v>
      </c>
      <c r="BA12" s="83">
        <f t="shared" si="30"/>
        <v>39.789473684210407</v>
      </c>
      <c r="BB12" s="34">
        <f t="shared" si="31"/>
        <v>39.789473684210407</v>
      </c>
      <c r="BC12" s="113">
        <f t="shared" si="47"/>
        <v>2.6957637997432524</v>
      </c>
      <c r="BD12" s="113">
        <f t="shared" si="48"/>
        <v>2.6957637997432524</v>
      </c>
      <c r="BE12" s="113">
        <f t="shared" si="32"/>
        <v>1.6105481015534802</v>
      </c>
      <c r="BF12" s="83">
        <f t="shared" si="33"/>
        <v>1602.7284000000002</v>
      </c>
      <c r="BG12" s="83">
        <f t="shared" si="34"/>
        <v>126.72840000000019</v>
      </c>
      <c r="BH12" s="83">
        <f t="shared" si="35"/>
        <v>126.72840000000019</v>
      </c>
      <c r="BI12" s="83">
        <f t="shared" si="36"/>
        <v>1580.931853312919</v>
      </c>
      <c r="BJ12" s="83">
        <f t="shared" si="37"/>
        <v>104.93185331291897</v>
      </c>
      <c r="BK12" s="83">
        <f t="shared" si="38"/>
        <v>104.93185331291897</v>
      </c>
    </row>
    <row r="13" spans="1:63" x14ac:dyDescent="0.15">
      <c r="A13" s="69" t="s">
        <v>16</v>
      </c>
      <c r="B13" s="64" t="s">
        <v>817</v>
      </c>
      <c r="C13" s="64" t="s">
        <v>824</v>
      </c>
      <c r="D13" s="77" t="s">
        <v>148</v>
      </c>
      <c r="E13" s="22" t="s">
        <v>374</v>
      </c>
      <c r="F13" s="10" t="s">
        <v>580</v>
      </c>
      <c r="G13" s="64">
        <v>1495</v>
      </c>
      <c r="H13" s="64">
        <v>1495</v>
      </c>
      <c r="I13" s="10" t="s">
        <v>634</v>
      </c>
      <c r="J13" s="64">
        <v>296</v>
      </c>
      <c r="K13" s="64">
        <v>289</v>
      </c>
      <c r="L13" s="64"/>
      <c r="M13" s="77" t="s">
        <v>488</v>
      </c>
      <c r="N13" s="82">
        <f t="shared" ref="N13:N35" si="50">J13*7.8 - 437.5</f>
        <v>1871.2999999999997</v>
      </c>
      <c r="O13" s="82">
        <f t="shared" ref="O13:O35" si="51">5.3769*J13-115.64</f>
        <v>1475.9223999999999</v>
      </c>
      <c r="P13" s="82">
        <f t="shared" ref="P13:P35" si="52">2.2177*J13^1.1454</f>
        <v>1501.4826643084625</v>
      </c>
      <c r="Q13" s="82">
        <f t="shared" ref="Q13:Q35" si="53">((1.55958*J13)^1.1799)</f>
        <v>1391.8961211629376</v>
      </c>
      <c r="R13" s="82">
        <f t="shared" ref="R13:R35" si="54">(1.901*J13)^1.157</f>
        <v>1520.7814934297262</v>
      </c>
      <c r="S13" s="82">
        <f t="shared" ref="S13:S35" si="55">J13/0.2</f>
        <v>1480</v>
      </c>
      <c r="T13" s="82">
        <f t="shared" ref="T13:T35" si="56">J13*6.0172 - 204.33</f>
        <v>1576.7612000000001</v>
      </c>
      <c r="U13" s="82">
        <f t="shared" ref="U13:U35" si="57">2.7244*(J13^1.1135)</f>
        <v>1538.3465853721805</v>
      </c>
      <c r="V13" s="82">
        <f t="shared" ref="V13:V35" si="58">K13*8.16 - 437.5</f>
        <v>1920.7400000000002</v>
      </c>
      <c r="W13" s="83">
        <f t="shared" ref="W13:W35" si="59">-(G13-V13)</f>
        <v>425.74000000000024</v>
      </c>
      <c r="X13" s="34">
        <f t="shared" ref="X13:X35" si="60">ABS(W13)</f>
        <v>425.74000000000024</v>
      </c>
      <c r="Y13" s="113">
        <f t="shared" ref="Y13:Y35" si="61">W13/G13*100</f>
        <v>28.477591973244166</v>
      </c>
      <c r="Z13" s="113">
        <f t="shared" ref="Z13:Z35" si="62">ABS(Y13)</f>
        <v>28.477591973244166</v>
      </c>
      <c r="AA13" s="113">
        <f t="shared" ref="AA13:AA35" si="63">LOG10(X13+1)</f>
        <v>2.630163352878268</v>
      </c>
      <c r="AB13" s="83">
        <f t="shared" ref="AB13:AB35" si="64">K13*5.8895 - 170.44</f>
        <v>1531.6254999999999</v>
      </c>
      <c r="AC13" s="83">
        <f t="shared" ref="AC13:AC35" si="65">-(G13-AB13)</f>
        <v>36.625499999999874</v>
      </c>
      <c r="AD13" s="34">
        <f t="shared" ref="AD13:AD35" si="66">ABS(AC13)</f>
        <v>36.625499999999874</v>
      </c>
      <c r="AE13" s="113">
        <f t="shared" ref="AE13:AE35" si="67">AC13/G13*100</f>
        <v>2.4498662207357773</v>
      </c>
      <c r="AF13" s="113">
        <f t="shared" ref="AF13:AF35" si="68">ABS(AE13)</f>
        <v>2.4498662207357773</v>
      </c>
      <c r="AG13" s="113">
        <f t="shared" ref="AG13:AG35" si="69">LOG10(AD13+1)</f>
        <v>1.575482279918792</v>
      </c>
      <c r="AH13" s="83">
        <f t="shared" ref="AH13:AH35" si="70">(K13^1.2085)*1.6671</f>
        <v>1570.2062239578543</v>
      </c>
      <c r="AI13" s="83">
        <f t="shared" ref="AI13:AI35" si="71">-(G13-AH13)</f>
        <v>75.206223957854263</v>
      </c>
      <c r="AJ13" s="34">
        <f t="shared" ref="AJ13:AJ35" si="72">ABS(AI13)</f>
        <v>75.206223957854263</v>
      </c>
      <c r="AK13" s="113">
        <f t="shared" ref="AK13:AK35" si="73">AI13/G13*100</f>
        <v>5.0305166526992817</v>
      </c>
      <c r="AL13" s="113">
        <f t="shared" ref="AL13:AL35" si="74">ABS(AK13)</f>
        <v>5.0305166526992817</v>
      </c>
      <c r="AM13" s="113">
        <f t="shared" ref="AM13:AM35" si="75">LOG10(AJ13+1)</f>
        <v>1.881990442732868</v>
      </c>
      <c r="AN13" s="82">
        <f t="shared" ref="AN13:AN35" si="76">1.81733*(K13)^1.1799</f>
        <v>1455.6171391228686</v>
      </c>
      <c r="AO13" s="83">
        <f t="shared" ref="AO13:AO35" si="77">-(G13-AN13)</f>
        <v>-39.382860877131407</v>
      </c>
      <c r="AP13" s="34">
        <f t="shared" ref="AP13:AP35" si="78">ABS(AO13)</f>
        <v>39.382860877131407</v>
      </c>
      <c r="AQ13" s="113">
        <f t="shared" ref="AQ13:AQ35" si="79">AO13/G13*100</f>
        <v>-2.6343050753934052</v>
      </c>
      <c r="AR13" s="113">
        <f t="shared" ref="AR13:AR35" si="80">ABS(AQ13)</f>
        <v>2.6343050753934052</v>
      </c>
      <c r="AS13" s="113">
        <f t="shared" ref="AS13:AS35" si="81">LOG10(AN13+1)</f>
        <v>3.1633454157258276</v>
      </c>
      <c r="AT13" s="82">
        <f t="shared" ref="AT13:AT35" si="82">((1.9869*K13)^1.157)</f>
        <v>1556.8560094002207</v>
      </c>
      <c r="AU13" s="83">
        <f t="shared" ref="AU13:AU35" si="83">-(G13-AT13)</f>
        <v>61.856009400220728</v>
      </c>
      <c r="AV13" s="34">
        <f t="shared" ref="AV13:AV35" si="84">ABS(AU13)</f>
        <v>61.856009400220728</v>
      </c>
      <c r="AW13" s="113">
        <f t="shared" ref="AW13:AW35" si="85">AU13/G13*100</f>
        <v>4.1375257123893467</v>
      </c>
      <c r="AX13" s="113">
        <f t="shared" ref="AX13:AX35" si="86">ABS(AW13)</f>
        <v>4.1375257123893467</v>
      </c>
      <c r="AY13" s="113">
        <f t="shared" ref="AY13:AY35" si="87">LOG10(AV13+1)</f>
        <v>1.798346805086305</v>
      </c>
      <c r="AZ13" s="82">
        <f t="shared" ref="AZ13:AZ35" si="88">K13/0.19</f>
        <v>1521.0526315789473</v>
      </c>
      <c r="BA13" s="83">
        <f t="shared" ref="BA13:BA35" si="89">-(G13-AZ13)</f>
        <v>26.052631578947285</v>
      </c>
      <c r="BB13" s="34">
        <f t="shared" ref="BB13:BB35" si="90">ABS(BA13)</f>
        <v>26.052631578947285</v>
      </c>
      <c r="BC13" s="113">
        <f t="shared" ref="BC13:BC35" si="91">BA13/G13*100</f>
        <v>1.7426509417356042</v>
      </c>
      <c r="BD13" s="113">
        <f t="shared" ref="BD13:BD35" si="92">ABS(BC13)</f>
        <v>1.7426509417356042</v>
      </c>
      <c r="BE13" s="113">
        <f t="shared" ref="BE13:BE35" si="93">LOG10(BB13+1)</f>
        <v>1.4322095180424455</v>
      </c>
      <c r="BF13" s="83">
        <f t="shared" ref="BF13:BF35" si="94">6.1443*K13 - 166.83</f>
        <v>1608.8727000000001</v>
      </c>
      <c r="BG13" s="83">
        <f t="shared" ref="BG13:BG35" si="95">-(G13-BF13)</f>
        <v>113.87270000000012</v>
      </c>
      <c r="BH13" s="83">
        <f t="shared" ref="BH13:BH35" si="96">ABS(BG13)</f>
        <v>113.87270000000012</v>
      </c>
      <c r="BI13" s="83">
        <f t="shared" ref="BI13:BI35" si="97">2.7587*K13^1.1215</f>
        <v>1587.0894529282129</v>
      </c>
      <c r="BJ13" s="83">
        <f t="shared" ref="BJ13:BJ35" si="98">-(G13-BI13)</f>
        <v>92.08945292821295</v>
      </c>
      <c r="BK13" s="83">
        <f t="shared" ref="BK13:BK35" si="99">ABS(BJ13)</f>
        <v>92.08945292821295</v>
      </c>
    </row>
    <row r="14" spans="1:63" x14ac:dyDescent="0.15">
      <c r="A14" s="69" t="s">
        <v>16</v>
      </c>
      <c r="B14" s="64" t="s">
        <v>818</v>
      </c>
      <c r="C14" s="64" t="s">
        <v>824</v>
      </c>
      <c r="D14" s="77" t="s">
        <v>148</v>
      </c>
      <c r="E14" s="22" t="s">
        <v>374</v>
      </c>
      <c r="F14" s="10" t="s">
        <v>580</v>
      </c>
      <c r="G14" s="64">
        <v>1360</v>
      </c>
      <c r="H14" s="64">
        <v>1360</v>
      </c>
      <c r="I14" s="10" t="s">
        <v>634</v>
      </c>
      <c r="J14" s="64">
        <v>277</v>
      </c>
      <c r="K14" s="64">
        <v>264</v>
      </c>
      <c r="L14" s="64"/>
      <c r="M14" s="77" t="s">
        <v>488</v>
      </c>
      <c r="N14" s="82">
        <f t="shared" si="50"/>
        <v>1723.1</v>
      </c>
      <c r="O14" s="82">
        <f t="shared" si="51"/>
        <v>1373.7612999999999</v>
      </c>
      <c r="P14" s="82">
        <f t="shared" si="52"/>
        <v>1391.6150726418284</v>
      </c>
      <c r="Q14" s="82">
        <f t="shared" si="53"/>
        <v>1287.0979963041912</v>
      </c>
      <c r="R14" s="82">
        <f t="shared" si="54"/>
        <v>1408.4174654719584</v>
      </c>
      <c r="S14" s="82">
        <f t="shared" si="55"/>
        <v>1385</v>
      </c>
      <c r="T14" s="82">
        <f t="shared" si="56"/>
        <v>1462.4344000000001</v>
      </c>
      <c r="U14" s="82">
        <f t="shared" si="57"/>
        <v>1428.8021480629529</v>
      </c>
      <c r="V14" s="82">
        <f t="shared" si="58"/>
        <v>1716.7400000000002</v>
      </c>
      <c r="W14" s="83">
        <f t="shared" si="59"/>
        <v>356.74000000000024</v>
      </c>
      <c r="X14" s="34">
        <f t="shared" si="60"/>
        <v>356.74000000000024</v>
      </c>
      <c r="Y14" s="113">
        <f t="shared" si="61"/>
        <v>26.230882352941194</v>
      </c>
      <c r="Z14" s="113">
        <f t="shared" si="62"/>
        <v>26.230882352941194</v>
      </c>
      <c r="AA14" s="113">
        <f t="shared" si="63"/>
        <v>2.5535675026539857</v>
      </c>
      <c r="AB14" s="83">
        <f t="shared" si="64"/>
        <v>1384.3879999999999</v>
      </c>
      <c r="AC14" s="83">
        <f t="shared" si="65"/>
        <v>24.38799999999992</v>
      </c>
      <c r="AD14" s="34">
        <f t="shared" si="66"/>
        <v>24.38799999999992</v>
      </c>
      <c r="AE14" s="113">
        <f t="shared" si="67"/>
        <v>1.7932352941176413</v>
      </c>
      <c r="AF14" s="113">
        <f t="shared" si="68"/>
        <v>1.7932352941176413</v>
      </c>
      <c r="AG14" s="113">
        <f t="shared" si="69"/>
        <v>1.4046284896419174</v>
      </c>
      <c r="AH14" s="83">
        <f t="shared" si="70"/>
        <v>1407.5699842026138</v>
      </c>
      <c r="AI14" s="83">
        <f t="shared" si="71"/>
        <v>47.569984202613796</v>
      </c>
      <c r="AJ14" s="34">
        <f t="shared" si="72"/>
        <v>47.569984202613796</v>
      </c>
      <c r="AK14" s="113">
        <f t="shared" si="73"/>
        <v>3.497792956074544</v>
      </c>
      <c r="AL14" s="113">
        <f t="shared" si="74"/>
        <v>3.497792956074544</v>
      </c>
      <c r="AM14" s="113">
        <f t="shared" si="75"/>
        <v>1.6863679622187893</v>
      </c>
      <c r="AN14" s="82">
        <f t="shared" si="76"/>
        <v>1308.2304974414956</v>
      </c>
      <c r="AO14" s="83">
        <f t="shared" si="77"/>
        <v>-51.769502558504428</v>
      </c>
      <c r="AP14" s="34">
        <f t="shared" si="78"/>
        <v>51.769502558504428</v>
      </c>
      <c r="AQ14" s="113">
        <f t="shared" si="79"/>
        <v>-3.8065810704782668</v>
      </c>
      <c r="AR14" s="113">
        <f t="shared" si="80"/>
        <v>3.8065810704782668</v>
      </c>
      <c r="AS14" s="113">
        <f t="shared" si="81"/>
        <v>3.1170161132845218</v>
      </c>
      <c r="AT14" s="82">
        <f t="shared" si="82"/>
        <v>1402.1206538042336</v>
      </c>
      <c r="AU14" s="83">
        <f t="shared" si="83"/>
        <v>42.120653804233598</v>
      </c>
      <c r="AV14" s="34">
        <f t="shared" si="84"/>
        <v>42.120653804233598</v>
      </c>
      <c r="AW14" s="113">
        <f t="shared" si="85"/>
        <v>3.0971068973701175</v>
      </c>
      <c r="AX14" s="113">
        <f t="shared" si="86"/>
        <v>3.0971068973701175</v>
      </c>
      <c r="AY14" s="113">
        <f t="shared" si="87"/>
        <v>1.63468533709098</v>
      </c>
      <c r="AZ14" s="82">
        <f t="shared" si="88"/>
        <v>1389.4736842105262</v>
      </c>
      <c r="BA14" s="83">
        <f t="shared" si="89"/>
        <v>29.473684210526244</v>
      </c>
      <c r="BB14" s="34">
        <f t="shared" si="90"/>
        <v>29.473684210526244</v>
      </c>
      <c r="BC14" s="113">
        <f t="shared" si="91"/>
        <v>2.1671826625386945</v>
      </c>
      <c r="BD14" s="113">
        <f t="shared" si="92"/>
        <v>2.1671826625386945</v>
      </c>
      <c r="BE14" s="113">
        <f t="shared" si="93"/>
        <v>1.4839249627746063</v>
      </c>
      <c r="BF14" s="83">
        <f t="shared" si="94"/>
        <v>1455.2652</v>
      </c>
      <c r="BG14" s="83">
        <f t="shared" si="95"/>
        <v>95.26520000000005</v>
      </c>
      <c r="BH14" s="83">
        <f t="shared" si="96"/>
        <v>95.26520000000005</v>
      </c>
      <c r="BI14" s="83">
        <f t="shared" si="97"/>
        <v>1433.9475915461039</v>
      </c>
      <c r="BJ14" s="83">
        <f t="shared" si="98"/>
        <v>73.947591546103922</v>
      </c>
      <c r="BK14" s="83">
        <f t="shared" si="99"/>
        <v>73.947591546103922</v>
      </c>
    </row>
    <row r="15" spans="1:63" x14ac:dyDescent="0.15">
      <c r="A15" s="86" t="s">
        <v>16</v>
      </c>
      <c r="B15" s="64" t="s">
        <v>819</v>
      </c>
      <c r="C15" s="64" t="s">
        <v>824</v>
      </c>
      <c r="D15" s="77" t="s">
        <v>148</v>
      </c>
      <c r="E15" s="10" t="s">
        <v>374</v>
      </c>
      <c r="F15" s="10" t="s">
        <v>580</v>
      </c>
      <c r="G15" s="64">
        <v>1830</v>
      </c>
      <c r="H15" s="64">
        <v>1830</v>
      </c>
      <c r="I15" s="10" t="s">
        <v>640</v>
      </c>
      <c r="J15" s="64">
        <v>367</v>
      </c>
      <c r="K15" s="64">
        <v>347</v>
      </c>
      <c r="L15" s="64"/>
      <c r="M15" s="77" t="s">
        <v>488</v>
      </c>
      <c r="N15" s="82">
        <f t="shared" si="50"/>
        <v>2425.1</v>
      </c>
      <c r="O15" s="82">
        <f t="shared" si="51"/>
        <v>1857.6822999999999</v>
      </c>
      <c r="P15" s="82">
        <f t="shared" si="52"/>
        <v>1920.752054830602</v>
      </c>
      <c r="Q15" s="82">
        <f t="shared" si="53"/>
        <v>1793.8214955698543</v>
      </c>
      <c r="R15" s="82">
        <f t="shared" si="54"/>
        <v>1950.2978659778091</v>
      </c>
      <c r="S15" s="82">
        <f t="shared" si="55"/>
        <v>1835</v>
      </c>
      <c r="T15" s="82">
        <f t="shared" si="56"/>
        <v>2003.9823999999999</v>
      </c>
      <c r="U15" s="82">
        <f t="shared" si="57"/>
        <v>1954.4588639947435</v>
      </c>
      <c r="V15" s="82">
        <f t="shared" si="58"/>
        <v>2394.02</v>
      </c>
      <c r="W15" s="83">
        <f t="shared" si="59"/>
        <v>564.02</v>
      </c>
      <c r="X15" s="34">
        <f t="shared" si="60"/>
        <v>564.02</v>
      </c>
      <c r="Y15" s="113">
        <f t="shared" si="61"/>
        <v>30.820765027322405</v>
      </c>
      <c r="Z15" s="113">
        <f t="shared" si="62"/>
        <v>30.820765027322405</v>
      </c>
      <c r="AA15" s="113">
        <f t="shared" si="63"/>
        <v>2.7520638208033485</v>
      </c>
      <c r="AB15" s="83">
        <f t="shared" si="64"/>
        <v>1873.2165</v>
      </c>
      <c r="AC15" s="83">
        <f t="shared" si="65"/>
        <v>43.216499999999996</v>
      </c>
      <c r="AD15" s="34">
        <f t="shared" si="66"/>
        <v>43.216499999999996</v>
      </c>
      <c r="AE15" s="113">
        <f t="shared" si="67"/>
        <v>2.3615573770491798</v>
      </c>
      <c r="AF15" s="113">
        <f t="shared" si="68"/>
        <v>2.3615573770491798</v>
      </c>
      <c r="AG15" s="113">
        <f t="shared" si="69"/>
        <v>1.6455843626016995</v>
      </c>
      <c r="AH15" s="83">
        <f t="shared" si="70"/>
        <v>1958.6183624525531</v>
      </c>
      <c r="AI15" s="83">
        <f t="shared" si="71"/>
        <v>128.61836245255313</v>
      </c>
      <c r="AJ15" s="34">
        <f t="shared" si="72"/>
        <v>128.61836245255313</v>
      </c>
      <c r="AK15" s="113">
        <f t="shared" si="73"/>
        <v>7.0283258170794056</v>
      </c>
      <c r="AL15" s="113">
        <f t="shared" si="74"/>
        <v>7.0283258170794056</v>
      </c>
      <c r="AM15" s="113">
        <f t="shared" si="75"/>
        <v>2.1126665304459982</v>
      </c>
      <c r="AN15" s="82">
        <f t="shared" si="76"/>
        <v>1806.2112508870032</v>
      </c>
      <c r="AO15" s="83">
        <f t="shared" si="77"/>
        <v>-23.788749112996811</v>
      </c>
      <c r="AP15" s="34">
        <f t="shared" si="78"/>
        <v>23.788749112996811</v>
      </c>
      <c r="AQ15" s="113">
        <f t="shared" si="79"/>
        <v>-1.2999316455189516</v>
      </c>
      <c r="AR15" s="113">
        <f t="shared" si="80"/>
        <v>1.2999316455189516</v>
      </c>
      <c r="AS15" s="113">
        <f t="shared" si="81"/>
        <v>3.2570089216434557</v>
      </c>
      <c r="AT15" s="82">
        <f t="shared" si="82"/>
        <v>1923.7598018103718</v>
      </c>
      <c r="AU15" s="83">
        <f t="shared" si="83"/>
        <v>93.759801810371755</v>
      </c>
      <c r="AV15" s="34">
        <f t="shared" si="84"/>
        <v>93.759801810371755</v>
      </c>
      <c r="AW15" s="113">
        <f t="shared" si="85"/>
        <v>5.1234864377252327</v>
      </c>
      <c r="AX15" s="113">
        <f t="shared" si="86"/>
        <v>5.1234864377252327</v>
      </c>
      <c r="AY15" s="113">
        <f t="shared" si="87"/>
        <v>1.9766241437270473</v>
      </c>
      <c r="AZ15" s="82">
        <f t="shared" si="88"/>
        <v>1826.3157894736842</v>
      </c>
      <c r="BA15" s="83">
        <f t="shared" si="89"/>
        <v>-3.6842105263158373</v>
      </c>
      <c r="BB15" s="34">
        <f t="shared" si="90"/>
        <v>3.6842105263158373</v>
      </c>
      <c r="BC15" s="113">
        <f t="shared" si="91"/>
        <v>-0.20132297958010043</v>
      </c>
      <c r="BD15" s="113">
        <f t="shared" si="92"/>
        <v>0.20132297958010043</v>
      </c>
      <c r="BE15" s="113">
        <f t="shared" si="93"/>
        <v>0.67063640569208827</v>
      </c>
      <c r="BF15" s="83">
        <f t="shared" si="94"/>
        <v>1965.2421000000004</v>
      </c>
      <c r="BG15" s="83">
        <f t="shared" si="95"/>
        <v>135.24210000000039</v>
      </c>
      <c r="BH15" s="83">
        <f t="shared" si="96"/>
        <v>135.24210000000039</v>
      </c>
      <c r="BI15" s="83">
        <f t="shared" si="97"/>
        <v>1948.4262900401736</v>
      </c>
      <c r="BJ15" s="83">
        <f t="shared" si="98"/>
        <v>118.42629004017363</v>
      </c>
      <c r="BK15" s="83">
        <f t="shared" si="99"/>
        <v>118.42629004017363</v>
      </c>
    </row>
    <row r="16" spans="1:63" x14ac:dyDescent="0.15">
      <c r="A16" s="7" t="s">
        <v>16</v>
      </c>
      <c r="B16" s="64" t="s">
        <v>820</v>
      </c>
      <c r="C16" s="64" t="s">
        <v>824</v>
      </c>
      <c r="D16" s="77" t="s">
        <v>148</v>
      </c>
      <c r="E16" s="22" t="s">
        <v>374</v>
      </c>
      <c r="F16" s="10" t="s">
        <v>580</v>
      </c>
      <c r="G16" s="64">
        <v>1416</v>
      </c>
      <c r="H16" s="64">
        <v>1416</v>
      </c>
      <c r="I16" s="10" t="s">
        <v>634</v>
      </c>
      <c r="J16" s="64">
        <v>296</v>
      </c>
      <c r="K16" s="64">
        <v>285</v>
      </c>
      <c r="L16" s="64"/>
      <c r="M16" s="77" t="s">
        <v>488</v>
      </c>
      <c r="N16" s="82">
        <f t="shared" si="50"/>
        <v>1871.2999999999997</v>
      </c>
      <c r="O16" s="82">
        <f t="shared" si="51"/>
        <v>1475.9223999999999</v>
      </c>
      <c r="P16" s="82">
        <f t="shared" si="52"/>
        <v>1501.4826643084625</v>
      </c>
      <c r="Q16" s="82">
        <f t="shared" si="53"/>
        <v>1391.8961211629376</v>
      </c>
      <c r="R16" s="82">
        <f t="shared" si="54"/>
        <v>1520.7814934297262</v>
      </c>
      <c r="S16" s="82">
        <f t="shared" si="55"/>
        <v>1480</v>
      </c>
      <c r="T16" s="82">
        <f t="shared" si="56"/>
        <v>1576.7612000000001</v>
      </c>
      <c r="U16" s="82">
        <f t="shared" si="57"/>
        <v>1538.3465853721805</v>
      </c>
      <c r="V16" s="82">
        <f t="shared" si="58"/>
        <v>1888.1</v>
      </c>
      <c r="W16" s="83">
        <f t="shared" si="59"/>
        <v>472.09999999999991</v>
      </c>
      <c r="X16" s="34">
        <f t="shared" si="60"/>
        <v>472.09999999999991</v>
      </c>
      <c r="Y16" s="113">
        <f t="shared" si="61"/>
        <v>33.340395480225979</v>
      </c>
      <c r="Z16" s="113">
        <f t="shared" si="62"/>
        <v>33.340395480225979</v>
      </c>
      <c r="AA16" s="113">
        <f t="shared" si="63"/>
        <v>2.6749529480485652</v>
      </c>
      <c r="AB16" s="83">
        <f t="shared" si="64"/>
        <v>1508.0674999999999</v>
      </c>
      <c r="AC16" s="83">
        <f t="shared" si="65"/>
        <v>92.067499999999882</v>
      </c>
      <c r="AD16" s="34">
        <f t="shared" si="66"/>
        <v>92.067499999999882</v>
      </c>
      <c r="AE16" s="113">
        <f t="shared" si="67"/>
        <v>6.5019420903954721</v>
      </c>
      <c r="AF16" s="113">
        <f t="shared" si="68"/>
        <v>6.5019420903954721</v>
      </c>
      <c r="AG16" s="113">
        <f t="shared" si="69"/>
        <v>1.9687980479540388</v>
      </c>
      <c r="AH16" s="83">
        <f t="shared" si="70"/>
        <v>1543.9799802271154</v>
      </c>
      <c r="AI16" s="83">
        <f t="shared" si="71"/>
        <v>127.97998022711545</v>
      </c>
      <c r="AJ16" s="34">
        <f t="shared" si="72"/>
        <v>127.97998022711545</v>
      </c>
      <c r="AK16" s="113">
        <f t="shared" si="73"/>
        <v>9.0381341968301872</v>
      </c>
      <c r="AL16" s="113">
        <f t="shared" si="74"/>
        <v>9.0381341968301872</v>
      </c>
      <c r="AM16" s="113">
        <f t="shared" si="75"/>
        <v>2.1105223060231304</v>
      </c>
      <c r="AN16" s="82">
        <f t="shared" si="76"/>
        <v>1431.8754604430014</v>
      </c>
      <c r="AO16" s="83">
        <f t="shared" si="77"/>
        <v>15.87546044300143</v>
      </c>
      <c r="AP16" s="34">
        <f t="shared" si="78"/>
        <v>15.87546044300143</v>
      </c>
      <c r="AQ16" s="113">
        <f t="shared" si="79"/>
        <v>1.1211483363701575</v>
      </c>
      <c r="AR16" s="113">
        <f t="shared" si="80"/>
        <v>1.1211483363701575</v>
      </c>
      <c r="AS16" s="113">
        <f t="shared" si="81"/>
        <v>3.156208444973188</v>
      </c>
      <c r="AT16" s="82">
        <f t="shared" si="82"/>
        <v>1531.9519590256568</v>
      </c>
      <c r="AU16" s="83">
        <f t="shared" si="83"/>
        <v>115.95195902565683</v>
      </c>
      <c r="AV16" s="34">
        <f t="shared" si="84"/>
        <v>115.95195902565683</v>
      </c>
      <c r="AW16" s="113">
        <f t="shared" si="85"/>
        <v>8.1886976713034496</v>
      </c>
      <c r="AX16" s="113">
        <f t="shared" si="86"/>
        <v>8.1886976713034496</v>
      </c>
      <c r="AY16" s="113">
        <f t="shared" si="87"/>
        <v>2.0680075009370227</v>
      </c>
      <c r="AZ16" s="82">
        <f t="shared" si="88"/>
        <v>1500</v>
      </c>
      <c r="BA16" s="83">
        <f t="shared" si="89"/>
        <v>84</v>
      </c>
      <c r="BB16" s="34">
        <f t="shared" si="90"/>
        <v>84</v>
      </c>
      <c r="BC16" s="113">
        <f t="shared" si="91"/>
        <v>5.9322033898305087</v>
      </c>
      <c r="BD16" s="113">
        <f t="shared" si="92"/>
        <v>5.9322033898305087</v>
      </c>
      <c r="BE16" s="113">
        <f t="shared" si="93"/>
        <v>1.9294189257142926</v>
      </c>
      <c r="BF16" s="83">
        <f t="shared" si="94"/>
        <v>1584.2955000000002</v>
      </c>
      <c r="BG16" s="83">
        <f t="shared" si="95"/>
        <v>168.29550000000017</v>
      </c>
      <c r="BH16" s="83">
        <f t="shared" si="96"/>
        <v>168.29550000000017</v>
      </c>
      <c r="BI16" s="83">
        <f t="shared" si="97"/>
        <v>1562.4746694785581</v>
      </c>
      <c r="BJ16" s="83">
        <f t="shared" si="98"/>
        <v>146.4746694785581</v>
      </c>
      <c r="BK16" s="83">
        <f t="shared" si="99"/>
        <v>146.4746694785581</v>
      </c>
    </row>
    <row r="17" spans="1:63" x14ac:dyDescent="0.15">
      <c r="A17" s="7" t="s">
        <v>16</v>
      </c>
      <c r="B17" s="64" t="s">
        <v>821</v>
      </c>
      <c r="C17" s="64" t="s">
        <v>824</v>
      </c>
      <c r="D17" s="77" t="s">
        <v>148</v>
      </c>
      <c r="E17" s="10" t="s">
        <v>293</v>
      </c>
      <c r="F17" s="10" t="s">
        <v>580</v>
      </c>
      <c r="G17" s="64">
        <v>1980</v>
      </c>
      <c r="H17" s="64">
        <v>1980</v>
      </c>
      <c r="I17" s="10" t="s">
        <v>640</v>
      </c>
      <c r="J17" s="64">
        <v>378</v>
      </c>
      <c r="K17" s="64">
        <v>361</v>
      </c>
      <c r="L17" s="64"/>
      <c r="M17" s="77" t="s">
        <v>488</v>
      </c>
      <c r="N17" s="82">
        <f t="shared" si="50"/>
        <v>2510.9</v>
      </c>
      <c r="O17" s="82">
        <f t="shared" si="51"/>
        <v>1916.8281999999999</v>
      </c>
      <c r="P17" s="82">
        <f t="shared" si="52"/>
        <v>1986.8354671230959</v>
      </c>
      <c r="Q17" s="82">
        <f t="shared" si="53"/>
        <v>1857.4293739379859</v>
      </c>
      <c r="R17" s="82">
        <f t="shared" si="54"/>
        <v>2018.0890298581351</v>
      </c>
      <c r="S17" s="82">
        <f t="shared" si="55"/>
        <v>1890</v>
      </c>
      <c r="T17" s="82">
        <f t="shared" si="56"/>
        <v>2070.1716000000001</v>
      </c>
      <c r="U17" s="82">
        <f t="shared" si="57"/>
        <v>2019.7982460366986</v>
      </c>
      <c r="V17" s="82">
        <f t="shared" si="58"/>
        <v>2508.2600000000002</v>
      </c>
      <c r="W17" s="83">
        <f t="shared" si="59"/>
        <v>528.26000000000022</v>
      </c>
      <c r="X17" s="34">
        <f t="shared" si="60"/>
        <v>528.26000000000022</v>
      </c>
      <c r="Y17" s="113">
        <f t="shared" si="61"/>
        <v>26.679797979797993</v>
      </c>
      <c r="Z17" s="113">
        <f t="shared" si="62"/>
        <v>26.679797979797993</v>
      </c>
      <c r="AA17" s="113">
        <f t="shared" si="63"/>
        <v>2.7236690724614836</v>
      </c>
      <c r="AB17" s="83">
        <f t="shared" si="64"/>
        <v>1955.6695</v>
      </c>
      <c r="AC17" s="83">
        <f t="shared" si="65"/>
        <v>-24.330500000000029</v>
      </c>
      <c r="AD17" s="34">
        <f t="shared" si="66"/>
        <v>24.330500000000029</v>
      </c>
      <c r="AE17" s="113">
        <f t="shared" si="67"/>
        <v>-1.2288131313131327</v>
      </c>
      <c r="AF17" s="113">
        <f t="shared" si="68"/>
        <v>1.2288131313131327</v>
      </c>
      <c r="AG17" s="113">
        <f t="shared" si="69"/>
        <v>1.4036437624355464</v>
      </c>
      <c r="AH17" s="83">
        <f t="shared" si="70"/>
        <v>2054.5140000140445</v>
      </c>
      <c r="AI17" s="83">
        <f t="shared" si="71"/>
        <v>74.514000014044541</v>
      </c>
      <c r="AJ17" s="34">
        <f t="shared" si="72"/>
        <v>74.514000014044541</v>
      </c>
      <c r="AK17" s="113">
        <f t="shared" si="73"/>
        <v>3.7633333340426538</v>
      </c>
      <c r="AL17" s="113">
        <f t="shared" si="74"/>
        <v>3.7633333340426538</v>
      </c>
      <c r="AM17" s="113">
        <f t="shared" si="75"/>
        <v>1.8780274756715016</v>
      </c>
      <c r="AN17" s="82">
        <f t="shared" si="76"/>
        <v>1892.5028552179774</v>
      </c>
      <c r="AO17" s="83">
        <f t="shared" si="77"/>
        <v>-87.497144782022588</v>
      </c>
      <c r="AP17" s="34">
        <f t="shared" si="78"/>
        <v>87.497144782022588</v>
      </c>
      <c r="AQ17" s="113">
        <f t="shared" si="79"/>
        <v>-4.4190477162637674</v>
      </c>
      <c r="AR17" s="113">
        <f t="shared" si="80"/>
        <v>4.4190477162637674</v>
      </c>
      <c r="AS17" s="113">
        <f t="shared" si="81"/>
        <v>3.2772659643311401</v>
      </c>
      <c r="AT17" s="82">
        <f t="shared" si="82"/>
        <v>2013.842379274626</v>
      </c>
      <c r="AU17" s="83">
        <f t="shared" si="83"/>
        <v>33.842379274625955</v>
      </c>
      <c r="AV17" s="34">
        <f t="shared" si="84"/>
        <v>33.842379274625955</v>
      </c>
      <c r="AW17" s="113">
        <f t="shared" si="85"/>
        <v>1.7092110744760585</v>
      </c>
      <c r="AX17" s="113">
        <f t="shared" si="86"/>
        <v>1.7092110744760585</v>
      </c>
      <c r="AY17" s="113">
        <f t="shared" si="87"/>
        <v>1.5421078039291849</v>
      </c>
      <c r="AZ17" s="82">
        <f t="shared" si="88"/>
        <v>1900</v>
      </c>
      <c r="BA17" s="83">
        <f t="shared" si="89"/>
        <v>-80</v>
      </c>
      <c r="BB17" s="34">
        <f t="shared" si="90"/>
        <v>80</v>
      </c>
      <c r="BC17" s="113">
        <f t="shared" si="91"/>
        <v>-4.0404040404040407</v>
      </c>
      <c r="BD17" s="113">
        <f t="shared" si="92"/>
        <v>4.0404040404040407</v>
      </c>
      <c r="BE17" s="113">
        <f t="shared" si="93"/>
        <v>1.9084850188786497</v>
      </c>
      <c r="BF17" s="83">
        <f t="shared" si="94"/>
        <v>2051.2623000000003</v>
      </c>
      <c r="BG17" s="83">
        <f t="shared" si="95"/>
        <v>71.262300000000323</v>
      </c>
      <c r="BH17" s="83">
        <f t="shared" si="96"/>
        <v>71.262300000000323</v>
      </c>
      <c r="BI17" s="83">
        <f t="shared" si="97"/>
        <v>2036.8019486916471</v>
      </c>
      <c r="BJ17" s="83">
        <f t="shared" si="98"/>
        <v>56.801948691647112</v>
      </c>
      <c r="BK17" s="83">
        <f t="shared" si="99"/>
        <v>56.801948691647112</v>
      </c>
    </row>
    <row r="18" spans="1:63" x14ac:dyDescent="0.15">
      <c r="A18" s="64" t="s">
        <v>16</v>
      </c>
      <c r="B18" s="64" t="s">
        <v>822</v>
      </c>
      <c r="C18" s="64" t="s">
        <v>824</v>
      </c>
      <c r="D18" s="77" t="s">
        <v>148</v>
      </c>
      <c r="E18" s="10" t="s">
        <v>374</v>
      </c>
      <c r="F18" s="10" t="s">
        <v>580</v>
      </c>
      <c r="G18" s="64">
        <v>1744</v>
      </c>
      <c r="H18" s="64">
        <v>1744</v>
      </c>
      <c r="I18" s="10" t="s">
        <v>640</v>
      </c>
      <c r="J18" s="64">
        <v>335</v>
      </c>
      <c r="K18" s="64">
        <v>313</v>
      </c>
      <c r="L18" s="64"/>
      <c r="M18" s="77" t="s">
        <v>488</v>
      </c>
      <c r="N18" s="82">
        <f t="shared" si="50"/>
        <v>2175.5</v>
      </c>
      <c r="O18" s="82">
        <f t="shared" si="51"/>
        <v>1685.6215</v>
      </c>
      <c r="P18" s="82">
        <f t="shared" si="52"/>
        <v>1730.1713588488451</v>
      </c>
      <c r="Q18" s="82">
        <f t="shared" si="53"/>
        <v>1610.757278726835</v>
      </c>
      <c r="R18" s="82">
        <f t="shared" si="54"/>
        <v>1754.9273846890353</v>
      </c>
      <c r="S18" s="82">
        <f t="shared" si="55"/>
        <v>1675</v>
      </c>
      <c r="T18" s="82">
        <f t="shared" si="56"/>
        <v>1811.432</v>
      </c>
      <c r="U18" s="82">
        <f t="shared" si="57"/>
        <v>1765.6648210088849</v>
      </c>
      <c r="V18" s="82">
        <f t="shared" si="58"/>
        <v>2116.58</v>
      </c>
      <c r="W18" s="83">
        <f t="shared" si="59"/>
        <v>372.57999999999993</v>
      </c>
      <c r="X18" s="34">
        <f t="shared" si="60"/>
        <v>372.57999999999993</v>
      </c>
      <c r="Y18" s="113">
        <f t="shared" si="61"/>
        <v>21.363532110091739</v>
      </c>
      <c r="Z18" s="113">
        <f t="shared" si="62"/>
        <v>21.363532110091739</v>
      </c>
      <c r="AA18" s="113">
        <f t="shared" si="63"/>
        <v>2.5723836177664654</v>
      </c>
      <c r="AB18" s="83">
        <f t="shared" si="64"/>
        <v>1672.9734999999998</v>
      </c>
      <c r="AC18" s="83">
        <f t="shared" si="65"/>
        <v>-71.026500000000169</v>
      </c>
      <c r="AD18" s="34">
        <f t="shared" si="66"/>
        <v>71.026500000000169</v>
      </c>
      <c r="AE18" s="113">
        <f t="shared" si="67"/>
        <v>-4.0726204128440457</v>
      </c>
      <c r="AF18" s="113">
        <f t="shared" si="68"/>
        <v>4.0726204128440457</v>
      </c>
      <c r="AG18" s="113">
        <f t="shared" si="69"/>
        <v>1.8574923115194693</v>
      </c>
      <c r="AH18" s="83">
        <f t="shared" si="70"/>
        <v>1729.1273629281202</v>
      </c>
      <c r="AI18" s="83">
        <f t="shared" si="71"/>
        <v>-14.872637071879808</v>
      </c>
      <c r="AJ18" s="34">
        <f t="shared" si="72"/>
        <v>14.872637071879808</v>
      </c>
      <c r="AK18" s="113">
        <f t="shared" si="73"/>
        <v>-0.85278882292888802</v>
      </c>
      <c r="AL18" s="113">
        <f t="shared" si="74"/>
        <v>0.85278882292888802</v>
      </c>
      <c r="AM18" s="113">
        <f t="shared" si="75"/>
        <v>1.2006490862144308</v>
      </c>
      <c r="AN18" s="82">
        <f t="shared" si="76"/>
        <v>1599.2875622869974</v>
      </c>
      <c r="AO18" s="83">
        <f t="shared" si="77"/>
        <v>-144.7124377130026</v>
      </c>
      <c r="AP18" s="34">
        <f t="shared" si="78"/>
        <v>144.7124377130026</v>
      </c>
      <c r="AQ18" s="113">
        <f t="shared" si="79"/>
        <v>-8.2977315202409745</v>
      </c>
      <c r="AR18" s="113">
        <f t="shared" si="80"/>
        <v>8.2977315202409745</v>
      </c>
      <c r="AS18" s="113">
        <f t="shared" si="81"/>
        <v>3.2041980298390933</v>
      </c>
      <c r="AT18" s="82">
        <f t="shared" si="82"/>
        <v>1707.3967162946535</v>
      </c>
      <c r="AU18" s="83">
        <f t="shared" si="83"/>
        <v>-36.603283705346485</v>
      </c>
      <c r="AV18" s="34">
        <f t="shared" si="84"/>
        <v>36.603283705346485</v>
      </c>
      <c r="AW18" s="113">
        <f t="shared" si="85"/>
        <v>-2.0988121390680323</v>
      </c>
      <c r="AX18" s="113">
        <f t="shared" si="86"/>
        <v>2.0988121390680323</v>
      </c>
      <c r="AY18" s="113">
        <f t="shared" si="87"/>
        <v>1.5752257713330735</v>
      </c>
      <c r="AZ18" s="82">
        <f t="shared" si="88"/>
        <v>1647.3684210526314</v>
      </c>
      <c r="BA18" s="83">
        <f t="shared" si="89"/>
        <v>-96.631578947368553</v>
      </c>
      <c r="BB18" s="34">
        <f t="shared" si="90"/>
        <v>96.631578947368553</v>
      </c>
      <c r="BC18" s="113">
        <f t="shared" si="91"/>
        <v>-5.5408015451472794</v>
      </c>
      <c r="BD18" s="113">
        <f t="shared" si="92"/>
        <v>5.5408015451472794</v>
      </c>
      <c r="BE18" s="113">
        <f t="shared" si="93"/>
        <v>1.9895903129982364</v>
      </c>
      <c r="BF18" s="83">
        <f t="shared" si="94"/>
        <v>1756.3359000000003</v>
      </c>
      <c r="BG18" s="83">
        <f t="shared" si="95"/>
        <v>12.335900000000265</v>
      </c>
      <c r="BH18" s="83">
        <f t="shared" si="96"/>
        <v>12.335900000000265</v>
      </c>
      <c r="BI18" s="83">
        <f t="shared" si="97"/>
        <v>1735.6312038357719</v>
      </c>
      <c r="BJ18" s="83">
        <f t="shared" si="98"/>
        <v>-8.3687961642281152</v>
      </c>
      <c r="BK18" s="83">
        <f t="shared" si="99"/>
        <v>8.3687961642281152</v>
      </c>
    </row>
    <row r="19" spans="1:63" x14ac:dyDescent="0.15">
      <c r="A19" s="69" t="s">
        <v>16</v>
      </c>
      <c r="B19" s="64" t="s">
        <v>823</v>
      </c>
      <c r="C19" s="64" t="s">
        <v>824</v>
      </c>
      <c r="D19" s="77" t="s">
        <v>148</v>
      </c>
      <c r="E19" s="10" t="s">
        <v>374</v>
      </c>
      <c r="F19" s="10" t="s">
        <v>580</v>
      </c>
      <c r="G19" s="64">
        <v>1780</v>
      </c>
      <c r="H19" s="64">
        <v>1780</v>
      </c>
      <c r="I19" s="10" t="s">
        <v>640</v>
      </c>
      <c r="J19" s="64">
        <v>341</v>
      </c>
      <c r="K19" s="64">
        <v>330</v>
      </c>
      <c r="L19" s="64"/>
      <c r="M19" s="77" t="s">
        <v>488</v>
      </c>
      <c r="N19" s="82">
        <f t="shared" si="50"/>
        <v>2222.2999999999997</v>
      </c>
      <c r="O19" s="82">
        <f t="shared" si="51"/>
        <v>1717.8828999999998</v>
      </c>
      <c r="P19" s="82">
        <f t="shared" si="52"/>
        <v>1765.7111609607616</v>
      </c>
      <c r="Q19" s="82">
        <f t="shared" si="53"/>
        <v>1644.8512396692463</v>
      </c>
      <c r="R19" s="82">
        <f t="shared" si="54"/>
        <v>1791.3445456578083</v>
      </c>
      <c r="S19" s="82">
        <f t="shared" si="55"/>
        <v>1705</v>
      </c>
      <c r="T19" s="82">
        <f t="shared" si="56"/>
        <v>1847.5352000000003</v>
      </c>
      <c r="U19" s="82">
        <f t="shared" si="57"/>
        <v>1800.9135786828815</v>
      </c>
      <c r="V19" s="82">
        <f t="shared" si="58"/>
        <v>2255.3000000000002</v>
      </c>
      <c r="W19" s="83">
        <f t="shared" si="59"/>
        <v>475.30000000000018</v>
      </c>
      <c r="X19" s="34">
        <f t="shared" si="60"/>
        <v>475.30000000000018</v>
      </c>
      <c r="Y19" s="113">
        <f t="shared" si="61"/>
        <v>26.702247191011246</v>
      </c>
      <c r="Z19" s="113">
        <f t="shared" si="62"/>
        <v>26.702247191011246</v>
      </c>
      <c r="AA19" s="113">
        <f t="shared" si="63"/>
        <v>2.6778805815115905</v>
      </c>
      <c r="AB19" s="83">
        <f t="shared" si="64"/>
        <v>1773.095</v>
      </c>
      <c r="AC19" s="83">
        <f t="shared" si="65"/>
        <v>-6.9049999999999727</v>
      </c>
      <c r="AD19" s="34">
        <f t="shared" si="66"/>
        <v>6.9049999999999727</v>
      </c>
      <c r="AE19" s="113">
        <f t="shared" si="67"/>
        <v>-0.38792134831460523</v>
      </c>
      <c r="AF19" s="113">
        <f t="shared" si="68"/>
        <v>0.38792134831460523</v>
      </c>
      <c r="AG19" s="113">
        <f t="shared" si="69"/>
        <v>0.89790187426822632</v>
      </c>
      <c r="AH19" s="83">
        <f t="shared" si="70"/>
        <v>1843.2563887480742</v>
      </c>
      <c r="AI19" s="83">
        <f t="shared" si="71"/>
        <v>63.256388748074187</v>
      </c>
      <c r="AJ19" s="34">
        <f t="shared" si="72"/>
        <v>63.256388748074187</v>
      </c>
      <c r="AK19" s="113">
        <f t="shared" si="73"/>
        <v>3.5537297049479881</v>
      </c>
      <c r="AL19" s="113">
        <f t="shared" si="74"/>
        <v>3.5537297049479881</v>
      </c>
      <c r="AM19" s="113">
        <f t="shared" si="75"/>
        <v>1.8079163142616494</v>
      </c>
      <c r="AN19" s="82">
        <f t="shared" si="76"/>
        <v>1702.2697966189126</v>
      </c>
      <c r="AO19" s="83">
        <f t="shared" si="77"/>
        <v>-77.730203381087449</v>
      </c>
      <c r="AP19" s="34">
        <f t="shared" si="78"/>
        <v>77.730203381087449</v>
      </c>
      <c r="AQ19" s="113">
        <f t="shared" si="79"/>
        <v>-4.3668653584880595</v>
      </c>
      <c r="AR19" s="113">
        <f t="shared" si="80"/>
        <v>4.3668653584880595</v>
      </c>
      <c r="AS19" s="113">
        <f t="shared" si="81"/>
        <v>3.2312834453216306</v>
      </c>
      <c r="AT19" s="82">
        <f t="shared" si="82"/>
        <v>1815.1406033527871</v>
      </c>
      <c r="AU19" s="83">
        <f t="shared" si="83"/>
        <v>35.140603352787139</v>
      </c>
      <c r="AV19" s="34">
        <f t="shared" si="84"/>
        <v>35.140603352787139</v>
      </c>
      <c r="AW19" s="113">
        <f t="shared" si="85"/>
        <v>1.9741911995947832</v>
      </c>
      <c r="AX19" s="113">
        <f t="shared" si="86"/>
        <v>1.9741911995947832</v>
      </c>
      <c r="AY19" s="113">
        <f t="shared" si="87"/>
        <v>1.5579953986565349</v>
      </c>
      <c r="AZ19" s="82">
        <f t="shared" si="88"/>
        <v>1736.8421052631579</v>
      </c>
      <c r="BA19" s="83">
        <f t="shared" si="89"/>
        <v>-43.157894736842081</v>
      </c>
      <c r="BB19" s="34">
        <f t="shared" si="90"/>
        <v>43.157894736842081</v>
      </c>
      <c r="BC19" s="113">
        <f t="shared" si="91"/>
        <v>-2.4246008279124762</v>
      </c>
      <c r="BD19" s="113">
        <f t="shared" si="92"/>
        <v>2.4246008279124762</v>
      </c>
      <c r="BE19" s="113">
        <f t="shared" si="93"/>
        <v>1.6450083598758711</v>
      </c>
      <c r="BF19" s="83">
        <f t="shared" si="94"/>
        <v>1860.7890000000002</v>
      </c>
      <c r="BG19" s="83">
        <f t="shared" si="95"/>
        <v>80.789000000000215</v>
      </c>
      <c r="BH19" s="83">
        <f t="shared" si="96"/>
        <v>80.789000000000215</v>
      </c>
      <c r="BI19" s="83">
        <f t="shared" si="97"/>
        <v>1841.695633610829</v>
      </c>
      <c r="BJ19" s="83">
        <f t="shared" si="98"/>
        <v>61.695633610828963</v>
      </c>
      <c r="BK19" s="83">
        <f t="shared" si="99"/>
        <v>61.695633610828963</v>
      </c>
    </row>
    <row r="20" spans="1:63" x14ac:dyDescent="0.15">
      <c r="A20" s="69" t="s">
        <v>16</v>
      </c>
      <c r="B20" s="64" t="s">
        <v>415</v>
      </c>
      <c r="C20" s="70" t="s">
        <v>458</v>
      </c>
      <c r="D20" s="9" t="s">
        <v>82</v>
      </c>
      <c r="E20" s="10" t="s">
        <v>203</v>
      </c>
      <c r="F20" s="10" t="s">
        <v>581</v>
      </c>
      <c r="G20" s="64">
        <v>2790</v>
      </c>
      <c r="H20" s="64">
        <v>2790</v>
      </c>
      <c r="I20" s="10" t="s">
        <v>640</v>
      </c>
      <c r="J20" s="64">
        <v>480</v>
      </c>
      <c r="K20" s="64">
        <v>456</v>
      </c>
      <c r="L20" s="64">
        <v>662</v>
      </c>
      <c r="M20" s="77" t="s">
        <v>37</v>
      </c>
      <c r="N20" s="82">
        <f t="shared" si="50"/>
        <v>3306.5</v>
      </c>
      <c r="O20" s="82">
        <f t="shared" si="51"/>
        <v>2465.2719999999999</v>
      </c>
      <c r="P20" s="82">
        <f t="shared" si="52"/>
        <v>2612.1403616933349</v>
      </c>
      <c r="Q20" s="82">
        <f t="shared" si="53"/>
        <v>2462.216689172727</v>
      </c>
      <c r="R20" s="82">
        <f t="shared" si="54"/>
        <v>2660.5928574732825</v>
      </c>
      <c r="S20" s="82">
        <f t="shared" si="55"/>
        <v>2400</v>
      </c>
      <c r="T20" s="82">
        <f t="shared" si="56"/>
        <v>2683.9259999999999</v>
      </c>
      <c r="U20" s="82">
        <f t="shared" si="57"/>
        <v>2635.3177635435627</v>
      </c>
      <c r="V20" s="82">
        <f t="shared" si="58"/>
        <v>3283.46</v>
      </c>
      <c r="W20" s="83">
        <f t="shared" si="59"/>
        <v>493.46000000000004</v>
      </c>
      <c r="X20" s="34">
        <f t="shared" si="60"/>
        <v>493.46000000000004</v>
      </c>
      <c r="Y20" s="113">
        <f t="shared" si="61"/>
        <v>17.686738351254483</v>
      </c>
      <c r="Z20" s="113">
        <f t="shared" si="62"/>
        <v>17.686738351254483</v>
      </c>
      <c r="AA20" s="113">
        <f t="shared" si="63"/>
        <v>2.6941311645238679</v>
      </c>
      <c r="AB20" s="83">
        <f t="shared" si="64"/>
        <v>2515.172</v>
      </c>
      <c r="AC20" s="83">
        <f t="shared" si="65"/>
        <v>-274.82799999999997</v>
      </c>
      <c r="AD20" s="34">
        <f t="shared" si="66"/>
        <v>274.82799999999997</v>
      </c>
      <c r="AE20" s="113">
        <f t="shared" si="67"/>
        <v>-9.8504659498207872</v>
      </c>
      <c r="AF20" s="113">
        <f t="shared" si="68"/>
        <v>9.8504659498207872</v>
      </c>
      <c r="AG20" s="113">
        <f t="shared" si="69"/>
        <v>2.4406383504122156</v>
      </c>
      <c r="AH20" s="83">
        <f t="shared" si="70"/>
        <v>2724.7123728262141</v>
      </c>
      <c r="AI20" s="83">
        <f t="shared" si="71"/>
        <v>-65.28762717378595</v>
      </c>
      <c r="AJ20" s="34">
        <f t="shared" si="72"/>
        <v>65.28762717378595</v>
      </c>
      <c r="AK20" s="113">
        <f t="shared" si="73"/>
        <v>-2.3400583216410737</v>
      </c>
      <c r="AL20" s="113">
        <f t="shared" si="74"/>
        <v>2.3400583216410737</v>
      </c>
      <c r="AM20" s="113">
        <f t="shared" si="75"/>
        <v>1.821432473327758</v>
      </c>
      <c r="AN20" s="82">
        <f t="shared" si="76"/>
        <v>2493.1385483301624</v>
      </c>
      <c r="AO20" s="83">
        <f t="shared" si="77"/>
        <v>-296.86145166983761</v>
      </c>
      <c r="AP20" s="34">
        <f t="shared" si="78"/>
        <v>296.86145166983761</v>
      </c>
      <c r="AQ20" s="113">
        <f t="shared" si="79"/>
        <v>-10.640195400352601</v>
      </c>
      <c r="AR20" s="113">
        <f t="shared" si="80"/>
        <v>10.640195400352601</v>
      </c>
      <c r="AS20" s="113">
        <f t="shared" si="81"/>
        <v>3.3969205746854287</v>
      </c>
      <c r="AT20" s="82">
        <f t="shared" si="82"/>
        <v>2638.8333629791664</v>
      </c>
      <c r="AU20" s="83">
        <f t="shared" si="83"/>
        <v>-151.1666370208336</v>
      </c>
      <c r="AV20" s="34">
        <f t="shared" si="84"/>
        <v>151.1666370208336</v>
      </c>
      <c r="AW20" s="113">
        <f t="shared" si="85"/>
        <v>-5.4181590330047884</v>
      </c>
      <c r="AX20" s="113">
        <f t="shared" si="86"/>
        <v>5.4181590330047884</v>
      </c>
      <c r="AY20" s="113">
        <f t="shared" si="87"/>
        <v>2.1823194425393324</v>
      </c>
      <c r="AZ20" s="82">
        <f t="shared" si="88"/>
        <v>2400</v>
      </c>
      <c r="BA20" s="83">
        <f t="shared" si="89"/>
        <v>-390</v>
      </c>
      <c r="BB20" s="34">
        <f t="shared" si="90"/>
        <v>390</v>
      </c>
      <c r="BC20" s="113">
        <f t="shared" si="91"/>
        <v>-13.978494623655912</v>
      </c>
      <c r="BD20" s="113">
        <f t="shared" si="92"/>
        <v>13.978494623655912</v>
      </c>
      <c r="BE20" s="113">
        <f t="shared" si="93"/>
        <v>2.5921767573958667</v>
      </c>
      <c r="BF20" s="83">
        <f t="shared" si="94"/>
        <v>2634.9708000000001</v>
      </c>
      <c r="BG20" s="83">
        <f t="shared" si="95"/>
        <v>-155.02919999999995</v>
      </c>
      <c r="BH20" s="83">
        <f t="shared" si="96"/>
        <v>155.02919999999995</v>
      </c>
      <c r="BI20" s="83">
        <f t="shared" si="97"/>
        <v>2646.8756942862537</v>
      </c>
      <c r="BJ20" s="83">
        <f t="shared" si="98"/>
        <v>-143.12430571374625</v>
      </c>
      <c r="BK20" s="83">
        <f t="shared" si="99"/>
        <v>143.12430571374625</v>
      </c>
    </row>
    <row r="21" spans="1:63" x14ac:dyDescent="0.15">
      <c r="A21" s="69" t="s">
        <v>16</v>
      </c>
      <c r="B21" s="7" t="s">
        <v>58</v>
      </c>
      <c r="C21" s="70" t="s">
        <v>403</v>
      </c>
      <c r="D21" s="9" t="s">
        <v>404</v>
      </c>
      <c r="E21" s="10" t="s">
        <v>203</v>
      </c>
      <c r="F21" s="10" t="s">
        <v>581</v>
      </c>
      <c r="G21" s="8">
        <v>2949</v>
      </c>
      <c r="H21" s="8">
        <v>2900</v>
      </c>
      <c r="I21" s="10" t="s">
        <v>640</v>
      </c>
      <c r="J21" s="8">
        <v>508.6</v>
      </c>
      <c r="K21" s="8">
        <v>487.4</v>
      </c>
      <c r="L21" s="8">
        <v>645.79999999999995</v>
      </c>
      <c r="M21" s="77" t="s">
        <v>37</v>
      </c>
      <c r="N21" s="82">
        <f t="shared" si="50"/>
        <v>3529.58</v>
      </c>
      <c r="O21" s="82">
        <f t="shared" si="51"/>
        <v>2619.0513400000004</v>
      </c>
      <c r="P21" s="82">
        <f t="shared" si="52"/>
        <v>2791.1699091610058</v>
      </c>
      <c r="Q21" s="82">
        <f t="shared" si="53"/>
        <v>2636.2293869756254</v>
      </c>
      <c r="R21" s="82">
        <f t="shared" si="54"/>
        <v>2844.8524929169162</v>
      </c>
      <c r="S21" s="82">
        <f t="shared" si="55"/>
        <v>2543</v>
      </c>
      <c r="T21" s="82">
        <f t="shared" si="56"/>
        <v>2856.0179200000002</v>
      </c>
      <c r="U21" s="82">
        <f t="shared" si="57"/>
        <v>2810.741745000475</v>
      </c>
      <c r="V21" s="82">
        <f t="shared" si="58"/>
        <v>3539.6839999999997</v>
      </c>
      <c r="W21" s="83">
        <f t="shared" si="59"/>
        <v>590.68399999999974</v>
      </c>
      <c r="X21" s="34">
        <f t="shared" si="60"/>
        <v>590.68399999999974</v>
      </c>
      <c r="Y21" s="113">
        <f t="shared" si="61"/>
        <v>20.029976263140039</v>
      </c>
      <c r="Z21" s="113">
        <f t="shared" si="62"/>
        <v>20.029976263140039</v>
      </c>
      <c r="AA21" s="113">
        <f t="shared" si="63"/>
        <v>2.7720898254783615</v>
      </c>
      <c r="AB21" s="83">
        <f t="shared" si="64"/>
        <v>2700.1023</v>
      </c>
      <c r="AC21" s="83">
        <f t="shared" si="65"/>
        <v>-248.89769999999999</v>
      </c>
      <c r="AD21" s="34">
        <f t="shared" si="66"/>
        <v>248.89769999999999</v>
      </c>
      <c r="AE21" s="113">
        <f t="shared" si="67"/>
        <v>-8.4400712105798572</v>
      </c>
      <c r="AF21" s="113">
        <f t="shared" si="68"/>
        <v>8.4400712105798572</v>
      </c>
      <c r="AG21" s="113">
        <f t="shared" si="69"/>
        <v>2.397762258999979</v>
      </c>
      <c r="AH21" s="83">
        <f t="shared" si="70"/>
        <v>2953.0534537921217</v>
      </c>
      <c r="AI21" s="83">
        <f t="shared" si="71"/>
        <v>4.0534537921216724</v>
      </c>
      <c r="AJ21" s="34">
        <f t="shared" si="72"/>
        <v>4.0534537921216724</v>
      </c>
      <c r="AK21" s="113">
        <f t="shared" si="73"/>
        <v>0.13745180712518387</v>
      </c>
      <c r="AL21" s="113">
        <f t="shared" si="74"/>
        <v>0.13745180712518387</v>
      </c>
      <c r="AM21" s="113">
        <f t="shared" si="75"/>
        <v>0.70358829894383101</v>
      </c>
      <c r="AN21" s="82">
        <f t="shared" si="76"/>
        <v>2696.9315669929601</v>
      </c>
      <c r="AO21" s="83">
        <f t="shared" si="77"/>
        <v>-252.06843300703986</v>
      </c>
      <c r="AP21" s="34">
        <f t="shared" si="78"/>
        <v>252.06843300703986</v>
      </c>
      <c r="AQ21" s="113">
        <f t="shared" si="79"/>
        <v>-8.5475901324869401</v>
      </c>
      <c r="AR21" s="113">
        <f t="shared" si="80"/>
        <v>8.5475901324869401</v>
      </c>
      <c r="AS21" s="113">
        <f t="shared" si="81"/>
        <v>3.4310309296004298</v>
      </c>
      <c r="AT21" s="82">
        <f t="shared" si="82"/>
        <v>2850.1859543022465</v>
      </c>
      <c r="AU21" s="83">
        <f t="shared" si="83"/>
        <v>-98.8140456977535</v>
      </c>
      <c r="AV21" s="34">
        <f t="shared" si="84"/>
        <v>98.8140456977535</v>
      </c>
      <c r="AW21" s="113">
        <f t="shared" si="85"/>
        <v>-3.3507645201001521</v>
      </c>
      <c r="AX21" s="113">
        <f t="shared" si="86"/>
        <v>3.3507645201001521</v>
      </c>
      <c r="AY21" s="113">
        <f t="shared" si="87"/>
        <v>1.9991916589208278</v>
      </c>
      <c r="AZ21" s="82">
        <f t="shared" si="88"/>
        <v>2565.2631578947367</v>
      </c>
      <c r="BA21" s="83">
        <f t="shared" si="89"/>
        <v>-383.73684210526335</v>
      </c>
      <c r="BB21" s="34">
        <f t="shared" si="90"/>
        <v>383.73684210526335</v>
      </c>
      <c r="BC21" s="113">
        <f t="shared" si="91"/>
        <v>-13.012439542396182</v>
      </c>
      <c r="BD21" s="113">
        <f t="shared" si="92"/>
        <v>13.012439542396182</v>
      </c>
      <c r="BE21" s="113">
        <f t="shared" si="93"/>
        <v>2.5851637760050319</v>
      </c>
      <c r="BF21" s="83">
        <f t="shared" si="94"/>
        <v>2827.90182</v>
      </c>
      <c r="BG21" s="83">
        <f t="shared" si="95"/>
        <v>-121.09817999999996</v>
      </c>
      <c r="BH21" s="83">
        <f t="shared" si="96"/>
        <v>121.09817999999996</v>
      </c>
      <c r="BI21" s="83">
        <f t="shared" si="97"/>
        <v>2852.1219500938105</v>
      </c>
      <c r="BJ21" s="83">
        <f t="shared" si="98"/>
        <v>-96.878049906189517</v>
      </c>
      <c r="BK21" s="83">
        <f t="shared" si="99"/>
        <v>96.878049906189517</v>
      </c>
    </row>
    <row r="22" spans="1:63" x14ac:dyDescent="0.15">
      <c r="A22" s="69" t="s">
        <v>16</v>
      </c>
      <c r="B22" s="7" t="s">
        <v>254</v>
      </c>
      <c r="C22" s="70" t="s">
        <v>403</v>
      </c>
      <c r="D22" s="9" t="s">
        <v>82</v>
      </c>
      <c r="E22" s="10" t="s">
        <v>374</v>
      </c>
      <c r="F22" s="10" t="s">
        <v>580</v>
      </c>
      <c r="G22" s="85">
        <v>1176.5999999999999</v>
      </c>
      <c r="H22" s="8">
        <v>1200</v>
      </c>
      <c r="I22" s="10" t="s">
        <v>634</v>
      </c>
      <c r="J22" s="85">
        <v>268.64</v>
      </c>
      <c r="K22" s="85">
        <v>258.58999999999997</v>
      </c>
      <c r="L22" s="85">
        <v>350.59</v>
      </c>
      <c r="M22" s="77" t="s">
        <v>37</v>
      </c>
      <c r="N22" s="82">
        <f t="shared" si="50"/>
        <v>1657.8919999999998</v>
      </c>
      <c r="O22" s="82">
        <f t="shared" si="51"/>
        <v>1328.8104159999998</v>
      </c>
      <c r="P22" s="82">
        <f t="shared" si="52"/>
        <v>1343.6151495690942</v>
      </c>
      <c r="Q22" s="82">
        <f t="shared" si="53"/>
        <v>1241.389931394322</v>
      </c>
      <c r="R22" s="82">
        <f t="shared" si="54"/>
        <v>1359.3546732567179</v>
      </c>
      <c r="S22" s="82">
        <f t="shared" si="55"/>
        <v>1343.1999999999998</v>
      </c>
      <c r="T22" s="82">
        <f t="shared" si="56"/>
        <v>1412.1306079999999</v>
      </c>
      <c r="U22" s="82">
        <f t="shared" si="57"/>
        <v>1380.8688170972634</v>
      </c>
      <c r="V22" s="82">
        <f t="shared" si="58"/>
        <v>1672.5944</v>
      </c>
      <c r="W22" s="83">
        <f t="shared" si="59"/>
        <v>495.99440000000004</v>
      </c>
      <c r="X22" s="34">
        <f t="shared" si="60"/>
        <v>495.99440000000004</v>
      </c>
      <c r="Y22" s="113">
        <f t="shared" si="61"/>
        <v>42.154886962434141</v>
      </c>
      <c r="Z22" s="113">
        <f t="shared" si="62"/>
        <v>42.154886962434141</v>
      </c>
      <c r="AA22" s="113">
        <f t="shared" si="63"/>
        <v>2.6963514952468119</v>
      </c>
      <c r="AB22" s="83">
        <f t="shared" si="64"/>
        <v>1352.5258049999998</v>
      </c>
      <c r="AC22" s="83">
        <f t="shared" si="65"/>
        <v>175.92580499999985</v>
      </c>
      <c r="AD22" s="34">
        <f t="shared" si="66"/>
        <v>175.92580499999985</v>
      </c>
      <c r="AE22" s="113">
        <f t="shared" si="67"/>
        <v>14.952048699643028</v>
      </c>
      <c r="AF22" s="113">
        <f t="shared" si="68"/>
        <v>14.952048699643028</v>
      </c>
      <c r="AG22" s="113">
        <f t="shared" si="69"/>
        <v>2.2477911802912138</v>
      </c>
      <c r="AH22" s="83">
        <f t="shared" si="70"/>
        <v>1372.7862562795128</v>
      </c>
      <c r="AI22" s="83">
        <f t="shared" si="71"/>
        <v>196.18625627951292</v>
      </c>
      <c r="AJ22" s="34">
        <f t="shared" si="72"/>
        <v>196.18625627951292</v>
      </c>
      <c r="AK22" s="113">
        <f t="shared" si="73"/>
        <v>16.673997644017756</v>
      </c>
      <c r="AL22" s="113">
        <f t="shared" si="74"/>
        <v>16.673997644017756</v>
      </c>
      <c r="AM22" s="113">
        <f t="shared" si="75"/>
        <v>2.2948766416905144</v>
      </c>
      <c r="AN22" s="82">
        <f t="shared" si="76"/>
        <v>1276.6574136349632</v>
      </c>
      <c r="AO22" s="83">
        <f t="shared" si="77"/>
        <v>100.05741363496327</v>
      </c>
      <c r="AP22" s="34">
        <f t="shared" si="78"/>
        <v>100.05741363496327</v>
      </c>
      <c r="AQ22" s="113">
        <f t="shared" si="79"/>
        <v>8.5039447250521238</v>
      </c>
      <c r="AR22" s="113">
        <f t="shared" si="80"/>
        <v>8.5039447250521238</v>
      </c>
      <c r="AS22" s="113">
        <f t="shared" si="81"/>
        <v>3.1064144193049783</v>
      </c>
      <c r="AT22" s="82">
        <f t="shared" si="82"/>
        <v>1368.9305337553819</v>
      </c>
      <c r="AU22" s="83">
        <f t="shared" si="83"/>
        <v>192.33053375538202</v>
      </c>
      <c r="AV22" s="34">
        <f t="shared" si="84"/>
        <v>192.33053375538202</v>
      </c>
      <c r="AW22" s="113">
        <f t="shared" si="85"/>
        <v>16.346297276507059</v>
      </c>
      <c r="AX22" s="113">
        <f t="shared" si="86"/>
        <v>16.346297276507059</v>
      </c>
      <c r="AY22" s="113">
        <f t="shared" si="87"/>
        <v>2.286300449963659</v>
      </c>
      <c r="AZ22" s="82">
        <f t="shared" si="88"/>
        <v>1360.9999999999998</v>
      </c>
      <c r="BA22" s="83">
        <f t="shared" si="89"/>
        <v>184.39999999999986</v>
      </c>
      <c r="BB22" s="34">
        <f t="shared" si="90"/>
        <v>184.39999999999986</v>
      </c>
      <c r="BC22" s="113">
        <f t="shared" si="91"/>
        <v>15.672276049634529</v>
      </c>
      <c r="BD22" s="113">
        <f t="shared" si="92"/>
        <v>15.672276049634529</v>
      </c>
      <c r="BE22" s="113">
        <f t="shared" si="93"/>
        <v>2.268109729808478</v>
      </c>
      <c r="BF22" s="83">
        <f t="shared" si="94"/>
        <v>1422.024537</v>
      </c>
      <c r="BG22" s="83">
        <f t="shared" si="95"/>
        <v>245.4245370000001</v>
      </c>
      <c r="BH22" s="83">
        <f t="shared" si="96"/>
        <v>245.4245370000001</v>
      </c>
      <c r="BI22" s="83">
        <f t="shared" si="97"/>
        <v>1401.0335192703026</v>
      </c>
      <c r="BJ22" s="83">
        <f t="shared" si="98"/>
        <v>224.43351927030267</v>
      </c>
      <c r="BK22" s="83">
        <f t="shared" si="99"/>
        <v>224.43351927030267</v>
      </c>
    </row>
    <row r="23" spans="1:63" x14ac:dyDescent="0.15">
      <c r="A23" s="69" t="s">
        <v>16</v>
      </c>
      <c r="B23" s="7" t="s">
        <v>63</v>
      </c>
      <c r="C23" s="70" t="s">
        <v>403</v>
      </c>
      <c r="D23" s="9" t="s">
        <v>82</v>
      </c>
      <c r="E23" s="10" t="s">
        <v>494</v>
      </c>
      <c r="F23" s="10" t="s">
        <v>580</v>
      </c>
      <c r="G23" s="8">
        <v>633</v>
      </c>
      <c r="H23" s="8">
        <v>633</v>
      </c>
      <c r="I23" s="10" t="s">
        <v>634</v>
      </c>
      <c r="J23" s="8">
        <v>138.19999999999999</v>
      </c>
      <c r="K23" s="8">
        <v>132.80000000000001</v>
      </c>
      <c r="L23" s="8">
        <v>185</v>
      </c>
      <c r="M23" s="77" t="s">
        <v>37</v>
      </c>
      <c r="N23" s="82">
        <f t="shared" si="50"/>
        <v>640.45999999999981</v>
      </c>
      <c r="O23" s="82">
        <f t="shared" si="51"/>
        <v>627.4475799999999</v>
      </c>
      <c r="P23" s="82">
        <f t="shared" si="52"/>
        <v>627.53898215547292</v>
      </c>
      <c r="Q23" s="82">
        <f t="shared" si="53"/>
        <v>566.65036739045775</v>
      </c>
      <c r="R23" s="82">
        <f t="shared" si="54"/>
        <v>630.01387622042398</v>
      </c>
      <c r="S23" s="82">
        <f t="shared" si="55"/>
        <v>690.99999999999989</v>
      </c>
      <c r="T23" s="82">
        <f t="shared" si="56"/>
        <v>627.24703999999986</v>
      </c>
      <c r="U23" s="82">
        <f t="shared" si="57"/>
        <v>658.75902414590382</v>
      </c>
      <c r="V23" s="82">
        <f t="shared" si="58"/>
        <v>646.14800000000014</v>
      </c>
      <c r="W23" s="83">
        <f t="shared" si="59"/>
        <v>13.148000000000138</v>
      </c>
      <c r="X23" s="34">
        <f t="shared" si="60"/>
        <v>13.148000000000138</v>
      </c>
      <c r="Y23" s="113">
        <f t="shared" si="61"/>
        <v>2.0770932069510488</v>
      </c>
      <c r="Z23" s="113">
        <f t="shared" si="62"/>
        <v>2.0770932069510488</v>
      </c>
      <c r="AA23" s="113">
        <f t="shared" si="63"/>
        <v>1.1506950511427183</v>
      </c>
      <c r="AB23" s="83">
        <f t="shared" si="64"/>
        <v>611.68560000000002</v>
      </c>
      <c r="AC23" s="83">
        <f t="shared" si="65"/>
        <v>-21.314399999999978</v>
      </c>
      <c r="AD23" s="34">
        <f t="shared" si="66"/>
        <v>21.314399999999978</v>
      </c>
      <c r="AE23" s="113">
        <f t="shared" si="67"/>
        <v>-3.3672037914691906</v>
      </c>
      <c r="AF23" s="113">
        <f t="shared" si="68"/>
        <v>3.3672037914691906</v>
      </c>
      <c r="AG23" s="113">
        <f t="shared" si="69"/>
        <v>1.3485852138208514</v>
      </c>
      <c r="AH23" s="83">
        <f t="shared" si="70"/>
        <v>613.54514684786795</v>
      </c>
      <c r="AI23" s="83">
        <f t="shared" si="71"/>
        <v>-19.454853152132046</v>
      </c>
      <c r="AJ23" s="34">
        <f t="shared" si="72"/>
        <v>19.454853152132046</v>
      </c>
      <c r="AK23" s="113">
        <f t="shared" si="73"/>
        <v>-3.0734365169244935</v>
      </c>
      <c r="AL23" s="113">
        <f t="shared" si="74"/>
        <v>3.0734365169244935</v>
      </c>
      <c r="AM23" s="113">
        <f t="shared" si="75"/>
        <v>1.3107963659929036</v>
      </c>
      <c r="AN23" s="82">
        <f t="shared" si="76"/>
        <v>581.5609061864692</v>
      </c>
      <c r="AO23" s="83">
        <f t="shared" si="77"/>
        <v>-51.439093813530803</v>
      </c>
      <c r="AP23" s="34">
        <f t="shared" si="78"/>
        <v>51.439093813530803</v>
      </c>
      <c r="AQ23" s="113">
        <f t="shared" si="79"/>
        <v>-8.1262391490569996</v>
      </c>
      <c r="AR23" s="113">
        <f t="shared" si="80"/>
        <v>8.1262391490569996</v>
      </c>
      <c r="AS23" s="113">
        <f t="shared" si="81"/>
        <v>2.765341337145137</v>
      </c>
      <c r="AT23" s="82">
        <f t="shared" si="82"/>
        <v>633.18383090673569</v>
      </c>
      <c r="AU23" s="83">
        <f t="shared" si="83"/>
        <v>0.18383090673569313</v>
      </c>
      <c r="AV23" s="34">
        <f t="shared" si="84"/>
        <v>0.18383090673569313</v>
      </c>
      <c r="AW23" s="113">
        <f t="shared" si="85"/>
        <v>2.9041217493790381E-2</v>
      </c>
      <c r="AX23" s="113">
        <f t="shared" si="86"/>
        <v>2.9041217493790381E-2</v>
      </c>
      <c r="AY23" s="113">
        <f t="shared" si="87"/>
        <v>7.3289674079447586E-2</v>
      </c>
      <c r="AZ23" s="82">
        <f t="shared" si="88"/>
        <v>698.94736842105272</v>
      </c>
      <c r="BA23" s="83">
        <f t="shared" si="89"/>
        <v>65.947368421052715</v>
      </c>
      <c r="BB23" s="34">
        <f t="shared" si="90"/>
        <v>65.947368421052715</v>
      </c>
      <c r="BC23" s="113">
        <f t="shared" si="91"/>
        <v>10.418225658934078</v>
      </c>
      <c r="BD23" s="113">
        <f t="shared" si="92"/>
        <v>10.418225658934078</v>
      </c>
      <c r="BE23" s="113">
        <f t="shared" si="93"/>
        <v>1.8257335103595667</v>
      </c>
      <c r="BF23" s="83">
        <f t="shared" si="94"/>
        <v>649.13304000000005</v>
      </c>
      <c r="BG23" s="83">
        <f t="shared" si="95"/>
        <v>16.133040000000051</v>
      </c>
      <c r="BH23" s="83">
        <f t="shared" si="96"/>
        <v>16.133040000000051</v>
      </c>
      <c r="BI23" s="83">
        <f t="shared" si="97"/>
        <v>663.54612304384921</v>
      </c>
      <c r="BJ23" s="83">
        <f t="shared" si="98"/>
        <v>30.546123043849207</v>
      </c>
      <c r="BK23" s="83">
        <f t="shared" si="99"/>
        <v>30.546123043849207</v>
      </c>
    </row>
    <row r="24" spans="1:63" x14ac:dyDescent="0.15">
      <c r="A24" s="69" t="s">
        <v>16</v>
      </c>
      <c r="B24" s="7" t="s">
        <v>50</v>
      </c>
      <c r="C24" s="70" t="s">
        <v>403</v>
      </c>
      <c r="D24" s="9" t="s">
        <v>82</v>
      </c>
      <c r="E24" s="10" t="s">
        <v>203</v>
      </c>
      <c r="F24" s="10" t="s">
        <v>581</v>
      </c>
      <c r="G24" s="8">
        <v>2873</v>
      </c>
      <c r="H24" s="8">
        <v>3048</v>
      </c>
      <c r="I24" s="10" t="s">
        <v>640</v>
      </c>
      <c r="J24" s="8">
        <v>546</v>
      </c>
      <c r="K24" s="8">
        <v>528</v>
      </c>
      <c r="L24" s="8">
        <v>715</v>
      </c>
      <c r="M24" s="77" t="s">
        <v>37</v>
      </c>
      <c r="N24" s="82">
        <f t="shared" si="50"/>
        <v>3821.3</v>
      </c>
      <c r="O24" s="82">
        <f t="shared" si="51"/>
        <v>2820.1474000000003</v>
      </c>
      <c r="P24" s="82">
        <f t="shared" si="52"/>
        <v>3027.4937094150023</v>
      </c>
      <c r="Q24" s="82">
        <f t="shared" si="53"/>
        <v>2866.4431563906969</v>
      </c>
      <c r="R24" s="82">
        <f t="shared" si="54"/>
        <v>3088.2624209563223</v>
      </c>
      <c r="S24" s="82">
        <f t="shared" si="55"/>
        <v>2730</v>
      </c>
      <c r="T24" s="82">
        <f t="shared" si="56"/>
        <v>3081.0612000000001</v>
      </c>
      <c r="U24" s="82">
        <f t="shared" si="57"/>
        <v>3041.8295829833191</v>
      </c>
      <c r="V24" s="82">
        <f t="shared" si="58"/>
        <v>3870.9800000000005</v>
      </c>
      <c r="W24" s="83">
        <f t="shared" si="59"/>
        <v>997.98000000000047</v>
      </c>
      <c r="X24" s="34">
        <f t="shared" si="60"/>
        <v>997.98000000000047</v>
      </c>
      <c r="Y24" s="113">
        <f t="shared" si="61"/>
        <v>34.736512356421869</v>
      </c>
      <c r="Z24" s="113">
        <f t="shared" si="62"/>
        <v>34.736512356421869</v>
      </c>
      <c r="AA24" s="113">
        <f t="shared" si="63"/>
        <v>2.999556793554726</v>
      </c>
      <c r="AB24" s="83">
        <f t="shared" si="64"/>
        <v>2939.2159999999999</v>
      </c>
      <c r="AC24" s="83">
        <f t="shared" si="65"/>
        <v>66.215999999999894</v>
      </c>
      <c r="AD24" s="34">
        <f t="shared" si="66"/>
        <v>66.215999999999894</v>
      </c>
      <c r="AE24" s="113">
        <f t="shared" si="67"/>
        <v>2.3047685346327844</v>
      </c>
      <c r="AF24" s="113">
        <f t="shared" si="68"/>
        <v>2.3047685346327844</v>
      </c>
      <c r="AG24" s="113">
        <f t="shared" si="69"/>
        <v>1.8274726641939161</v>
      </c>
      <c r="AH24" s="83">
        <f t="shared" si="70"/>
        <v>3252.8553174465833</v>
      </c>
      <c r="AI24" s="83">
        <f t="shared" si="71"/>
        <v>379.85531744658329</v>
      </c>
      <c r="AJ24" s="34">
        <f t="shared" si="72"/>
        <v>379.85531744658329</v>
      </c>
      <c r="AK24" s="113">
        <f t="shared" si="73"/>
        <v>13.221556472209651</v>
      </c>
      <c r="AL24" s="113">
        <f t="shared" si="74"/>
        <v>13.221556472209651</v>
      </c>
      <c r="AM24" s="113">
        <f t="shared" si="75"/>
        <v>2.5807600235281631</v>
      </c>
      <c r="AN24" s="82">
        <f t="shared" si="76"/>
        <v>2963.9410457496956</v>
      </c>
      <c r="AO24" s="83">
        <f t="shared" si="77"/>
        <v>90.941045749695604</v>
      </c>
      <c r="AP24" s="34">
        <f t="shared" si="78"/>
        <v>90.941045749695604</v>
      </c>
      <c r="AQ24" s="113">
        <f t="shared" si="79"/>
        <v>3.1653688043750647</v>
      </c>
      <c r="AR24" s="113">
        <f t="shared" si="80"/>
        <v>3.1653688043750647</v>
      </c>
      <c r="AS24" s="113">
        <f t="shared" si="81"/>
        <v>3.4720160623680258</v>
      </c>
      <c r="AT24" s="82">
        <f t="shared" si="82"/>
        <v>3126.6343271442265</v>
      </c>
      <c r="AU24" s="83">
        <f t="shared" si="83"/>
        <v>253.63432714422652</v>
      </c>
      <c r="AV24" s="34">
        <f t="shared" si="84"/>
        <v>253.63432714422652</v>
      </c>
      <c r="AW24" s="113">
        <f t="shared" si="85"/>
        <v>8.8282049127819882</v>
      </c>
      <c r="AX24" s="113">
        <f t="shared" si="86"/>
        <v>8.8282049127819882</v>
      </c>
      <c r="AY24" s="113">
        <f t="shared" si="87"/>
        <v>2.4059169503168327</v>
      </c>
      <c r="AZ24" s="82">
        <f t="shared" si="88"/>
        <v>2778.9473684210525</v>
      </c>
      <c r="BA24" s="83">
        <f t="shared" si="89"/>
        <v>-94.052631578947512</v>
      </c>
      <c r="BB24" s="34">
        <f t="shared" si="90"/>
        <v>94.052631578947512</v>
      </c>
      <c r="BC24" s="113">
        <f t="shared" si="91"/>
        <v>-3.2736732188982773</v>
      </c>
      <c r="BD24" s="113">
        <f t="shared" si="92"/>
        <v>3.2736732188982773</v>
      </c>
      <c r="BE24" s="113">
        <f t="shared" si="93"/>
        <v>1.9779641450246588</v>
      </c>
      <c r="BF24" s="83">
        <f t="shared" si="94"/>
        <v>3077.3604</v>
      </c>
      <c r="BG24" s="83">
        <f t="shared" si="95"/>
        <v>204.36040000000003</v>
      </c>
      <c r="BH24" s="83">
        <f t="shared" si="96"/>
        <v>204.36040000000003</v>
      </c>
      <c r="BI24" s="83">
        <f t="shared" si="97"/>
        <v>3119.8837997831083</v>
      </c>
      <c r="BJ24" s="83">
        <f t="shared" si="98"/>
        <v>246.88379978310832</v>
      </c>
      <c r="BK24" s="83">
        <f t="shared" si="99"/>
        <v>246.88379978310832</v>
      </c>
    </row>
    <row r="25" spans="1:63" x14ac:dyDescent="0.15">
      <c r="A25" s="69" t="s">
        <v>16</v>
      </c>
      <c r="B25" s="7" t="s">
        <v>252</v>
      </c>
      <c r="C25" s="70" t="s">
        <v>403</v>
      </c>
      <c r="D25" s="9" t="s">
        <v>82</v>
      </c>
      <c r="E25" s="10" t="s">
        <v>374</v>
      </c>
      <c r="F25" s="10" t="s">
        <v>580</v>
      </c>
      <c r="G25" s="85">
        <v>1193.83</v>
      </c>
      <c r="H25" s="8">
        <v>1100</v>
      </c>
      <c r="I25" s="10" t="s">
        <v>634</v>
      </c>
      <c r="J25" s="85">
        <v>200.03200000000001</v>
      </c>
      <c r="K25" s="85">
        <v>191.74</v>
      </c>
      <c r="L25" s="85">
        <v>263.52999999999997</v>
      </c>
      <c r="M25" s="77" t="s">
        <v>37</v>
      </c>
      <c r="N25" s="82">
        <f t="shared" si="50"/>
        <v>1122.7496000000001</v>
      </c>
      <c r="O25" s="82">
        <f t="shared" si="51"/>
        <v>959.91206080000018</v>
      </c>
      <c r="P25" s="82">
        <f t="shared" si="52"/>
        <v>958.47797516019955</v>
      </c>
      <c r="Q25" s="82">
        <f t="shared" si="53"/>
        <v>876.59100091937466</v>
      </c>
      <c r="R25" s="82">
        <f t="shared" si="54"/>
        <v>966.39439932648463</v>
      </c>
      <c r="S25" s="82">
        <f t="shared" si="55"/>
        <v>1000.16</v>
      </c>
      <c r="T25" s="82">
        <f t="shared" si="56"/>
        <v>999.30255040000009</v>
      </c>
      <c r="U25" s="82">
        <f t="shared" si="57"/>
        <v>994.3634202652114</v>
      </c>
      <c r="V25" s="82">
        <f t="shared" si="58"/>
        <v>1127.0984000000001</v>
      </c>
      <c r="W25" s="83">
        <f t="shared" si="59"/>
        <v>-66.731599999999844</v>
      </c>
      <c r="X25" s="34">
        <f t="shared" si="60"/>
        <v>66.731599999999844</v>
      </c>
      <c r="Y25" s="113">
        <f t="shared" si="61"/>
        <v>-5.5897070772220374</v>
      </c>
      <c r="Z25" s="113">
        <f t="shared" si="62"/>
        <v>5.5897070772220374</v>
      </c>
      <c r="AA25" s="113">
        <f t="shared" si="63"/>
        <v>1.8307913349148444</v>
      </c>
      <c r="AB25" s="83">
        <f t="shared" si="64"/>
        <v>958.8127300000001</v>
      </c>
      <c r="AC25" s="83">
        <f t="shared" si="65"/>
        <v>-235.01726999999983</v>
      </c>
      <c r="AD25" s="34">
        <f t="shared" si="66"/>
        <v>235.01726999999983</v>
      </c>
      <c r="AE25" s="113">
        <f t="shared" si="67"/>
        <v>-19.68599130529471</v>
      </c>
      <c r="AF25" s="113">
        <f t="shared" si="68"/>
        <v>19.68599130529471</v>
      </c>
      <c r="AG25" s="113">
        <f t="shared" si="69"/>
        <v>2.372943782594211</v>
      </c>
      <c r="AH25" s="83">
        <f t="shared" si="70"/>
        <v>956.35685969261465</v>
      </c>
      <c r="AI25" s="83">
        <f t="shared" si="71"/>
        <v>-237.47314030738528</v>
      </c>
      <c r="AJ25" s="34">
        <f t="shared" si="72"/>
        <v>237.47314030738528</v>
      </c>
      <c r="AK25" s="113">
        <f t="shared" si="73"/>
        <v>-19.891704874846948</v>
      </c>
      <c r="AL25" s="113">
        <f t="shared" si="74"/>
        <v>19.891704874846948</v>
      </c>
      <c r="AM25" s="113">
        <f t="shared" si="75"/>
        <v>2.3774394707002826</v>
      </c>
      <c r="AN25" s="82">
        <f t="shared" si="76"/>
        <v>897.02911199142227</v>
      </c>
      <c r="AO25" s="83">
        <f t="shared" si="77"/>
        <v>-296.80088800857766</v>
      </c>
      <c r="AP25" s="34">
        <f t="shared" si="78"/>
        <v>296.80088800857766</v>
      </c>
      <c r="AQ25" s="113">
        <f t="shared" si="79"/>
        <v>-24.86123552001354</v>
      </c>
      <c r="AR25" s="113">
        <f t="shared" si="80"/>
        <v>24.86123552001354</v>
      </c>
      <c r="AS25" s="113">
        <f t="shared" si="81"/>
        <v>2.9532904157010447</v>
      </c>
      <c r="AT25" s="82">
        <f t="shared" si="82"/>
        <v>968.47466423808146</v>
      </c>
      <c r="AU25" s="83">
        <f t="shared" si="83"/>
        <v>-225.35533576191847</v>
      </c>
      <c r="AV25" s="34">
        <f t="shared" si="84"/>
        <v>225.35533576191847</v>
      </c>
      <c r="AW25" s="113">
        <f t="shared" si="85"/>
        <v>-18.876668852509862</v>
      </c>
      <c r="AX25" s="113">
        <f t="shared" si="86"/>
        <v>18.876668852509862</v>
      </c>
      <c r="AY25" s="113">
        <f t="shared" si="87"/>
        <v>2.3547907363600786</v>
      </c>
      <c r="AZ25" s="82">
        <f t="shared" si="88"/>
        <v>1009.1578947368422</v>
      </c>
      <c r="BA25" s="83">
        <f t="shared" si="89"/>
        <v>-184.67210526315773</v>
      </c>
      <c r="BB25" s="34">
        <f t="shared" si="90"/>
        <v>184.67210526315773</v>
      </c>
      <c r="BC25" s="113">
        <f t="shared" si="91"/>
        <v>-15.468877919231192</v>
      </c>
      <c r="BD25" s="113">
        <f t="shared" si="92"/>
        <v>15.468877919231192</v>
      </c>
      <c r="BE25" s="113">
        <f t="shared" si="93"/>
        <v>2.2687466617351397</v>
      </c>
      <c r="BF25" s="83">
        <f t="shared" si="94"/>
        <v>1011.2780820000002</v>
      </c>
      <c r="BG25" s="83">
        <f t="shared" si="95"/>
        <v>-182.55191799999977</v>
      </c>
      <c r="BH25" s="83">
        <f t="shared" si="96"/>
        <v>182.55191799999977</v>
      </c>
      <c r="BI25" s="83">
        <f t="shared" si="97"/>
        <v>1001.767167493542</v>
      </c>
      <c r="BJ25" s="83">
        <f t="shared" si="98"/>
        <v>-192.06283250645788</v>
      </c>
      <c r="BK25" s="83">
        <f t="shared" si="99"/>
        <v>192.06283250645788</v>
      </c>
    </row>
    <row r="26" spans="1:63" x14ac:dyDescent="0.15">
      <c r="A26" s="69" t="s">
        <v>16</v>
      </c>
      <c r="B26" s="70" t="s">
        <v>604</v>
      </c>
      <c r="C26" s="70" t="s">
        <v>403</v>
      </c>
      <c r="D26" s="9" t="s">
        <v>96</v>
      </c>
      <c r="E26" s="10" t="s">
        <v>293</v>
      </c>
      <c r="F26" s="10" t="s">
        <v>580</v>
      </c>
      <c r="G26" s="64">
        <v>1985.9</v>
      </c>
      <c r="H26" s="64">
        <v>1800</v>
      </c>
      <c r="I26" s="10" t="s">
        <v>640</v>
      </c>
      <c r="J26" s="8">
        <v>357.36</v>
      </c>
      <c r="K26" s="8">
        <v>342.19</v>
      </c>
      <c r="L26" s="8">
        <v>467.4</v>
      </c>
      <c r="M26" s="77" t="s">
        <v>37</v>
      </c>
      <c r="N26" s="82">
        <f t="shared" si="50"/>
        <v>2349.9079999999999</v>
      </c>
      <c r="O26" s="82">
        <f t="shared" si="51"/>
        <v>1805.848984</v>
      </c>
      <c r="P26" s="82">
        <f t="shared" si="52"/>
        <v>1863.0750056593945</v>
      </c>
      <c r="Q26" s="82">
        <f t="shared" si="53"/>
        <v>1738.3588490010368</v>
      </c>
      <c r="R26" s="82">
        <f t="shared" si="54"/>
        <v>1891.1495824237591</v>
      </c>
      <c r="S26" s="82">
        <f t="shared" si="55"/>
        <v>1786.8</v>
      </c>
      <c r="T26" s="82">
        <f t="shared" si="56"/>
        <v>1945.976592</v>
      </c>
      <c r="U26" s="82">
        <f t="shared" si="57"/>
        <v>1897.3800732580437</v>
      </c>
      <c r="V26" s="82">
        <f t="shared" si="58"/>
        <v>2354.7703999999999</v>
      </c>
      <c r="W26" s="83">
        <f t="shared" si="59"/>
        <v>368.87039999999979</v>
      </c>
      <c r="X26" s="34">
        <f t="shared" si="60"/>
        <v>368.87039999999979</v>
      </c>
      <c r="Y26" s="113">
        <f t="shared" si="61"/>
        <v>18.574470013595839</v>
      </c>
      <c r="Z26" s="113">
        <f t="shared" si="62"/>
        <v>18.574470013595839</v>
      </c>
      <c r="AA26" s="113">
        <f t="shared" si="63"/>
        <v>2.5680495769735838</v>
      </c>
      <c r="AB26" s="83">
        <f t="shared" si="64"/>
        <v>1844.888005</v>
      </c>
      <c r="AC26" s="83">
        <f t="shared" si="65"/>
        <v>-141.01199500000007</v>
      </c>
      <c r="AD26" s="34">
        <f t="shared" si="66"/>
        <v>141.01199500000007</v>
      </c>
      <c r="AE26" s="113">
        <f t="shared" si="67"/>
        <v>-7.1006593987612705</v>
      </c>
      <c r="AF26" s="113">
        <f t="shared" si="68"/>
        <v>7.1006593987612705</v>
      </c>
      <c r="AG26" s="113">
        <f t="shared" si="69"/>
        <v>2.1523250284837654</v>
      </c>
      <c r="AH26" s="83">
        <f t="shared" si="70"/>
        <v>1925.8555088398368</v>
      </c>
      <c r="AI26" s="83">
        <f t="shared" si="71"/>
        <v>-60.044491160163261</v>
      </c>
      <c r="AJ26" s="34">
        <f t="shared" si="72"/>
        <v>60.044491160163261</v>
      </c>
      <c r="AK26" s="113">
        <f t="shared" si="73"/>
        <v>-3.023540518664749</v>
      </c>
      <c r="AL26" s="113">
        <f t="shared" si="74"/>
        <v>3.023540518664749</v>
      </c>
      <c r="AM26" s="113">
        <f t="shared" si="75"/>
        <v>1.785646477999314</v>
      </c>
      <c r="AN26" s="82">
        <f t="shared" si="76"/>
        <v>1776.7069426066694</v>
      </c>
      <c r="AO26" s="83">
        <f t="shared" si="77"/>
        <v>-209.19305739333072</v>
      </c>
      <c r="AP26" s="34">
        <f t="shared" si="78"/>
        <v>209.19305739333072</v>
      </c>
      <c r="AQ26" s="113">
        <f t="shared" si="79"/>
        <v>-10.533916984406602</v>
      </c>
      <c r="AR26" s="113">
        <f t="shared" si="80"/>
        <v>10.533916984406602</v>
      </c>
      <c r="AS26" s="113">
        <f t="shared" si="81"/>
        <v>3.2498601685021318</v>
      </c>
      <c r="AT26" s="82">
        <f t="shared" si="82"/>
        <v>1892.9403350308869</v>
      </c>
      <c r="AU26" s="83">
        <f t="shared" si="83"/>
        <v>-92.959664969113192</v>
      </c>
      <c r="AV26" s="34">
        <f t="shared" si="84"/>
        <v>92.959664969113192</v>
      </c>
      <c r="AW26" s="113">
        <f t="shared" si="85"/>
        <v>-4.6809841869738253</v>
      </c>
      <c r="AX26" s="113">
        <f t="shared" si="86"/>
        <v>4.6809841869738253</v>
      </c>
      <c r="AY26" s="113">
        <f t="shared" si="87"/>
        <v>1.9729414595495358</v>
      </c>
      <c r="AZ26" s="82">
        <f t="shared" si="88"/>
        <v>1801</v>
      </c>
      <c r="BA26" s="83">
        <f t="shared" si="89"/>
        <v>-184.90000000000009</v>
      </c>
      <c r="BB26" s="34">
        <f t="shared" si="90"/>
        <v>184.90000000000009</v>
      </c>
      <c r="BC26" s="113">
        <f t="shared" si="91"/>
        <v>-9.3106400120852051</v>
      </c>
      <c r="BD26" s="113">
        <f t="shared" si="92"/>
        <v>9.3106400120852051</v>
      </c>
      <c r="BE26" s="113">
        <f t="shared" si="93"/>
        <v>2.2692793897718988</v>
      </c>
      <c r="BF26" s="83">
        <f t="shared" si="94"/>
        <v>1935.6880169999999</v>
      </c>
      <c r="BG26" s="83">
        <f t="shared" si="95"/>
        <v>-50.211983000000146</v>
      </c>
      <c r="BH26" s="83">
        <f t="shared" si="96"/>
        <v>50.211983000000146</v>
      </c>
      <c r="BI26" s="83">
        <f t="shared" si="97"/>
        <v>1918.1619301398268</v>
      </c>
      <c r="BJ26" s="83">
        <f t="shared" si="98"/>
        <v>-67.738069860173255</v>
      </c>
      <c r="BK26" s="83">
        <f t="shared" si="99"/>
        <v>67.738069860173255</v>
      </c>
    </row>
    <row r="27" spans="1:63" x14ac:dyDescent="0.15">
      <c r="A27" s="69" t="s">
        <v>16</v>
      </c>
      <c r="B27" s="7" t="s">
        <v>244</v>
      </c>
      <c r="C27" s="70" t="s">
        <v>403</v>
      </c>
      <c r="D27" s="9" t="s">
        <v>82</v>
      </c>
      <c r="E27" s="10" t="s">
        <v>374</v>
      </c>
      <c r="F27" s="10" t="s">
        <v>580</v>
      </c>
      <c r="G27" s="8">
        <v>1199.5</v>
      </c>
      <c r="H27" s="8">
        <v>1500</v>
      </c>
      <c r="I27" s="10" t="s">
        <v>634</v>
      </c>
      <c r="J27" s="8">
        <v>228.3</v>
      </c>
      <c r="K27" s="8">
        <v>216.7</v>
      </c>
      <c r="L27" s="8">
        <v>301.39999999999998</v>
      </c>
      <c r="M27" s="77" t="s">
        <v>37</v>
      </c>
      <c r="N27" s="82">
        <f t="shared" si="50"/>
        <v>1343.24</v>
      </c>
      <c r="O27" s="82">
        <f t="shared" si="51"/>
        <v>1111.9062699999999</v>
      </c>
      <c r="P27" s="82">
        <f t="shared" si="52"/>
        <v>1115.1555945183222</v>
      </c>
      <c r="Q27" s="82">
        <f t="shared" si="53"/>
        <v>1024.5445787979997</v>
      </c>
      <c r="R27" s="82">
        <f t="shared" si="54"/>
        <v>1126.0914182663319</v>
      </c>
      <c r="S27" s="82">
        <f t="shared" si="55"/>
        <v>1141.5</v>
      </c>
      <c r="T27" s="82">
        <f t="shared" si="56"/>
        <v>1169.3967600000001</v>
      </c>
      <c r="U27" s="82">
        <f t="shared" si="57"/>
        <v>1152.0390597880833</v>
      </c>
      <c r="V27" s="82">
        <f t="shared" si="58"/>
        <v>1330.7719999999999</v>
      </c>
      <c r="W27" s="83">
        <f t="shared" si="59"/>
        <v>131.27199999999993</v>
      </c>
      <c r="X27" s="34">
        <f t="shared" si="60"/>
        <v>131.27199999999993</v>
      </c>
      <c r="Y27" s="113">
        <f t="shared" si="61"/>
        <v>10.943893288870358</v>
      </c>
      <c r="Z27" s="113">
        <f t="shared" si="62"/>
        <v>10.943893288870358</v>
      </c>
      <c r="AA27" s="113">
        <f t="shared" si="63"/>
        <v>2.1214679202836964</v>
      </c>
      <c r="AB27" s="83">
        <f t="shared" si="64"/>
        <v>1105.8146499999998</v>
      </c>
      <c r="AC27" s="83">
        <f t="shared" si="65"/>
        <v>-93.685350000000199</v>
      </c>
      <c r="AD27" s="34">
        <f t="shared" si="66"/>
        <v>93.685350000000199</v>
      </c>
      <c r="AE27" s="113">
        <f t="shared" si="67"/>
        <v>-7.810366819508145</v>
      </c>
      <c r="AF27" s="113">
        <f t="shared" si="68"/>
        <v>7.810366819508145</v>
      </c>
      <c r="AG27" s="113">
        <f t="shared" si="69"/>
        <v>1.9762827888624046</v>
      </c>
      <c r="AH27" s="83">
        <f t="shared" si="70"/>
        <v>1108.7844990949895</v>
      </c>
      <c r="AI27" s="83">
        <f t="shared" si="71"/>
        <v>-90.715500905010458</v>
      </c>
      <c r="AJ27" s="34">
        <f t="shared" si="72"/>
        <v>90.715500905010458</v>
      </c>
      <c r="AK27" s="113">
        <f t="shared" si="73"/>
        <v>-7.5627762321809469</v>
      </c>
      <c r="AL27" s="113">
        <f t="shared" si="74"/>
        <v>7.5627762321809469</v>
      </c>
      <c r="AM27" s="113">
        <f t="shared" si="75"/>
        <v>1.9624427423067923</v>
      </c>
      <c r="AN27" s="82">
        <f t="shared" si="76"/>
        <v>1036.3673569987454</v>
      </c>
      <c r="AO27" s="83">
        <f t="shared" si="77"/>
        <v>-163.13264300125456</v>
      </c>
      <c r="AP27" s="34">
        <f t="shared" si="78"/>
        <v>163.13264300125456</v>
      </c>
      <c r="AQ27" s="113">
        <f t="shared" si="79"/>
        <v>-13.600053605773619</v>
      </c>
      <c r="AR27" s="113">
        <f t="shared" si="80"/>
        <v>13.600053605773619</v>
      </c>
      <c r="AS27" s="113">
        <f t="shared" si="81"/>
        <v>3.015932577860029</v>
      </c>
      <c r="AT27" s="82">
        <f t="shared" si="82"/>
        <v>1115.7795661753992</v>
      </c>
      <c r="AU27" s="83">
        <f t="shared" si="83"/>
        <v>-83.720433824600832</v>
      </c>
      <c r="AV27" s="34">
        <f t="shared" si="84"/>
        <v>83.720433824600832</v>
      </c>
      <c r="AW27" s="113">
        <f t="shared" si="85"/>
        <v>-6.9796109899625538</v>
      </c>
      <c r="AX27" s="113">
        <f t="shared" si="86"/>
        <v>6.9796109899625538</v>
      </c>
      <c r="AY27" s="113">
        <f t="shared" si="87"/>
        <v>1.927988170979833</v>
      </c>
      <c r="AZ27" s="82">
        <f t="shared" si="88"/>
        <v>1140.5263157894735</v>
      </c>
      <c r="BA27" s="83">
        <f t="shared" si="89"/>
        <v>-58.973684210526471</v>
      </c>
      <c r="BB27" s="34">
        <f t="shared" si="90"/>
        <v>58.973684210526471</v>
      </c>
      <c r="BC27" s="113">
        <f t="shared" si="91"/>
        <v>-4.9165222351418487</v>
      </c>
      <c r="BD27" s="113">
        <f t="shared" si="92"/>
        <v>4.9165222351418487</v>
      </c>
      <c r="BE27" s="113">
        <f t="shared" si="93"/>
        <v>1.7779607285635666</v>
      </c>
      <c r="BF27" s="83">
        <f t="shared" si="94"/>
        <v>1164.6398100000001</v>
      </c>
      <c r="BG27" s="83">
        <f t="shared" si="95"/>
        <v>-34.860189999999875</v>
      </c>
      <c r="BH27" s="83">
        <f t="shared" si="96"/>
        <v>34.860189999999875</v>
      </c>
      <c r="BI27" s="83">
        <f t="shared" si="97"/>
        <v>1149.1328606399129</v>
      </c>
      <c r="BJ27" s="83">
        <f t="shared" si="98"/>
        <v>-50.367139360087094</v>
      </c>
      <c r="BK27" s="83">
        <f t="shared" si="99"/>
        <v>50.367139360087094</v>
      </c>
    </row>
    <row r="28" spans="1:63" x14ac:dyDescent="0.15">
      <c r="A28" s="69" t="s">
        <v>16</v>
      </c>
      <c r="B28" s="16" t="s">
        <v>825</v>
      </c>
      <c r="C28" s="16" t="s">
        <v>403</v>
      </c>
      <c r="D28" s="9" t="s">
        <v>82</v>
      </c>
      <c r="E28" s="10" t="s">
        <v>494</v>
      </c>
      <c r="F28" s="10" t="s">
        <v>580</v>
      </c>
      <c r="G28" s="17">
        <v>660.93000000000006</v>
      </c>
      <c r="H28" s="17">
        <v>670</v>
      </c>
      <c r="I28" s="10" t="s">
        <v>634</v>
      </c>
      <c r="J28" s="16">
        <v>149.1</v>
      </c>
      <c r="K28" s="16">
        <v>144</v>
      </c>
      <c r="L28" s="16">
        <v>198.5</v>
      </c>
      <c r="M28" s="77" t="s">
        <v>37</v>
      </c>
      <c r="N28" s="82">
        <f t="shared" si="50"/>
        <v>725.48</v>
      </c>
      <c r="O28" s="82">
        <f t="shared" si="51"/>
        <v>686.05579</v>
      </c>
      <c r="P28" s="82">
        <f t="shared" si="52"/>
        <v>684.54828898874018</v>
      </c>
      <c r="Q28" s="82">
        <f t="shared" si="53"/>
        <v>619.74924477520528</v>
      </c>
      <c r="R28" s="82">
        <f t="shared" si="54"/>
        <v>687.85348614163593</v>
      </c>
      <c r="S28" s="82">
        <f t="shared" si="55"/>
        <v>745.49999999999989</v>
      </c>
      <c r="T28" s="82">
        <f t="shared" si="56"/>
        <v>692.83451999999988</v>
      </c>
      <c r="U28" s="82">
        <f t="shared" si="57"/>
        <v>716.86640396259202</v>
      </c>
      <c r="V28" s="82">
        <f t="shared" si="58"/>
        <v>737.54</v>
      </c>
      <c r="W28" s="83">
        <f t="shared" si="59"/>
        <v>76.6099999999999</v>
      </c>
      <c r="X28" s="34">
        <f t="shared" si="60"/>
        <v>76.6099999999999</v>
      </c>
      <c r="Y28" s="113">
        <f t="shared" si="61"/>
        <v>11.591242642942504</v>
      </c>
      <c r="Z28" s="113">
        <f t="shared" si="62"/>
        <v>11.591242642942504</v>
      </c>
      <c r="AA28" s="113">
        <f t="shared" si="63"/>
        <v>1.8899176834362053</v>
      </c>
      <c r="AB28" s="83">
        <f t="shared" si="64"/>
        <v>677.64799999999991</v>
      </c>
      <c r="AC28" s="83">
        <f t="shared" si="65"/>
        <v>16.717999999999847</v>
      </c>
      <c r="AD28" s="34">
        <f t="shared" si="66"/>
        <v>16.717999999999847</v>
      </c>
      <c r="AE28" s="113">
        <f t="shared" si="67"/>
        <v>2.5294660554067523</v>
      </c>
      <c r="AF28" s="113">
        <f t="shared" si="68"/>
        <v>2.5294660554067523</v>
      </c>
      <c r="AG28" s="113">
        <f t="shared" si="69"/>
        <v>1.2484146973487182</v>
      </c>
      <c r="AH28" s="83">
        <f t="shared" si="70"/>
        <v>676.61671639627343</v>
      </c>
      <c r="AI28" s="83">
        <f t="shared" si="71"/>
        <v>15.686716396273368</v>
      </c>
      <c r="AJ28" s="34">
        <f t="shared" si="72"/>
        <v>15.686716396273368</v>
      </c>
      <c r="AK28" s="113">
        <f t="shared" si="73"/>
        <v>2.3734308317481982</v>
      </c>
      <c r="AL28" s="113">
        <f t="shared" si="74"/>
        <v>2.3734308317481982</v>
      </c>
      <c r="AM28" s="113">
        <f t="shared" si="75"/>
        <v>1.2223708848350987</v>
      </c>
      <c r="AN28" s="82">
        <f t="shared" si="76"/>
        <v>639.86108822393294</v>
      </c>
      <c r="AO28" s="83">
        <f t="shared" si="77"/>
        <v>-21.068911776067125</v>
      </c>
      <c r="AP28" s="34">
        <f t="shared" si="78"/>
        <v>21.068911776067125</v>
      </c>
      <c r="AQ28" s="113">
        <f t="shared" si="79"/>
        <v>-3.1877675057974555</v>
      </c>
      <c r="AR28" s="113">
        <f t="shared" si="80"/>
        <v>3.1877675057974555</v>
      </c>
      <c r="AS28" s="113">
        <f t="shared" si="81"/>
        <v>2.80676390291086</v>
      </c>
      <c r="AT28" s="82">
        <f t="shared" si="82"/>
        <v>695.36855328729212</v>
      </c>
      <c r="AU28" s="83">
        <f t="shared" si="83"/>
        <v>34.438553287292052</v>
      </c>
      <c r="AV28" s="34">
        <f t="shared" si="84"/>
        <v>34.438553287292052</v>
      </c>
      <c r="AW28" s="113">
        <f t="shared" si="85"/>
        <v>5.2106203814764118</v>
      </c>
      <c r="AX28" s="113">
        <f t="shared" si="86"/>
        <v>5.2106203814764118</v>
      </c>
      <c r="AY28" s="113">
        <f t="shared" si="87"/>
        <v>1.5494759843163011</v>
      </c>
      <c r="AZ28" s="82">
        <f t="shared" si="88"/>
        <v>757.8947368421052</v>
      </c>
      <c r="BA28" s="83">
        <f t="shared" si="89"/>
        <v>96.96473684210514</v>
      </c>
      <c r="BB28" s="34">
        <f t="shared" si="90"/>
        <v>96.96473684210514</v>
      </c>
      <c r="BC28" s="113">
        <f t="shared" si="91"/>
        <v>14.670954086227757</v>
      </c>
      <c r="BD28" s="113">
        <f t="shared" si="92"/>
        <v>14.670954086227757</v>
      </c>
      <c r="BE28" s="113">
        <f t="shared" si="93"/>
        <v>1.9910697761939187</v>
      </c>
      <c r="BF28" s="83">
        <f t="shared" si="94"/>
        <v>717.94920000000002</v>
      </c>
      <c r="BG28" s="83">
        <f t="shared" si="95"/>
        <v>57.019199999999955</v>
      </c>
      <c r="BH28" s="83">
        <f t="shared" si="96"/>
        <v>57.019199999999955</v>
      </c>
      <c r="BI28" s="83">
        <f t="shared" si="97"/>
        <v>726.62110800863047</v>
      </c>
      <c r="BJ28" s="83">
        <f t="shared" si="98"/>
        <v>65.691108008630408</v>
      </c>
      <c r="BK28" s="83">
        <f t="shared" si="99"/>
        <v>65.691108008630408</v>
      </c>
    </row>
    <row r="29" spans="1:63" x14ac:dyDescent="0.15">
      <c r="A29" s="69" t="s">
        <v>16</v>
      </c>
      <c r="B29" s="70" t="s">
        <v>605</v>
      </c>
      <c r="C29" s="70" t="s">
        <v>403</v>
      </c>
      <c r="D29" s="9" t="s">
        <v>82</v>
      </c>
      <c r="E29" s="22" t="s">
        <v>374</v>
      </c>
      <c r="F29" s="10" t="s">
        <v>580</v>
      </c>
      <c r="G29" s="64">
        <v>1348</v>
      </c>
      <c r="H29" s="64"/>
      <c r="I29" s="10" t="s">
        <v>634</v>
      </c>
      <c r="J29" s="8">
        <v>293.10000000000002</v>
      </c>
      <c r="K29" s="8">
        <v>281.10000000000002</v>
      </c>
      <c r="L29" s="8">
        <v>371</v>
      </c>
      <c r="M29" s="77" t="s">
        <v>37</v>
      </c>
      <c r="N29" s="82">
        <f t="shared" si="50"/>
        <v>1848.6800000000003</v>
      </c>
      <c r="O29" s="82">
        <f t="shared" si="51"/>
        <v>1460.3293900000001</v>
      </c>
      <c r="P29" s="82">
        <f t="shared" si="52"/>
        <v>1484.6453244658092</v>
      </c>
      <c r="Q29" s="82">
        <f t="shared" si="53"/>
        <v>1375.8202549252126</v>
      </c>
      <c r="R29" s="82">
        <f t="shared" si="54"/>
        <v>1503.5560107131544</v>
      </c>
      <c r="S29" s="82">
        <f t="shared" si="55"/>
        <v>1465.5</v>
      </c>
      <c r="T29" s="82">
        <f t="shared" si="56"/>
        <v>1559.3113200000003</v>
      </c>
      <c r="U29" s="82">
        <f t="shared" si="57"/>
        <v>1521.5736735450375</v>
      </c>
      <c r="V29" s="82">
        <f t="shared" si="58"/>
        <v>1856.2760000000003</v>
      </c>
      <c r="W29" s="83">
        <f t="shared" si="59"/>
        <v>508.27600000000029</v>
      </c>
      <c r="X29" s="34">
        <f t="shared" si="60"/>
        <v>508.27600000000029</v>
      </c>
      <c r="Y29" s="113">
        <f t="shared" si="61"/>
        <v>37.705934718100913</v>
      </c>
      <c r="Z29" s="113">
        <f t="shared" si="62"/>
        <v>37.705934718100913</v>
      </c>
      <c r="AA29" s="113">
        <f t="shared" si="63"/>
        <v>2.7069532102167062</v>
      </c>
      <c r="AB29" s="83">
        <f t="shared" si="64"/>
        <v>1485.09845</v>
      </c>
      <c r="AC29" s="83">
        <f t="shared" si="65"/>
        <v>137.09844999999996</v>
      </c>
      <c r="AD29" s="34">
        <f t="shared" si="66"/>
        <v>137.09844999999996</v>
      </c>
      <c r="AE29" s="113">
        <f t="shared" si="67"/>
        <v>10.170508160237386</v>
      </c>
      <c r="AF29" s="113">
        <f t="shared" si="68"/>
        <v>10.170508160237386</v>
      </c>
      <c r="AG29" s="113">
        <f t="shared" si="69"/>
        <v>2.1401888041381918</v>
      </c>
      <c r="AH29" s="83">
        <f t="shared" si="70"/>
        <v>1518.4831721419689</v>
      </c>
      <c r="AI29" s="83">
        <f t="shared" si="71"/>
        <v>170.48317214196891</v>
      </c>
      <c r="AJ29" s="34">
        <f t="shared" si="72"/>
        <v>170.48317214196891</v>
      </c>
      <c r="AK29" s="113">
        <f t="shared" si="73"/>
        <v>12.64711959510155</v>
      </c>
      <c r="AL29" s="113">
        <f t="shared" si="74"/>
        <v>12.64711959510155</v>
      </c>
      <c r="AM29" s="113">
        <f t="shared" si="75"/>
        <v>2.2342215086093602</v>
      </c>
      <c r="AN29" s="82">
        <f t="shared" si="76"/>
        <v>1408.7849635100606</v>
      </c>
      <c r="AO29" s="83">
        <f t="shared" si="77"/>
        <v>60.784963510060606</v>
      </c>
      <c r="AP29" s="34">
        <f t="shared" si="78"/>
        <v>60.784963510060606</v>
      </c>
      <c r="AQ29" s="113">
        <f t="shared" si="79"/>
        <v>4.5092702900638431</v>
      </c>
      <c r="AR29" s="113">
        <f t="shared" si="80"/>
        <v>4.5092702900638431</v>
      </c>
      <c r="AS29" s="113">
        <f t="shared" si="81"/>
        <v>3.1491528741567865</v>
      </c>
      <c r="AT29" s="82">
        <f t="shared" si="82"/>
        <v>1507.7232836806754</v>
      </c>
      <c r="AU29" s="83">
        <f t="shared" si="83"/>
        <v>159.72328368067542</v>
      </c>
      <c r="AV29" s="34">
        <f t="shared" si="84"/>
        <v>159.72328368067542</v>
      </c>
      <c r="AW29" s="113">
        <f t="shared" si="85"/>
        <v>11.848908284916575</v>
      </c>
      <c r="AX29" s="113">
        <f t="shared" si="86"/>
        <v>11.848908284916575</v>
      </c>
      <c r="AY29" s="113">
        <f t="shared" si="87"/>
        <v>2.2060787967480926</v>
      </c>
      <c r="AZ29" s="82">
        <f t="shared" si="88"/>
        <v>1479.4736842105265</v>
      </c>
      <c r="BA29" s="83">
        <f t="shared" si="89"/>
        <v>131.47368421052647</v>
      </c>
      <c r="BB29" s="34">
        <f t="shared" si="90"/>
        <v>131.47368421052647</v>
      </c>
      <c r="BC29" s="113">
        <f t="shared" si="91"/>
        <v>9.7532406684366819</v>
      </c>
      <c r="BD29" s="113">
        <f t="shared" si="92"/>
        <v>9.7532406684366819</v>
      </c>
      <c r="BE29" s="113">
        <f t="shared" si="93"/>
        <v>2.1221296145955342</v>
      </c>
      <c r="BF29" s="83">
        <f t="shared" si="94"/>
        <v>1560.3327300000003</v>
      </c>
      <c r="BG29" s="83">
        <f t="shared" si="95"/>
        <v>212.33273000000031</v>
      </c>
      <c r="BH29" s="83">
        <f t="shared" si="96"/>
        <v>212.33273000000031</v>
      </c>
      <c r="BI29" s="83">
        <f t="shared" si="97"/>
        <v>1538.5156319946491</v>
      </c>
      <c r="BJ29" s="83">
        <f t="shared" si="98"/>
        <v>190.51563199464908</v>
      </c>
      <c r="BK29" s="83">
        <f t="shared" si="99"/>
        <v>190.51563199464908</v>
      </c>
    </row>
    <row r="30" spans="1:63" x14ac:dyDescent="0.15">
      <c r="A30" s="69" t="s">
        <v>16</v>
      </c>
      <c r="B30" s="70" t="s">
        <v>615</v>
      </c>
      <c r="C30" s="8" t="s">
        <v>403</v>
      </c>
      <c r="D30" s="9" t="s">
        <v>148</v>
      </c>
      <c r="E30" s="10" t="s">
        <v>374</v>
      </c>
      <c r="F30" s="10" t="s">
        <v>580</v>
      </c>
      <c r="G30" s="64">
        <v>1168</v>
      </c>
      <c r="H30" s="64"/>
      <c r="I30" s="10" t="s">
        <v>634</v>
      </c>
      <c r="J30" s="64">
        <v>246.77</v>
      </c>
      <c r="K30" s="64">
        <v>237.59</v>
      </c>
      <c r="L30" s="64">
        <v>323.43</v>
      </c>
      <c r="M30" s="77" t="s">
        <v>37</v>
      </c>
      <c r="N30" s="82">
        <f t="shared" si="50"/>
        <v>1487.306</v>
      </c>
      <c r="O30" s="82">
        <f t="shared" si="51"/>
        <v>1211.217613</v>
      </c>
      <c r="P30" s="82">
        <f t="shared" si="52"/>
        <v>1219.0863453087607</v>
      </c>
      <c r="Q30" s="82">
        <f t="shared" si="53"/>
        <v>1123.0406890911606</v>
      </c>
      <c r="R30" s="82">
        <f t="shared" si="54"/>
        <v>1232.1528076849429</v>
      </c>
      <c r="S30" s="82">
        <f t="shared" si="55"/>
        <v>1233.8499999999999</v>
      </c>
      <c r="T30" s="82">
        <f t="shared" si="56"/>
        <v>1280.5344440000001</v>
      </c>
      <c r="U30" s="82">
        <f t="shared" si="57"/>
        <v>1256.2856981262241</v>
      </c>
      <c r="V30" s="82">
        <f t="shared" si="58"/>
        <v>1501.2344000000001</v>
      </c>
      <c r="W30" s="83">
        <f t="shared" si="59"/>
        <v>333.23440000000005</v>
      </c>
      <c r="X30" s="34">
        <f t="shared" si="60"/>
        <v>333.23440000000005</v>
      </c>
      <c r="Y30" s="113">
        <f t="shared" si="61"/>
        <v>28.530342465753428</v>
      </c>
      <c r="Z30" s="113">
        <f t="shared" si="62"/>
        <v>28.530342465753428</v>
      </c>
      <c r="AA30" s="113">
        <f t="shared" si="63"/>
        <v>2.5240511462196684</v>
      </c>
      <c r="AB30" s="83">
        <f t="shared" si="64"/>
        <v>1228.846305</v>
      </c>
      <c r="AC30" s="83">
        <f t="shared" si="65"/>
        <v>60.846305000000029</v>
      </c>
      <c r="AD30" s="34">
        <f t="shared" si="66"/>
        <v>60.846305000000029</v>
      </c>
      <c r="AE30" s="113">
        <f t="shared" si="67"/>
        <v>5.2094439212328796</v>
      </c>
      <c r="AF30" s="113">
        <f t="shared" si="68"/>
        <v>5.2094439212328796</v>
      </c>
      <c r="AG30" s="113">
        <f t="shared" si="69"/>
        <v>1.7913137578689955</v>
      </c>
      <c r="AH30" s="83">
        <f t="shared" si="70"/>
        <v>1239.224468225784</v>
      </c>
      <c r="AI30" s="83">
        <f t="shared" si="71"/>
        <v>71.224468225783994</v>
      </c>
      <c r="AJ30" s="34">
        <f t="shared" si="72"/>
        <v>71.224468225783994</v>
      </c>
      <c r="AK30" s="113">
        <f t="shared" si="73"/>
        <v>6.0979852933034238</v>
      </c>
      <c r="AL30" s="113">
        <f t="shared" si="74"/>
        <v>6.0979852933034238</v>
      </c>
      <c r="AM30" s="113">
        <f t="shared" si="75"/>
        <v>1.858684352905188</v>
      </c>
      <c r="AN30" s="82">
        <f t="shared" si="76"/>
        <v>1155.2432481224573</v>
      </c>
      <c r="AO30" s="83">
        <f t="shared" si="77"/>
        <v>-12.756751877542683</v>
      </c>
      <c r="AP30" s="34">
        <f t="shared" si="78"/>
        <v>12.756751877542683</v>
      </c>
      <c r="AQ30" s="113">
        <f t="shared" si="79"/>
        <v>-1.0921876607485175</v>
      </c>
      <c r="AR30" s="113">
        <f t="shared" si="80"/>
        <v>1.0921876607485175</v>
      </c>
      <c r="AS30" s="113">
        <f t="shared" si="81"/>
        <v>3.063049209693709</v>
      </c>
      <c r="AT30" s="82">
        <f t="shared" si="82"/>
        <v>1241.1458559890302</v>
      </c>
      <c r="AU30" s="83">
        <f t="shared" si="83"/>
        <v>73.145855989030224</v>
      </c>
      <c r="AV30" s="34">
        <f t="shared" si="84"/>
        <v>73.145855989030224</v>
      </c>
      <c r="AW30" s="113">
        <f t="shared" si="85"/>
        <v>6.2624876702936829</v>
      </c>
      <c r="AX30" s="113">
        <f t="shared" si="86"/>
        <v>6.2624876702936829</v>
      </c>
      <c r="AY30" s="113">
        <f t="shared" si="87"/>
        <v>1.8700868833294799</v>
      </c>
      <c r="AZ30" s="82">
        <f t="shared" si="88"/>
        <v>1250.4736842105262</v>
      </c>
      <c r="BA30" s="83">
        <f t="shared" si="89"/>
        <v>82.473684210526244</v>
      </c>
      <c r="BB30" s="34">
        <f t="shared" si="90"/>
        <v>82.473684210526244</v>
      </c>
      <c r="BC30" s="113">
        <f t="shared" si="91"/>
        <v>7.0611031002162887</v>
      </c>
      <c r="BD30" s="113">
        <f t="shared" si="92"/>
        <v>7.0611031002162887</v>
      </c>
      <c r="BE30" s="113">
        <f t="shared" si="93"/>
        <v>1.9215495820287556</v>
      </c>
      <c r="BF30" s="83">
        <f t="shared" si="94"/>
        <v>1292.9942370000001</v>
      </c>
      <c r="BG30" s="83">
        <f t="shared" si="95"/>
        <v>124.99423700000011</v>
      </c>
      <c r="BH30" s="83">
        <f t="shared" si="96"/>
        <v>124.99423700000011</v>
      </c>
      <c r="BI30" s="83">
        <f t="shared" si="97"/>
        <v>1274.0772281930122</v>
      </c>
      <c r="BJ30" s="83">
        <f t="shared" si="98"/>
        <v>106.07722819301216</v>
      </c>
      <c r="BK30" s="83">
        <f t="shared" si="99"/>
        <v>106.07722819301216</v>
      </c>
    </row>
    <row r="31" spans="1:63" x14ac:dyDescent="0.15">
      <c r="A31" s="69" t="s">
        <v>16</v>
      </c>
      <c r="B31" s="70" t="s">
        <v>607</v>
      </c>
      <c r="C31" s="8" t="s">
        <v>403</v>
      </c>
      <c r="D31" s="9" t="s">
        <v>148</v>
      </c>
      <c r="E31" s="22" t="s">
        <v>374</v>
      </c>
      <c r="F31" s="10" t="s">
        <v>580</v>
      </c>
      <c r="G31" s="64">
        <v>1439.3</v>
      </c>
      <c r="H31" s="64"/>
      <c r="I31" s="10" t="s">
        <v>634</v>
      </c>
      <c r="J31" s="8">
        <v>281.7</v>
      </c>
      <c r="K31" s="8">
        <v>270</v>
      </c>
      <c r="L31" s="8">
        <v>341.2</v>
      </c>
      <c r="M31" s="77" t="s">
        <v>37</v>
      </c>
      <c r="N31" s="82">
        <f t="shared" si="50"/>
        <v>1759.7599999999998</v>
      </c>
      <c r="O31" s="82">
        <f t="shared" si="51"/>
        <v>1399.0327299999999</v>
      </c>
      <c r="P31" s="82">
        <f t="shared" si="52"/>
        <v>1418.6937354377169</v>
      </c>
      <c r="Q31" s="82">
        <f t="shared" si="53"/>
        <v>1312.9047980084247</v>
      </c>
      <c r="R31" s="82">
        <f t="shared" si="54"/>
        <v>1436.1033364218497</v>
      </c>
      <c r="S31" s="82">
        <f t="shared" si="55"/>
        <v>1408.4999999999998</v>
      </c>
      <c r="T31" s="82">
        <f t="shared" si="56"/>
        <v>1490.71524</v>
      </c>
      <c r="U31" s="82">
        <f t="shared" si="57"/>
        <v>1455.8228303000635</v>
      </c>
      <c r="V31" s="82">
        <f t="shared" si="58"/>
        <v>1765.6999999999998</v>
      </c>
      <c r="W31" s="83">
        <f t="shared" si="59"/>
        <v>326.39999999999986</v>
      </c>
      <c r="X31" s="34">
        <f t="shared" si="60"/>
        <v>326.39999999999986</v>
      </c>
      <c r="Y31" s="113">
        <f t="shared" si="61"/>
        <v>22.677690544014443</v>
      </c>
      <c r="Z31" s="113">
        <f t="shared" si="62"/>
        <v>22.677690544014443</v>
      </c>
      <c r="AA31" s="113">
        <f t="shared" si="63"/>
        <v>2.5150786750759226</v>
      </c>
      <c r="AB31" s="83">
        <f t="shared" si="64"/>
        <v>1419.7249999999999</v>
      </c>
      <c r="AC31" s="83">
        <f t="shared" si="65"/>
        <v>-19.575000000000045</v>
      </c>
      <c r="AD31" s="34">
        <f t="shared" si="66"/>
        <v>19.575000000000045</v>
      </c>
      <c r="AE31" s="113">
        <f t="shared" si="67"/>
        <v>-1.360036128673664</v>
      </c>
      <c r="AF31" s="113">
        <f t="shared" si="68"/>
        <v>1.360036128673664</v>
      </c>
      <c r="AG31" s="113">
        <f t="shared" si="69"/>
        <v>1.3133398438843085</v>
      </c>
      <c r="AH31" s="83">
        <f t="shared" si="70"/>
        <v>1446.3212279950817</v>
      </c>
      <c r="AI31" s="83">
        <f t="shared" si="71"/>
        <v>7.0212279950817447</v>
      </c>
      <c r="AJ31" s="34">
        <f t="shared" si="72"/>
        <v>7.0212279950817447</v>
      </c>
      <c r="AK31" s="113">
        <f t="shared" si="73"/>
        <v>0.48782241333160181</v>
      </c>
      <c r="AL31" s="113">
        <f t="shared" si="74"/>
        <v>0.48782241333160181</v>
      </c>
      <c r="AM31" s="113">
        <f t="shared" si="75"/>
        <v>0.9042408608854795</v>
      </c>
      <c r="AN31" s="82">
        <f t="shared" si="76"/>
        <v>1343.383164031814</v>
      </c>
      <c r="AO31" s="83">
        <f t="shared" si="77"/>
        <v>-95.916835968185978</v>
      </c>
      <c r="AP31" s="34">
        <f t="shared" si="78"/>
        <v>95.916835968185978</v>
      </c>
      <c r="AQ31" s="113">
        <f t="shared" si="79"/>
        <v>-6.6641308947534199</v>
      </c>
      <c r="AR31" s="113">
        <f t="shared" si="80"/>
        <v>6.6641308947534199</v>
      </c>
      <c r="AS31" s="113">
        <f t="shared" si="81"/>
        <v>3.1285230650784097</v>
      </c>
      <c r="AT31" s="82">
        <f t="shared" si="82"/>
        <v>1439.0554163431921</v>
      </c>
      <c r="AU31" s="83">
        <f t="shared" si="83"/>
        <v>-0.24458365680789029</v>
      </c>
      <c r="AV31" s="34">
        <f t="shared" si="84"/>
        <v>0.24458365680789029</v>
      </c>
      <c r="AW31" s="113">
        <f t="shared" si="85"/>
        <v>-1.6993236768421474E-2</v>
      </c>
      <c r="AX31" s="113">
        <f t="shared" si="86"/>
        <v>1.6993236768421474E-2</v>
      </c>
      <c r="AY31" s="113">
        <f t="shared" si="87"/>
        <v>9.5024093768207737E-2</v>
      </c>
      <c r="AZ31" s="82">
        <f t="shared" si="88"/>
        <v>1421.0526315789473</v>
      </c>
      <c r="BA31" s="83">
        <f t="shared" si="89"/>
        <v>-18.24736842105267</v>
      </c>
      <c r="BB31" s="34">
        <f t="shared" si="90"/>
        <v>18.24736842105267</v>
      </c>
      <c r="BC31" s="113">
        <f t="shared" si="91"/>
        <v>-1.2677946516398715</v>
      </c>
      <c r="BD31" s="113">
        <f t="shared" si="92"/>
        <v>1.2677946516398715</v>
      </c>
      <c r="BE31" s="113">
        <f t="shared" si="93"/>
        <v>1.2843713593852162</v>
      </c>
      <c r="BF31" s="83">
        <f t="shared" si="94"/>
        <v>1492.1310000000001</v>
      </c>
      <c r="BG31" s="83">
        <f t="shared" si="95"/>
        <v>52.831000000000131</v>
      </c>
      <c r="BH31" s="83">
        <f t="shared" si="96"/>
        <v>52.831000000000131</v>
      </c>
      <c r="BI31" s="83">
        <f t="shared" si="97"/>
        <v>1470.5470910118888</v>
      </c>
      <c r="BJ31" s="83">
        <f t="shared" si="98"/>
        <v>31.24709101188887</v>
      </c>
      <c r="BK31" s="83">
        <f t="shared" si="99"/>
        <v>31.24709101188887</v>
      </c>
    </row>
    <row r="32" spans="1:63" x14ac:dyDescent="0.15">
      <c r="A32" s="69" t="s">
        <v>16</v>
      </c>
      <c r="B32" s="70" t="s">
        <v>606</v>
      </c>
      <c r="C32" s="8" t="s">
        <v>403</v>
      </c>
      <c r="D32" s="9" t="s">
        <v>148</v>
      </c>
      <c r="E32" s="10" t="s">
        <v>374</v>
      </c>
      <c r="F32" s="10" t="s">
        <v>580</v>
      </c>
      <c r="G32" s="64">
        <v>1196.7</v>
      </c>
      <c r="H32" s="64"/>
      <c r="I32" s="10" t="s">
        <v>634</v>
      </c>
      <c r="J32" s="8">
        <v>257.60000000000002</v>
      </c>
      <c r="K32" s="8">
        <v>241.12</v>
      </c>
      <c r="L32" s="8">
        <v>324.56</v>
      </c>
      <c r="M32" s="77" t="s">
        <v>37</v>
      </c>
      <c r="N32" s="82">
        <f t="shared" si="50"/>
        <v>1571.7800000000002</v>
      </c>
      <c r="O32" s="82">
        <f t="shared" si="51"/>
        <v>1269.4494400000001</v>
      </c>
      <c r="P32" s="82">
        <f t="shared" si="52"/>
        <v>1280.5607403491567</v>
      </c>
      <c r="Q32" s="82">
        <f t="shared" si="53"/>
        <v>1181.4211825389277</v>
      </c>
      <c r="R32" s="82">
        <f t="shared" si="54"/>
        <v>1294.9311190563394</v>
      </c>
      <c r="S32" s="82">
        <f t="shared" si="55"/>
        <v>1288</v>
      </c>
      <c r="T32" s="82">
        <f t="shared" si="56"/>
        <v>1345.7007200000003</v>
      </c>
      <c r="U32" s="82">
        <f t="shared" si="57"/>
        <v>1317.8290755755304</v>
      </c>
      <c r="V32" s="82">
        <f t="shared" si="58"/>
        <v>1530.0392000000002</v>
      </c>
      <c r="W32" s="83">
        <f t="shared" si="59"/>
        <v>333.33920000000012</v>
      </c>
      <c r="X32" s="34">
        <f t="shared" si="60"/>
        <v>333.33920000000012</v>
      </c>
      <c r="Y32" s="113">
        <f t="shared" si="61"/>
        <v>27.854867552435874</v>
      </c>
      <c r="Z32" s="113">
        <f t="shared" si="62"/>
        <v>27.854867552435874</v>
      </c>
      <c r="AA32" s="113">
        <f t="shared" si="63"/>
        <v>2.5241872989546144</v>
      </c>
      <c r="AB32" s="83">
        <f t="shared" si="64"/>
        <v>1249.63624</v>
      </c>
      <c r="AC32" s="83">
        <f t="shared" si="65"/>
        <v>52.936239999999998</v>
      </c>
      <c r="AD32" s="34">
        <f t="shared" si="66"/>
        <v>52.936239999999998</v>
      </c>
      <c r="AE32" s="113">
        <f t="shared" si="67"/>
        <v>4.4235180078549341</v>
      </c>
      <c r="AF32" s="113">
        <f t="shared" si="68"/>
        <v>4.4235180078549341</v>
      </c>
      <c r="AG32" s="113">
        <f t="shared" si="69"/>
        <v>1.7318806676606509</v>
      </c>
      <c r="AH32" s="83">
        <f t="shared" si="70"/>
        <v>1261.50947262774</v>
      </c>
      <c r="AI32" s="83">
        <f t="shared" si="71"/>
        <v>64.809472627739979</v>
      </c>
      <c r="AJ32" s="34">
        <f t="shared" si="72"/>
        <v>64.809472627739979</v>
      </c>
      <c r="AK32" s="113">
        <f t="shared" si="73"/>
        <v>5.4156825125545236</v>
      </c>
      <c r="AL32" s="113">
        <f t="shared" si="74"/>
        <v>5.4156825125545236</v>
      </c>
      <c r="AM32" s="113">
        <f t="shared" si="75"/>
        <v>1.8182884105419783</v>
      </c>
      <c r="AN32" s="82">
        <f t="shared" si="76"/>
        <v>1175.5220768941249</v>
      </c>
      <c r="AO32" s="83">
        <f t="shared" si="77"/>
        <v>-21.177923105875152</v>
      </c>
      <c r="AP32" s="34">
        <f t="shared" si="78"/>
        <v>21.177923105875152</v>
      </c>
      <c r="AQ32" s="113">
        <f t="shared" si="79"/>
        <v>-1.7696935828424125</v>
      </c>
      <c r="AR32" s="113">
        <f t="shared" si="80"/>
        <v>1.7696935828424125</v>
      </c>
      <c r="AS32" s="113">
        <f t="shared" si="81"/>
        <v>3.0706000809241432</v>
      </c>
      <c r="AT32" s="82">
        <f t="shared" si="82"/>
        <v>1262.5061319827278</v>
      </c>
      <c r="AU32" s="83">
        <f t="shared" si="83"/>
        <v>65.80613198272772</v>
      </c>
      <c r="AV32" s="34">
        <f t="shared" si="84"/>
        <v>65.80613198272772</v>
      </c>
      <c r="AW32" s="113">
        <f t="shared" si="85"/>
        <v>5.4989664897407637</v>
      </c>
      <c r="AX32" s="113">
        <f t="shared" si="86"/>
        <v>5.4989664897407637</v>
      </c>
      <c r="AY32" s="113">
        <f t="shared" si="87"/>
        <v>1.8248163272066642</v>
      </c>
      <c r="AZ32" s="82">
        <f t="shared" si="88"/>
        <v>1269.0526315789473</v>
      </c>
      <c r="BA32" s="83">
        <f t="shared" si="89"/>
        <v>72.352631578947239</v>
      </c>
      <c r="BB32" s="34">
        <f t="shared" si="90"/>
        <v>72.352631578947239</v>
      </c>
      <c r="BC32" s="113">
        <f t="shared" si="91"/>
        <v>6.0460124992853039</v>
      </c>
      <c r="BD32" s="113">
        <f t="shared" si="92"/>
        <v>6.0460124992853039</v>
      </c>
      <c r="BE32" s="113">
        <f t="shared" si="93"/>
        <v>1.8654156990888366</v>
      </c>
      <c r="BF32" s="83">
        <f t="shared" si="94"/>
        <v>1314.6836160000003</v>
      </c>
      <c r="BG32" s="83">
        <f t="shared" si="95"/>
        <v>117.98361600000021</v>
      </c>
      <c r="BH32" s="83">
        <f t="shared" si="96"/>
        <v>117.98361600000021</v>
      </c>
      <c r="BI32" s="83">
        <f t="shared" si="97"/>
        <v>1295.3258957718551</v>
      </c>
      <c r="BJ32" s="83">
        <f t="shared" si="98"/>
        <v>98.625895771855085</v>
      </c>
      <c r="BK32" s="83">
        <f t="shared" si="99"/>
        <v>98.625895771855085</v>
      </c>
    </row>
    <row r="33" spans="1:63" x14ac:dyDescent="0.15">
      <c r="A33" s="69" t="s">
        <v>16</v>
      </c>
      <c r="B33" s="70" t="s">
        <v>666</v>
      </c>
      <c r="C33" s="64" t="s">
        <v>403</v>
      </c>
      <c r="D33" s="9" t="s">
        <v>82</v>
      </c>
      <c r="E33" s="10" t="s">
        <v>374</v>
      </c>
      <c r="F33" s="10" t="s">
        <v>580</v>
      </c>
      <c r="G33" s="64">
        <v>1207.3</v>
      </c>
      <c r="H33" s="64"/>
      <c r="I33" s="10" t="s">
        <v>634</v>
      </c>
      <c r="J33" s="8">
        <v>229.34</v>
      </c>
      <c r="K33" s="8">
        <v>223.06</v>
      </c>
      <c r="L33" s="8">
        <v>301.64</v>
      </c>
      <c r="M33" s="77" t="s">
        <v>37</v>
      </c>
      <c r="N33" s="82">
        <f t="shared" si="50"/>
        <v>1351.3520000000001</v>
      </c>
      <c r="O33" s="82">
        <f t="shared" si="51"/>
        <v>1117.4982459999999</v>
      </c>
      <c r="P33" s="82">
        <f t="shared" si="52"/>
        <v>1120.9761400780551</v>
      </c>
      <c r="Q33" s="82">
        <f t="shared" si="53"/>
        <v>1030.0536855407076</v>
      </c>
      <c r="R33" s="82">
        <f t="shared" si="54"/>
        <v>1132.0287253688834</v>
      </c>
      <c r="S33" s="82">
        <f t="shared" si="55"/>
        <v>1146.7</v>
      </c>
      <c r="T33" s="82">
        <f t="shared" si="56"/>
        <v>1175.6546480000002</v>
      </c>
      <c r="U33" s="82">
        <f t="shared" si="57"/>
        <v>1157.8842272969241</v>
      </c>
      <c r="V33" s="82">
        <f t="shared" si="58"/>
        <v>1382.6695999999999</v>
      </c>
      <c r="W33" s="83">
        <f t="shared" si="59"/>
        <v>175.36959999999999</v>
      </c>
      <c r="X33" s="34">
        <f t="shared" si="60"/>
        <v>175.36959999999999</v>
      </c>
      <c r="Y33" s="113">
        <f t="shared" si="61"/>
        <v>14.525768243187276</v>
      </c>
      <c r="Z33" s="113">
        <f t="shared" si="62"/>
        <v>14.525768243187276</v>
      </c>
      <c r="AA33" s="113">
        <f t="shared" si="63"/>
        <v>2.2464237299453731</v>
      </c>
      <c r="AB33" s="83">
        <f t="shared" si="64"/>
        <v>1143.27187</v>
      </c>
      <c r="AC33" s="83">
        <f t="shared" si="65"/>
        <v>-64.028129999999919</v>
      </c>
      <c r="AD33" s="34">
        <f t="shared" si="66"/>
        <v>64.028129999999919</v>
      </c>
      <c r="AE33" s="113">
        <f t="shared" si="67"/>
        <v>-5.3034150583947586</v>
      </c>
      <c r="AF33" s="113">
        <f t="shared" si="68"/>
        <v>5.3034150583947586</v>
      </c>
      <c r="AG33" s="113">
        <f t="shared" si="69"/>
        <v>1.8131012652741108</v>
      </c>
      <c r="AH33" s="83">
        <f t="shared" si="70"/>
        <v>1148.2310147513863</v>
      </c>
      <c r="AI33" s="83">
        <f t="shared" si="71"/>
        <v>-59.068985248613672</v>
      </c>
      <c r="AJ33" s="34">
        <f t="shared" si="72"/>
        <v>59.068985248613672</v>
      </c>
      <c r="AK33" s="113">
        <f t="shared" si="73"/>
        <v>-4.8926518055672723</v>
      </c>
      <c r="AL33" s="113">
        <f t="shared" si="74"/>
        <v>4.8926518055672723</v>
      </c>
      <c r="AM33" s="113">
        <f t="shared" si="75"/>
        <v>1.778650295429127</v>
      </c>
      <c r="AN33" s="82">
        <f t="shared" si="76"/>
        <v>1072.3500025985393</v>
      </c>
      <c r="AO33" s="83">
        <f t="shared" si="77"/>
        <v>-134.94999740146068</v>
      </c>
      <c r="AP33" s="34">
        <f t="shared" si="78"/>
        <v>134.94999740146068</v>
      </c>
      <c r="AQ33" s="113">
        <f t="shared" si="79"/>
        <v>-11.177834622832824</v>
      </c>
      <c r="AR33" s="113">
        <f t="shared" si="80"/>
        <v>11.177834622832824</v>
      </c>
      <c r="AS33" s="113">
        <f t="shared" si="81"/>
        <v>3.0307413616783565</v>
      </c>
      <c r="AT33" s="82">
        <f t="shared" si="82"/>
        <v>1153.7548714184543</v>
      </c>
      <c r="AU33" s="83">
        <f t="shared" si="83"/>
        <v>-53.545128581545669</v>
      </c>
      <c r="AV33" s="34">
        <f t="shared" si="84"/>
        <v>53.545128581545669</v>
      </c>
      <c r="AW33" s="113">
        <f t="shared" si="85"/>
        <v>-4.4351137730096637</v>
      </c>
      <c r="AX33" s="113">
        <f t="shared" si="86"/>
        <v>4.4351137730096637</v>
      </c>
      <c r="AY33" s="113">
        <f t="shared" si="87"/>
        <v>1.7367559698716701</v>
      </c>
      <c r="AZ33" s="82">
        <f t="shared" si="88"/>
        <v>1174</v>
      </c>
      <c r="BA33" s="83">
        <f t="shared" si="89"/>
        <v>-33.299999999999955</v>
      </c>
      <c r="BB33" s="34">
        <f t="shared" si="90"/>
        <v>33.299999999999955</v>
      </c>
      <c r="BC33" s="113">
        <f t="shared" si="91"/>
        <v>-2.7582208233247707</v>
      </c>
      <c r="BD33" s="113">
        <f t="shared" si="92"/>
        <v>2.7582208233247707</v>
      </c>
      <c r="BE33" s="113">
        <f t="shared" si="93"/>
        <v>1.5352941200427699</v>
      </c>
      <c r="BF33" s="83">
        <f t="shared" si="94"/>
        <v>1203.7175580000001</v>
      </c>
      <c r="BG33" s="83">
        <f t="shared" si="95"/>
        <v>-3.5824419999999009</v>
      </c>
      <c r="BH33" s="83">
        <f t="shared" si="96"/>
        <v>3.5824419999999009</v>
      </c>
      <c r="BI33" s="83">
        <f t="shared" si="97"/>
        <v>1187.0237516911989</v>
      </c>
      <c r="BJ33" s="83">
        <f t="shared" si="98"/>
        <v>-20.276248308801087</v>
      </c>
      <c r="BK33" s="83">
        <f t="shared" si="99"/>
        <v>20.276248308801087</v>
      </c>
    </row>
    <row r="34" spans="1:63" x14ac:dyDescent="0.15">
      <c r="A34" s="69" t="s">
        <v>16</v>
      </c>
      <c r="B34" s="70" t="s">
        <v>616</v>
      </c>
      <c r="C34" s="8" t="s">
        <v>403</v>
      </c>
      <c r="D34" s="9" t="s">
        <v>82</v>
      </c>
      <c r="E34" s="10" t="s">
        <v>293</v>
      </c>
      <c r="F34" s="10" t="s">
        <v>580</v>
      </c>
      <c r="G34" s="64">
        <v>2298</v>
      </c>
      <c r="H34" s="64"/>
      <c r="I34" s="10" t="s">
        <v>640</v>
      </c>
      <c r="J34" s="64">
        <v>369.7</v>
      </c>
      <c r="K34" s="64">
        <v>357</v>
      </c>
      <c r="L34" s="64"/>
      <c r="M34" s="77" t="s">
        <v>37</v>
      </c>
      <c r="N34" s="82">
        <f t="shared" si="50"/>
        <v>2446.16</v>
      </c>
      <c r="O34" s="82">
        <f t="shared" si="51"/>
        <v>1872.1999299999998</v>
      </c>
      <c r="P34" s="82">
        <f t="shared" si="52"/>
        <v>1936.946195992211</v>
      </c>
      <c r="Q34" s="82">
        <f t="shared" si="53"/>
        <v>1809.4029807816969</v>
      </c>
      <c r="R34" s="82">
        <f t="shared" si="54"/>
        <v>1966.9083477704689</v>
      </c>
      <c r="S34" s="82">
        <f t="shared" si="55"/>
        <v>1848.4999999999998</v>
      </c>
      <c r="T34" s="82">
        <f t="shared" si="56"/>
        <v>2020.2288399999998</v>
      </c>
      <c r="U34" s="82">
        <f t="shared" si="57"/>
        <v>1970.4763866094872</v>
      </c>
      <c r="V34" s="82">
        <f t="shared" si="58"/>
        <v>2475.62</v>
      </c>
      <c r="W34" s="83">
        <f t="shared" si="59"/>
        <v>177.61999999999989</v>
      </c>
      <c r="X34" s="34">
        <f t="shared" si="60"/>
        <v>177.61999999999989</v>
      </c>
      <c r="Y34" s="113">
        <f t="shared" si="61"/>
        <v>7.729329852045252</v>
      </c>
      <c r="Z34" s="113">
        <f t="shared" si="62"/>
        <v>7.729329852045252</v>
      </c>
      <c r="AA34" s="113">
        <f t="shared" si="63"/>
        <v>2.2519300850303683</v>
      </c>
      <c r="AB34" s="83">
        <f t="shared" si="64"/>
        <v>1932.1115</v>
      </c>
      <c r="AC34" s="83">
        <f t="shared" si="65"/>
        <v>-365.88850000000002</v>
      </c>
      <c r="AD34" s="34">
        <f t="shared" si="66"/>
        <v>365.88850000000002</v>
      </c>
      <c r="AE34" s="113">
        <f t="shared" si="67"/>
        <v>-15.922040905134901</v>
      </c>
      <c r="AF34" s="113">
        <f t="shared" si="68"/>
        <v>15.922040905134901</v>
      </c>
      <c r="AG34" s="113">
        <f t="shared" si="69"/>
        <v>2.5645340991508383</v>
      </c>
      <c r="AH34" s="83">
        <f t="shared" si="70"/>
        <v>2027.034734565299</v>
      </c>
      <c r="AI34" s="83">
        <f t="shared" si="71"/>
        <v>-270.965265434701</v>
      </c>
      <c r="AJ34" s="34">
        <f t="shared" si="72"/>
        <v>270.965265434701</v>
      </c>
      <c r="AK34" s="113">
        <f t="shared" si="73"/>
        <v>-11.791351846592732</v>
      </c>
      <c r="AL34" s="113">
        <f t="shared" si="74"/>
        <v>11.791351846592732</v>
      </c>
      <c r="AM34" s="113">
        <f t="shared" si="75"/>
        <v>2.4345134408235132</v>
      </c>
      <c r="AN34" s="82">
        <f t="shared" si="76"/>
        <v>1867.7856053343689</v>
      </c>
      <c r="AO34" s="83">
        <f t="shared" si="77"/>
        <v>-430.21439466563106</v>
      </c>
      <c r="AP34" s="34">
        <f t="shared" si="78"/>
        <v>430.21439466563106</v>
      </c>
      <c r="AQ34" s="113">
        <f t="shared" si="79"/>
        <v>-18.721253031576634</v>
      </c>
      <c r="AR34" s="113">
        <f t="shared" si="80"/>
        <v>18.721253031576634</v>
      </c>
      <c r="AS34" s="113">
        <f t="shared" si="81"/>
        <v>3.2715594802118813</v>
      </c>
      <c r="AT34" s="82">
        <f t="shared" si="82"/>
        <v>1988.047557906825</v>
      </c>
      <c r="AU34" s="83">
        <f t="shared" si="83"/>
        <v>-309.95244209317502</v>
      </c>
      <c r="AV34" s="34">
        <f t="shared" si="84"/>
        <v>309.95244209317502</v>
      </c>
      <c r="AW34" s="113">
        <f t="shared" si="85"/>
        <v>-13.487921762105092</v>
      </c>
      <c r="AX34" s="113">
        <f t="shared" si="86"/>
        <v>13.487921762105092</v>
      </c>
      <c r="AY34" s="113">
        <f t="shared" si="87"/>
        <v>2.4926939719339947</v>
      </c>
      <c r="AZ34" s="82">
        <f t="shared" si="88"/>
        <v>1878.9473684210527</v>
      </c>
      <c r="BA34" s="83">
        <f t="shared" si="89"/>
        <v>-419.05263157894728</v>
      </c>
      <c r="BB34" s="34">
        <f t="shared" si="90"/>
        <v>419.05263157894728</v>
      </c>
      <c r="BC34" s="113">
        <f t="shared" si="91"/>
        <v>-18.235536622234434</v>
      </c>
      <c r="BD34" s="113">
        <f t="shared" si="92"/>
        <v>18.235536622234434</v>
      </c>
      <c r="BE34" s="113">
        <f t="shared" si="93"/>
        <v>2.6233037098556378</v>
      </c>
      <c r="BF34" s="83">
        <f t="shared" si="94"/>
        <v>2026.6851000000001</v>
      </c>
      <c r="BG34" s="83">
        <f t="shared" si="95"/>
        <v>-271.31489999999985</v>
      </c>
      <c r="BH34" s="83">
        <f t="shared" si="96"/>
        <v>271.31489999999985</v>
      </c>
      <c r="BI34" s="83">
        <f t="shared" si="97"/>
        <v>2011.5085331031382</v>
      </c>
      <c r="BJ34" s="83">
        <f t="shared" si="98"/>
        <v>-286.49146689686177</v>
      </c>
      <c r="BK34" s="83">
        <f t="shared" si="99"/>
        <v>286.49146689686177</v>
      </c>
    </row>
    <row r="35" spans="1:63" x14ac:dyDescent="0.15">
      <c r="A35" s="69" t="s">
        <v>16</v>
      </c>
      <c r="B35" s="70" t="s">
        <v>617</v>
      </c>
      <c r="C35" s="8" t="s">
        <v>403</v>
      </c>
      <c r="D35" s="9" t="s">
        <v>82</v>
      </c>
      <c r="E35" s="10" t="s">
        <v>293</v>
      </c>
      <c r="F35" s="10" t="s">
        <v>580</v>
      </c>
      <c r="G35" s="64">
        <v>2030</v>
      </c>
      <c r="H35" s="64"/>
      <c r="I35" s="10" t="s">
        <v>640</v>
      </c>
      <c r="J35" s="64">
        <v>364</v>
      </c>
      <c r="K35" s="64">
        <v>349.6</v>
      </c>
      <c r="L35" s="64"/>
      <c r="M35" s="77" t="s">
        <v>37</v>
      </c>
      <c r="N35" s="82">
        <f t="shared" si="50"/>
        <v>2401.6999999999998</v>
      </c>
      <c r="O35" s="82">
        <f t="shared" si="51"/>
        <v>1841.5516</v>
      </c>
      <c r="P35" s="82">
        <f t="shared" si="52"/>
        <v>1902.7788756594887</v>
      </c>
      <c r="Q35" s="82">
        <f t="shared" si="53"/>
        <v>1776.5329105268427</v>
      </c>
      <c r="R35" s="82">
        <f t="shared" si="54"/>
        <v>1931.8642693260022</v>
      </c>
      <c r="S35" s="82">
        <f t="shared" si="55"/>
        <v>1820</v>
      </c>
      <c r="T35" s="82">
        <f t="shared" si="56"/>
        <v>1985.9308000000001</v>
      </c>
      <c r="U35" s="82">
        <f t="shared" si="57"/>
        <v>1936.6773005852622</v>
      </c>
      <c r="V35" s="82">
        <f t="shared" si="58"/>
        <v>2415.2360000000003</v>
      </c>
      <c r="W35" s="83">
        <f t="shared" si="59"/>
        <v>385.23600000000033</v>
      </c>
      <c r="X35" s="34">
        <f t="shared" si="60"/>
        <v>385.23600000000033</v>
      </c>
      <c r="Y35" s="113">
        <f t="shared" si="61"/>
        <v>18.977142857142873</v>
      </c>
      <c r="Z35" s="113">
        <f t="shared" si="62"/>
        <v>18.977142857142873</v>
      </c>
      <c r="AA35" s="113">
        <f t="shared" si="63"/>
        <v>2.5868527507294887</v>
      </c>
      <c r="AB35" s="83">
        <f t="shared" si="64"/>
        <v>1888.5291999999999</v>
      </c>
      <c r="AC35" s="83">
        <f t="shared" si="65"/>
        <v>-141.47080000000005</v>
      </c>
      <c r="AD35" s="34">
        <f t="shared" si="66"/>
        <v>141.47080000000005</v>
      </c>
      <c r="AE35" s="113">
        <f t="shared" si="67"/>
        <v>-6.9690049261083766</v>
      </c>
      <c r="AF35" s="113">
        <f t="shared" si="68"/>
        <v>6.9690049261083766</v>
      </c>
      <c r="AG35" s="113">
        <f t="shared" si="69"/>
        <v>2.1537258629526956</v>
      </c>
      <c r="AH35" s="83">
        <f t="shared" si="70"/>
        <v>1976.3675626210538</v>
      </c>
      <c r="AI35" s="83">
        <f t="shared" si="71"/>
        <v>-53.632437378946179</v>
      </c>
      <c r="AJ35" s="34">
        <f t="shared" si="72"/>
        <v>53.632437378946179</v>
      </c>
      <c r="AK35" s="113">
        <f t="shared" si="73"/>
        <v>-2.6419919891106489</v>
      </c>
      <c r="AL35" s="113">
        <f t="shared" si="74"/>
        <v>2.6419919891106489</v>
      </c>
      <c r="AM35" s="113">
        <f t="shared" si="75"/>
        <v>1.7374505766195312</v>
      </c>
      <c r="AN35" s="82">
        <f t="shared" si="76"/>
        <v>1822.1902519723778</v>
      </c>
      <c r="AO35" s="83">
        <f t="shared" si="77"/>
        <v>-207.80974802762216</v>
      </c>
      <c r="AP35" s="34">
        <f t="shared" si="78"/>
        <v>207.80974802762216</v>
      </c>
      <c r="AQ35" s="113">
        <f t="shared" si="79"/>
        <v>-10.236933400375477</v>
      </c>
      <c r="AR35" s="113">
        <f t="shared" si="80"/>
        <v>10.236933400375477</v>
      </c>
      <c r="AS35" s="113">
        <f t="shared" si="81"/>
        <v>3.2608319901418654</v>
      </c>
      <c r="AT35" s="82">
        <f t="shared" si="82"/>
        <v>1940.4469803376135</v>
      </c>
      <c r="AU35" s="83">
        <f t="shared" si="83"/>
        <v>-89.553019662386532</v>
      </c>
      <c r="AV35" s="34">
        <f t="shared" si="84"/>
        <v>89.553019662386532</v>
      </c>
      <c r="AW35" s="113">
        <f t="shared" si="85"/>
        <v>-4.4114788011027848</v>
      </c>
      <c r="AX35" s="113">
        <f t="shared" si="86"/>
        <v>4.4114788011027848</v>
      </c>
      <c r="AY35" s="113">
        <f t="shared" si="87"/>
        <v>1.9569029372657094</v>
      </c>
      <c r="AZ35" s="82">
        <f t="shared" si="88"/>
        <v>1840</v>
      </c>
      <c r="BA35" s="83">
        <f t="shared" si="89"/>
        <v>-190</v>
      </c>
      <c r="BB35" s="34">
        <f t="shared" si="90"/>
        <v>190</v>
      </c>
      <c r="BC35" s="113">
        <f t="shared" si="91"/>
        <v>-9.3596059113300498</v>
      </c>
      <c r="BD35" s="113">
        <f t="shared" si="92"/>
        <v>9.3596059113300498</v>
      </c>
      <c r="BE35" s="113">
        <f t="shared" si="93"/>
        <v>2.2810333672477277</v>
      </c>
      <c r="BF35" s="83">
        <f t="shared" si="94"/>
        <v>1981.2172800000003</v>
      </c>
      <c r="BG35" s="83">
        <f t="shared" si="95"/>
        <v>-48.782719999999699</v>
      </c>
      <c r="BH35" s="83">
        <f t="shared" si="96"/>
        <v>48.782719999999699</v>
      </c>
      <c r="BI35" s="83">
        <f t="shared" si="97"/>
        <v>1964.8066839114865</v>
      </c>
      <c r="BJ35" s="83">
        <f t="shared" si="98"/>
        <v>-65.193316088513484</v>
      </c>
      <c r="BK35" s="83">
        <f t="shared" si="99"/>
        <v>65.193316088513484</v>
      </c>
    </row>
    <row r="36" spans="1:63" x14ac:dyDescent="0.15">
      <c r="A36" s="86" t="s">
        <v>16</v>
      </c>
      <c r="B36" s="86" t="s">
        <v>520</v>
      </c>
      <c r="C36" s="70" t="s">
        <v>401</v>
      </c>
      <c r="D36" s="68" t="s">
        <v>82</v>
      </c>
      <c r="E36" s="74" t="s">
        <v>494</v>
      </c>
      <c r="F36" s="10" t="s">
        <v>580</v>
      </c>
      <c r="G36" s="70">
        <v>770</v>
      </c>
      <c r="H36" s="70">
        <v>770</v>
      </c>
      <c r="I36" s="10" t="s">
        <v>634</v>
      </c>
      <c r="J36" s="70">
        <v>153</v>
      </c>
      <c r="K36" s="70">
        <v>148</v>
      </c>
      <c r="L36" s="75">
        <v>203.33333333333334</v>
      </c>
      <c r="M36" s="77" t="s">
        <v>37</v>
      </c>
      <c r="N36" s="82">
        <f t="shared" ref="N36:N37" si="100">J36*7.8 - 437.5</f>
        <v>755.89999999999986</v>
      </c>
      <c r="O36" s="82">
        <f t="shared" ref="O36:O37" si="101">5.3769*J36-115.64</f>
        <v>707.02570000000003</v>
      </c>
      <c r="P36" s="82">
        <f t="shared" ref="P36:P37" si="102">2.2177*J36^1.1454</f>
        <v>705.09617923544602</v>
      </c>
      <c r="Q36" s="82">
        <f t="shared" ref="Q36:Q37" si="103">((1.55958*J36)^1.1799)</f>
        <v>638.92098705588671</v>
      </c>
      <c r="R36" s="82">
        <f t="shared" ref="R36:R37" si="104">(1.901*J36)^1.157</f>
        <v>708.71282950784757</v>
      </c>
      <c r="S36" s="82">
        <f t="shared" ref="S36:S37" si="105">J36/0.2</f>
        <v>765</v>
      </c>
      <c r="V36" s="82">
        <f t="shared" ref="V36:V37" si="106">K36*8.16 - 437.5</f>
        <v>770.18000000000006</v>
      </c>
      <c r="W36" s="83">
        <f t="shared" ref="W36:W37" si="107">-(G36-V36)</f>
        <v>0.18000000000006366</v>
      </c>
      <c r="X36" s="34">
        <f t="shared" ref="X36:X37" si="108">ABS(W36)</f>
        <v>0.18000000000006366</v>
      </c>
      <c r="Y36" s="113">
        <f t="shared" ref="Y36:Y37" si="109">W36/G36*100</f>
        <v>2.3376623376631645E-2</v>
      </c>
      <c r="Z36" s="113">
        <f t="shared" ref="Z36:Z37" si="110">ABS(Y36)</f>
        <v>2.3376623376631645E-2</v>
      </c>
      <c r="AA36" s="113">
        <f t="shared" ref="AA36:AA37" si="111">LOG10(X36+1)</f>
        <v>7.1882007306148812E-2</v>
      </c>
      <c r="AB36" s="83">
        <f t="shared" ref="AB36:AB37" si="112">K36*5.8895 - 170.44</f>
        <v>701.2059999999999</v>
      </c>
      <c r="AC36" s="83">
        <f t="shared" ref="AC36:AC37" si="113">-(G36-AB36)</f>
        <v>-68.794000000000096</v>
      </c>
      <c r="AD36" s="34">
        <f t="shared" ref="AD36:AD37" si="114">ABS(AC36)</f>
        <v>68.794000000000096</v>
      </c>
      <c r="AE36" s="113">
        <f t="shared" ref="AE36:AE37" si="115">AC36/G36*100</f>
        <v>-8.9342857142857266</v>
      </c>
      <c r="AF36" s="113">
        <f t="shared" ref="AF36:AF37" si="116">ABS(AE36)</f>
        <v>8.9342857142857266</v>
      </c>
      <c r="AG36" s="113">
        <f t="shared" ref="AG36:AG37" si="117">LOG10(AD36+1)</f>
        <v>1.8438180891146581</v>
      </c>
      <c r="AH36" s="83">
        <f t="shared" ref="AH36:AH37" si="118">(K36^1.2085)*1.6671</f>
        <v>699.39566246509185</v>
      </c>
      <c r="AI36" s="83">
        <f t="shared" ref="AI36:AI37" si="119">-(G36-AH36)</f>
        <v>-70.604337534908154</v>
      </c>
      <c r="AJ36" s="34">
        <f t="shared" ref="AJ36:AJ37" si="120">ABS(AI36)</f>
        <v>70.604337534908154</v>
      </c>
      <c r="AK36" s="113">
        <f t="shared" ref="AK36:AK37" si="121">AI36/G36*100</f>
        <v>-9.169394485053008</v>
      </c>
      <c r="AL36" s="113">
        <f t="shared" ref="AL36:AL37" si="122">ABS(AK36)</f>
        <v>9.169394485053008</v>
      </c>
      <c r="AM36" s="113">
        <f t="shared" ref="AM36:AM37" si="123">LOG10(AJ36+1)</f>
        <v>1.8549393311125841</v>
      </c>
      <c r="AN36" s="82">
        <f t="shared" ref="AN36:AN37" si="124">1.81733*(K36)^1.1799</f>
        <v>660.88454193669293</v>
      </c>
      <c r="AO36" s="83">
        <f t="shared" ref="AO36:AO37" si="125">-(G36-AN36)</f>
        <v>-109.11545806330707</v>
      </c>
      <c r="AP36" s="34">
        <f t="shared" ref="AP36:AP37" si="126">ABS(AO36)</f>
        <v>109.11545806330707</v>
      </c>
      <c r="AQ36" s="113">
        <f t="shared" ref="AQ36:AQ37" si="127">AO36/G36*100</f>
        <v>-14.1708387095204</v>
      </c>
      <c r="AR36" s="113">
        <f t="shared" ref="AR36:AR37" si="128">ABS(AQ36)</f>
        <v>14.1708387095204</v>
      </c>
      <c r="AS36" s="113">
        <f t="shared" ref="AS36:AS37" si="129">LOG10(AN36+1)</f>
        <v>2.820782238423166</v>
      </c>
      <c r="AT36" s="82">
        <f t="shared" ref="AT36:AT37" si="130">((1.9869*K36)^1.157)</f>
        <v>717.76528223987737</v>
      </c>
      <c r="AU36" s="83">
        <f t="shared" ref="AU36:AU37" si="131">-(G36-AT36)</f>
        <v>-52.234717760122635</v>
      </c>
      <c r="AV36" s="34">
        <f t="shared" ref="AV36:AV37" si="132">ABS(AU36)</f>
        <v>52.234717760122635</v>
      </c>
      <c r="AW36" s="113">
        <f t="shared" ref="AW36:AW37" si="133">AU36/G36*100</f>
        <v>-6.7837295792367049</v>
      </c>
      <c r="AX36" s="113">
        <f t="shared" ref="AX36:AX37" si="134">ABS(AW36)</f>
        <v>6.7837295792367049</v>
      </c>
      <c r="AY36" s="113">
        <f t="shared" ref="AY36:AY37" si="135">LOG10(AV36+1)</f>
        <v>1.7261949558664798</v>
      </c>
      <c r="AZ36" s="82">
        <f t="shared" ref="AZ36:AZ37" si="136">K36/0.19</f>
        <v>778.9473684210526</v>
      </c>
      <c r="BA36" s="83">
        <f t="shared" ref="BA36:BA37" si="137">-(G36-AZ36)</f>
        <v>8.9473684210526017</v>
      </c>
      <c r="BB36" s="34">
        <f t="shared" ref="BB36:BB37" si="138">ABS(BA36)</f>
        <v>8.9473684210526017</v>
      </c>
      <c r="BC36" s="113">
        <f t="shared" ref="BC36:BC37" si="139">BA36/G36*100</f>
        <v>1.1619958988380001</v>
      </c>
      <c r="BD36" s="113">
        <f t="shared" ref="BD36:BD37" si="140">ABS(BC36)</f>
        <v>1.1619958988380001</v>
      </c>
      <c r="BE36" s="113">
        <f t="shared" ref="BE36:BE37" si="141">LOG10(BB36+1)</f>
        <v>0.99770820322041387</v>
      </c>
    </row>
    <row r="37" spans="1:63" x14ac:dyDescent="0.15">
      <c r="A37" s="86" t="s">
        <v>16</v>
      </c>
      <c r="B37" s="86" t="s">
        <v>521</v>
      </c>
      <c r="C37" s="70" t="s">
        <v>401</v>
      </c>
      <c r="D37" s="68" t="s">
        <v>82</v>
      </c>
      <c r="E37" s="74" t="s">
        <v>494</v>
      </c>
      <c r="F37" s="10" t="s">
        <v>580</v>
      </c>
      <c r="G37" s="70">
        <v>716</v>
      </c>
      <c r="H37" s="70">
        <v>716</v>
      </c>
      <c r="I37" s="10" t="s">
        <v>634</v>
      </c>
      <c r="J37" s="70">
        <v>156</v>
      </c>
      <c r="K37" s="70">
        <v>150</v>
      </c>
      <c r="L37" s="75">
        <v>211.33333333333334</v>
      </c>
      <c r="M37" s="77" t="s">
        <v>37</v>
      </c>
      <c r="N37" s="82">
        <f t="shared" si="100"/>
        <v>779.3</v>
      </c>
      <c r="O37" s="82">
        <f t="shared" si="101"/>
        <v>723.15639999999996</v>
      </c>
      <c r="P37" s="82">
        <f t="shared" si="102"/>
        <v>720.95425847880529</v>
      </c>
      <c r="Q37" s="82">
        <f t="shared" si="103"/>
        <v>653.72854422873797</v>
      </c>
      <c r="R37" s="82">
        <f t="shared" si="104"/>
        <v>724.81549576321549</v>
      </c>
      <c r="S37" s="82">
        <f t="shared" si="105"/>
        <v>780</v>
      </c>
      <c r="V37" s="82">
        <f t="shared" si="106"/>
        <v>786.5</v>
      </c>
      <c r="W37" s="83">
        <f t="shared" si="107"/>
        <v>70.5</v>
      </c>
      <c r="X37" s="34">
        <f t="shared" si="108"/>
        <v>70.5</v>
      </c>
      <c r="Y37" s="113">
        <f t="shared" si="109"/>
        <v>9.8463687150837984</v>
      </c>
      <c r="Z37" s="113">
        <f t="shared" si="110"/>
        <v>9.8463687150837984</v>
      </c>
      <c r="AA37" s="113">
        <f t="shared" si="111"/>
        <v>1.8543060418010806</v>
      </c>
      <c r="AB37" s="83">
        <f t="shared" si="112"/>
        <v>712.9849999999999</v>
      </c>
      <c r="AC37" s="83">
        <f t="shared" si="113"/>
        <v>-3.0150000000001</v>
      </c>
      <c r="AD37" s="34">
        <f t="shared" si="114"/>
        <v>3.0150000000001</v>
      </c>
      <c r="AE37" s="113">
        <f t="shared" si="115"/>
        <v>-0.42108938547487434</v>
      </c>
      <c r="AF37" s="113">
        <f t="shared" si="116"/>
        <v>0.42108938547487434</v>
      </c>
      <c r="AG37" s="113">
        <f t="shared" si="117"/>
        <v>0.60368554961471055</v>
      </c>
      <c r="AH37" s="83">
        <f t="shared" si="118"/>
        <v>710.83358368137647</v>
      </c>
      <c r="AI37" s="83">
        <f t="shared" si="119"/>
        <v>-5.1664163186235328</v>
      </c>
      <c r="AJ37" s="34">
        <f t="shared" si="120"/>
        <v>5.1664163186235328</v>
      </c>
      <c r="AK37" s="113">
        <f t="shared" si="121"/>
        <v>-0.7215665249474208</v>
      </c>
      <c r="AL37" s="113">
        <f t="shared" si="122"/>
        <v>0.7215665249474208</v>
      </c>
      <c r="AM37" s="113">
        <f t="shared" si="123"/>
        <v>0.79003284228107618</v>
      </c>
      <c r="AN37" s="82">
        <f t="shared" si="124"/>
        <v>671.43483980522342</v>
      </c>
      <c r="AO37" s="83">
        <f t="shared" si="125"/>
        <v>-44.565160194776581</v>
      </c>
      <c r="AP37" s="34">
        <f t="shared" si="126"/>
        <v>44.565160194776581</v>
      </c>
      <c r="AQ37" s="113">
        <f t="shared" si="127"/>
        <v>-6.2241843847453326</v>
      </c>
      <c r="AR37" s="113">
        <f t="shared" si="128"/>
        <v>6.2241843847453326</v>
      </c>
      <c r="AS37" s="113">
        <f t="shared" si="129"/>
        <v>2.827650206765024</v>
      </c>
      <c r="AT37" s="82">
        <f t="shared" si="130"/>
        <v>728.99949929409695</v>
      </c>
      <c r="AU37" s="83">
        <f t="shared" si="131"/>
        <v>12.99949929409695</v>
      </c>
      <c r="AV37" s="34">
        <f t="shared" si="132"/>
        <v>12.99949929409695</v>
      </c>
      <c r="AW37" s="113">
        <f t="shared" si="133"/>
        <v>1.8155725271085124</v>
      </c>
      <c r="AX37" s="113">
        <f t="shared" si="134"/>
        <v>1.8155725271085124</v>
      </c>
      <c r="AY37" s="113">
        <f t="shared" si="135"/>
        <v>1.1461125029854216</v>
      </c>
      <c r="AZ37" s="82">
        <f t="shared" si="136"/>
        <v>789.47368421052636</v>
      </c>
      <c r="BA37" s="83">
        <f t="shared" si="137"/>
        <v>73.473684210526358</v>
      </c>
      <c r="BB37" s="34">
        <f t="shared" si="138"/>
        <v>73.473684210526358</v>
      </c>
      <c r="BC37" s="113">
        <f t="shared" si="139"/>
        <v>10.26168773890033</v>
      </c>
      <c r="BD37" s="113">
        <f t="shared" si="140"/>
        <v>10.26168773890033</v>
      </c>
      <c r="BE37" s="113">
        <f t="shared" si="141"/>
        <v>1.8720028389074803</v>
      </c>
    </row>
  </sheetData>
  <sortState xmlns:xlrd2="http://schemas.microsoft.com/office/spreadsheetml/2017/richdata2" ref="A2:BK20">
    <sortCondition ref="K1:K2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423D-71B4-CB4C-9339-F85791D2DB95}">
  <dimension ref="A1:AC223"/>
  <sheetViews>
    <sheetView workbookViewId="0">
      <pane xSplit="1" topLeftCell="B1" activePane="topRight" state="frozen"/>
      <selection activeCell="A20" sqref="A20"/>
      <selection pane="topRight" activeCell="A2" sqref="A2:W217"/>
    </sheetView>
  </sheetViews>
  <sheetFormatPr baseColWidth="10" defaultRowHeight="14" x14ac:dyDescent="0.15"/>
  <cols>
    <col min="1" max="1" width="12.1640625" bestFit="1" customWidth="1"/>
    <col min="10" max="10" width="10.83203125" style="34"/>
    <col min="11" max="11" width="12.6640625" bestFit="1" customWidth="1"/>
    <col min="12" max="14" width="12.6640625" customWidth="1"/>
    <col min="15" max="16" width="10.6640625" customWidth="1"/>
    <col min="17" max="17" width="11" style="29" customWidth="1"/>
    <col min="18" max="18" width="12.33203125" style="29" bestFit="1" customWidth="1"/>
    <col min="19" max="19" width="10.83203125" style="24"/>
    <col min="20" max="21" width="12.33203125" style="77" bestFit="1" customWidth="1"/>
    <col min="22" max="26" width="10.83203125" style="77"/>
    <col min="27" max="27" width="10.83203125" style="24"/>
  </cols>
  <sheetData>
    <row r="1" spans="1:29" x14ac:dyDescent="0.15">
      <c r="A1" s="24" t="s">
        <v>402</v>
      </c>
      <c r="B1" s="24" t="s">
        <v>511</v>
      </c>
      <c r="C1" s="24" t="s">
        <v>784</v>
      </c>
      <c r="D1" s="24" t="s">
        <v>81</v>
      </c>
      <c r="E1" s="24" t="s">
        <v>660</v>
      </c>
      <c r="F1" s="29" t="s">
        <v>442</v>
      </c>
      <c r="G1" s="29" t="s">
        <v>510</v>
      </c>
      <c r="H1" s="78" t="s">
        <v>583</v>
      </c>
      <c r="I1" s="24" t="s">
        <v>517</v>
      </c>
      <c r="J1" s="130" t="s">
        <v>541</v>
      </c>
      <c r="K1" s="3" t="s">
        <v>542</v>
      </c>
      <c r="L1" s="3" t="s">
        <v>602</v>
      </c>
      <c r="M1" s="3" t="s">
        <v>641</v>
      </c>
      <c r="N1" s="3" t="s">
        <v>644</v>
      </c>
      <c r="O1" s="3" t="s">
        <v>682</v>
      </c>
      <c r="P1" s="3" t="s">
        <v>683</v>
      </c>
      <c r="Q1" s="32" t="s">
        <v>543</v>
      </c>
      <c r="R1" s="3" t="s">
        <v>544</v>
      </c>
      <c r="S1" s="3" t="s">
        <v>603</v>
      </c>
      <c r="T1" s="77" t="s">
        <v>642</v>
      </c>
      <c r="U1" s="77" t="s">
        <v>645</v>
      </c>
      <c r="V1" s="3" t="s">
        <v>684</v>
      </c>
      <c r="W1" s="3" t="s">
        <v>685</v>
      </c>
      <c r="AA1" s="77"/>
    </row>
    <row r="2" spans="1:29" x14ac:dyDescent="0.15">
      <c r="A2" s="7" t="s">
        <v>808</v>
      </c>
      <c r="B2" s="24" t="s">
        <v>513</v>
      </c>
      <c r="C2" s="64" t="s">
        <v>824</v>
      </c>
      <c r="D2" s="68" t="s">
        <v>148</v>
      </c>
      <c r="E2" s="24" t="s">
        <v>661</v>
      </c>
      <c r="F2" s="22" t="s">
        <v>374</v>
      </c>
      <c r="G2" s="10" t="s">
        <v>634</v>
      </c>
      <c r="H2" s="10" t="s">
        <v>580</v>
      </c>
      <c r="I2" s="9">
        <v>1450</v>
      </c>
      <c r="J2" s="83">
        <v>1437.3934999999999</v>
      </c>
      <c r="K2" s="56">
        <f t="shared" ref="K2:K65" si="0">J2-I2</f>
        <v>-12.606500000000096</v>
      </c>
      <c r="L2" s="56">
        <f t="shared" ref="L2:L65" si="1">K2^2</f>
        <v>158.92384225000242</v>
      </c>
      <c r="M2" s="56">
        <f t="shared" ref="M2:M65" si="2">SQRT(L2)</f>
        <v>12.606500000000096</v>
      </c>
      <c r="N2" s="56">
        <f t="shared" ref="N2:N65" si="3">LOG10(M2+1)</f>
        <v>1.1337464259991756</v>
      </c>
      <c r="O2" s="143">
        <f t="shared" ref="O2:O65" si="4">100*K2/I2</f>
        <v>-0.8694137931034549</v>
      </c>
      <c r="P2" s="143">
        <f t="shared" ref="P2:P65" si="5">ABS(O2)</f>
        <v>0.8694137931034549</v>
      </c>
      <c r="Q2" s="83">
        <v>1465.1686</v>
      </c>
      <c r="R2" s="56">
        <f t="shared" ref="R2:R65" si="6">Q2-I2</f>
        <v>15.168599999999969</v>
      </c>
      <c r="S2" s="56">
        <f t="shared" ref="S2:S65" si="7">R2^2</f>
        <v>230.08642595999908</v>
      </c>
      <c r="T2" s="56">
        <f t="shared" ref="T2:T65" si="8">SQRT(S2)</f>
        <v>15.168599999999969</v>
      </c>
      <c r="U2" s="56">
        <f t="shared" ref="U2:U65" si="9">LOG10(T2+1)</f>
        <v>1.2086724170247021</v>
      </c>
      <c r="V2" s="33">
        <f t="shared" ref="V2:V65" si="10">100*R2/I2</f>
        <v>1.0461103448275841</v>
      </c>
      <c r="W2" s="143">
        <f t="shared" ref="W2:W65" si="11">ABS(V2)</f>
        <v>1.0461103448275841</v>
      </c>
      <c r="X2" s="83"/>
      <c r="Y2" s="83"/>
      <c r="Z2" s="83"/>
      <c r="AA2" s="83"/>
      <c r="AB2" s="34"/>
      <c r="AC2" s="34"/>
    </row>
    <row r="3" spans="1:29" x14ac:dyDescent="0.15">
      <c r="A3" s="7" t="s">
        <v>809</v>
      </c>
      <c r="B3" s="24" t="s">
        <v>513</v>
      </c>
      <c r="C3" s="64" t="s">
        <v>824</v>
      </c>
      <c r="D3" s="9" t="s">
        <v>148</v>
      </c>
      <c r="E3" s="24" t="s">
        <v>661</v>
      </c>
      <c r="F3" s="22" t="s">
        <v>374</v>
      </c>
      <c r="G3" s="10" t="s">
        <v>634</v>
      </c>
      <c r="H3" s="10" t="s">
        <v>580</v>
      </c>
      <c r="I3" s="64">
        <v>1333</v>
      </c>
      <c r="J3" s="83">
        <v>1366.7194999999999</v>
      </c>
      <c r="K3" s="56">
        <f t="shared" si="0"/>
        <v>33.719499999999925</v>
      </c>
      <c r="L3" s="56">
        <f t="shared" si="1"/>
        <v>1137.0046802499949</v>
      </c>
      <c r="M3" s="56">
        <f t="shared" si="2"/>
        <v>33.719499999999925</v>
      </c>
      <c r="N3" s="56">
        <f t="shared" si="3"/>
        <v>1.5405734622186087</v>
      </c>
      <c r="O3" s="143">
        <f t="shared" si="4"/>
        <v>2.5295948987246755</v>
      </c>
      <c r="P3" s="143">
        <f t="shared" si="5"/>
        <v>2.5295948987246755</v>
      </c>
      <c r="Q3" s="83">
        <v>1373.7612999999999</v>
      </c>
      <c r="R3" s="56">
        <f t="shared" si="6"/>
        <v>40.761299999999892</v>
      </c>
      <c r="S3" s="56">
        <f t="shared" si="7"/>
        <v>1661.4835776899911</v>
      </c>
      <c r="T3" s="56">
        <f t="shared" si="8"/>
        <v>40.761299999999892</v>
      </c>
      <c r="U3" s="56">
        <f t="shared" si="9"/>
        <v>1.6207740094874721</v>
      </c>
      <c r="V3" s="33">
        <f t="shared" si="10"/>
        <v>3.0578619654913646</v>
      </c>
      <c r="W3" s="143">
        <f t="shared" si="11"/>
        <v>3.0578619654913646</v>
      </c>
      <c r="X3" s="83"/>
      <c r="Y3" s="83"/>
      <c r="Z3" s="83"/>
      <c r="AA3" s="83"/>
      <c r="AB3" s="34"/>
      <c r="AC3" s="34"/>
    </row>
    <row r="4" spans="1:29" x14ac:dyDescent="0.15">
      <c r="A4" s="7" t="s">
        <v>810</v>
      </c>
      <c r="B4" s="24" t="s">
        <v>513</v>
      </c>
      <c r="C4" s="64" t="s">
        <v>824</v>
      </c>
      <c r="D4" s="9" t="s">
        <v>148</v>
      </c>
      <c r="E4" s="24" t="s">
        <v>661</v>
      </c>
      <c r="F4" s="10" t="s">
        <v>374</v>
      </c>
      <c r="G4" s="10" t="s">
        <v>640</v>
      </c>
      <c r="H4" s="10" t="s">
        <v>580</v>
      </c>
      <c r="I4" s="64">
        <v>1622</v>
      </c>
      <c r="J4" s="60">
        <v>1631.7469999999998</v>
      </c>
      <c r="K4" s="56">
        <f t="shared" si="0"/>
        <v>9.7469999999998436</v>
      </c>
      <c r="L4" s="56">
        <f t="shared" si="1"/>
        <v>95.004008999996955</v>
      </c>
      <c r="M4" s="56">
        <f t="shared" si="2"/>
        <v>9.7469999999998436</v>
      </c>
      <c r="N4" s="56">
        <f t="shared" si="3"/>
        <v>1.0312872488769917</v>
      </c>
      <c r="O4" s="143">
        <f t="shared" si="4"/>
        <v>0.60092478421700635</v>
      </c>
      <c r="P4" s="143">
        <f t="shared" si="5"/>
        <v>0.60092478421700635</v>
      </c>
      <c r="Q4" s="83">
        <v>1604.9679999999998</v>
      </c>
      <c r="R4" s="56">
        <f t="shared" si="6"/>
        <v>-17.032000000000153</v>
      </c>
      <c r="S4" s="56">
        <f t="shared" si="7"/>
        <v>290.08902400000522</v>
      </c>
      <c r="T4" s="56">
        <f t="shared" si="8"/>
        <v>17.032000000000153</v>
      </c>
      <c r="U4" s="56">
        <f t="shared" si="9"/>
        <v>1.256043898702035</v>
      </c>
      <c r="V4" s="33">
        <f t="shared" si="10"/>
        <v>-1.0500616522811439</v>
      </c>
      <c r="W4" s="143">
        <f t="shared" si="11"/>
        <v>1.0500616522811439</v>
      </c>
      <c r="X4" s="83"/>
      <c r="Y4" s="83"/>
      <c r="Z4" s="83"/>
      <c r="AA4" s="83"/>
      <c r="AB4" s="34"/>
      <c r="AC4" s="34"/>
    </row>
    <row r="5" spans="1:29" x14ac:dyDescent="0.15">
      <c r="A5" s="64" t="s">
        <v>811</v>
      </c>
      <c r="B5" s="24" t="s">
        <v>513</v>
      </c>
      <c r="C5" s="64" t="s">
        <v>824</v>
      </c>
      <c r="D5" s="9" t="s">
        <v>148</v>
      </c>
      <c r="E5" s="24" t="s">
        <v>661</v>
      </c>
      <c r="F5" s="10" t="s">
        <v>374</v>
      </c>
      <c r="G5" s="10" t="s">
        <v>640</v>
      </c>
      <c r="H5" s="10" t="s">
        <v>580</v>
      </c>
      <c r="I5" s="64">
        <v>1774</v>
      </c>
      <c r="J5" s="83">
        <v>1790.7635</v>
      </c>
      <c r="K5" s="56">
        <f t="shared" si="0"/>
        <v>16.763500000000022</v>
      </c>
      <c r="L5" s="56">
        <f t="shared" si="1"/>
        <v>281.01493225000075</v>
      </c>
      <c r="M5" s="56">
        <f t="shared" si="2"/>
        <v>16.763500000000022</v>
      </c>
      <c r="N5" s="56">
        <f t="shared" si="3"/>
        <v>1.2495285403236942</v>
      </c>
      <c r="O5" s="143">
        <f t="shared" si="4"/>
        <v>0.94495490417136541</v>
      </c>
      <c r="P5" s="143">
        <f t="shared" si="5"/>
        <v>0.94495490417136541</v>
      </c>
      <c r="Q5" s="83">
        <v>1712.5059999999999</v>
      </c>
      <c r="R5" s="56">
        <f t="shared" si="6"/>
        <v>-61.494000000000142</v>
      </c>
      <c r="S5" s="56">
        <f t="shared" si="7"/>
        <v>3781.5120360000174</v>
      </c>
      <c r="T5" s="56">
        <f t="shared" si="8"/>
        <v>61.494000000000142</v>
      </c>
      <c r="U5" s="56">
        <f t="shared" si="9"/>
        <v>1.7958383230724564</v>
      </c>
      <c r="V5" s="33">
        <f t="shared" si="10"/>
        <v>-3.4664036076662987</v>
      </c>
      <c r="W5" s="143">
        <f t="shared" si="11"/>
        <v>3.4664036076662987</v>
      </c>
      <c r="X5" s="83"/>
      <c r="Y5" s="83"/>
      <c r="Z5" s="83"/>
      <c r="AA5" s="83"/>
      <c r="AB5" s="34"/>
      <c r="AC5" s="34"/>
    </row>
    <row r="6" spans="1:29" x14ac:dyDescent="0.15">
      <c r="A6" s="64" t="s">
        <v>812</v>
      </c>
      <c r="B6" s="24" t="s">
        <v>513</v>
      </c>
      <c r="C6" s="64" t="s">
        <v>824</v>
      </c>
      <c r="D6" s="9" t="s">
        <v>148</v>
      </c>
      <c r="E6" s="24" t="s">
        <v>661</v>
      </c>
      <c r="F6" s="10" t="s">
        <v>374</v>
      </c>
      <c r="G6" s="10" t="s">
        <v>640</v>
      </c>
      <c r="H6" s="10" t="s">
        <v>580</v>
      </c>
      <c r="I6" s="64">
        <v>1911</v>
      </c>
      <c r="J6" s="83">
        <v>1961.5589999999997</v>
      </c>
      <c r="K6" s="56">
        <f t="shared" si="0"/>
        <v>50.558999999999742</v>
      </c>
      <c r="L6" s="56">
        <f t="shared" si="1"/>
        <v>2556.2124809999741</v>
      </c>
      <c r="M6" s="56">
        <f t="shared" si="2"/>
        <v>50.558999999999742</v>
      </c>
      <c r="N6" s="56">
        <f t="shared" si="3"/>
        <v>1.7123044855104264</v>
      </c>
      <c r="O6" s="143">
        <f t="shared" si="4"/>
        <v>2.6456828885400179</v>
      </c>
      <c r="P6" s="143">
        <f t="shared" si="5"/>
        <v>2.6456828885400179</v>
      </c>
      <c r="Q6" s="83">
        <v>1954.4664999999998</v>
      </c>
      <c r="R6" s="56">
        <f t="shared" si="6"/>
        <v>43.466499999999769</v>
      </c>
      <c r="S6" s="56">
        <f t="shared" si="7"/>
        <v>1889.3366222499799</v>
      </c>
      <c r="T6" s="56">
        <f t="shared" si="8"/>
        <v>43.466499999999769</v>
      </c>
      <c r="U6" s="56">
        <f t="shared" si="9"/>
        <v>1.6480329470674029</v>
      </c>
      <c r="V6" s="33">
        <f t="shared" si="10"/>
        <v>2.2745421245421125</v>
      </c>
      <c r="W6" s="143">
        <f t="shared" si="11"/>
        <v>2.2745421245421125</v>
      </c>
      <c r="X6" s="83"/>
      <c r="Y6" s="83"/>
      <c r="Z6" s="83"/>
      <c r="AA6" s="83"/>
      <c r="AB6" s="34"/>
      <c r="AC6" s="34"/>
    </row>
    <row r="7" spans="1:29" x14ac:dyDescent="0.15">
      <c r="A7" s="7" t="s">
        <v>813</v>
      </c>
      <c r="B7" s="24" t="s">
        <v>513</v>
      </c>
      <c r="C7" s="64" t="s">
        <v>824</v>
      </c>
      <c r="D7" s="9" t="s">
        <v>148</v>
      </c>
      <c r="E7" s="24" t="s">
        <v>661</v>
      </c>
      <c r="F7" s="22" t="s">
        <v>374</v>
      </c>
      <c r="G7" s="10" t="s">
        <v>634</v>
      </c>
      <c r="H7" s="10" t="s">
        <v>580</v>
      </c>
      <c r="I7" s="64">
        <v>1427</v>
      </c>
      <c r="J7" s="83">
        <v>1431.5039999999999</v>
      </c>
      <c r="K7" s="56">
        <f t="shared" si="0"/>
        <v>4.5039999999999054</v>
      </c>
      <c r="L7" s="56">
        <f t="shared" si="1"/>
        <v>20.286015999999147</v>
      </c>
      <c r="M7" s="56">
        <f t="shared" si="2"/>
        <v>4.5039999999999054</v>
      </c>
      <c r="N7" s="56">
        <f t="shared" si="3"/>
        <v>0.74067842522744742</v>
      </c>
      <c r="O7" s="143">
        <f t="shared" si="4"/>
        <v>0.31562718990889316</v>
      </c>
      <c r="P7" s="143">
        <f t="shared" si="5"/>
        <v>0.31562718990889316</v>
      </c>
      <c r="Q7" s="83">
        <v>1432.9071999999999</v>
      </c>
      <c r="R7" s="56">
        <f t="shared" si="6"/>
        <v>5.9071999999998752</v>
      </c>
      <c r="S7" s="56">
        <f t="shared" si="7"/>
        <v>34.895011839998524</v>
      </c>
      <c r="T7" s="56">
        <f t="shared" si="8"/>
        <v>5.9071999999998752</v>
      </c>
      <c r="U7" s="56">
        <f t="shared" si="9"/>
        <v>0.83930203131218462</v>
      </c>
      <c r="V7" s="33">
        <f t="shared" si="10"/>
        <v>0.41395935529081118</v>
      </c>
      <c r="W7" s="143">
        <f t="shared" si="11"/>
        <v>0.41395935529081118</v>
      </c>
      <c r="X7" s="83"/>
      <c r="Y7" s="83"/>
      <c r="Z7" s="83"/>
      <c r="AA7" s="83"/>
      <c r="AB7" s="34"/>
      <c r="AC7" s="34"/>
    </row>
    <row r="8" spans="1:29" x14ac:dyDescent="0.15">
      <c r="A8" s="7" t="s">
        <v>814</v>
      </c>
      <c r="B8" s="24" t="s">
        <v>513</v>
      </c>
      <c r="C8" s="64" t="s">
        <v>824</v>
      </c>
      <c r="D8" s="9" t="s">
        <v>148</v>
      </c>
      <c r="E8" s="24" t="s">
        <v>661</v>
      </c>
      <c r="F8" s="22" t="s">
        <v>374</v>
      </c>
      <c r="G8" s="10" t="s">
        <v>634</v>
      </c>
      <c r="H8" s="10" t="s">
        <v>580</v>
      </c>
      <c r="I8" s="64">
        <v>1408</v>
      </c>
      <c r="J8" s="83">
        <v>1437.3934999999999</v>
      </c>
      <c r="K8" s="56">
        <f t="shared" si="0"/>
        <v>29.393499999999904</v>
      </c>
      <c r="L8" s="56">
        <f t="shared" si="1"/>
        <v>863.9778422499943</v>
      </c>
      <c r="M8" s="56">
        <f t="shared" si="2"/>
        <v>29.393499999999904</v>
      </c>
      <c r="N8" s="56">
        <f t="shared" si="3"/>
        <v>1.4827807146624628</v>
      </c>
      <c r="O8" s="143">
        <f t="shared" si="4"/>
        <v>2.0876065340909022</v>
      </c>
      <c r="P8" s="143">
        <f t="shared" si="5"/>
        <v>2.0876065340909022</v>
      </c>
      <c r="Q8" s="83">
        <v>1416.7764999999999</v>
      </c>
      <c r="R8" s="56">
        <f t="shared" si="6"/>
        <v>8.7764999999999418</v>
      </c>
      <c r="S8" s="56">
        <f t="shared" si="7"/>
        <v>77.026952249998985</v>
      </c>
      <c r="T8" s="56">
        <f t="shared" si="8"/>
        <v>8.7764999999999418</v>
      </c>
      <c r="U8" s="56">
        <f t="shared" si="9"/>
        <v>0.99018340460961296</v>
      </c>
      <c r="V8" s="33">
        <f t="shared" si="10"/>
        <v>0.62333096590908676</v>
      </c>
      <c r="W8" s="143">
        <f t="shared" si="11"/>
        <v>0.62333096590908676</v>
      </c>
      <c r="X8" s="83"/>
      <c r="Y8" s="83"/>
      <c r="Z8" s="83"/>
      <c r="AA8" s="83"/>
      <c r="AB8" s="34"/>
      <c r="AC8" s="34"/>
    </row>
    <row r="9" spans="1:29" x14ac:dyDescent="0.15">
      <c r="A9" s="64" t="s">
        <v>815</v>
      </c>
      <c r="B9" s="24" t="s">
        <v>513</v>
      </c>
      <c r="C9" s="64" t="s">
        <v>824</v>
      </c>
      <c r="D9" s="77" t="s">
        <v>148</v>
      </c>
      <c r="E9" s="24" t="s">
        <v>661</v>
      </c>
      <c r="F9" s="10" t="s">
        <v>374</v>
      </c>
      <c r="G9" s="10" t="s">
        <v>640</v>
      </c>
      <c r="H9" s="10" t="s">
        <v>580</v>
      </c>
      <c r="I9" s="64">
        <v>1651</v>
      </c>
      <c r="J9" s="83">
        <v>1625.8574999999998</v>
      </c>
      <c r="K9" s="56">
        <f t="shared" si="0"/>
        <v>-25.142500000000155</v>
      </c>
      <c r="L9" s="56">
        <f t="shared" si="1"/>
        <v>632.14530625000782</v>
      </c>
      <c r="M9" s="56">
        <f t="shared" si="2"/>
        <v>25.142500000000155</v>
      </c>
      <c r="N9" s="56">
        <f t="shared" si="3"/>
        <v>1.4173471166909235</v>
      </c>
      <c r="O9" s="143">
        <f t="shared" si="4"/>
        <v>-1.5228649303452546</v>
      </c>
      <c r="P9" s="143">
        <f t="shared" si="5"/>
        <v>1.5228649303452546</v>
      </c>
      <c r="Q9" s="83">
        <v>1583.4603999999999</v>
      </c>
      <c r="R9" s="56">
        <f t="shared" si="6"/>
        <v>-67.539600000000064</v>
      </c>
      <c r="S9" s="56">
        <f t="shared" si="7"/>
        <v>4561.5975681600084</v>
      </c>
      <c r="T9" s="56">
        <f t="shared" si="8"/>
        <v>67.539600000000064</v>
      </c>
      <c r="U9" s="56">
        <f t="shared" si="9"/>
        <v>1.835941565540308</v>
      </c>
      <c r="V9" s="33">
        <f t="shared" si="10"/>
        <v>-4.0908298001211429</v>
      </c>
      <c r="W9" s="143">
        <f t="shared" si="11"/>
        <v>4.0908298001211429</v>
      </c>
      <c r="X9" s="83"/>
      <c r="Y9" s="83"/>
      <c r="Z9" s="83"/>
      <c r="AA9" s="83"/>
      <c r="AB9" s="34"/>
      <c r="AC9" s="34"/>
    </row>
    <row r="10" spans="1:29" x14ac:dyDescent="0.15">
      <c r="A10" s="64" t="s">
        <v>816</v>
      </c>
      <c r="B10" s="24" t="s">
        <v>513</v>
      </c>
      <c r="C10" s="64" t="s">
        <v>824</v>
      </c>
      <c r="D10" s="77" t="s">
        <v>148</v>
      </c>
      <c r="E10" s="24" t="s">
        <v>661</v>
      </c>
      <c r="F10" s="22" t="s">
        <v>374</v>
      </c>
      <c r="G10" s="10" t="s">
        <v>634</v>
      </c>
      <c r="H10" s="10" t="s">
        <v>580</v>
      </c>
      <c r="I10" s="64">
        <v>1476</v>
      </c>
      <c r="J10" s="83">
        <v>1525.7359999999999</v>
      </c>
      <c r="K10" s="56">
        <f t="shared" si="0"/>
        <v>49.735999999999876</v>
      </c>
      <c r="L10" s="56">
        <f t="shared" si="1"/>
        <v>2473.6696959999877</v>
      </c>
      <c r="M10" s="56">
        <f t="shared" si="2"/>
        <v>49.735999999999876</v>
      </c>
      <c r="N10" s="56">
        <f t="shared" si="3"/>
        <v>1.7053162246830125</v>
      </c>
      <c r="O10" s="143">
        <f t="shared" si="4"/>
        <v>3.3696476964769566</v>
      </c>
      <c r="P10" s="143">
        <f t="shared" si="5"/>
        <v>3.3696476964769566</v>
      </c>
      <c r="Q10" s="83">
        <v>1551.1989999999998</v>
      </c>
      <c r="R10" s="56">
        <f t="shared" si="6"/>
        <v>75.198999999999842</v>
      </c>
      <c r="S10" s="56">
        <f t="shared" si="7"/>
        <v>5654.8896009999762</v>
      </c>
      <c r="T10" s="56">
        <f t="shared" si="8"/>
        <v>75.198999999999842</v>
      </c>
      <c r="U10" s="56">
        <f t="shared" si="9"/>
        <v>1.8819492718995519</v>
      </c>
      <c r="V10" s="33">
        <f t="shared" si="10"/>
        <v>5.0947831978319673</v>
      </c>
      <c r="W10" s="143">
        <f t="shared" si="11"/>
        <v>5.0947831978319673</v>
      </c>
      <c r="X10" s="83"/>
      <c r="Y10" s="83"/>
      <c r="Z10" s="83"/>
      <c r="AA10" s="83"/>
      <c r="AB10" s="34"/>
      <c r="AC10" s="34"/>
    </row>
    <row r="11" spans="1:29" x14ac:dyDescent="0.15">
      <c r="A11" s="64" t="s">
        <v>817</v>
      </c>
      <c r="B11" s="24" t="s">
        <v>513</v>
      </c>
      <c r="C11" s="64" t="s">
        <v>824</v>
      </c>
      <c r="D11" s="77" t="s">
        <v>148</v>
      </c>
      <c r="E11" s="24" t="s">
        <v>661</v>
      </c>
      <c r="F11" s="22" t="s">
        <v>374</v>
      </c>
      <c r="G11" s="10" t="s">
        <v>634</v>
      </c>
      <c r="H11" s="10" t="s">
        <v>580</v>
      </c>
      <c r="I11" s="64">
        <v>1495</v>
      </c>
      <c r="J11" s="83">
        <v>1531.6254999999999</v>
      </c>
      <c r="K11" s="56">
        <f t="shared" si="0"/>
        <v>36.625499999999874</v>
      </c>
      <c r="L11" s="56">
        <f t="shared" si="1"/>
        <v>1341.4272502499907</v>
      </c>
      <c r="M11" s="56">
        <f t="shared" si="2"/>
        <v>36.625499999999874</v>
      </c>
      <c r="N11" s="56">
        <f t="shared" si="3"/>
        <v>1.575482279918792</v>
      </c>
      <c r="O11" s="143">
        <f t="shared" si="4"/>
        <v>2.4498662207357778</v>
      </c>
      <c r="P11" s="143">
        <f t="shared" si="5"/>
        <v>2.4498662207357778</v>
      </c>
      <c r="Q11" s="83">
        <v>1475.9223999999999</v>
      </c>
      <c r="R11" s="56">
        <f t="shared" si="6"/>
        <v>-19.077600000000075</v>
      </c>
      <c r="S11" s="56">
        <f t="shared" si="7"/>
        <v>363.95482176000286</v>
      </c>
      <c r="T11" s="56">
        <f t="shared" si="8"/>
        <v>19.077600000000075</v>
      </c>
      <c r="U11" s="56">
        <f t="shared" si="9"/>
        <v>1.3027117976636815</v>
      </c>
      <c r="V11" s="33">
        <f t="shared" si="10"/>
        <v>-1.2760936454849547</v>
      </c>
      <c r="W11" s="143">
        <f t="shared" si="11"/>
        <v>1.2760936454849547</v>
      </c>
      <c r="X11" s="83"/>
      <c r="Y11" s="83"/>
      <c r="Z11" s="83"/>
      <c r="AA11" s="83"/>
      <c r="AB11" s="34"/>
      <c r="AC11" s="34"/>
    </row>
    <row r="12" spans="1:29" x14ac:dyDescent="0.15">
      <c r="A12" s="64" t="s">
        <v>818</v>
      </c>
      <c r="B12" s="24" t="s">
        <v>513</v>
      </c>
      <c r="C12" s="64" t="s">
        <v>824</v>
      </c>
      <c r="D12" s="77" t="s">
        <v>148</v>
      </c>
      <c r="E12" s="24" t="s">
        <v>661</v>
      </c>
      <c r="F12" s="22" t="s">
        <v>374</v>
      </c>
      <c r="G12" s="10" t="s">
        <v>634</v>
      </c>
      <c r="H12" s="10" t="s">
        <v>580</v>
      </c>
      <c r="I12" s="64">
        <v>1360</v>
      </c>
      <c r="J12" s="83">
        <v>1384.3879999999999</v>
      </c>
      <c r="K12" s="56">
        <f t="shared" si="0"/>
        <v>24.38799999999992</v>
      </c>
      <c r="L12" s="56">
        <f t="shared" si="1"/>
        <v>594.77454399999613</v>
      </c>
      <c r="M12" s="56">
        <f t="shared" si="2"/>
        <v>24.38799999999992</v>
      </c>
      <c r="N12" s="56">
        <f t="shared" si="3"/>
        <v>1.4046284896419174</v>
      </c>
      <c r="O12" s="143">
        <f t="shared" si="4"/>
        <v>1.7932352941176413</v>
      </c>
      <c r="P12" s="143">
        <f t="shared" si="5"/>
        <v>1.7932352941176413</v>
      </c>
      <c r="Q12" s="83">
        <v>1373.7612999999999</v>
      </c>
      <c r="R12" s="56">
        <f t="shared" si="6"/>
        <v>13.761299999999892</v>
      </c>
      <c r="S12" s="56">
        <f t="shared" si="7"/>
        <v>189.37337768999703</v>
      </c>
      <c r="T12" s="56">
        <f t="shared" si="8"/>
        <v>13.761299999999892</v>
      </c>
      <c r="U12" s="56">
        <f t="shared" si="9"/>
        <v>1.1691246066716312</v>
      </c>
      <c r="V12" s="33">
        <f t="shared" si="10"/>
        <v>1.0118602941176391</v>
      </c>
      <c r="W12" s="143">
        <f t="shared" si="11"/>
        <v>1.0118602941176391</v>
      </c>
      <c r="X12" s="83"/>
      <c r="Y12" s="83"/>
      <c r="Z12" s="83"/>
      <c r="AA12" s="83"/>
      <c r="AB12" s="34"/>
      <c r="AC12" s="34"/>
    </row>
    <row r="13" spans="1:29" x14ac:dyDescent="0.15">
      <c r="A13" s="64" t="s">
        <v>819</v>
      </c>
      <c r="B13" s="24" t="s">
        <v>513</v>
      </c>
      <c r="C13" s="64" t="s">
        <v>824</v>
      </c>
      <c r="D13" s="77" t="s">
        <v>148</v>
      </c>
      <c r="E13" s="24" t="s">
        <v>661</v>
      </c>
      <c r="F13" s="10" t="s">
        <v>374</v>
      </c>
      <c r="G13" s="10" t="s">
        <v>640</v>
      </c>
      <c r="H13" s="10" t="s">
        <v>580</v>
      </c>
      <c r="I13" s="64">
        <v>1830</v>
      </c>
      <c r="J13" s="83">
        <v>1873.2165</v>
      </c>
      <c r="K13" s="56">
        <f t="shared" si="0"/>
        <v>43.216499999999996</v>
      </c>
      <c r="L13" s="56">
        <f t="shared" si="1"/>
        <v>1867.6658722499997</v>
      </c>
      <c r="M13" s="56">
        <f t="shared" si="2"/>
        <v>43.216499999999996</v>
      </c>
      <c r="N13" s="56">
        <f t="shared" si="3"/>
        <v>1.6455843626016995</v>
      </c>
      <c r="O13" s="143">
        <f t="shared" si="4"/>
        <v>2.3615573770491802</v>
      </c>
      <c r="P13" s="143">
        <f t="shared" si="5"/>
        <v>2.3615573770491802</v>
      </c>
      <c r="Q13" s="83">
        <v>1857.6822999999999</v>
      </c>
      <c r="R13" s="56">
        <f t="shared" si="6"/>
        <v>27.682299999999941</v>
      </c>
      <c r="S13" s="56">
        <f t="shared" si="7"/>
        <v>766.30973328999676</v>
      </c>
      <c r="T13" s="56">
        <f t="shared" si="8"/>
        <v>27.682299999999941</v>
      </c>
      <c r="U13" s="56">
        <f t="shared" si="9"/>
        <v>1.4576139739573344</v>
      </c>
      <c r="V13" s="33">
        <f t="shared" si="10"/>
        <v>1.5126939890710351</v>
      </c>
      <c r="W13" s="143">
        <f t="shared" si="11"/>
        <v>1.5126939890710351</v>
      </c>
      <c r="X13" s="83"/>
      <c r="Y13" s="83"/>
      <c r="Z13" s="83"/>
      <c r="AA13" s="83"/>
      <c r="AB13" s="34"/>
      <c r="AC13" s="34"/>
    </row>
    <row r="14" spans="1:29" x14ac:dyDescent="0.15">
      <c r="A14" s="64" t="s">
        <v>820</v>
      </c>
      <c r="B14" s="24" t="s">
        <v>513</v>
      </c>
      <c r="C14" s="64" t="s">
        <v>824</v>
      </c>
      <c r="D14" s="77" t="s">
        <v>148</v>
      </c>
      <c r="E14" s="24" t="s">
        <v>661</v>
      </c>
      <c r="F14" s="22" t="s">
        <v>374</v>
      </c>
      <c r="G14" s="10" t="s">
        <v>634</v>
      </c>
      <c r="H14" s="10" t="s">
        <v>580</v>
      </c>
      <c r="I14" s="64">
        <v>1416</v>
      </c>
      <c r="J14" s="83">
        <v>1508.0674999999999</v>
      </c>
      <c r="K14" s="56">
        <f t="shared" si="0"/>
        <v>92.067499999999882</v>
      </c>
      <c r="L14" s="56">
        <f t="shared" si="1"/>
        <v>8476.4245562499782</v>
      </c>
      <c r="M14" s="56">
        <f t="shared" si="2"/>
        <v>92.067499999999882</v>
      </c>
      <c r="N14" s="56">
        <f t="shared" si="3"/>
        <v>1.9687980479540388</v>
      </c>
      <c r="O14" s="143">
        <f t="shared" si="4"/>
        <v>6.5019420903954721</v>
      </c>
      <c r="P14" s="143">
        <f t="shared" si="5"/>
        <v>6.5019420903954721</v>
      </c>
      <c r="Q14" s="83">
        <v>1475.9223999999999</v>
      </c>
      <c r="R14" s="56">
        <f t="shared" si="6"/>
        <v>59.922399999999925</v>
      </c>
      <c r="S14" s="56">
        <f t="shared" si="7"/>
        <v>3590.6940217599908</v>
      </c>
      <c r="T14" s="56">
        <f t="shared" si="8"/>
        <v>59.922399999999925</v>
      </c>
      <c r="U14" s="56">
        <f t="shared" si="9"/>
        <v>1.7847770037616044</v>
      </c>
      <c r="V14" s="33">
        <f t="shared" si="10"/>
        <v>4.2318079096045143</v>
      </c>
      <c r="W14" s="143">
        <f t="shared" si="11"/>
        <v>4.2318079096045143</v>
      </c>
      <c r="X14" s="83"/>
      <c r="Y14" s="83"/>
      <c r="Z14" s="83"/>
      <c r="AA14" s="83"/>
      <c r="AB14" s="34"/>
      <c r="AC14" s="34"/>
    </row>
    <row r="15" spans="1:29" x14ac:dyDescent="0.15">
      <c r="A15" s="64" t="s">
        <v>821</v>
      </c>
      <c r="B15" s="24" t="s">
        <v>513</v>
      </c>
      <c r="C15" s="64" t="s">
        <v>824</v>
      </c>
      <c r="D15" s="77" t="s">
        <v>148</v>
      </c>
      <c r="E15" s="24" t="s">
        <v>661</v>
      </c>
      <c r="F15" s="10" t="s">
        <v>293</v>
      </c>
      <c r="G15" s="10" t="s">
        <v>640</v>
      </c>
      <c r="H15" s="10" t="s">
        <v>580</v>
      </c>
      <c r="I15" s="64">
        <v>1980</v>
      </c>
      <c r="J15" s="83">
        <v>1955.6695</v>
      </c>
      <c r="K15" s="56">
        <f t="shared" si="0"/>
        <v>-24.330500000000029</v>
      </c>
      <c r="L15" s="56">
        <f t="shared" si="1"/>
        <v>591.97323025000139</v>
      </c>
      <c r="M15" s="56">
        <f t="shared" si="2"/>
        <v>24.330500000000029</v>
      </c>
      <c r="N15" s="56">
        <f t="shared" si="3"/>
        <v>1.4036437624355464</v>
      </c>
      <c r="O15" s="143">
        <f t="shared" si="4"/>
        <v>-1.2288131313131327</v>
      </c>
      <c r="P15" s="143">
        <f t="shared" si="5"/>
        <v>1.2288131313131327</v>
      </c>
      <c r="Q15" s="83">
        <v>1916.8281999999999</v>
      </c>
      <c r="R15" s="56">
        <f t="shared" si="6"/>
        <v>-63.171800000000076</v>
      </c>
      <c r="S15" s="56">
        <f t="shared" si="7"/>
        <v>3990.6763152400094</v>
      </c>
      <c r="T15" s="56">
        <f t="shared" si="8"/>
        <v>63.171800000000076</v>
      </c>
      <c r="U15" s="56">
        <f t="shared" si="9"/>
        <v>1.8073442212937416</v>
      </c>
      <c r="V15" s="33">
        <f t="shared" si="10"/>
        <v>-3.1904949494949535</v>
      </c>
      <c r="W15" s="143">
        <f t="shared" si="11"/>
        <v>3.1904949494949535</v>
      </c>
      <c r="X15" s="83"/>
      <c r="Y15" s="83"/>
      <c r="Z15" s="83"/>
      <c r="AA15" s="83"/>
      <c r="AB15" s="34"/>
      <c r="AC15" s="34"/>
    </row>
    <row r="16" spans="1:29" x14ac:dyDescent="0.15">
      <c r="A16" s="64" t="s">
        <v>822</v>
      </c>
      <c r="B16" s="24" t="s">
        <v>513</v>
      </c>
      <c r="C16" s="64" t="s">
        <v>824</v>
      </c>
      <c r="D16" s="77" t="s">
        <v>148</v>
      </c>
      <c r="E16" s="24" t="s">
        <v>661</v>
      </c>
      <c r="F16" s="10" t="s">
        <v>374</v>
      </c>
      <c r="G16" s="10" t="s">
        <v>640</v>
      </c>
      <c r="H16" s="10" t="s">
        <v>580</v>
      </c>
      <c r="I16" s="64">
        <v>1744</v>
      </c>
      <c r="J16" s="83">
        <v>1672.9734999999998</v>
      </c>
      <c r="K16" s="56">
        <f t="shared" si="0"/>
        <v>-71.026500000000169</v>
      </c>
      <c r="L16" s="56">
        <f t="shared" si="1"/>
        <v>5044.7637022500239</v>
      </c>
      <c r="M16" s="56">
        <f t="shared" si="2"/>
        <v>71.026500000000169</v>
      </c>
      <c r="N16" s="56">
        <f t="shared" si="3"/>
        <v>1.8574923115194693</v>
      </c>
      <c r="O16" s="143">
        <f t="shared" si="4"/>
        <v>-4.0726204128440466</v>
      </c>
      <c r="P16" s="143">
        <f t="shared" si="5"/>
        <v>4.0726204128440466</v>
      </c>
      <c r="Q16" s="83">
        <v>1685.6215</v>
      </c>
      <c r="R16" s="56">
        <f t="shared" si="6"/>
        <v>-58.378500000000031</v>
      </c>
      <c r="S16" s="56">
        <f t="shared" si="7"/>
        <v>3408.0492622500037</v>
      </c>
      <c r="T16" s="56">
        <f t="shared" si="8"/>
        <v>58.378500000000031</v>
      </c>
      <c r="U16" s="56">
        <f t="shared" si="9"/>
        <v>1.7736292223952392</v>
      </c>
      <c r="V16" s="33">
        <f t="shared" si="10"/>
        <v>-3.3473910550458732</v>
      </c>
      <c r="W16" s="143">
        <f t="shared" si="11"/>
        <v>3.3473910550458732</v>
      </c>
      <c r="X16" s="83"/>
      <c r="Y16" s="83"/>
      <c r="Z16" s="83"/>
      <c r="AA16" s="83"/>
      <c r="AB16" s="34"/>
      <c r="AC16" s="34"/>
    </row>
    <row r="17" spans="1:29" x14ac:dyDescent="0.15">
      <c r="A17" s="64" t="s">
        <v>823</v>
      </c>
      <c r="B17" s="24" t="s">
        <v>513</v>
      </c>
      <c r="C17" s="64" t="s">
        <v>824</v>
      </c>
      <c r="D17" s="77" t="s">
        <v>148</v>
      </c>
      <c r="E17" s="24" t="s">
        <v>661</v>
      </c>
      <c r="F17" s="10" t="s">
        <v>374</v>
      </c>
      <c r="G17" s="10" t="s">
        <v>640</v>
      </c>
      <c r="H17" s="10" t="s">
        <v>580</v>
      </c>
      <c r="I17" s="64">
        <v>1780</v>
      </c>
      <c r="J17" s="83">
        <v>1773.095</v>
      </c>
      <c r="K17" s="56">
        <f t="shared" si="0"/>
        <v>-6.9049999999999727</v>
      </c>
      <c r="L17" s="56">
        <f t="shared" si="1"/>
        <v>47.679024999999626</v>
      </c>
      <c r="M17" s="56">
        <f t="shared" si="2"/>
        <v>6.9049999999999727</v>
      </c>
      <c r="N17" s="56">
        <f t="shared" si="3"/>
        <v>0.89790187426822632</v>
      </c>
      <c r="O17" s="143">
        <f t="shared" si="4"/>
        <v>-0.38792134831460523</v>
      </c>
      <c r="P17" s="143">
        <f t="shared" si="5"/>
        <v>0.38792134831460523</v>
      </c>
      <c r="Q17" s="83">
        <v>1717.8828999999998</v>
      </c>
      <c r="R17" s="56">
        <f t="shared" si="6"/>
        <v>-62.117100000000164</v>
      </c>
      <c r="S17" s="56">
        <f t="shared" si="7"/>
        <v>3858.5341124100205</v>
      </c>
      <c r="T17" s="56">
        <f t="shared" si="8"/>
        <v>62.117100000000164</v>
      </c>
      <c r="U17" s="56">
        <f t="shared" si="9"/>
        <v>1.8001470364160239</v>
      </c>
      <c r="V17" s="33">
        <f t="shared" si="10"/>
        <v>-3.4897247191011327</v>
      </c>
      <c r="W17" s="143">
        <f t="shared" si="11"/>
        <v>3.4897247191011327</v>
      </c>
      <c r="X17" s="83"/>
      <c r="Y17" s="83"/>
      <c r="Z17" s="83"/>
      <c r="AA17" s="83"/>
      <c r="AB17" s="34"/>
      <c r="AC17" s="34"/>
    </row>
    <row r="18" spans="1:29" x14ac:dyDescent="0.15">
      <c r="A18" s="69" t="s">
        <v>520</v>
      </c>
      <c r="B18" s="24" t="s">
        <v>513</v>
      </c>
      <c r="C18" s="70" t="s">
        <v>401</v>
      </c>
      <c r="D18" s="68" t="s">
        <v>82</v>
      </c>
      <c r="E18" s="24" t="s">
        <v>661</v>
      </c>
      <c r="F18" s="74" t="s">
        <v>494</v>
      </c>
      <c r="G18" s="10" t="s">
        <v>634</v>
      </c>
      <c r="H18" s="10" t="s">
        <v>580</v>
      </c>
      <c r="I18" s="70">
        <v>770</v>
      </c>
      <c r="J18" s="82">
        <v>701.2059999999999</v>
      </c>
      <c r="K18" s="56">
        <f t="shared" si="0"/>
        <v>-68.794000000000096</v>
      </c>
      <c r="L18" s="56">
        <f t="shared" si="1"/>
        <v>4732.6144360000135</v>
      </c>
      <c r="M18" s="56">
        <f t="shared" si="2"/>
        <v>68.794000000000096</v>
      </c>
      <c r="N18" s="56">
        <f t="shared" si="3"/>
        <v>1.8438180891146581</v>
      </c>
      <c r="O18" s="143">
        <f t="shared" si="4"/>
        <v>-8.9342857142857266</v>
      </c>
      <c r="P18" s="143">
        <f t="shared" si="5"/>
        <v>8.9342857142857266</v>
      </c>
      <c r="Q18" s="83">
        <v>707.02570000000003</v>
      </c>
      <c r="R18" s="56">
        <f t="shared" si="6"/>
        <v>-62.974299999999971</v>
      </c>
      <c r="S18" s="56">
        <f t="shared" si="7"/>
        <v>3965.7624604899966</v>
      </c>
      <c r="T18" s="56">
        <f t="shared" si="8"/>
        <v>62.974299999999971</v>
      </c>
      <c r="U18" s="56">
        <f t="shared" si="9"/>
        <v>1.8060055425810981</v>
      </c>
      <c r="V18" s="33">
        <f t="shared" si="10"/>
        <v>-8.1784805194805159</v>
      </c>
      <c r="W18" s="143">
        <f t="shared" si="11"/>
        <v>8.1784805194805159</v>
      </c>
      <c r="X18" s="83"/>
      <c r="Y18" s="83"/>
      <c r="Z18" s="83"/>
      <c r="AA18" s="83"/>
      <c r="AB18" s="34"/>
      <c r="AC18" s="34"/>
    </row>
    <row r="19" spans="1:29" x14ac:dyDescent="0.15">
      <c r="A19" s="69" t="s">
        <v>521</v>
      </c>
      <c r="B19" s="24" t="s">
        <v>513</v>
      </c>
      <c r="C19" s="70" t="s">
        <v>401</v>
      </c>
      <c r="D19" s="68" t="s">
        <v>82</v>
      </c>
      <c r="E19" s="24" t="s">
        <v>661</v>
      </c>
      <c r="F19" s="74" t="s">
        <v>494</v>
      </c>
      <c r="G19" s="10" t="s">
        <v>634</v>
      </c>
      <c r="H19" s="10" t="s">
        <v>580</v>
      </c>
      <c r="I19" s="70">
        <v>716</v>
      </c>
      <c r="J19" s="82">
        <v>712.9849999999999</v>
      </c>
      <c r="K19" s="56">
        <f t="shared" si="0"/>
        <v>-3.0150000000001</v>
      </c>
      <c r="L19" s="56">
        <f t="shared" si="1"/>
        <v>9.0902250000006024</v>
      </c>
      <c r="M19" s="56">
        <f t="shared" si="2"/>
        <v>3.0150000000001</v>
      </c>
      <c r="N19" s="56">
        <f t="shared" si="3"/>
        <v>0.60368554961471055</v>
      </c>
      <c r="O19" s="143">
        <f t="shared" si="4"/>
        <v>-0.42108938547487429</v>
      </c>
      <c r="P19" s="143">
        <f t="shared" si="5"/>
        <v>0.42108938547487429</v>
      </c>
      <c r="Q19" s="83">
        <v>723.15639999999996</v>
      </c>
      <c r="R19" s="56">
        <f t="shared" si="6"/>
        <v>7.1563999999999623</v>
      </c>
      <c r="S19" s="56">
        <f t="shared" si="7"/>
        <v>51.214060959999458</v>
      </c>
      <c r="T19" s="56">
        <f t="shared" si="8"/>
        <v>7.1563999999999623</v>
      </c>
      <c r="U19" s="56">
        <f t="shared" si="9"/>
        <v>0.91149851596988452</v>
      </c>
      <c r="V19" s="33">
        <f t="shared" si="10"/>
        <v>0.99949720670390541</v>
      </c>
      <c r="W19" s="143">
        <f t="shared" si="11"/>
        <v>0.99949720670390541</v>
      </c>
      <c r="X19" s="83"/>
      <c r="Y19" s="83"/>
      <c r="Z19" s="83"/>
      <c r="AA19" s="83"/>
      <c r="AB19" s="34"/>
      <c r="AC19" s="34"/>
    </row>
    <row r="20" spans="1:29" x14ac:dyDescent="0.15">
      <c r="A20" s="64" t="s">
        <v>415</v>
      </c>
      <c r="B20" s="24" t="s">
        <v>513</v>
      </c>
      <c r="C20" s="70" t="s">
        <v>458</v>
      </c>
      <c r="D20" s="9" t="s">
        <v>82</v>
      </c>
      <c r="E20" s="24" t="s">
        <v>661</v>
      </c>
      <c r="F20" s="10" t="s">
        <v>203</v>
      </c>
      <c r="G20" s="10" t="s">
        <v>640</v>
      </c>
      <c r="H20" s="10" t="s">
        <v>581</v>
      </c>
      <c r="I20" s="64">
        <v>2790</v>
      </c>
      <c r="J20" s="83">
        <v>2515.172</v>
      </c>
      <c r="K20" s="56">
        <f t="shared" si="0"/>
        <v>-274.82799999999997</v>
      </c>
      <c r="L20" s="56">
        <f t="shared" si="1"/>
        <v>75530.429583999983</v>
      </c>
      <c r="M20" s="56">
        <f t="shared" si="2"/>
        <v>274.82799999999997</v>
      </c>
      <c r="N20" s="56">
        <f t="shared" si="3"/>
        <v>2.4406383504122156</v>
      </c>
      <c r="O20" s="143">
        <f t="shared" si="4"/>
        <v>-9.8504659498207872</v>
      </c>
      <c r="P20" s="143">
        <f t="shared" si="5"/>
        <v>9.8504659498207872</v>
      </c>
      <c r="Q20" s="83">
        <v>2465.2719999999999</v>
      </c>
      <c r="R20" s="56">
        <f t="shared" si="6"/>
        <v>-324.72800000000007</v>
      </c>
      <c r="S20" s="56">
        <f t="shared" si="7"/>
        <v>105448.27398400004</v>
      </c>
      <c r="T20" s="56">
        <f t="shared" si="8"/>
        <v>324.72800000000007</v>
      </c>
      <c r="U20" s="56">
        <f t="shared" si="9"/>
        <v>2.5128550926846862</v>
      </c>
      <c r="V20" s="33">
        <f t="shared" si="10"/>
        <v>-11.638996415770611</v>
      </c>
      <c r="W20" s="143">
        <f t="shared" si="11"/>
        <v>11.638996415770611</v>
      </c>
      <c r="X20" s="83"/>
      <c r="Y20" s="83"/>
      <c r="Z20" s="83"/>
      <c r="AA20" s="83"/>
      <c r="AB20" s="34"/>
      <c r="AC20" s="34"/>
    </row>
    <row r="21" spans="1:29" x14ac:dyDescent="0.15">
      <c r="A21" s="70" t="s">
        <v>714</v>
      </c>
      <c r="B21" s="24" t="s">
        <v>513</v>
      </c>
      <c r="C21" s="8" t="s">
        <v>458</v>
      </c>
      <c r="D21" s="9" t="s">
        <v>82</v>
      </c>
      <c r="E21" s="24" t="s">
        <v>661</v>
      </c>
      <c r="F21" s="10" t="s">
        <v>293</v>
      </c>
      <c r="G21" s="10" t="s">
        <v>640</v>
      </c>
      <c r="H21" s="10" t="s">
        <v>580</v>
      </c>
      <c r="I21" s="64">
        <v>1890</v>
      </c>
      <c r="J21" s="83">
        <v>1743.6475</v>
      </c>
      <c r="K21" s="56">
        <f t="shared" si="0"/>
        <v>-146.35249999999996</v>
      </c>
      <c r="L21" s="56">
        <f t="shared" si="1"/>
        <v>21419.05425624999</v>
      </c>
      <c r="M21" s="56">
        <f t="shared" si="2"/>
        <v>146.35249999999996</v>
      </c>
      <c r="N21" s="56">
        <f t="shared" si="3"/>
        <v>2.1683575085401641</v>
      </c>
      <c r="O21" s="143">
        <f t="shared" si="4"/>
        <v>-7.7435185185185169</v>
      </c>
      <c r="P21" s="143">
        <f t="shared" si="5"/>
        <v>7.7435185185185169</v>
      </c>
      <c r="Q21" s="83">
        <v>1771.6518999999998</v>
      </c>
      <c r="R21" s="56">
        <f t="shared" si="6"/>
        <v>-118.34810000000016</v>
      </c>
      <c r="S21" s="56">
        <f t="shared" si="7"/>
        <v>14006.272773610037</v>
      </c>
      <c r="T21" s="56">
        <f t="shared" si="8"/>
        <v>118.34810000000016</v>
      </c>
      <c r="U21" s="56">
        <f t="shared" si="9"/>
        <v>2.0768155095088083</v>
      </c>
      <c r="V21" s="33">
        <f t="shared" si="10"/>
        <v>-6.2618042328042414</v>
      </c>
      <c r="W21" s="143">
        <f t="shared" si="11"/>
        <v>6.2618042328042414</v>
      </c>
      <c r="X21" s="83"/>
      <c r="Y21" s="83"/>
      <c r="Z21" s="83"/>
      <c r="AA21" s="40"/>
      <c r="AB21" s="34"/>
      <c r="AC21" s="34"/>
    </row>
    <row r="22" spans="1:29" x14ac:dyDescent="0.15">
      <c r="A22" s="70" t="s">
        <v>715</v>
      </c>
      <c r="B22" s="24" t="s">
        <v>513</v>
      </c>
      <c r="C22" s="8" t="s">
        <v>458</v>
      </c>
      <c r="D22" s="9" t="s">
        <v>82</v>
      </c>
      <c r="E22" s="24" t="s">
        <v>661</v>
      </c>
      <c r="F22" s="10" t="s">
        <v>293</v>
      </c>
      <c r="G22" s="10" t="s">
        <v>640</v>
      </c>
      <c r="H22" s="10" t="s">
        <v>580</v>
      </c>
      <c r="I22" s="85">
        <v>1940</v>
      </c>
      <c r="J22" s="83">
        <v>1790.7635</v>
      </c>
      <c r="K22" s="56">
        <f t="shared" si="0"/>
        <v>-149.23649999999998</v>
      </c>
      <c r="L22" s="56">
        <f t="shared" si="1"/>
        <v>22271.532932249993</v>
      </c>
      <c r="M22" s="56">
        <f t="shared" si="2"/>
        <v>149.23649999999998</v>
      </c>
      <c r="N22" s="56">
        <f t="shared" si="3"/>
        <v>2.1767754574540357</v>
      </c>
      <c r="O22" s="143">
        <f t="shared" si="4"/>
        <v>-7.6926030927835036</v>
      </c>
      <c r="P22" s="143">
        <f t="shared" si="5"/>
        <v>7.6926030927835036</v>
      </c>
      <c r="Q22" s="83">
        <v>1760.8980999999999</v>
      </c>
      <c r="R22" s="56">
        <f t="shared" si="6"/>
        <v>-179.10190000000011</v>
      </c>
      <c r="S22" s="56">
        <f t="shared" si="7"/>
        <v>32077.490583610041</v>
      </c>
      <c r="T22" s="56">
        <f t="shared" si="8"/>
        <v>179.10190000000011</v>
      </c>
      <c r="U22" s="56">
        <f t="shared" si="9"/>
        <v>2.2555182944695229</v>
      </c>
      <c r="V22" s="33">
        <f t="shared" si="10"/>
        <v>-9.2320567010309329</v>
      </c>
      <c r="W22" s="143">
        <f t="shared" si="11"/>
        <v>9.2320567010309329</v>
      </c>
      <c r="X22" s="83"/>
      <c r="Y22" s="83"/>
      <c r="Z22" s="83"/>
      <c r="AA22" s="40"/>
      <c r="AB22" s="34"/>
      <c r="AC22" s="34"/>
    </row>
    <row r="23" spans="1:29" x14ac:dyDescent="0.15">
      <c r="A23" s="7" t="s">
        <v>58</v>
      </c>
      <c r="B23" s="24" t="s">
        <v>513</v>
      </c>
      <c r="C23" s="70" t="s">
        <v>403</v>
      </c>
      <c r="D23" s="9" t="s">
        <v>900</v>
      </c>
      <c r="E23" s="24" t="s">
        <v>661</v>
      </c>
      <c r="F23" s="10" t="s">
        <v>203</v>
      </c>
      <c r="G23" s="10" t="s">
        <v>640</v>
      </c>
      <c r="H23" s="10" t="s">
        <v>581</v>
      </c>
      <c r="I23" s="8">
        <v>2949</v>
      </c>
      <c r="J23" s="83">
        <v>2700.1023</v>
      </c>
      <c r="K23" s="56">
        <f t="shared" si="0"/>
        <v>-248.89769999999999</v>
      </c>
      <c r="L23" s="56">
        <f t="shared" si="1"/>
        <v>61950.065065289993</v>
      </c>
      <c r="M23" s="56">
        <f t="shared" si="2"/>
        <v>248.89769999999999</v>
      </c>
      <c r="N23" s="56">
        <f t="shared" si="3"/>
        <v>2.397762258999979</v>
      </c>
      <c r="O23" s="143">
        <f t="shared" si="4"/>
        <v>-8.4400712105798572</v>
      </c>
      <c r="P23" s="143">
        <f t="shared" si="5"/>
        <v>8.4400712105798572</v>
      </c>
      <c r="Q23" s="83">
        <v>2619.0513400000004</v>
      </c>
      <c r="R23" s="56">
        <f t="shared" si="6"/>
        <v>-329.94865999999956</v>
      </c>
      <c r="S23" s="56">
        <f t="shared" si="7"/>
        <v>108866.11823579531</v>
      </c>
      <c r="T23" s="56">
        <f t="shared" si="8"/>
        <v>329.94865999999956</v>
      </c>
      <c r="U23" s="56">
        <f t="shared" si="9"/>
        <v>2.5197606269840227</v>
      </c>
      <c r="V23" s="33">
        <f t="shared" si="10"/>
        <v>-11.188493048490999</v>
      </c>
      <c r="W23" s="143">
        <f t="shared" si="11"/>
        <v>11.188493048490999</v>
      </c>
      <c r="X23" s="83"/>
      <c r="Y23" s="83"/>
      <c r="Z23" s="83"/>
      <c r="AA23" s="40"/>
      <c r="AB23" s="34"/>
      <c r="AC23" s="34"/>
    </row>
    <row r="24" spans="1:29" x14ac:dyDescent="0.15">
      <c r="A24" s="7" t="s">
        <v>254</v>
      </c>
      <c r="B24" s="24" t="s">
        <v>513</v>
      </c>
      <c r="C24" s="70" t="s">
        <v>403</v>
      </c>
      <c r="D24" s="9" t="s">
        <v>82</v>
      </c>
      <c r="E24" s="24" t="s">
        <v>661</v>
      </c>
      <c r="F24" s="10" t="s">
        <v>374</v>
      </c>
      <c r="G24" s="10" t="s">
        <v>634</v>
      </c>
      <c r="H24" s="10" t="s">
        <v>580</v>
      </c>
      <c r="I24" s="85">
        <v>1176.5999999999999</v>
      </c>
      <c r="J24" s="82">
        <v>1352.5258049999998</v>
      </c>
      <c r="K24" s="56">
        <f t="shared" si="0"/>
        <v>175.92580499999985</v>
      </c>
      <c r="L24" s="56">
        <f t="shared" si="1"/>
        <v>30949.888864897974</v>
      </c>
      <c r="M24" s="56">
        <f t="shared" si="2"/>
        <v>175.92580499999985</v>
      </c>
      <c r="N24" s="56">
        <f t="shared" si="3"/>
        <v>2.2477911802912138</v>
      </c>
      <c r="O24" s="143">
        <f t="shared" si="4"/>
        <v>14.952048699643028</v>
      </c>
      <c r="P24" s="143">
        <f t="shared" si="5"/>
        <v>14.952048699643028</v>
      </c>
      <c r="Q24" s="83">
        <v>1328.8104159999998</v>
      </c>
      <c r="R24" s="56">
        <f t="shared" si="6"/>
        <v>152.2104159999999</v>
      </c>
      <c r="S24" s="56">
        <f t="shared" si="7"/>
        <v>23168.010738893023</v>
      </c>
      <c r="T24" s="56">
        <f t="shared" si="8"/>
        <v>152.2104159999999</v>
      </c>
      <c r="U24" s="56">
        <f t="shared" si="9"/>
        <v>2.1852882917819065</v>
      </c>
      <c r="V24" s="33">
        <f t="shared" si="10"/>
        <v>12.936462349141587</v>
      </c>
      <c r="W24" s="143">
        <f t="shared" si="11"/>
        <v>12.936462349141587</v>
      </c>
      <c r="X24" s="83"/>
      <c r="Y24" s="83"/>
      <c r="Z24" s="83"/>
      <c r="AA24" s="40"/>
      <c r="AB24" s="34"/>
      <c r="AC24" s="34"/>
    </row>
    <row r="25" spans="1:29" x14ac:dyDescent="0.15">
      <c r="A25" s="7" t="s">
        <v>63</v>
      </c>
      <c r="B25" s="24" t="s">
        <v>513</v>
      </c>
      <c r="C25" s="70" t="s">
        <v>403</v>
      </c>
      <c r="D25" s="9" t="s">
        <v>82</v>
      </c>
      <c r="E25" s="24" t="s">
        <v>661</v>
      </c>
      <c r="F25" s="10" t="s">
        <v>494</v>
      </c>
      <c r="G25" s="10" t="s">
        <v>634</v>
      </c>
      <c r="H25" s="10" t="s">
        <v>580</v>
      </c>
      <c r="I25" s="8">
        <v>633</v>
      </c>
      <c r="J25" s="82">
        <v>611.68560000000002</v>
      </c>
      <c r="K25" s="56">
        <f t="shared" si="0"/>
        <v>-21.314399999999978</v>
      </c>
      <c r="L25" s="56">
        <f t="shared" si="1"/>
        <v>454.30364735999905</v>
      </c>
      <c r="M25" s="56">
        <f t="shared" si="2"/>
        <v>21.314399999999978</v>
      </c>
      <c r="N25" s="56">
        <f t="shared" si="3"/>
        <v>1.3485852138208514</v>
      </c>
      <c r="O25" s="143">
        <f t="shared" si="4"/>
        <v>-3.367203791469191</v>
      </c>
      <c r="P25" s="143">
        <f t="shared" si="5"/>
        <v>3.367203791469191</v>
      </c>
      <c r="Q25" s="83">
        <v>627.4475799999999</v>
      </c>
      <c r="R25" s="56">
        <f t="shared" si="6"/>
        <v>-5.5524200000000974</v>
      </c>
      <c r="S25" s="56">
        <f t="shared" si="7"/>
        <v>30.829367856401081</v>
      </c>
      <c r="T25" s="56">
        <f t="shared" si="8"/>
        <v>5.5524200000000974</v>
      </c>
      <c r="U25" s="56">
        <f t="shared" si="9"/>
        <v>0.81640172724998405</v>
      </c>
      <c r="V25" s="33">
        <f t="shared" si="10"/>
        <v>-0.87715955766194276</v>
      </c>
      <c r="W25" s="143">
        <f t="shared" si="11"/>
        <v>0.87715955766194276</v>
      </c>
      <c r="X25" s="83"/>
      <c r="Y25" s="83"/>
      <c r="Z25" s="83"/>
      <c r="AA25" s="40"/>
      <c r="AB25" s="34"/>
      <c r="AC25" s="34"/>
    </row>
    <row r="26" spans="1:29" x14ac:dyDescent="0.15">
      <c r="A26" s="7" t="s">
        <v>50</v>
      </c>
      <c r="B26" s="24" t="s">
        <v>513</v>
      </c>
      <c r="C26" s="70" t="s">
        <v>403</v>
      </c>
      <c r="D26" s="9" t="s">
        <v>82</v>
      </c>
      <c r="E26" s="24" t="s">
        <v>661</v>
      </c>
      <c r="F26" s="10" t="s">
        <v>203</v>
      </c>
      <c r="G26" s="10" t="s">
        <v>640</v>
      </c>
      <c r="H26" s="10" t="s">
        <v>581</v>
      </c>
      <c r="I26" s="8">
        <v>2873</v>
      </c>
      <c r="J26" s="82">
        <v>2939.2159999999999</v>
      </c>
      <c r="K26" s="56">
        <f t="shared" si="0"/>
        <v>66.215999999999894</v>
      </c>
      <c r="L26" s="56">
        <f t="shared" si="1"/>
        <v>4384.5586559999856</v>
      </c>
      <c r="M26" s="56">
        <f t="shared" si="2"/>
        <v>66.215999999999894</v>
      </c>
      <c r="N26" s="56">
        <f t="shared" si="3"/>
        <v>1.8274726641939161</v>
      </c>
      <c r="O26" s="143">
        <f t="shared" si="4"/>
        <v>2.3047685346327844</v>
      </c>
      <c r="P26" s="143">
        <f t="shared" si="5"/>
        <v>2.3047685346327844</v>
      </c>
      <c r="Q26" s="83">
        <v>2820.1474000000003</v>
      </c>
      <c r="R26" s="56">
        <f t="shared" si="6"/>
        <v>-52.852599999999711</v>
      </c>
      <c r="S26" s="56">
        <f t="shared" si="7"/>
        <v>2793.3973267599695</v>
      </c>
      <c r="T26" s="56">
        <f t="shared" si="8"/>
        <v>52.852599999999711</v>
      </c>
      <c r="U26" s="56">
        <f t="shared" si="9"/>
        <v>1.731206675849309</v>
      </c>
      <c r="V26" s="33">
        <f t="shared" si="10"/>
        <v>-1.8396310476853364</v>
      </c>
      <c r="W26" s="143">
        <f t="shared" si="11"/>
        <v>1.8396310476853364</v>
      </c>
      <c r="X26" s="83"/>
      <c r="Y26" s="83"/>
      <c r="Z26" s="83"/>
      <c r="AA26" s="40"/>
      <c r="AB26" s="34"/>
      <c r="AC26" s="34"/>
    </row>
    <row r="27" spans="1:29" x14ac:dyDescent="0.15">
      <c r="A27" s="7" t="s">
        <v>252</v>
      </c>
      <c r="B27" s="24" t="s">
        <v>513</v>
      </c>
      <c r="C27" s="70" t="s">
        <v>403</v>
      </c>
      <c r="D27" s="9" t="s">
        <v>82</v>
      </c>
      <c r="E27" s="24" t="s">
        <v>661</v>
      </c>
      <c r="F27" s="10" t="s">
        <v>374</v>
      </c>
      <c r="G27" s="10" t="s">
        <v>634</v>
      </c>
      <c r="H27" s="10" t="s">
        <v>580</v>
      </c>
      <c r="I27" s="85">
        <v>1193.83</v>
      </c>
      <c r="J27" s="82">
        <v>958.8127300000001</v>
      </c>
      <c r="K27" s="56">
        <f t="shared" si="0"/>
        <v>-235.01726999999983</v>
      </c>
      <c r="L27" s="56">
        <f t="shared" si="1"/>
        <v>55233.117198252818</v>
      </c>
      <c r="M27" s="56">
        <f t="shared" si="2"/>
        <v>235.01726999999983</v>
      </c>
      <c r="N27" s="56">
        <f t="shared" si="3"/>
        <v>2.372943782594211</v>
      </c>
      <c r="O27" s="143">
        <f t="shared" si="4"/>
        <v>-19.685991305294714</v>
      </c>
      <c r="P27" s="143">
        <f t="shared" si="5"/>
        <v>19.685991305294714</v>
      </c>
      <c r="Q27" s="83">
        <v>959.91206080000018</v>
      </c>
      <c r="R27" s="56">
        <f t="shared" si="6"/>
        <v>-233.91793919999975</v>
      </c>
      <c r="S27" s="56">
        <f t="shared" si="7"/>
        <v>54717.602279574778</v>
      </c>
      <c r="T27" s="56">
        <f t="shared" si="8"/>
        <v>233.91793919999975</v>
      </c>
      <c r="U27" s="56">
        <f t="shared" si="9"/>
        <v>2.3709161823718645</v>
      </c>
      <c r="V27" s="33">
        <f t="shared" si="10"/>
        <v>-19.593906938173756</v>
      </c>
      <c r="W27" s="143">
        <f t="shared" si="11"/>
        <v>19.593906938173756</v>
      </c>
      <c r="X27" s="83"/>
      <c r="Y27" s="83"/>
      <c r="Z27" s="83"/>
      <c r="AA27" s="40"/>
      <c r="AB27" s="34"/>
      <c r="AC27" s="34"/>
    </row>
    <row r="28" spans="1:29" x14ac:dyDescent="0.15">
      <c r="A28" s="70" t="s">
        <v>604</v>
      </c>
      <c r="B28" s="24" t="s">
        <v>513</v>
      </c>
      <c r="C28" s="70" t="s">
        <v>403</v>
      </c>
      <c r="D28" s="9" t="s">
        <v>96</v>
      </c>
      <c r="E28" s="24" t="s">
        <v>661</v>
      </c>
      <c r="F28" s="10" t="s">
        <v>293</v>
      </c>
      <c r="G28" s="10" t="s">
        <v>640</v>
      </c>
      <c r="H28" s="10" t="s">
        <v>580</v>
      </c>
      <c r="I28" s="64">
        <v>1985.9</v>
      </c>
      <c r="J28" s="82">
        <v>1844.888005</v>
      </c>
      <c r="K28" s="56">
        <f t="shared" si="0"/>
        <v>-141.01199500000007</v>
      </c>
      <c r="L28" s="56">
        <f t="shared" si="1"/>
        <v>19884.382733880044</v>
      </c>
      <c r="M28" s="56">
        <f t="shared" si="2"/>
        <v>141.01199500000007</v>
      </c>
      <c r="N28" s="56">
        <f t="shared" si="3"/>
        <v>2.1523250284837654</v>
      </c>
      <c r="O28" s="143">
        <f t="shared" si="4"/>
        <v>-7.1006593987612696</v>
      </c>
      <c r="P28" s="143">
        <f t="shared" si="5"/>
        <v>7.1006593987612696</v>
      </c>
      <c r="Q28" s="83">
        <v>1805.848984</v>
      </c>
      <c r="R28" s="56">
        <f t="shared" si="6"/>
        <v>-180.05101600000012</v>
      </c>
      <c r="S28" s="56">
        <f t="shared" si="7"/>
        <v>32418.3683626323</v>
      </c>
      <c r="T28" s="56">
        <f t="shared" si="8"/>
        <v>180.05101600000012</v>
      </c>
      <c r="U28" s="56">
        <f t="shared" si="9"/>
        <v>2.2578009662806506</v>
      </c>
      <c r="V28" s="33">
        <f t="shared" si="10"/>
        <v>-9.0664694093358236</v>
      </c>
      <c r="W28" s="143">
        <f t="shared" si="11"/>
        <v>9.0664694093358236</v>
      </c>
      <c r="X28" s="83"/>
      <c r="Y28" s="83"/>
      <c r="Z28" s="83"/>
      <c r="AA28" s="40"/>
      <c r="AB28" s="34"/>
      <c r="AC28" s="34"/>
    </row>
    <row r="29" spans="1:29" x14ac:dyDescent="0.15">
      <c r="A29" s="7" t="s">
        <v>244</v>
      </c>
      <c r="B29" s="24" t="s">
        <v>513</v>
      </c>
      <c r="C29" s="70" t="s">
        <v>403</v>
      </c>
      <c r="D29" s="9" t="s">
        <v>82</v>
      </c>
      <c r="E29" s="24" t="s">
        <v>661</v>
      </c>
      <c r="F29" s="10" t="s">
        <v>374</v>
      </c>
      <c r="G29" s="10" t="s">
        <v>634</v>
      </c>
      <c r="H29" s="10" t="s">
        <v>580</v>
      </c>
      <c r="I29" s="8">
        <v>1199.5</v>
      </c>
      <c r="J29" s="82">
        <v>1105.8146499999998</v>
      </c>
      <c r="K29" s="56">
        <f t="shared" si="0"/>
        <v>-93.685350000000199</v>
      </c>
      <c r="L29" s="56">
        <f t="shared" si="1"/>
        <v>8776.944804622537</v>
      </c>
      <c r="M29" s="56">
        <f t="shared" si="2"/>
        <v>93.685350000000199</v>
      </c>
      <c r="N29" s="56">
        <f t="shared" si="3"/>
        <v>1.9762827888624046</v>
      </c>
      <c r="O29" s="143">
        <f t="shared" si="4"/>
        <v>-7.810366819508145</v>
      </c>
      <c r="P29" s="143">
        <f t="shared" si="5"/>
        <v>7.810366819508145</v>
      </c>
      <c r="Q29" s="83">
        <v>1111.9062699999999</v>
      </c>
      <c r="R29" s="56">
        <f t="shared" si="6"/>
        <v>-87.59373000000005</v>
      </c>
      <c r="S29" s="56">
        <f t="shared" si="7"/>
        <v>7672.6615353129091</v>
      </c>
      <c r="T29" s="56">
        <f t="shared" si="8"/>
        <v>87.59373000000005</v>
      </c>
      <c r="U29" s="56">
        <f t="shared" si="9"/>
        <v>1.9474029868672207</v>
      </c>
      <c r="V29" s="33">
        <f t="shared" si="10"/>
        <v>-7.302520216756986</v>
      </c>
      <c r="W29" s="143">
        <f t="shared" si="11"/>
        <v>7.302520216756986</v>
      </c>
      <c r="X29" s="83"/>
      <c r="Y29" s="83"/>
      <c r="Z29" s="83"/>
      <c r="AA29" s="40"/>
      <c r="AB29" s="34"/>
      <c r="AC29" s="34"/>
    </row>
    <row r="30" spans="1:29" x14ac:dyDescent="0.15">
      <c r="A30" s="16" t="s">
        <v>825</v>
      </c>
      <c r="B30" s="24" t="s">
        <v>513</v>
      </c>
      <c r="C30" s="16" t="s">
        <v>403</v>
      </c>
      <c r="D30" s="9" t="s">
        <v>82</v>
      </c>
      <c r="E30" s="24" t="s">
        <v>661</v>
      </c>
      <c r="F30" s="10" t="s">
        <v>494</v>
      </c>
      <c r="G30" s="10" t="s">
        <v>634</v>
      </c>
      <c r="H30" s="10" t="s">
        <v>580</v>
      </c>
      <c r="I30" s="17">
        <v>660.93000000000006</v>
      </c>
      <c r="J30" s="82">
        <v>677.64799999999991</v>
      </c>
      <c r="K30" s="56">
        <f t="shared" si="0"/>
        <v>16.717999999999847</v>
      </c>
      <c r="L30" s="56">
        <f t="shared" si="1"/>
        <v>279.49152399999491</v>
      </c>
      <c r="M30" s="56">
        <f t="shared" si="2"/>
        <v>16.717999999999847</v>
      </c>
      <c r="N30" s="56">
        <f t="shared" si="3"/>
        <v>1.2484146973487182</v>
      </c>
      <c r="O30" s="143">
        <f t="shared" si="4"/>
        <v>2.5294660554067518</v>
      </c>
      <c r="P30" s="143">
        <f t="shared" si="5"/>
        <v>2.5294660554067518</v>
      </c>
      <c r="Q30" s="83">
        <v>686.05579</v>
      </c>
      <c r="R30" s="56">
        <f t="shared" si="6"/>
        <v>25.125789999999938</v>
      </c>
      <c r="S30" s="56">
        <f t="shared" si="7"/>
        <v>631.30532312409684</v>
      </c>
      <c r="T30" s="56">
        <f t="shared" si="8"/>
        <v>25.125789999999938</v>
      </c>
      <c r="U30" s="56">
        <f t="shared" si="9"/>
        <v>1.41706943165321</v>
      </c>
      <c r="V30" s="33">
        <f t="shared" si="10"/>
        <v>3.801581105412061</v>
      </c>
      <c r="W30" s="143">
        <f t="shared" si="11"/>
        <v>3.801581105412061</v>
      </c>
      <c r="X30" s="83"/>
      <c r="Y30" s="83"/>
      <c r="Z30" s="83"/>
      <c r="AA30" s="40"/>
      <c r="AB30" s="34"/>
      <c r="AC30" s="34"/>
    </row>
    <row r="31" spans="1:29" x14ac:dyDescent="0.15">
      <c r="A31" s="70" t="s">
        <v>605</v>
      </c>
      <c r="B31" s="24" t="s">
        <v>513</v>
      </c>
      <c r="C31" s="70" t="s">
        <v>403</v>
      </c>
      <c r="D31" s="9" t="s">
        <v>82</v>
      </c>
      <c r="E31" s="24" t="s">
        <v>661</v>
      </c>
      <c r="F31" s="22" t="s">
        <v>374</v>
      </c>
      <c r="G31" s="10" t="s">
        <v>634</v>
      </c>
      <c r="H31" s="10" t="s">
        <v>580</v>
      </c>
      <c r="I31" s="64">
        <v>1348</v>
      </c>
      <c r="J31" s="82">
        <v>1485.09845</v>
      </c>
      <c r="K31" s="56">
        <f t="shared" si="0"/>
        <v>137.09844999999996</v>
      </c>
      <c r="L31" s="56">
        <f t="shared" si="1"/>
        <v>18795.984992402489</v>
      </c>
      <c r="M31" s="56">
        <f t="shared" si="2"/>
        <v>137.09844999999996</v>
      </c>
      <c r="N31" s="56">
        <f t="shared" si="3"/>
        <v>2.1401888041381918</v>
      </c>
      <c r="O31" s="143">
        <f t="shared" si="4"/>
        <v>10.170508160237386</v>
      </c>
      <c r="P31" s="143">
        <f t="shared" si="5"/>
        <v>10.170508160237386</v>
      </c>
      <c r="Q31" s="83">
        <v>1460.3293900000001</v>
      </c>
      <c r="R31" s="56">
        <f t="shared" si="6"/>
        <v>112.3293900000001</v>
      </c>
      <c r="S31" s="56">
        <f t="shared" si="7"/>
        <v>12617.891857772123</v>
      </c>
      <c r="T31" s="56">
        <f t="shared" si="8"/>
        <v>112.3293900000001</v>
      </c>
      <c r="U31" s="56">
        <f t="shared" si="9"/>
        <v>2.0543425511664051</v>
      </c>
      <c r="V31" s="33">
        <f t="shared" si="10"/>
        <v>8.3330408011869501</v>
      </c>
      <c r="W31" s="143">
        <f t="shared" si="11"/>
        <v>8.3330408011869501</v>
      </c>
      <c r="X31" s="83"/>
      <c r="Y31" s="83"/>
      <c r="Z31" s="83"/>
      <c r="AA31" s="40"/>
      <c r="AB31" s="34"/>
      <c r="AC31" s="34"/>
    </row>
    <row r="32" spans="1:29" x14ac:dyDescent="0.15">
      <c r="A32" s="70" t="s">
        <v>615</v>
      </c>
      <c r="B32" s="24" t="s">
        <v>513</v>
      </c>
      <c r="C32" s="8" t="s">
        <v>403</v>
      </c>
      <c r="D32" s="9" t="s">
        <v>148</v>
      </c>
      <c r="E32" s="24" t="s">
        <v>661</v>
      </c>
      <c r="F32" s="10" t="s">
        <v>374</v>
      </c>
      <c r="G32" s="10" t="s">
        <v>634</v>
      </c>
      <c r="H32" s="10" t="s">
        <v>580</v>
      </c>
      <c r="I32" s="64">
        <v>1168</v>
      </c>
      <c r="J32" s="82">
        <v>1228.846305</v>
      </c>
      <c r="K32" s="56">
        <f t="shared" si="0"/>
        <v>60.846305000000029</v>
      </c>
      <c r="L32" s="56">
        <f t="shared" si="1"/>
        <v>3702.2728321530285</v>
      </c>
      <c r="M32" s="56">
        <f t="shared" si="2"/>
        <v>60.846305000000029</v>
      </c>
      <c r="N32" s="56">
        <f t="shared" si="3"/>
        <v>1.7913137578689955</v>
      </c>
      <c r="O32" s="143">
        <f t="shared" si="4"/>
        <v>5.2094439212328796</v>
      </c>
      <c r="P32" s="143">
        <f t="shared" si="5"/>
        <v>5.2094439212328796</v>
      </c>
      <c r="Q32" s="83">
        <v>1211.217613</v>
      </c>
      <c r="R32" s="56">
        <f t="shared" si="6"/>
        <v>43.217613000000028</v>
      </c>
      <c r="S32" s="56">
        <f t="shared" si="7"/>
        <v>1867.7620734177715</v>
      </c>
      <c r="T32" s="56">
        <f t="shared" si="8"/>
        <v>43.217613000000028</v>
      </c>
      <c r="U32" s="56">
        <f t="shared" si="9"/>
        <v>1.6455952943505914</v>
      </c>
      <c r="V32" s="33">
        <f t="shared" si="10"/>
        <v>3.7001380993150708</v>
      </c>
      <c r="W32" s="143">
        <f t="shared" si="11"/>
        <v>3.7001380993150708</v>
      </c>
      <c r="X32" s="83"/>
      <c r="Y32" s="83"/>
      <c r="Z32" s="83"/>
      <c r="AA32" s="40"/>
      <c r="AB32" s="34"/>
      <c r="AC32" s="34"/>
    </row>
    <row r="33" spans="1:29" x14ac:dyDescent="0.15">
      <c r="A33" s="70" t="s">
        <v>607</v>
      </c>
      <c r="B33" s="24" t="s">
        <v>513</v>
      </c>
      <c r="C33" s="8" t="s">
        <v>403</v>
      </c>
      <c r="D33" s="9" t="s">
        <v>148</v>
      </c>
      <c r="E33" s="24" t="s">
        <v>661</v>
      </c>
      <c r="F33" s="22" t="s">
        <v>374</v>
      </c>
      <c r="G33" s="10" t="s">
        <v>634</v>
      </c>
      <c r="H33" s="10" t="s">
        <v>580</v>
      </c>
      <c r="I33" s="64">
        <v>1439.3</v>
      </c>
      <c r="J33" s="82">
        <v>1419.7249999999999</v>
      </c>
      <c r="K33" s="56">
        <f t="shared" si="0"/>
        <v>-19.575000000000045</v>
      </c>
      <c r="L33" s="56">
        <f t="shared" si="1"/>
        <v>383.18062500000178</v>
      </c>
      <c r="M33" s="56">
        <f t="shared" si="2"/>
        <v>19.575000000000045</v>
      </c>
      <c r="N33" s="56">
        <f t="shared" si="3"/>
        <v>1.3133398438843085</v>
      </c>
      <c r="O33" s="143">
        <f t="shared" si="4"/>
        <v>-1.360036128673664</v>
      </c>
      <c r="P33" s="143">
        <f t="shared" si="5"/>
        <v>1.360036128673664</v>
      </c>
      <c r="Q33" s="83">
        <v>1399.0327299999999</v>
      </c>
      <c r="R33" s="56">
        <f t="shared" si="6"/>
        <v>-40.267270000000053</v>
      </c>
      <c r="S33" s="56">
        <f t="shared" si="7"/>
        <v>1621.4530332529043</v>
      </c>
      <c r="T33" s="56">
        <f t="shared" si="8"/>
        <v>40.267270000000053</v>
      </c>
      <c r="U33" s="56">
        <f t="shared" si="9"/>
        <v>1.6156057394577004</v>
      </c>
      <c r="V33" s="33">
        <f t="shared" si="10"/>
        <v>-2.7976981866184989</v>
      </c>
      <c r="W33" s="143">
        <f t="shared" si="11"/>
        <v>2.7976981866184989</v>
      </c>
      <c r="X33" s="83"/>
      <c r="Y33" s="83"/>
      <c r="Z33" s="83"/>
      <c r="AA33" s="40"/>
      <c r="AB33" s="34"/>
      <c r="AC33" s="34"/>
    </row>
    <row r="34" spans="1:29" x14ac:dyDescent="0.15">
      <c r="A34" s="70" t="s">
        <v>606</v>
      </c>
      <c r="B34" s="24" t="s">
        <v>513</v>
      </c>
      <c r="C34" s="8" t="s">
        <v>403</v>
      </c>
      <c r="D34" s="9" t="s">
        <v>148</v>
      </c>
      <c r="E34" s="24" t="s">
        <v>661</v>
      </c>
      <c r="F34" s="10" t="s">
        <v>374</v>
      </c>
      <c r="G34" s="10" t="s">
        <v>634</v>
      </c>
      <c r="H34" s="10" t="s">
        <v>580</v>
      </c>
      <c r="I34" s="64">
        <v>1196.7</v>
      </c>
      <c r="J34" s="82">
        <v>1249.63624</v>
      </c>
      <c r="K34" s="56">
        <f t="shared" si="0"/>
        <v>52.936239999999998</v>
      </c>
      <c r="L34" s="56">
        <f t="shared" si="1"/>
        <v>2802.2455053375998</v>
      </c>
      <c r="M34" s="56">
        <f t="shared" si="2"/>
        <v>52.936239999999998</v>
      </c>
      <c r="N34" s="56">
        <f t="shared" si="3"/>
        <v>1.7318806676606509</v>
      </c>
      <c r="O34" s="143">
        <f t="shared" si="4"/>
        <v>4.4235180078549341</v>
      </c>
      <c r="P34" s="143">
        <f t="shared" si="5"/>
        <v>4.4235180078549341</v>
      </c>
      <c r="Q34" s="83">
        <v>1269.4494400000001</v>
      </c>
      <c r="R34" s="56">
        <f t="shared" si="6"/>
        <v>72.74944000000005</v>
      </c>
      <c r="S34" s="56">
        <f t="shared" si="7"/>
        <v>5292.4810203136076</v>
      </c>
      <c r="T34" s="56">
        <f t="shared" si="8"/>
        <v>72.74944000000005</v>
      </c>
      <c r="U34" s="56">
        <f t="shared" si="9"/>
        <v>1.8677587269439877</v>
      </c>
      <c r="V34" s="33">
        <f t="shared" si="10"/>
        <v>6.0791710537310975</v>
      </c>
      <c r="W34" s="143">
        <f t="shared" si="11"/>
        <v>6.0791710537310975</v>
      </c>
      <c r="X34" s="83"/>
      <c r="Y34" s="83"/>
      <c r="Z34" s="83"/>
      <c r="AA34" s="40"/>
      <c r="AB34" s="34"/>
      <c r="AC34" s="34"/>
    </row>
    <row r="35" spans="1:29" x14ac:dyDescent="0.15">
      <c r="A35" s="70" t="s">
        <v>666</v>
      </c>
      <c r="B35" s="24" t="s">
        <v>513</v>
      </c>
      <c r="C35" s="64" t="s">
        <v>403</v>
      </c>
      <c r="D35" s="9" t="s">
        <v>82</v>
      </c>
      <c r="E35" s="24" t="s">
        <v>661</v>
      </c>
      <c r="F35" s="10" t="s">
        <v>374</v>
      </c>
      <c r="G35" s="10" t="s">
        <v>634</v>
      </c>
      <c r="H35" s="10" t="s">
        <v>580</v>
      </c>
      <c r="I35" s="64">
        <v>1207.3</v>
      </c>
      <c r="J35" s="82">
        <v>1143.27187</v>
      </c>
      <c r="K35" s="56">
        <f t="shared" si="0"/>
        <v>-64.028129999999919</v>
      </c>
      <c r="L35" s="56">
        <f t="shared" si="1"/>
        <v>4099.60143129689</v>
      </c>
      <c r="M35" s="56">
        <f t="shared" si="2"/>
        <v>64.028129999999919</v>
      </c>
      <c r="N35" s="56">
        <f t="shared" si="3"/>
        <v>1.8131012652741108</v>
      </c>
      <c r="O35" s="143">
        <f t="shared" si="4"/>
        <v>-5.3034150583947586</v>
      </c>
      <c r="P35" s="143">
        <f t="shared" si="5"/>
        <v>5.3034150583947586</v>
      </c>
      <c r="Q35" s="83">
        <v>1117.4982459999999</v>
      </c>
      <c r="R35" s="56">
        <f t="shared" si="6"/>
        <v>-89.801754000000074</v>
      </c>
      <c r="S35" s="56">
        <f t="shared" si="7"/>
        <v>8064.3550214765291</v>
      </c>
      <c r="T35" s="56">
        <f t="shared" si="8"/>
        <v>89.801754000000074</v>
      </c>
      <c r="U35" s="56">
        <f t="shared" si="9"/>
        <v>1.958094237785005</v>
      </c>
      <c r="V35" s="33">
        <f t="shared" si="10"/>
        <v>-7.4382302658825541</v>
      </c>
      <c r="W35" s="143">
        <f t="shared" si="11"/>
        <v>7.4382302658825541</v>
      </c>
      <c r="X35" s="83"/>
      <c r="Y35" s="83"/>
      <c r="Z35" s="83"/>
      <c r="AA35" s="40"/>
      <c r="AB35" s="34"/>
      <c r="AC35" s="34"/>
    </row>
    <row r="36" spans="1:29" x14ac:dyDescent="0.15">
      <c r="A36" s="70" t="s">
        <v>616</v>
      </c>
      <c r="B36" s="24" t="s">
        <v>513</v>
      </c>
      <c r="C36" s="8" t="s">
        <v>403</v>
      </c>
      <c r="D36" s="9" t="s">
        <v>82</v>
      </c>
      <c r="E36" s="24" t="s">
        <v>661</v>
      </c>
      <c r="F36" s="10" t="s">
        <v>293</v>
      </c>
      <c r="G36" s="10" t="s">
        <v>640</v>
      </c>
      <c r="H36" s="10" t="s">
        <v>580</v>
      </c>
      <c r="I36" s="64">
        <v>2298</v>
      </c>
      <c r="J36" s="82">
        <v>1932.1115</v>
      </c>
      <c r="K36" s="56">
        <f t="shared" si="0"/>
        <v>-365.88850000000002</v>
      </c>
      <c r="L36" s="56">
        <f t="shared" si="1"/>
        <v>133874.39443225</v>
      </c>
      <c r="M36" s="56">
        <f t="shared" si="2"/>
        <v>365.88850000000002</v>
      </c>
      <c r="N36" s="56">
        <f t="shared" si="3"/>
        <v>2.5645340991508383</v>
      </c>
      <c r="O36" s="143">
        <f t="shared" si="4"/>
        <v>-15.922040905134903</v>
      </c>
      <c r="P36" s="143">
        <f t="shared" si="5"/>
        <v>15.922040905134903</v>
      </c>
      <c r="Q36" s="83">
        <v>1872.1999299999998</v>
      </c>
      <c r="R36" s="56">
        <f t="shared" si="6"/>
        <v>-425.80007000000023</v>
      </c>
      <c r="S36" s="56">
        <f t="shared" si="7"/>
        <v>181305.69961200509</v>
      </c>
      <c r="T36" s="56">
        <f t="shared" si="8"/>
        <v>425.80007000000023</v>
      </c>
      <c r="U36" s="56">
        <f t="shared" si="9"/>
        <v>2.6302244819816059</v>
      </c>
      <c r="V36" s="33">
        <f t="shared" si="10"/>
        <v>-18.529158833768506</v>
      </c>
      <c r="W36" s="143">
        <f t="shared" si="11"/>
        <v>18.529158833768506</v>
      </c>
      <c r="X36" s="83"/>
      <c r="Y36" s="83"/>
      <c r="Z36" s="83"/>
      <c r="AA36" s="40"/>
      <c r="AB36" s="34"/>
      <c r="AC36" s="34"/>
    </row>
    <row r="37" spans="1:29" x14ac:dyDescent="0.15">
      <c r="A37" s="70" t="s">
        <v>617</v>
      </c>
      <c r="B37" s="24" t="s">
        <v>513</v>
      </c>
      <c r="C37" s="8" t="s">
        <v>403</v>
      </c>
      <c r="D37" s="9" t="s">
        <v>82</v>
      </c>
      <c r="E37" s="24" t="s">
        <v>661</v>
      </c>
      <c r="F37" s="10" t="s">
        <v>293</v>
      </c>
      <c r="G37" s="10" t="s">
        <v>640</v>
      </c>
      <c r="H37" s="10" t="s">
        <v>580</v>
      </c>
      <c r="I37" s="64">
        <v>2030</v>
      </c>
      <c r="J37" s="82">
        <v>1888.5291999999999</v>
      </c>
      <c r="K37" s="56">
        <f t="shared" si="0"/>
        <v>-141.47080000000005</v>
      </c>
      <c r="L37" s="56">
        <f t="shared" si="1"/>
        <v>20013.987252640014</v>
      </c>
      <c r="M37" s="56">
        <f t="shared" si="2"/>
        <v>141.47080000000005</v>
      </c>
      <c r="N37" s="56">
        <f t="shared" si="3"/>
        <v>2.1537258629526956</v>
      </c>
      <c r="O37" s="143">
        <f t="shared" si="4"/>
        <v>-6.9690049261083766</v>
      </c>
      <c r="P37" s="143">
        <f t="shared" si="5"/>
        <v>6.9690049261083766</v>
      </c>
      <c r="Q37" s="83">
        <v>1841.5516</v>
      </c>
      <c r="R37" s="56">
        <f t="shared" si="6"/>
        <v>-188.44839999999999</v>
      </c>
      <c r="S37" s="56">
        <f t="shared" si="7"/>
        <v>35512.799462559997</v>
      </c>
      <c r="T37" s="56">
        <f t="shared" si="8"/>
        <v>188.44839999999999</v>
      </c>
      <c r="U37" s="56">
        <f t="shared" si="9"/>
        <v>2.2774909417614193</v>
      </c>
      <c r="V37" s="33">
        <f t="shared" si="10"/>
        <v>-9.2831724137931033</v>
      </c>
      <c r="W37" s="143">
        <f t="shared" si="11"/>
        <v>9.2831724137931033</v>
      </c>
      <c r="X37" s="83"/>
      <c r="Y37" s="83"/>
      <c r="Z37" s="83"/>
      <c r="AA37" s="40"/>
      <c r="AB37" s="34"/>
      <c r="AC37" s="34"/>
    </row>
    <row r="38" spans="1:29" x14ac:dyDescent="0.15">
      <c r="A38" s="7" t="s">
        <v>808</v>
      </c>
      <c r="B38" s="24" t="s">
        <v>514</v>
      </c>
      <c r="C38" s="64" t="s">
        <v>824</v>
      </c>
      <c r="D38" s="68" t="s">
        <v>148</v>
      </c>
      <c r="E38" s="24" t="s">
        <v>662</v>
      </c>
      <c r="F38" s="22" t="s">
        <v>374</v>
      </c>
      <c r="G38" s="10" t="s">
        <v>634</v>
      </c>
      <c r="H38" s="10" t="s">
        <v>580</v>
      </c>
      <c r="I38" s="9">
        <v>1450</v>
      </c>
      <c r="J38" s="82">
        <v>1465.7645382725773</v>
      </c>
      <c r="K38" s="56">
        <f t="shared" si="0"/>
        <v>15.764538272577283</v>
      </c>
      <c r="L38" s="56">
        <f t="shared" si="1"/>
        <v>248.52066694755396</v>
      </c>
      <c r="M38" s="56">
        <f t="shared" si="2"/>
        <v>15.764538272577283</v>
      </c>
      <c r="N38" s="56">
        <f t="shared" si="3"/>
        <v>1.2243915966295431</v>
      </c>
      <c r="O38" s="143">
        <f t="shared" si="4"/>
        <v>1.0872095360398126</v>
      </c>
      <c r="P38" s="143">
        <f t="shared" si="5"/>
        <v>1.0872095360398126</v>
      </c>
      <c r="Q38" s="83">
        <v>1489.8681249857366</v>
      </c>
      <c r="R38" s="56">
        <f t="shared" si="6"/>
        <v>39.868124985736586</v>
      </c>
      <c r="S38" s="56">
        <f t="shared" si="7"/>
        <v>1589.4673898783137</v>
      </c>
      <c r="T38" s="56">
        <f t="shared" si="8"/>
        <v>39.868124985736586</v>
      </c>
      <c r="U38" s="56">
        <f t="shared" si="9"/>
        <v>1.6113847129005368</v>
      </c>
      <c r="V38" s="33">
        <f t="shared" si="10"/>
        <v>2.749525861085282</v>
      </c>
      <c r="W38" s="143">
        <f t="shared" si="11"/>
        <v>2.749525861085282</v>
      </c>
      <c r="X38" s="83"/>
      <c r="Y38" s="83"/>
      <c r="Z38" s="83"/>
      <c r="AA38" s="40"/>
      <c r="AB38" s="34"/>
      <c r="AC38" s="34"/>
    </row>
    <row r="39" spans="1:29" x14ac:dyDescent="0.15">
      <c r="A39" s="7" t="s">
        <v>809</v>
      </c>
      <c r="B39" s="24" t="s">
        <v>514</v>
      </c>
      <c r="C39" s="64" t="s">
        <v>824</v>
      </c>
      <c r="D39" s="9" t="s">
        <v>148</v>
      </c>
      <c r="E39" s="24" t="s">
        <v>662</v>
      </c>
      <c r="F39" s="22" t="s">
        <v>374</v>
      </c>
      <c r="G39" s="10" t="s">
        <v>634</v>
      </c>
      <c r="H39" s="10" t="s">
        <v>580</v>
      </c>
      <c r="I39" s="64">
        <v>1333</v>
      </c>
      <c r="J39" s="82">
        <v>1388.2628581693255</v>
      </c>
      <c r="K39" s="56">
        <f t="shared" si="0"/>
        <v>55.262858169325455</v>
      </c>
      <c r="L39" s="56">
        <f t="shared" si="1"/>
        <v>3053.9834930429811</v>
      </c>
      <c r="M39" s="56">
        <f t="shared" si="2"/>
        <v>55.262858169325455</v>
      </c>
      <c r="N39" s="56">
        <f t="shared" si="3"/>
        <v>1.7502217906737785</v>
      </c>
      <c r="O39" s="143">
        <f t="shared" si="4"/>
        <v>4.1457508003995089</v>
      </c>
      <c r="P39" s="143">
        <f t="shared" si="5"/>
        <v>4.1457508003995089</v>
      </c>
      <c r="Q39" s="83">
        <v>1391.6150726418284</v>
      </c>
      <c r="R39" s="56">
        <f t="shared" si="6"/>
        <v>58.615072641828419</v>
      </c>
      <c r="S39" s="56">
        <f t="shared" si="7"/>
        <v>3435.7267408068224</v>
      </c>
      <c r="T39" s="56">
        <f t="shared" si="8"/>
        <v>58.615072641828419</v>
      </c>
      <c r="U39" s="56">
        <f t="shared" si="9"/>
        <v>1.775356077484983</v>
      </c>
      <c r="V39" s="33">
        <f t="shared" si="10"/>
        <v>4.3972297555760251</v>
      </c>
      <c r="W39" s="143">
        <f t="shared" si="11"/>
        <v>4.3972297555760251</v>
      </c>
    </row>
    <row r="40" spans="1:29" x14ac:dyDescent="0.15">
      <c r="A40" s="7" t="s">
        <v>810</v>
      </c>
      <c r="B40" s="24" t="s">
        <v>514</v>
      </c>
      <c r="C40" s="64" t="s">
        <v>824</v>
      </c>
      <c r="D40" s="9" t="s">
        <v>148</v>
      </c>
      <c r="E40" s="24" t="s">
        <v>662</v>
      </c>
      <c r="F40" s="10" t="s">
        <v>374</v>
      </c>
      <c r="G40" s="10" t="s">
        <v>640</v>
      </c>
      <c r="H40" s="10" t="s">
        <v>580</v>
      </c>
      <c r="I40" s="64">
        <v>1622</v>
      </c>
      <c r="J40" s="82">
        <v>1682.5035739070624</v>
      </c>
      <c r="K40" s="56">
        <f t="shared" si="0"/>
        <v>60.503573907062446</v>
      </c>
      <c r="L40" s="56">
        <f t="shared" si="1"/>
        <v>3660.6824555273674</v>
      </c>
      <c r="M40" s="56">
        <f t="shared" si="2"/>
        <v>60.503573907062446</v>
      </c>
      <c r="N40" s="56">
        <f t="shared" si="3"/>
        <v>1.7889003528976757</v>
      </c>
      <c r="O40" s="143">
        <f t="shared" si="4"/>
        <v>3.7301833481542817</v>
      </c>
      <c r="P40" s="143">
        <f t="shared" si="5"/>
        <v>3.7301833481542817</v>
      </c>
      <c r="Q40" s="83">
        <v>1641.7294229318225</v>
      </c>
      <c r="R40" s="56">
        <f t="shared" si="6"/>
        <v>19.729422931822455</v>
      </c>
      <c r="S40" s="56">
        <f t="shared" si="7"/>
        <v>389.25012922272174</v>
      </c>
      <c r="T40" s="56">
        <f t="shared" si="8"/>
        <v>19.729422931822455</v>
      </c>
      <c r="U40" s="56">
        <f t="shared" si="9"/>
        <v>1.3165872123199334</v>
      </c>
      <c r="V40" s="33">
        <f t="shared" si="10"/>
        <v>1.2163639292122352</v>
      </c>
      <c r="W40" s="143">
        <f t="shared" si="11"/>
        <v>1.2163639292122352</v>
      </c>
    </row>
    <row r="41" spans="1:29" x14ac:dyDescent="0.15">
      <c r="A41" s="64" t="s">
        <v>811</v>
      </c>
      <c r="B41" s="24" t="s">
        <v>514</v>
      </c>
      <c r="C41" s="64" t="s">
        <v>824</v>
      </c>
      <c r="D41" s="9" t="s">
        <v>148</v>
      </c>
      <c r="E41" s="24" t="s">
        <v>662</v>
      </c>
      <c r="F41" s="10" t="s">
        <v>374</v>
      </c>
      <c r="G41" s="10" t="s">
        <v>640</v>
      </c>
      <c r="H41" s="10" t="s">
        <v>580</v>
      </c>
      <c r="I41" s="64">
        <v>1774</v>
      </c>
      <c r="J41" s="61">
        <v>1863.5262199907938</v>
      </c>
      <c r="K41" s="56">
        <f t="shared" si="0"/>
        <v>89.526219990793834</v>
      </c>
      <c r="L41" s="56">
        <f t="shared" si="1"/>
        <v>8014.9440658400135</v>
      </c>
      <c r="M41" s="56">
        <f t="shared" si="2"/>
        <v>89.526219990793834</v>
      </c>
      <c r="N41" s="56">
        <f t="shared" si="3"/>
        <v>1.9567743863661498</v>
      </c>
      <c r="O41" s="143">
        <f t="shared" si="4"/>
        <v>5.0465738439004415</v>
      </c>
      <c r="P41" s="143">
        <f t="shared" si="5"/>
        <v>5.0465738439004415</v>
      </c>
      <c r="Q41" s="83">
        <v>1759.781501063999</v>
      </c>
      <c r="R41" s="56">
        <f t="shared" si="6"/>
        <v>-14.218498936000969</v>
      </c>
      <c r="S41" s="56">
        <f t="shared" si="7"/>
        <v>202.16571199306071</v>
      </c>
      <c r="T41" s="56">
        <f t="shared" si="8"/>
        <v>14.218498936000969</v>
      </c>
      <c r="U41" s="56">
        <f t="shared" si="9"/>
        <v>1.1823718182715646</v>
      </c>
      <c r="V41" s="33">
        <f t="shared" si="10"/>
        <v>-0.80149373934616508</v>
      </c>
      <c r="W41" s="143">
        <f t="shared" si="11"/>
        <v>0.80149373934616508</v>
      </c>
    </row>
    <row r="42" spans="1:29" x14ac:dyDescent="0.15">
      <c r="A42" s="64" t="s">
        <v>812</v>
      </c>
      <c r="B42" s="24" t="s">
        <v>514</v>
      </c>
      <c r="C42" s="64" t="s">
        <v>824</v>
      </c>
      <c r="D42" s="9" t="s">
        <v>148</v>
      </c>
      <c r="E42" s="24" t="s">
        <v>662</v>
      </c>
      <c r="F42" s="10" t="s">
        <v>374</v>
      </c>
      <c r="G42" s="10" t="s">
        <v>640</v>
      </c>
      <c r="H42" s="10" t="s">
        <v>580</v>
      </c>
      <c r="I42" s="64">
        <v>1911</v>
      </c>
      <c r="J42" s="82">
        <v>2061.3937691405577</v>
      </c>
      <c r="K42" s="56">
        <f t="shared" si="0"/>
        <v>150.39376914055765</v>
      </c>
      <c r="L42" s="56">
        <f t="shared" si="1"/>
        <v>22618.285796303349</v>
      </c>
      <c r="M42" s="56">
        <f t="shared" si="2"/>
        <v>150.39376914055765</v>
      </c>
      <c r="N42" s="56">
        <f t="shared" si="3"/>
        <v>2.1801080014285317</v>
      </c>
      <c r="O42" s="143">
        <f t="shared" si="4"/>
        <v>7.869898960782713</v>
      </c>
      <c r="P42" s="143">
        <f t="shared" si="5"/>
        <v>7.869898960782713</v>
      </c>
      <c r="Q42" s="83">
        <v>2029.0348951623014</v>
      </c>
      <c r="R42" s="56">
        <f t="shared" si="6"/>
        <v>118.03489516230138</v>
      </c>
      <c r="S42" s="56">
        <f t="shared" si="7"/>
        <v>13932.236475975478</v>
      </c>
      <c r="T42" s="56">
        <f t="shared" si="8"/>
        <v>118.03489516230138</v>
      </c>
      <c r="U42" s="56">
        <f t="shared" si="9"/>
        <v>2.0756742937866393</v>
      </c>
      <c r="V42" s="33">
        <f t="shared" si="10"/>
        <v>6.1766036191680476</v>
      </c>
      <c r="W42" s="143">
        <f t="shared" si="11"/>
        <v>6.1766036191680476</v>
      </c>
    </row>
    <row r="43" spans="1:29" x14ac:dyDescent="0.15">
      <c r="A43" s="7" t="s">
        <v>813</v>
      </c>
      <c r="B43" s="24" t="s">
        <v>514</v>
      </c>
      <c r="C43" s="64" t="s">
        <v>824</v>
      </c>
      <c r="D43" s="9" t="s">
        <v>148</v>
      </c>
      <c r="E43" s="24" t="s">
        <v>662</v>
      </c>
      <c r="F43" s="22" t="s">
        <v>374</v>
      </c>
      <c r="G43" s="10" t="s">
        <v>634</v>
      </c>
      <c r="H43" s="10" t="s">
        <v>580</v>
      </c>
      <c r="I43" s="64">
        <v>1427</v>
      </c>
      <c r="J43" s="82">
        <v>1459.2784600399964</v>
      </c>
      <c r="K43" s="56">
        <f t="shared" si="0"/>
        <v>32.278460039996389</v>
      </c>
      <c r="L43" s="56">
        <f t="shared" si="1"/>
        <v>1041.8989825536437</v>
      </c>
      <c r="M43" s="56">
        <f t="shared" si="2"/>
        <v>32.278460039996389</v>
      </c>
      <c r="N43" s="56">
        <f t="shared" si="3"/>
        <v>1.5221632211161038</v>
      </c>
      <c r="O43" s="143">
        <f t="shared" si="4"/>
        <v>2.2619803812190882</v>
      </c>
      <c r="P43" s="143">
        <f t="shared" si="5"/>
        <v>2.2619803812190882</v>
      </c>
      <c r="Q43" s="83">
        <v>1455.093671745047</v>
      </c>
      <c r="R43" s="56">
        <f t="shared" si="6"/>
        <v>28.093671745047004</v>
      </c>
      <c r="S43" s="56">
        <f t="shared" si="7"/>
        <v>789.25439211845242</v>
      </c>
      <c r="T43" s="56">
        <f t="shared" si="8"/>
        <v>28.093671745047004</v>
      </c>
      <c r="U43" s="56">
        <f t="shared" si="9"/>
        <v>1.4637985345157019</v>
      </c>
      <c r="V43" s="33">
        <f t="shared" si="10"/>
        <v>1.9687226170320256</v>
      </c>
      <c r="W43" s="143">
        <f t="shared" si="11"/>
        <v>1.9687226170320256</v>
      </c>
    </row>
    <row r="44" spans="1:29" x14ac:dyDescent="0.15">
      <c r="A44" s="7" t="s">
        <v>814</v>
      </c>
      <c r="B44" s="24" t="s">
        <v>514</v>
      </c>
      <c r="C44" s="64" t="s">
        <v>824</v>
      </c>
      <c r="D44" s="9" t="s">
        <v>148</v>
      </c>
      <c r="E44" s="24" t="s">
        <v>662</v>
      </c>
      <c r="F44" s="22" t="s">
        <v>374</v>
      </c>
      <c r="G44" s="10" t="s">
        <v>634</v>
      </c>
      <c r="H44" s="10" t="s">
        <v>580</v>
      </c>
      <c r="I44" s="64">
        <v>1408</v>
      </c>
      <c r="J44" s="82">
        <v>1465.7645382725773</v>
      </c>
      <c r="K44" s="56">
        <f t="shared" si="0"/>
        <v>57.764538272577283</v>
      </c>
      <c r="L44" s="56">
        <f t="shared" si="1"/>
        <v>3336.7418818440456</v>
      </c>
      <c r="M44" s="56">
        <f t="shared" si="2"/>
        <v>57.764538272577283</v>
      </c>
      <c r="N44" s="56">
        <f t="shared" si="3"/>
        <v>1.7691153281432275</v>
      </c>
      <c r="O44" s="143">
        <f t="shared" si="4"/>
        <v>4.1025950477682729</v>
      </c>
      <c r="P44" s="143">
        <f t="shared" si="5"/>
        <v>4.1025950477682729</v>
      </c>
      <c r="Q44" s="83">
        <v>1437.7457719827225</v>
      </c>
      <c r="R44" s="56">
        <f t="shared" si="6"/>
        <v>29.745771982722545</v>
      </c>
      <c r="S44" s="56">
        <f t="shared" si="7"/>
        <v>884.81095084812148</v>
      </c>
      <c r="T44" s="56">
        <f t="shared" si="8"/>
        <v>29.745771982722545</v>
      </c>
      <c r="U44" s="56">
        <f t="shared" si="9"/>
        <v>1.4877854020359751</v>
      </c>
      <c r="V44" s="33">
        <f t="shared" si="10"/>
        <v>2.1126258510456353</v>
      </c>
      <c r="W44" s="143">
        <f t="shared" si="11"/>
        <v>2.1126258510456353</v>
      </c>
    </row>
    <row r="45" spans="1:29" x14ac:dyDescent="0.15">
      <c r="A45" s="64" t="s">
        <v>815</v>
      </c>
      <c r="B45" s="24" t="s">
        <v>514</v>
      </c>
      <c r="C45" s="64" t="s">
        <v>824</v>
      </c>
      <c r="D45" s="77" t="s">
        <v>148</v>
      </c>
      <c r="E45" s="24" t="s">
        <v>662</v>
      </c>
      <c r="F45" s="10" t="s">
        <v>374</v>
      </c>
      <c r="G45" s="10" t="s">
        <v>640</v>
      </c>
      <c r="H45" s="10" t="s">
        <v>580</v>
      </c>
      <c r="I45" s="64">
        <v>1651</v>
      </c>
      <c r="J45" s="82">
        <v>1675.8610502089291</v>
      </c>
      <c r="K45" s="56">
        <f t="shared" si="0"/>
        <v>24.8610502089291</v>
      </c>
      <c r="L45" s="56">
        <f t="shared" si="1"/>
        <v>618.07181749089364</v>
      </c>
      <c r="M45" s="56">
        <f t="shared" si="2"/>
        <v>24.8610502089291</v>
      </c>
      <c r="N45" s="56">
        <f t="shared" si="3"/>
        <v>1.4126461574616835</v>
      </c>
      <c r="O45" s="143">
        <f t="shared" si="4"/>
        <v>1.5058176989054572</v>
      </c>
      <c r="P45" s="143">
        <f t="shared" si="5"/>
        <v>1.5058176989054572</v>
      </c>
      <c r="Q45" s="83">
        <v>1618.2453990121803</v>
      </c>
      <c r="R45" s="56">
        <f t="shared" si="6"/>
        <v>-32.754600987819686</v>
      </c>
      <c r="S45" s="56">
        <f t="shared" si="7"/>
        <v>1072.8638858712784</v>
      </c>
      <c r="T45" s="56">
        <f t="shared" si="8"/>
        <v>32.754600987819686</v>
      </c>
      <c r="U45" s="56">
        <f t="shared" si="9"/>
        <v>1.5283329785724367</v>
      </c>
      <c r="V45" s="33">
        <f t="shared" si="10"/>
        <v>-1.9839249538352324</v>
      </c>
      <c r="W45" s="143">
        <f t="shared" si="11"/>
        <v>1.9839249538352324</v>
      </c>
    </row>
    <row r="46" spans="1:29" x14ac:dyDescent="0.15">
      <c r="A46" s="64" t="s">
        <v>816</v>
      </c>
      <c r="B46" s="24" t="s">
        <v>514</v>
      </c>
      <c r="C46" s="64" t="s">
        <v>824</v>
      </c>
      <c r="D46" s="77" t="s">
        <v>148</v>
      </c>
      <c r="E46" s="24" t="s">
        <v>662</v>
      </c>
      <c r="F46" s="22" t="s">
        <v>374</v>
      </c>
      <c r="G46" s="10" t="s">
        <v>634</v>
      </c>
      <c r="H46" s="10" t="s">
        <v>580</v>
      </c>
      <c r="I46" s="64">
        <v>1476</v>
      </c>
      <c r="J46" s="82">
        <v>1563.6425247087732</v>
      </c>
      <c r="K46" s="56">
        <f t="shared" si="0"/>
        <v>87.64252470877318</v>
      </c>
      <c r="L46" s="56">
        <f t="shared" si="1"/>
        <v>7681.2121373279178</v>
      </c>
      <c r="M46" s="56">
        <f t="shared" si="2"/>
        <v>87.64252470877318</v>
      </c>
      <c r="N46" s="56">
        <f t="shared" si="3"/>
        <v>1.9476421170986338</v>
      </c>
      <c r="O46" s="143">
        <f t="shared" si="4"/>
        <v>5.9378404274236569</v>
      </c>
      <c r="P46" s="143">
        <f t="shared" si="5"/>
        <v>5.9378404274236569</v>
      </c>
      <c r="Q46" s="83">
        <v>1583.1004800668854</v>
      </c>
      <c r="R46" s="56">
        <f t="shared" si="6"/>
        <v>107.10048006688544</v>
      </c>
      <c r="S46" s="56">
        <f t="shared" si="7"/>
        <v>11470.512830557325</v>
      </c>
      <c r="T46" s="56">
        <f t="shared" si="8"/>
        <v>107.10048006688544</v>
      </c>
      <c r="U46" s="56">
        <f t="shared" si="9"/>
        <v>2.0338276226298722</v>
      </c>
      <c r="V46" s="33">
        <f t="shared" si="10"/>
        <v>7.2561300858323463</v>
      </c>
      <c r="W46" s="143">
        <f t="shared" si="11"/>
        <v>7.2561300858323463</v>
      </c>
    </row>
    <row r="47" spans="1:29" x14ac:dyDescent="0.15">
      <c r="A47" s="64" t="s">
        <v>817</v>
      </c>
      <c r="B47" s="24" t="s">
        <v>514</v>
      </c>
      <c r="C47" s="64" t="s">
        <v>824</v>
      </c>
      <c r="D47" s="77" t="s">
        <v>148</v>
      </c>
      <c r="E47" s="24" t="s">
        <v>662</v>
      </c>
      <c r="F47" s="22" t="s">
        <v>374</v>
      </c>
      <c r="G47" s="10" t="s">
        <v>634</v>
      </c>
      <c r="H47" s="10" t="s">
        <v>580</v>
      </c>
      <c r="I47" s="64">
        <v>1495</v>
      </c>
      <c r="J47" s="82">
        <v>1570.2062239578543</v>
      </c>
      <c r="K47" s="56">
        <f t="shared" si="0"/>
        <v>75.206223957854263</v>
      </c>
      <c r="L47" s="56">
        <f t="shared" si="1"/>
        <v>5655.9761219989323</v>
      </c>
      <c r="M47" s="56">
        <f t="shared" si="2"/>
        <v>75.206223957854263</v>
      </c>
      <c r="N47" s="56">
        <f t="shared" si="3"/>
        <v>1.881990442732868</v>
      </c>
      <c r="O47" s="143">
        <f t="shared" si="4"/>
        <v>5.0305166526992817</v>
      </c>
      <c r="P47" s="143">
        <f t="shared" si="5"/>
        <v>5.0305166526992817</v>
      </c>
      <c r="Q47" s="83">
        <v>1501.4826643084625</v>
      </c>
      <c r="R47" s="56">
        <f t="shared" si="6"/>
        <v>6.4826643084625175</v>
      </c>
      <c r="S47" s="56">
        <f t="shared" si="7"/>
        <v>42.024936536213808</v>
      </c>
      <c r="T47" s="56">
        <f t="shared" si="8"/>
        <v>6.4826643084625175</v>
      </c>
      <c r="U47" s="56">
        <f t="shared" si="9"/>
        <v>0.87405626209427156</v>
      </c>
      <c r="V47" s="33">
        <f t="shared" si="10"/>
        <v>0.43362303066638913</v>
      </c>
      <c r="W47" s="143">
        <f t="shared" si="11"/>
        <v>0.43362303066638913</v>
      </c>
    </row>
    <row r="48" spans="1:29" x14ac:dyDescent="0.15">
      <c r="A48" s="64" t="s">
        <v>818</v>
      </c>
      <c r="B48" s="24" t="s">
        <v>514</v>
      </c>
      <c r="C48" s="64" t="s">
        <v>824</v>
      </c>
      <c r="D48" s="77" t="s">
        <v>148</v>
      </c>
      <c r="E48" s="24" t="s">
        <v>662</v>
      </c>
      <c r="F48" s="22" t="s">
        <v>374</v>
      </c>
      <c r="G48" s="10" t="s">
        <v>634</v>
      </c>
      <c r="H48" s="10" t="s">
        <v>580</v>
      </c>
      <c r="I48" s="64">
        <v>1360</v>
      </c>
      <c r="J48" s="82">
        <v>1407.5699842026138</v>
      </c>
      <c r="K48" s="56">
        <f t="shared" si="0"/>
        <v>47.569984202613796</v>
      </c>
      <c r="L48" s="56">
        <f t="shared" si="1"/>
        <v>2262.903397036926</v>
      </c>
      <c r="M48" s="56">
        <f t="shared" si="2"/>
        <v>47.569984202613796</v>
      </c>
      <c r="N48" s="56">
        <f t="shared" si="3"/>
        <v>1.6863679622187893</v>
      </c>
      <c r="O48" s="143">
        <f t="shared" si="4"/>
        <v>3.497792956074544</v>
      </c>
      <c r="P48" s="143">
        <f t="shared" si="5"/>
        <v>3.497792956074544</v>
      </c>
      <c r="Q48" s="83">
        <v>1391.6150726418284</v>
      </c>
      <c r="R48" s="56">
        <f t="shared" si="6"/>
        <v>31.615072641828419</v>
      </c>
      <c r="S48" s="56">
        <f t="shared" si="7"/>
        <v>999.51281814808783</v>
      </c>
      <c r="T48" s="56">
        <f t="shared" si="8"/>
        <v>31.615072641828419</v>
      </c>
      <c r="U48" s="56">
        <f t="shared" si="9"/>
        <v>1.5134183501407419</v>
      </c>
      <c r="V48" s="33">
        <f t="shared" si="10"/>
        <v>2.3246376942520897</v>
      </c>
      <c r="W48" s="143">
        <f t="shared" si="11"/>
        <v>2.3246376942520897</v>
      </c>
    </row>
    <row r="49" spans="1:23" x14ac:dyDescent="0.15">
      <c r="A49" s="64" t="s">
        <v>819</v>
      </c>
      <c r="B49" s="24" t="s">
        <v>514</v>
      </c>
      <c r="C49" s="64" t="s">
        <v>824</v>
      </c>
      <c r="D49" s="77" t="s">
        <v>148</v>
      </c>
      <c r="E49" s="24" t="s">
        <v>662</v>
      </c>
      <c r="F49" s="10" t="s">
        <v>374</v>
      </c>
      <c r="G49" s="10" t="s">
        <v>640</v>
      </c>
      <c r="H49" s="10" t="s">
        <v>580</v>
      </c>
      <c r="I49" s="64">
        <v>1830</v>
      </c>
      <c r="J49" s="82">
        <v>1958.6183624525531</v>
      </c>
      <c r="K49" s="56">
        <f t="shared" si="0"/>
        <v>128.61836245255313</v>
      </c>
      <c r="L49" s="56">
        <f t="shared" si="1"/>
        <v>16542.683159976328</v>
      </c>
      <c r="M49" s="56">
        <f t="shared" si="2"/>
        <v>128.61836245255313</v>
      </c>
      <c r="N49" s="56">
        <f t="shared" si="3"/>
        <v>2.1126665304459982</v>
      </c>
      <c r="O49" s="143">
        <f t="shared" si="4"/>
        <v>7.0283258170794056</v>
      </c>
      <c r="P49" s="143">
        <f t="shared" si="5"/>
        <v>7.0283258170794056</v>
      </c>
      <c r="Q49" s="83">
        <v>1920.752054830602</v>
      </c>
      <c r="R49" s="56">
        <f t="shared" si="6"/>
        <v>90.752054830601992</v>
      </c>
      <c r="S49" s="56">
        <f t="shared" si="7"/>
        <v>8235.9354559765907</v>
      </c>
      <c r="T49" s="56">
        <f t="shared" si="8"/>
        <v>90.752054830601992</v>
      </c>
      <c r="U49" s="56">
        <f t="shared" si="9"/>
        <v>1.9626157992630777</v>
      </c>
      <c r="V49" s="33">
        <f t="shared" si="10"/>
        <v>4.9591286792678684</v>
      </c>
      <c r="W49" s="143">
        <f t="shared" si="11"/>
        <v>4.9591286792678684</v>
      </c>
    </row>
    <row r="50" spans="1:23" x14ac:dyDescent="0.15">
      <c r="A50" s="64" t="s">
        <v>820</v>
      </c>
      <c r="B50" s="24" t="s">
        <v>514</v>
      </c>
      <c r="C50" s="64" t="s">
        <v>824</v>
      </c>
      <c r="D50" s="77" t="s">
        <v>148</v>
      </c>
      <c r="E50" s="24" t="s">
        <v>662</v>
      </c>
      <c r="F50" s="22" t="s">
        <v>374</v>
      </c>
      <c r="G50" s="10" t="s">
        <v>634</v>
      </c>
      <c r="H50" s="10" t="s">
        <v>580</v>
      </c>
      <c r="I50" s="64">
        <v>1416</v>
      </c>
      <c r="J50" s="82">
        <v>1543.9799802271154</v>
      </c>
      <c r="K50" s="56">
        <f t="shared" si="0"/>
        <v>127.97998022711545</v>
      </c>
      <c r="L50" s="56">
        <f t="shared" si="1"/>
        <v>16378.875338932861</v>
      </c>
      <c r="M50" s="56">
        <f t="shared" si="2"/>
        <v>127.97998022711545</v>
      </c>
      <c r="N50" s="56">
        <f t="shared" si="3"/>
        <v>2.1105223060231304</v>
      </c>
      <c r="O50" s="143">
        <f t="shared" si="4"/>
        <v>9.0381341968301872</v>
      </c>
      <c r="P50" s="143">
        <f t="shared" si="5"/>
        <v>9.0381341968301872</v>
      </c>
      <c r="Q50" s="83">
        <v>1501.4826643084625</v>
      </c>
      <c r="R50" s="56">
        <f t="shared" si="6"/>
        <v>85.482664308462518</v>
      </c>
      <c r="S50" s="56">
        <f t="shared" si="7"/>
        <v>7307.285897273292</v>
      </c>
      <c r="T50" s="56">
        <f t="shared" si="8"/>
        <v>85.482664308462518</v>
      </c>
      <c r="U50" s="56">
        <f t="shared" si="9"/>
        <v>1.9369290606473772</v>
      </c>
      <c r="V50" s="33">
        <f t="shared" si="10"/>
        <v>6.0369113212191046</v>
      </c>
      <c r="W50" s="143">
        <f t="shared" si="11"/>
        <v>6.0369113212191046</v>
      </c>
    </row>
    <row r="51" spans="1:23" x14ac:dyDescent="0.15">
      <c r="A51" s="64" t="s">
        <v>821</v>
      </c>
      <c r="B51" s="24" t="s">
        <v>514</v>
      </c>
      <c r="C51" s="64" t="s">
        <v>824</v>
      </c>
      <c r="D51" s="77" t="s">
        <v>148</v>
      </c>
      <c r="E51" s="24" t="s">
        <v>662</v>
      </c>
      <c r="F51" s="10" t="s">
        <v>293</v>
      </c>
      <c r="G51" s="10" t="s">
        <v>640</v>
      </c>
      <c r="H51" s="10" t="s">
        <v>580</v>
      </c>
      <c r="I51" s="64">
        <v>1980</v>
      </c>
      <c r="J51" s="82">
        <v>2054.5140000140445</v>
      </c>
      <c r="K51" s="56">
        <f t="shared" si="0"/>
        <v>74.514000014044541</v>
      </c>
      <c r="L51" s="56">
        <f t="shared" si="1"/>
        <v>5552.3361980930295</v>
      </c>
      <c r="M51" s="56">
        <f t="shared" si="2"/>
        <v>74.514000014044541</v>
      </c>
      <c r="N51" s="56">
        <f t="shared" si="3"/>
        <v>1.8780274756715016</v>
      </c>
      <c r="O51" s="143">
        <f t="shared" si="4"/>
        <v>3.7633333340426538</v>
      </c>
      <c r="P51" s="143">
        <f t="shared" si="5"/>
        <v>3.7633333340426538</v>
      </c>
      <c r="Q51" s="83">
        <v>1986.8354671230959</v>
      </c>
      <c r="R51" s="56">
        <f t="shared" si="6"/>
        <v>6.8354671230958957</v>
      </c>
      <c r="S51" s="56">
        <f t="shared" si="7"/>
        <v>46.72361079092488</v>
      </c>
      <c r="T51" s="56">
        <f t="shared" si="8"/>
        <v>6.8354671230958957</v>
      </c>
      <c r="U51" s="56">
        <f t="shared" si="9"/>
        <v>0.89406489269173439</v>
      </c>
      <c r="V51" s="33">
        <f t="shared" si="10"/>
        <v>0.34522561227757048</v>
      </c>
      <c r="W51" s="143">
        <f t="shared" si="11"/>
        <v>0.34522561227757048</v>
      </c>
    </row>
    <row r="52" spans="1:23" x14ac:dyDescent="0.15">
      <c r="A52" s="64" t="s">
        <v>822</v>
      </c>
      <c r="B52" s="24" t="s">
        <v>514</v>
      </c>
      <c r="C52" s="64" t="s">
        <v>824</v>
      </c>
      <c r="D52" s="77" t="s">
        <v>148</v>
      </c>
      <c r="E52" s="24" t="s">
        <v>662</v>
      </c>
      <c r="F52" s="10" t="s">
        <v>374</v>
      </c>
      <c r="G52" s="10" t="s">
        <v>640</v>
      </c>
      <c r="H52" s="10" t="s">
        <v>580</v>
      </c>
      <c r="I52" s="64">
        <v>1744</v>
      </c>
      <c r="J52" s="82">
        <v>1729.1273629281202</v>
      </c>
      <c r="K52" s="56">
        <f t="shared" si="0"/>
        <v>-14.872637071879808</v>
      </c>
      <c r="L52" s="56">
        <f t="shared" si="1"/>
        <v>221.19533347185359</v>
      </c>
      <c r="M52" s="56">
        <f t="shared" si="2"/>
        <v>14.872637071879808</v>
      </c>
      <c r="N52" s="56">
        <f t="shared" si="3"/>
        <v>1.2006490862144308</v>
      </c>
      <c r="O52" s="143">
        <f t="shared" si="4"/>
        <v>-0.85278882292888802</v>
      </c>
      <c r="P52" s="143">
        <f t="shared" si="5"/>
        <v>0.85278882292888802</v>
      </c>
      <c r="Q52" s="83">
        <v>1730.1713588488451</v>
      </c>
      <c r="R52" s="56">
        <f t="shared" si="6"/>
        <v>-13.828641151154898</v>
      </c>
      <c r="S52" s="56">
        <f t="shared" si="7"/>
        <v>191.23131608741465</v>
      </c>
      <c r="T52" s="56">
        <f t="shared" si="8"/>
        <v>13.828641151154898</v>
      </c>
      <c r="U52" s="56">
        <f t="shared" si="9"/>
        <v>1.1711013555062222</v>
      </c>
      <c r="V52" s="33">
        <f t="shared" si="10"/>
        <v>-0.79292667151117535</v>
      </c>
      <c r="W52" s="143">
        <f t="shared" si="11"/>
        <v>0.79292667151117535</v>
      </c>
    </row>
    <row r="53" spans="1:23" x14ac:dyDescent="0.15">
      <c r="A53" s="64" t="s">
        <v>823</v>
      </c>
      <c r="B53" s="24" t="s">
        <v>514</v>
      </c>
      <c r="C53" s="64" t="s">
        <v>824</v>
      </c>
      <c r="D53" s="77" t="s">
        <v>148</v>
      </c>
      <c r="E53" s="24" t="s">
        <v>662</v>
      </c>
      <c r="F53" s="10" t="s">
        <v>374</v>
      </c>
      <c r="G53" s="10" t="s">
        <v>640</v>
      </c>
      <c r="H53" s="10" t="s">
        <v>580</v>
      </c>
      <c r="I53" s="64">
        <v>1780</v>
      </c>
      <c r="J53" s="82">
        <v>1843.2563887480742</v>
      </c>
      <c r="K53" s="56">
        <f t="shared" si="0"/>
        <v>63.256388748074187</v>
      </c>
      <c r="L53" s="56">
        <f t="shared" si="1"/>
        <v>4001.3707174474866</v>
      </c>
      <c r="M53" s="56">
        <f t="shared" si="2"/>
        <v>63.256388748074187</v>
      </c>
      <c r="N53" s="56">
        <f t="shared" si="3"/>
        <v>1.8079163142616494</v>
      </c>
      <c r="O53" s="143">
        <f t="shared" si="4"/>
        <v>3.5537297049479881</v>
      </c>
      <c r="P53" s="143">
        <f t="shared" si="5"/>
        <v>3.5537297049479881</v>
      </c>
      <c r="Q53" s="83">
        <v>1765.7111609607616</v>
      </c>
      <c r="R53" s="56">
        <f t="shared" si="6"/>
        <v>-14.288839039238383</v>
      </c>
      <c r="S53" s="56">
        <f t="shared" si="7"/>
        <v>204.17092108926286</v>
      </c>
      <c r="T53" s="56">
        <f t="shared" si="8"/>
        <v>14.288839039238383</v>
      </c>
      <c r="U53" s="56">
        <f t="shared" si="9"/>
        <v>1.1843745084342163</v>
      </c>
      <c r="V53" s="33">
        <f t="shared" si="10"/>
        <v>-0.80274376624934729</v>
      </c>
      <c r="W53" s="143">
        <f t="shared" si="11"/>
        <v>0.80274376624934729</v>
      </c>
    </row>
    <row r="54" spans="1:23" x14ac:dyDescent="0.15">
      <c r="A54" s="69" t="s">
        <v>520</v>
      </c>
      <c r="B54" s="24" t="s">
        <v>514</v>
      </c>
      <c r="C54" s="70" t="s">
        <v>401</v>
      </c>
      <c r="D54" s="68" t="s">
        <v>82</v>
      </c>
      <c r="E54" s="24" t="s">
        <v>662</v>
      </c>
      <c r="F54" s="74" t="s">
        <v>494</v>
      </c>
      <c r="G54" s="10" t="s">
        <v>634</v>
      </c>
      <c r="H54" s="10" t="s">
        <v>580</v>
      </c>
      <c r="I54" s="70">
        <v>770</v>
      </c>
      <c r="J54" s="82">
        <v>699.39566246509185</v>
      </c>
      <c r="K54" s="56">
        <f t="shared" si="0"/>
        <v>-70.604337534908154</v>
      </c>
      <c r="L54" s="56">
        <f t="shared" si="1"/>
        <v>4984.9724787432406</v>
      </c>
      <c r="M54" s="56">
        <f t="shared" si="2"/>
        <v>70.604337534908154</v>
      </c>
      <c r="N54" s="56">
        <f t="shared" si="3"/>
        <v>1.8549393311125841</v>
      </c>
      <c r="O54" s="143">
        <f t="shared" si="4"/>
        <v>-9.1693944850530062</v>
      </c>
      <c r="P54" s="143">
        <f t="shared" si="5"/>
        <v>9.1693944850530062</v>
      </c>
      <c r="Q54" s="83">
        <v>705.09617923544602</v>
      </c>
      <c r="R54" s="56">
        <f t="shared" si="6"/>
        <v>-64.903820764553984</v>
      </c>
      <c r="S54" s="56">
        <f t="shared" si="7"/>
        <v>4212.5059498373494</v>
      </c>
      <c r="T54" s="56">
        <f t="shared" si="8"/>
        <v>64.903820764553984</v>
      </c>
      <c r="U54" s="56">
        <f t="shared" si="9"/>
        <v>1.8189105934841707</v>
      </c>
      <c r="V54" s="33">
        <f t="shared" si="10"/>
        <v>-8.4290676317602582</v>
      </c>
      <c r="W54" s="143">
        <f t="shared" si="11"/>
        <v>8.4290676317602582</v>
      </c>
    </row>
    <row r="55" spans="1:23" x14ac:dyDescent="0.15">
      <c r="A55" s="69" t="s">
        <v>521</v>
      </c>
      <c r="B55" s="24" t="s">
        <v>514</v>
      </c>
      <c r="C55" s="70" t="s">
        <v>401</v>
      </c>
      <c r="D55" s="68" t="s">
        <v>82</v>
      </c>
      <c r="E55" s="24" t="s">
        <v>662</v>
      </c>
      <c r="F55" s="74" t="s">
        <v>494</v>
      </c>
      <c r="G55" s="10" t="s">
        <v>634</v>
      </c>
      <c r="H55" s="10" t="s">
        <v>580</v>
      </c>
      <c r="I55" s="70">
        <v>716</v>
      </c>
      <c r="J55" s="82">
        <v>710.83358368137647</v>
      </c>
      <c r="K55" s="56">
        <f t="shared" si="0"/>
        <v>-5.1664163186235328</v>
      </c>
      <c r="L55" s="56">
        <f t="shared" si="1"/>
        <v>26.691857577339537</v>
      </c>
      <c r="M55" s="56">
        <f t="shared" si="2"/>
        <v>5.1664163186235328</v>
      </c>
      <c r="N55" s="56">
        <f t="shared" si="3"/>
        <v>0.79003284228107618</v>
      </c>
      <c r="O55" s="143">
        <f t="shared" si="4"/>
        <v>-0.7215665249474208</v>
      </c>
      <c r="P55" s="143">
        <f t="shared" si="5"/>
        <v>0.7215665249474208</v>
      </c>
      <c r="Q55" s="83">
        <v>720.95425847880529</v>
      </c>
      <c r="R55" s="56">
        <f t="shared" si="6"/>
        <v>4.9542584788052864</v>
      </c>
      <c r="S55" s="56">
        <f t="shared" si="7"/>
        <v>24.544677074814071</v>
      </c>
      <c r="T55" s="56">
        <f t="shared" si="8"/>
        <v>4.9542584788052864</v>
      </c>
      <c r="U55" s="56">
        <f t="shared" si="9"/>
        <v>0.77482768376758082</v>
      </c>
      <c r="V55" s="33">
        <f t="shared" si="10"/>
        <v>0.69193554173258187</v>
      </c>
      <c r="W55" s="143">
        <f t="shared" si="11"/>
        <v>0.69193554173258187</v>
      </c>
    </row>
    <row r="56" spans="1:23" x14ac:dyDescent="0.15">
      <c r="A56" s="64" t="s">
        <v>415</v>
      </c>
      <c r="B56" s="24" t="s">
        <v>514</v>
      </c>
      <c r="C56" s="70" t="s">
        <v>458</v>
      </c>
      <c r="D56" s="9" t="s">
        <v>82</v>
      </c>
      <c r="E56" s="24" t="s">
        <v>662</v>
      </c>
      <c r="F56" s="10" t="s">
        <v>203</v>
      </c>
      <c r="G56" s="10" t="s">
        <v>640</v>
      </c>
      <c r="H56" s="10" t="s">
        <v>581</v>
      </c>
      <c r="I56" s="64">
        <v>2790</v>
      </c>
      <c r="J56" s="82">
        <v>2724.7123728262141</v>
      </c>
      <c r="K56" s="56">
        <f t="shared" si="0"/>
        <v>-65.28762717378595</v>
      </c>
      <c r="L56" s="56">
        <f t="shared" si="1"/>
        <v>4262.4742619832732</v>
      </c>
      <c r="M56" s="56">
        <f t="shared" si="2"/>
        <v>65.28762717378595</v>
      </c>
      <c r="N56" s="56">
        <f t="shared" si="3"/>
        <v>1.821432473327758</v>
      </c>
      <c r="O56" s="143">
        <f t="shared" si="4"/>
        <v>-2.3400583216410733</v>
      </c>
      <c r="P56" s="143">
        <f t="shared" si="5"/>
        <v>2.3400583216410733</v>
      </c>
      <c r="Q56" s="83">
        <v>2612.1403616933349</v>
      </c>
      <c r="R56" s="56">
        <f t="shared" si="6"/>
        <v>-177.85963830666515</v>
      </c>
      <c r="S56" s="56">
        <f t="shared" si="7"/>
        <v>31634.050938577748</v>
      </c>
      <c r="T56" s="56">
        <f t="shared" si="8"/>
        <v>177.85963830666515</v>
      </c>
      <c r="U56" s="56">
        <f t="shared" si="9"/>
        <v>2.252512348178668</v>
      </c>
      <c r="V56" s="33">
        <f t="shared" si="10"/>
        <v>-6.3748974303464214</v>
      </c>
      <c r="W56" s="143">
        <f t="shared" si="11"/>
        <v>6.3748974303464214</v>
      </c>
    </row>
    <row r="57" spans="1:23" x14ac:dyDescent="0.15">
      <c r="A57" s="70" t="s">
        <v>714</v>
      </c>
      <c r="B57" s="24" t="s">
        <v>514</v>
      </c>
      <c r="C57" s="8" t="s">
        <v>458</v>
      </c>
      <c r="D57" s="9" t="s">
        <v>82</v>
      </c>
      <c r="E57" s="24" t="s">
        <v>662</v>
      </c>
      <c r="F57" s="10" t="s">
        <v>293</v>
      </c>
      <c r="G57" s="10" t="s">
        <v>640</v>
      </c>
      <c r="H57" s="10" t="s">
        <v>580</v>
      </c>
      <c r="I57" s="64">
        <v>1890</v>
      </c>
      <c r="J57" s="82">
        <v>1809.5587731770622</v>
      </c>
      <c r="K57" s="56">
        <f t="shared" si="0"/>
        <v>-80.441226822937779</v>
      </c>
      <c r="L57" s="56">
        <f t="shared" si="1"/>
        <v>6470.790972779324</v>
      </c>
      <c r="M57" s="56">
        <f t="shared" si="2"/>
        <v>80.441226822937779</v>
      </c>
      <c r="N57" s="56">
        <f t="shared" si="3"/>
        <v>1.9108443072129573</v>
      </c>
      <c r="O57" s="143">
        <f t="shared" si="4"/>
        <v>-4.2561495673512049</v>
      </c>
      <c r="P57" s="143">
        <f t="shared" si="5"/>
        <v>4.2561495673512049</v>
      </c>
      <c r="Q57" s="83">
        <v>1825.1458180929744</v>
      </c>
      <c r="R57" s="56">
        <f t="shared" si="6"/>
        <v>-64.854181907025577</v>
      </c>
      <c r="S57" s="56">
        <f t="shared" si="7"/>
        <v>4206.0649108295638</v>
      </c>
      <c r="T57" s="56">
        <f t="shared" si="8"/>
        <v>64.854181907025577</v>
      </c>
      <c r="U57" s="56">
        <f t="shared" si="9"/>
        <v>1.8185833589709663</v>
      </c>
      <c r="V57" s="33">
        <f t="shared" si="10"/>
        <v>-3.4314381961389193</v>
      </c>
      <c r="W57" s="143">
        <f t="shared" si="11"/>
        <v>3.4314381961389193</v>
      </c>
    </row>
    <row r="58" spans="1:23" x14ac:dyDescent="0.15">
      <c r="A58" s="70" t="s">
        <v>715</v>
      </c>
      <c r="B58" s="24" t="s">
        <v>514</v>
      </c>
      <c r="C58" s="8" t="s">
        <v>458</v>
      </c>
      <c r="D58" s="9" t="s">
        <v>82</v>
      </c>
      <c r="E58" s="24" t="s">
        <v>662</v>
      </c>
      <c r="F58" s="10" t="s">
        <v>293</v>
      </c>
      <c r="G58" s="10" t="s">
        <v>640</v>
      </c>
      <c r="H58" s="10" t="s">
        <v>580</v>
      </c>
      <c r="I58" s="85">
        <v>1940</v>
      </c>
      <c r="J58" s="82">
        <v>1863.5262199907938</v>
      </c>
      <c r="K58" s="56">
        <f t="shared" si="0"/>
        <v>-76.473780009206166</v>
      </c>
      <c r="L58" s="56">
        <f t="shared" si="1"/>
        <v>5848.2390288964607</v>
      </c>
      <c r="M58" s="56">
        <f t="shared" si="2"/>
        <v>76.473780009206166</v>
      </c>
      <c r="N58" s="56">
        <f t="shared" si="3"/>
        <v>1.8891547460672882</v>
      </c>
      <c r="O58" s="143">
        <f t="shared" si="4"/>
        <v>-3.9419474231549572</v>
      </c>
      <c r="P58" s="143">
        <f t="shared" si="5"/>
        <v>3.9419474231549572</v>
      </c>
      <c r="Q58" s="83">
        <v>1813.238954147982</v>
      </c>
      <c r="R58" s="56">
        <f t="shared" si="6"/>
        <v>-126.76104585201801</v>
      </c>
      <c r="S58" s="56">
        <f t="shared" si="7"/>
        <v>16068.362745497414</v>
      </c>
      <c r="T58" s="56">
        <f t="shared" si="8"/>
        <v>126.76104585201801</v>
      </c>
      <c r="U58" s="56">
        <f t="shared" si="9"/>
        <v>2.1063984582799353</v>
      </c>
      <c r="V58" s="33">
        <f t="shared" si="10"/>
        <v>-6.5340745284545365</v>
      </c>
      <c r="W58" s="143">
        <f t="shared" si="11"/>
        <v>6.5340745284545365</v>
      </c>
    </row>
    <row r="59" spans="1:23" x14ac:dyDescent="0.15">
      <c r="A59" s="7" t="s">
        <v>58</v>
      </c>
      <c r="B59" s="24" t="s">
        <v>514</v>
      </c>
      <c r="C59" s="70" t="s">
        <v>403</v>
      </c>
      <c r="D59" s="9" t="s">
        <v>900</v>
      </c>
      <c r="E59" s="24" t="s">
        <v>662</v>
      </c>
      <c r="F59" s="10" t="s">
        <v>203</v>
      </c>
      <c r="G59" s="10" t="s">
        <v>640</v>
      </c>
      <c r="H59" s="10" t="s">
        <v>581</v>
      </c>
      <c r="I59" s="8">
        <v>2949</v>
      </c>
      <c r="J59" s="82">
        <v>2953.0534537921217</v>
      </c>
      <c r="K59" s="56">
        <f t="shared" si="0"/>
        <v>4.0534537921216724</v>
      </c>
      <c r="L59" s="56">
        <f t="shared" si="1"/>
        <v>16.430487644865568</v>
      </c>
      <c r="M59" s="56">
        <f t="shared" si="2"/>
        <v>4.0534537921216724</v>
      </c>
      <c r="N59" s="56">
        <f t="shared" si="3"/>
        <v>0.70358829894383101</v>
      </c>
      <c r="O59" s="143">
        <f t="shared" si="4"/>
        <v>0.13745180712518387</v>
      </c>
      <c r="P59" s="143">
        <f t="shared" si="5"/>
        <v>0.13745180712518387</v>
      </c>
      <c r="Q59" s="83">
        <v>2791.1699091610058</v>
      </c>
      <c r="R59" s="56">
        <f t="shared" si="6"/>
        <v>-157.83009083899424</v>
      </c>
      <c r="S59" s="56">
        <f t="shared" si="7"/>
        <v>24910.337574245172</v>
      </c>
      <c r="T59" s="56">
        <f t="shared" si="8"/>
        <v>157.83009083899424</v>
      </c>
      <c r="U59" s="56">
        <f t="shared" si="9"/>
        <v>2.2009327842833937</v>
      </c>
      <c r="V59" s="33">
        <f t="shared" si="10"/>
        <v>-5.3519868036281535</v>
      </c>
      <c r="W59" s="143">
        <f t="shared" si="11"/>
        <v>5.3519868036281535</v>
      </c>
    </row>
    <row r="60" spans="1:23" x14ac:dyDescent="0.15">
      <c r="A60" s="7" t="s">
        <v>254</v>
      </c>
      <c r="B60" s="24" t="s">
        <v>514</v>
      </c>
      <c r="C60" s="70" t="s">
        <v>403</v>
      </c>
      <c r="D60" s="9" t="s">
        <v>82</v>
      </c>
      <c r="E60" s="24" t="s">
        <v>662</v>
      </c>
      <c r="F60" s="10" t="s">
        <v>374</v>
      </c>
      <c r="G60" s="10" t="s">
        <v>634</v>
      </c>
      <c r="H60" s="10" t="s">
        <v>580</v>
      </c>
      <c r="I60" s="85">
        <v>1176.5999999999999</v>
      </c>
      <c r="J60" s="82">
        <v>1372.7862562795128</v>
      </c>
      <c r="K60" s="56">
        <f t="shared" si="0"/>
        <v>196.18625627951292</v>
      </c>
      <c r="L60" s="56">
        <f t="shared" si="1"/>
        <v>38489.047152970721</v>
      </c>
      <c r="M60" s="56">
        <f t="shared" si="2"/>
        <v>196.18625627951292</v>
      </c>
      <c r="N60" s="56">
        <f t="shared" si="3"/>
        <v>2.2948766416905144</v>
      </c>
      <c r="O60" s="143">
        <f t="shared" si="4"/>
        <v>16.673997644017756</v>
      </c>
      <c r="P60" s="143">
        <f t="shared" si="5"/>
        <v>16.673997644017756</v>
      </c>
      <c r="Q60" s="83">
        <v>1343.6151495690942</v>
      </c>
      <c r="R60" s="56">
        <f t="shared" si="6"/>
        <v>167.01514956909432</v>
      </c>
      <c r="S60" s="56">
        <f t="shared" si="7"/>
        <v>27894.060185586946</v>
      </c>
      <c r="T60" s="56">
        <f t="shared" si="8"/>
        <v>167.01514956909432</v>
      </c>
      <c r="U60" s="56">
        <f t="shared" si="9"/>
        <v>2.2253484429022192</v>
      </c>
      <c r="V60" s="33">
        <f t="shared" si="10"/>
        <v>14.194726293480736</v>
      </c>
      <c r="W60" s="143">
        <f t="shared" si="11"/>
        <v>14.194726293480736</v>
      </c>
    </row>
    <row r="61" spans="1:23" x14ac:dyDescent="0.15">
      <c r="A61" s="7" t="s">
        <v>63</v>
      </c>
      <c r="B61" s="24" t="s">
        <v>514</v>
      </c>
      <c r="C61" s="70" t="s">
        <v>403</v>
      </c>
      <c r="D61" s="9" t="s">
        <v>82</v>
      </c>
      <c r="E61" s="24" t="s">
        <v>662</v>
      </c>
      <c r="F61" s="10" t="s">
        <v>494</v>
      </c>
      <c r="G61" s="10" t="s">
        <v>634</v>
      </c>
      <c r="H61" s="10" t="s">
        <v>580</v>
      </c>
      <c r="I61" s="8">
        <v>633</v>
      </c>
      <c r="J61" s="82">
        <v>613.54514684786795</v>
      </c>
      <c r="K61" s="56">
        <f t="shared" si="0"/>
        <v>-19.454853152132046</v>
      </c>
      <c r="L61" s="56">
        <f t="shared" si="1"/>
        <v>378.49131117102218</v>
      </c>
      <c r="M61" s="56">
        <f t="shared" si="2"/>
        <v>19.454853152132046</v>
      </c>
      <c r="N61" s="56">
        <f t="shared" si="3"/>
        <v>1.3107963659929036</v>
      </c>
      <c r="O61" s="143">
        <f t="shared" si="4"/>
        <v>-3.0734365169244939</v>
      </c>
      <c r="P61" s="143">
        <f t="shared" si="5"/>
        <v>3.0734365169244939</v>
      </c>
      <c r="Q61" s="83">
        <v>627.53898215547292</v>
      </c>
      <c r="R61" s="56">
        <f t="shared" si="6"/>
        <v>-5.4610178445270776</v>
      </c>
      <c r="S61" s="56">
        <f t="shared" si="7"/>
        <v>29.822715898243167</v>
      </c>
      <c r="T61" s="56">
        <f t="shared" si="8"/>
        <v>5.4610178445270776</v>
      </c>
      <c r="U61" s="56">
        <f t="shared" si="9"/>
        <v>0.81030094050912727</v>
      </c>
      <c r="V61" s="33">
        <f t="shared" si="10"/>
        <v>-0.86272003862987012</v>
      </c>
      <c r="W61" s="143">
        <f t="shared" si="11"/>
        <v>0.86272003862987012</v>
      </c>
    </row>
    <row r="62" spans="1:23" x14ac:dyDescent="0.15">
      <c r="A62" s="7" t="s">
        <v>50</v>
      </c>
      <c r="B62" s="24" t="s">
        <v>514</v>
      </c>
      <c r="C62" s="70" t="s">
        <v>403</v>
      </c>
      <c r="D62" s="9" t="s">
        <v>82</v>
      </c>
      <c r="E62" s="24" t="s">
        <v>662</v>
      </c>
      <c r="F62" s="10" t="s">
        <v>203</v>
      </c>
      <c r="G62" s="10" t="s">
        <v>640</v>
      </c>
      <c r="H62" s="10" t="s">
        <v>581</v>
      </c>
      <c r="I62" s="8">
        <v>2873</v>
      </c>
      <c r="J62" s="82">
        <v>3252.8553174465833</v>
      </c>
      <c r="K62" s="56">
        <f t="shared" si="0"/>
        <v>379.85531744658329</v>
      </c>
      <c r="L62" s="56">
        <f t="shared" si="1"/>
        <v>144290.06219244457</v>
      </c>
      <c r="M62" s="56">
        <f t="shared" si="2"/>
        <v>379.85531744658329</v>
      </c>
      <c r="N62" s="56">
        <f t="shared" si="3"/>
        <v>2.5807600235281631</v>
      </c>
      <c r="O62" s="143">
        <f t="shared" si="4"/>
        <v>13.221556472209651</v>
      </c>
      <c r="P62" s="143">
        <f t="shared" si="5"/>
        <v>13.221556472209651</v>
      </c>
      <c r="Q62" s="83">
        <v>3027.4937094150023</v>
      </c>
      <c r="R62" s="56">
        <f t="shared" si="6"/>
        <v>154.49370941500229</v>
      </c>
      <c r="S62" s="56">
        <f t="shared" si="7"/>
        <v>23868.306248807166</v>
      </c>
      <c r="T62" s="56">
        <f t="shared" si="8"/>
        <v>154.49370941500229</v>
      </c>
      <c r="U62" s="56">
        <f t="shared" si="9"/>
        <v>2.1917128240920309</v>
      </c>
      <c r="V62" s="33">
        <f t="shared" si="10"/>
        <v>5.3774350649148026</v>
      </c>
      <c r="W62" s="143">
        <f t="shared" si="11"/>
        <v>5.3774350649148026</v>
      </c>
    </row>
    <row r="63" spans="1:23" x14ac:dyDescent="0.15">
      <c r="A63" s="7" t="s">
        <v>252</v>
      </c>
      <c r="B63" s="24" t="s">
        <v>514</v>
      </c>
      <c r="C63" s="70" t="s">
        <v>403</v>
      </c>
      <c r="D63" s="9" t="s">
        <v>82</v>
      </c>
      <c r="E63" s="24" t="s">
        <v>662</v>
      </c>
      <c r="F63" s="10" t="s">
        <v>374</v>
      </c>
      <c r="G63" s="10" t="s">
        <v>634</v>
      </c>
      <c r="H63" s="10" t="s">
        <v>580</v>
      </c>
      <c r="I63" s="85">
        <v>1193.83</v>
      </c>
      <c r="J63" s="82">
        <v>956.35685969261465</v>
      </c>
      <c r="K63" s="56">
        <f t="shared" si="0"/>
        <v>-237.47314030738528</v>
      </c>
      <c r="L63" s="56">
        <f t="shared" si="1"/>
        <v>56393.492367451094</v>
      </c>
      <c r="M63" s="56">
        <f t="shared" si="2"/>
        <v>237.47314030738528</v>
      </c>
      <c r="N63" s="56">
        <f t="shared" si="3"/>
        <v>2.3774394707002826</v>
      </c>
      <c r="O63" s="143">
        <f t="shared" si="4"/>
        <v>-19.891704874846948</v>
      </c>
      <c r="P63" s="143">
        <f t="shared" si="5"/>
        <v>19.891704874846948</v>
      </c>
      <c r="Q63" s="83">
        <v>958.47797516019955</v>
      </c>
      <c r="R63" s="56">
        <f t="shared" si="6"/>
        <v>-235.35202483980038</v>
      </c>
      <c r="S63" s="56">
        <f t="shared" si="7"/>
        <v>55390.575596194016</v>
      </c>
      <c r="T63" s="56">
        <f t="shared" si="8"/>
        <v>235.35202483980038</v>
      </c>
      <c r="U63" s="56">
        <f t="shared" si="9"/>
        <v>2.3735593272777531</v>
      </c>
      <c r="V63" s="33">
        <f t="shared" si="10"/>
        <v>-19.714031716391812</v>
      </c>
      <c r="W63" s="143">
        <f t="shared" si="11"/>
        <v>19.714031716391812</v>
      </c>
    </row>
    <row r="64" spans="1:23" x14ac:dyDescent="0.15">
      <c r="A64" s="70" t="s">
        <v>604</v>
      </c>
      <c r="B64" s="24" t="s">
        <v>514</v>
      </c>
      <c r="C64" s="70" t="s">
        <v>403</v>
      </c>
      <c r="D64" s="9" t="s">
        <v>96</v>
      </c>
      <c r="E64" s="24" t="s">
        <v>662</v>
      </c>
      <c r="F64" s="10" t="s">
        <v>293</v>
      </c>
      <c r="G64" s="10" t="s">
        <v>640</v>
      </c>
      <c r="H64" s="10" t="s">
        <v>580</v>
      </c>
      <c r="I64" s="64">
        <v>1985.9</v>
      </c>
      <c r="J64" s="61">
        <v>1925.8555088398368</v>
      </c>
      <c r="K64" s="56">
        <f t="shared" si="0"/>
        <v>-60.044491160163261</v>
      </c>
      <c r="L64" s="56">
        <f t="shared" si="1"/>
        <v>3605.340918682924</v>
      </c>
      <c r="M64" s="56">
        <f t="shared" si="2"/>
        <v>60.044491160163261</v>
      </c>
      <c r="N64" s="56">
        <f t="shared" si="3"/>
        <v>1.785646477999314</v>
      </c>
      <c r="O64" s="143">
        <f t="shared" si="4"/>
        <v>-3.0235405186647495</v>
      </c>
      <c r="P64" s="143">
        <f t="shared" si="5"/>
        <v>3.0235405186647495</v>
      </c>
      <c r="Q64" s="83">
        <v>1863.0750056593945</v>
      </c>
      <c r="R64" s="56">
        <f t="shared" si="6"/>
        <v>-122.8249943406056</v>
      </c>
      <c r="S64" s="56">
        <f t="shared" si="7"/>
        <v>15085.979234769797</v>
      </c>
      <c r="T64" s="56">
        <f t="shared" si="8"/>
        <v>122.8249943406056</v>
      </c>
      <c r="U64" s="56">
        <f t="shared" si="9"/>
        <v>2.0928083168051592</v>
      </c>
      <c r="V64" s="33">
        <f t="shared" si="10"/>
        <v>-6.1848529301881054</v>
      </c>
      <c r="W64" s="143">
        <f t="shared" si="11"/>
        <v>6.1848529301881054</v>
      </c>
    </row>
    <row r="65" spans="1:23" x14ac:dyDescent="0.15">
      <c r="A65" s="7" t="s">
        <v>244</v>
      </c>
      <c r="B65" s="24" t="s">
        <v>514</v>
      </c>
      <c r="C65" s="70" t="s">
        <v>403</v>
      </c>
      <c r="D65" s="9" t="s">
        <v>82</v>
      </c>
      <c r="E65" s="24" t="s">
        <v>662</v>
      </c>
      <c r="F65" s="10" t="s">
        <v>374</v>
      </c>
      <c r="G65" s="10" t="s">
        <v>634</v>
      </c>
      <c r="H65" s="10" t="s">
        <v>580</v>
      </c>
      <c r="I65" s="8">
        <v>1199.5</v>
      </c>
      <c r="J65" s="82">
        <v>1108.7844990949895</v>
      </c>
      <c r="K65" s="56">
        <f t="shared" si="0"/>
        <v>-90.715500905010458</v>
      </c>
      <c r="L65" s="56">
        <f t="shared" si="1"/>
        <v>8229.3021044469533</v>
      </c>
      <c r="M65" s="56">
        <f t="shared" si="2"/>
        <v>90.715500905010458</v>
      </c>
      <c r="N65" s="56">
        <f t="shared" si="3"/>
        <v>1.9624427423067923</v>
      </c>
      <c r="O65" s="143">
        <f t="shared" si="4"/>
        <v>-7.562776232180946</v>
      </c>
      <c r="P65" s="143">
        <f t="shared" si="5"/>
        <v>7.562776232180946</v>
      </c>
      <c r="Q65" s="83">
        <v>1115.1555945183222</v>
      </c>
      <c r="R65" s="56">
        <f t="shared" si="6"/>
        <v>-84.344405481677768</v>
      </c>
      <c r="S65" s="56">
        <f t="shared" si="7"/>
        <v>7113.9787360576747</v>
      </c>
      <c r="T65" s="56">
        <f t="shared" si="8"/>
        <v>84.344405481677768</v>
      </c>
      <c r="U65" s="56">
        <f t="shared" si="9"/>
        <v>1.9311750574007274</v>
      </c>
      <c r="V65" s="33">
        <f t="shared" si="10"/>
        <v>-7.0316303027659668</v>
      </c>
      <c r="W65" s="143">
        <f t="shared" si="11"/>
        <v>7.0316303027659668</v>
      </c>
    </row>
    <row r="66" spans="1:23" x14ac:dyDescent="0.15">
      <c r="A66" s="16" t="s">
        <v>825</v>
      </c>
      <c r="B66" s="24" t="s">
        <v>514</v>
      </c>
      <c r="C66" s="16" t="s">
        <v>403</v>
      </c>
      <c r="D66" s="9" t="s">
        <v>82</v>
      </c>
      <c r="E66" s="24" t="s">
        <v>662</v>
      </c>
      <c r="F66" s="10" t="s">
        <v>494</v>
      </c>
      <c r="G66" s="10" t="s">
        <v>634</v>
      </c>
      <c r="H66" s="10" t="s">
        <v>580</v>
      </c>
      <c r="I66" s="17">
        <v>660.93000000000006</v>
      </c>
      <c r="J66" s="82">
        <v>676.61671639627343</v>
      </c>
      <c r="K66" s="56">
        <f t="shared" ref="K66:K129" si="12">J66-I66</f>
        <v>15.686716396273368</v>
      </c>
      <c r="L66" s="56">
        <f t="shared" ref="L66:L129" si="13">K66^2</f>
        <v>246.07307129711174</v>
      </c>
      <c r="M66" s="56">
        <f t="shared" ref="M66:M129" si="14">SQRT(L66)</f>
        <v>15.686716396273368</v>
      </c>
      <c r="N66" s="56">
        <f t="shared" ref="N66:N129" si="15">LOG10(M66+1)</f>
        <v>1.2223708848350987</v>
      </c>
      <c r="O66" s="143">
        <f t="shared" ref="O66:O129" si="16">100*K66/I66</f>
        <v>2.3734308317481982</v>
      </c>
      <c r="P66" s="143">
        <f t="shared" ref="P66:P129" si="17">ABS(O66)</f>
        <v>2.3734308317481982</v>
      </c>
      <c r="Q66" s="83">
        <v>684.54828898874018</v>
      </c>
      <c r="R66" s="56">
        <f t="shared" ref="R66:R129" si="18">Q66-I66</f>
        <v>23.618288988740119</v>
      </c>
      <c r="S66" s="56">
        <f t="shared" ref="S66:S129" si="19">R66^2</f>
        <v>557.82357475564277</v>
      </c>
      <c r="T66" s="56">
        <f t="shared" ref="T66:T129" si="20">SQRT(S66)</f>
        <v>23.618288988740119</v>
      </c>
      <c r="U66" s="56">
        <f t="shared" ref="U66:U129" si="21">LOG10(T66+1)</f>
        <v>1.391257865468946</v>
      </c>
      <c r="V66" s="33">
        <f t="shared" ref="V66:V129" si="22">100*R66/I66</f>
        <v>3.5734932577943379</v>
      </c>
      <c r="W66" s="143">
        <f t="shared" ref="W66:W129" si="23">ABS(V66)</f>
        <v>3.5734932577943379</v>
      </c>
    </row>
    <row r="67" spans="1:23" x14ac:dyDescent="0.15">
      <c r="A67" s="70" t="s">
        <v>605</v>
      </c>
      <c r="B67" s="24" t="s">
        <v>514</v>
      </c>
      <c r="C67" s="70" t="s">
        <v>403</v>
      </c>
      <c r="D67" s="9" t="s">
        <v>82</v>
      </c>
      <c r="E67" s="24" t="s">
        <v>662</v>
      </c>
      <c r="F67" s="22" t="s">
        <v>374</v>
      </c>
      <c r="G67" s="10" t="s">
        <v>634</v>
      </c>
      <c r="H67" s="10" t="s">
        <v>580</v>
      </c>
      <c r="I67" s="64">
        <v>1348</v>
      </c>
      <c r="J67" s="82">
        <v>1518.4831721419689</v>
      </c>
      <c r="K67" s="56">
        <f t="shared" si="12"/>
        <v>170.48317214196891</v>
      </c>
      <c r="L67" s="56">
        <f t="shared" si="13"/>
        <v>29064.511983588203</v>
      </c>
      <c r="M67" s="56">
        <f t="shared" si="14"/>
        <v>170.48317214196891</v>
      </c>
      <c r="N67" s="56">
        <f t="shared" si="15"/>
        <v>2.2342215086093602</v>
      </c>
      <c r="O67" s="143">
        <f t="shared" si="16"/>
        <v>12.64711959510155</v>
      </c>
      <c r="P67" s="143">
        <f t="shared" si="17"/>
        <v>12.64711959510155</v>
      </c>
      <c r="Q67" s="83">
        <v>1484.6453244658092</v>
      </c>
      <c r="R67" s="56">
        <f t="shared" si="18"/>
        <v>136.64532446580915</v>
      </c>
      <c r="S67" s="56">
        <f t="shared" si="19"/>
        <v>18671.94469836626</v>
      </c>
      <c r="T67" s="56">
        <f t="shared" si="20"/>
        <v>136.64532446580915</v>
      </c>
      <c r="U67" s="56">
        <f t="shared" si="21"/>
        <v>2.1387614638718437</v>
      </c>
      <c r="V67" s="33">
        <f t="shared" si="22"/>
        <v>10.136893506365665</v>
      </c>
      <c r="W67" s="143">
        <f t="shared" si="23"/>
        <v>10.136893506365665</v>
      </c>
    </row>
    <row r="68" spans="1:23" x14ac:dyDescent="0.15">
      <c r="A68" s="70" t="s">
        <v>615</v>
      </c>
      <c r="B68" s="24" t="s">
        <v>514</v>
      </c>
      <c r="C68" s="8" t="s">
        <v>403</v>
      </c>
      <c r="D68" s="9" t="s">
        <v>148</v>
      </c>
      <c r="E68" s="24" t="s">
        <v>662</v>
      </c>
      <c r="F68" s="10" t="s">
        <v>374</v>
      </c>
      <c r="G68" s="10" t="s">
        <v>634</v>
      </c>
      <c r="H68" s="10" t="s">
        <v>580</v>
      </c>
      <c r="I68" s="64">
        <v>1168</v>
      </c>
      <c r="J68" s="82">
        <v>1239.224468225784</v>
      </c>
      <c r="K68" s="56">
        <f t="shared" si="12"/>
        <v>71.224468225783994</v>
      </c>
      <c r="L68" s="56">
        <f t="shared" si="13"/>
        <v>5072.9248740457142</v>
      </c>
      <c r="M68" s="56">
        <f t="shared" si="14"/>
        <v>71.224468225783994</v>
      </c>
      <c r="N68" s="56">
        <f t="shared" si="15"/>
        <v>1.858684352905188</v>
      </c>
      <c r="O68" s="143">
        <f t="shared" si="16"/>
        <v>6.0979852933034238</v>
      </c>
      <c r="P68" s="143">
        <f t="shared" si="17"/>
        <v>6.0979852933034238</v>
      </c>
      <c r="Q68" s="83">
        <v>1219.0863453087607</v>
      </c>
      <c r="R68" s="56">
        <f t="shared" si="18"/>
        <v>51.086345308760656</v>
      </c>
      <c r="S68" s="56">
        <f t="shared" si="19"/>
        <v>2609.814677005932</v>
      </c>
      <c r="T68" s="56">
        <f t="shared" si="20"/>
        <v>51.086345308760656</v>
      </c>
      <c r="U68" s="56">
        <f t="shared" si="21"/>
        <v>1.7167238857889808</v>
      </c>
      <c r="V68" s="33">
        <f t="shared" si="22"/>
        <v>4.3738309339692343</v>
      </c>
      <c r="W68" s="143">
        <f t="shared" si="23"/>
        <v>4.3738309339692343</v>
      </c>
    </row>
    <row r="69" spans="1:23" x14ac:dyDescent="0.15">
      <c r="A69" s="70" t="s">
        <v>607</v>
      </c>
      <c r="B69" s="24" t="s">
        <v>514</v>
      </c>
      <c r="C69" s="8" t="s">
        <v>403</v>
      </c>
      <c r="D69" s="9" t="s">
        <v>148</v>
      </c>
      <c r="E69" s="24" t="s">
        <v>662</v>
      </c>
      <c r="F69" s="22" t="s">
        <v>374</v>
      </c>
      <c r="G69" s="10" t="s">
        <v>634</v>
      </c>
      <c r="H69" s="10" t="s">
        <v>580</v>
      </c>
      <c r="I69" s="64">
        <v>1439.3</v>
      </c>
      <c r="J69" s="82">
        <v>1446.3212279950817</v>
      </c>
      <c r="K69" s="56">
        <f t="shared" si="12"/>
        <v>7.0212279950817447</v>
      </c>
      <c r="L69" s="56">
        <f t="shared" si="13"/>
        <v>49.297642558919613</v>
      </c>
      <c r="M69" s="56">
        <f t="shared" si="14"/>
        <v>7.0212279950817447</v>
      </c>
      <c r="N69" s="56">
        <f t="shared" si="15"/>
        <v>0.9042408608854795</v>
      </c>
      <c r="O69" s="143">
        <f t="shared" si="16"/>
        <v>0.48782241333160181</v>
      </c>
      <c r="P69" s="143">
        <f t="shared" si="17"/>
        <v>0.48782241333160181</v>
      </c>
      <c r="Q69" s="83">
        <v>1418.6937354377169</v>
      </c>
      <c r="R69" s="56">
        <f t="shared" si="18"/>
        <v>-20.606264562283059</v>
      </c>
      <c r="S69" s="56">
        <f t="shared" si="19"/>
        <v>424.61813921080261</v>
      </c>
      <c r="T69" s="56">
        <f t="shared" si="20"/>
        <v>20.606264562283059</v>
      </c>
      <c r="U69" s="56">
        <f t="shared" si="21"/>
        <v>1.3345796895942423</v>
      </c>
      <c r="V69" s="33">
        <f t="shared" si="22"/>
        <v>-1.4316865533441991</v>
      </c>
      <c r="W69" s="143">
        <f t="shared" si="23"/>
        <v>1.4316865533441991</v>
      </c>
    </row>
    <row r="70" spans="1:23" x14ac:dyDescent="0.15">
      <c r="A70" s="70" t="s">
        <v>606</v>
      </c>
      <c r="B70" s="24" t="s">
        <v>514</v>
      </c>
      <c r="C70" s="8" t="s">
        <v>403</v>
      </c>
      <c r="D70" s="9" t="s">
        <v>148</v>
      </c>
      <c r="E70" s="24" t="s">
        <v>662</v>
      </c>
      <c r="F70" s="10" t="s">
        <v>374</v>
      </c>
      <c r="G70" s="10" t="s">
        <v>634</v>
      </c>
      <c r="H70" s="10" t="s">
        <v>580</v>
      </c>
      <c r="I70" s="64">
        <v>1196.7</v>
      </c>
      <c r="J70" s="82">
        <v>1261.50947262774</v>
      </c>
      <c r="K70" s="56">
        <f t="shared" si="12"/>
        <v>64.809472627739979</v>
      </c>
      <c r="L70" s="56">
        <f t="shared" si="13"/>
        <v>4200.2677422857778</v>
      </c>
      <c r="M70" s="56">
        <f t="shared" si="14"/>
        <v>64.809472627739979</v>
      </c>
      <c r="N70" s="56">
        <f t="shared" si="15"/>
        <v>1.8182884105419783</v>
      </c>
      <c r="O70" s="143">
        <f t="shared" si="16"/>
        <v>5.4156825125545227</v>
      </c>
      <c r="P70" s="143">
        <f t="shared" si="17"/>
        <v>5.4156825125545227</v>
      </c>
      <c r="Q70" s="83">
        <v>1280.5607403491567</v>
      </c>
      <c r="R70" s="56">
        <f t="shared" si="18"/>
        <v>83.860740349156686</v>
      </c>
      <c r="S70" s="56">
        <f t="shared" si="19"/>
        <v>7032.6237719086757</v>
      </c>
      <c r="T70" s="56">
        <f t="shared" si="20"/>
        <v>83.860740349156686</v>
      </c>
      <c r="U70" s="56">
        <f t="shared" si="21"/>
        <v>1.9287068163553067</v>
      </c>
      <c r="V70" s="33">
        <f t="shared" si="22"/>
        <v>7.0076661109013694</v>
      </c>
      <c r="W70" s="143">
        <f t="shared" si="23"/>
        <v>7.0076661109013694</v>
      </c>
    </row>
    <row r="71" spans="1:23" x14ac:dyDescent="0.15">
      <c r="A71" s="70" t="s">
        <v>666</v>
      </c>
      <c r="B71" s="24" t="s">
        <v>514</v>
      </c>
      <c r="C71" s="64" t="s">
        <v>403</v>
      </c>
      <c r="D71" s="9" t="s">
        <v>82</v>
      </c>
      <c r="E71" s="24" t="s">
        <v>662</v>
      </c>
      <c r="F71" s="10" t="s">
        <v>374</v>
      </c>
      <c r="G71" s="10" t="s">
        <v>634</v>
      </c>
      <c r="H71" s="10" t="s">
        <v>580</v>
      </c>
      <c r="I71" s="64">
        <v>1207.3</v>
      </c>
      <c r="J71" s="82">
        <v>1148.2310147513863</v>
      </c>
      <c r="K71" s="56">
        <f t="shared" si="12"/>
        <v>-59.068985248613672</v>
      </c>
      <c r="L71" s="56">
        <f t="shared" si="13"/>
        <v>3489.1450183009397</v>
      </c>
      <c r="M71" s="56">
        <f t="shared" si="14"/>
        <v>59.068985248613672</v>
      </c>
      <c r="N71" s="56">
        <f t="shared" si="15"/>
        <v>1.778650295429127</v>
      </c>
      <c r="O71" s="143">
        <f t="shared" si="16"/>
        <v>-4.8926518055672723</v>
      </c>
      <c r="P71" s="143">
        <f t="shared" si="17"/>
        <v>4.8926518055672723</v>
      </c>
      <c r="Q71" s="83">
        <v>1120.9761400780551</v>
      </c>
      <c r="R71" s="56">
        <f t="shared" si="18"/>
        <v>-86.323859921944859</v>
      </c>
      <c r="S71" s="56">
        <f t="shared" si="19"/>
        <v>7451.8087918235578</v>
      </c>
      <c r="T71" s="56">
        <f t="shared" si="20"/>
        <v>86.323859921944859</v>
      </c>
      <c r="U71" s="56">
        <f t="shared" si="21"/>
        <v>1.941132924308649</v>
      </c>
      <c r="V71" s="33">
        <f t="shared" si="22"/>
        <v>-7.1501581977921695</v>
      </c>
      <c r="W71" s="143">
        <f t="shared" si="23"/>
        <v>7.1501581977921695</v>
      </c>
    </row>
    <row r="72" spans="1:23" x14ac:dyDescent="0.15">
      <c r="A72" s="70" t="s">
        <v>616</v>
      </c>
      <c r="B72" s="24" t="s">
        <v>514</v>
      </c>
      <c r="C72" s="8" t="s">
        <v>403</v>
      </c>
      <c r="D72" s="9" t="s">
        <v>82</v>
      </c>
      <c r="E72" s="24" t="s">
        <v>662</v>
      </c>
      <c r="F72" s="10" t="s">
        <v>293</v>
      </c>
      <c r="G72" s="10" t="s">
        <v>640</v>
      </c>
      <c r="H72" s="10" t="s">
        <v>580</v>
      </c>
      <c r="I72" s="64">
        <v>2298</v>
      </c>
      <c r="J72" s="82">
        <v>2027.034734565299</v>
      </c>
      <c r="K72" s="56">
        <f t="shared" si="12"/>
        <v>-270.965265434701</v>
      </c>
      <c r="L72" s="56">
        <f t="shared" si="13"/>
        <v>73422.175072097962</v>
      </c>
      <c r="M72" s="56">
        <f t="shared" si="14"/>
        <v>270.965265434701</v>
      </c>
      <c r="N72" s="56">
        <f t="shared" si="15"/>
        <v>2.4345134408235132</v>
      </c>
      <c r="O72" s="143">
        <f t="shared" si="16"/>
        <v>-11.791351846592732</v>
      </c>
      <c r="P72" s="143">
        <f t="shared" si="17"/>
        <v>11.791351846592732</v>
      </c>
      <c r="Q72" s="83">
        <v>1936.946195992211</v>
      </c>
      <c r="R72" s="56">
        <f t="shared" si="18"/>
        <v>-361.05380400778904</v>
      </c>
      <c r="S72" s="56">
        <f t="shared" si="19"/>
        <v>130359.84938849494</v>
      </c>
      <c r="T72" s="56">
        <f t="shared" si="20"/>
        <v>361.05380400778904</v>
      </c>
      <c r="U72" s="56">
        <f t="shared" si="21"/>
        <v>2.5587731148628845</v>
      </c>
      <c r="V72" s="33">
        <f t="shared" si="22"/>
        <v>-15.711653786239731</v>
      </c>
      <c r="W72" s="143">
        <f t="shared" si="23"/>
        <v>15.711653786239731</v>
      </c>
    </row>
    <row r="73" spans="1:23" x14ac:dyDescent="0.15">
      <c r="A73" s="70" t="s">
        <v>617</v>
      </c>
      <c r="B73" s="24" t="s">
        <v>514</v>
      </c>
      <c r="C73" s="8" t="s">
        <v>403</v>
      </c>
      <c r="D73" s="9" t="s">
        <v>82</v>
      </c>
      <c r="E73" s="24" t="s">
        <v>662</v>
      </c>
      <c r="F73" s="10" t="s">
        <v>293</v>
      </c>
      <c r="G73" s="10" t="s">
        <v>640</v>
      </c>
      <c r="H73" s="10" t="s">
        <v>580</v>
      </c>
      <c r="I73" s="64">
        <v>2030</v>
      </c>
      <c r="J73" s="82">
        <v>1976.3675626210538</v>
      </c>
      <c r="K73" s="56">
        <f t="shared" si="12"/>
        <v>-53.632437378946179</v>
      </c>
      <c r="L73" s="56">
        <f t="shared" si="13"/>
        <v>2876.4383392065834</v>
      </c>
      <c r="M73" s="56">
        <f t="shared" si="14"/>
        <v>53.632437378946179</v>
      </c>
      <c r="N73" s="56">
        <f t="shared" si="15"/>
        <v>1.7374505766195312</v>
      </c>
      <c r="O73" s="143">
        <f t="shared" si="16"/>
        <v>-2.6419919891106494</v>
      </c>
      <c r="P73" s="143">
        <f t="shared" si="17"/>
        <v>2.6419919891106494</v>
      </c>
      <c r="Q73" s="83">
        <v>1902.7788756594887</v>
      </c>
      <c r="R73" s="56">
        <f t="shared" si="18"/>
        <v>-127.22112434051132</v>
      </c>
      <c r="S73" s="56">
        <f t="shared" si="19"/>
        <v>16185.214478463842</v>
      </c>
      <c r="T73" s="56">
        <f t="shared" si="20"/>
        <v>127.22112434051132</v>
      </c>
      <c r="U73" s="56">
        <f t="shared" si="21"/>
        <v>2.1079595807893208</v>
      </c>
      <c r="V73" s="33">
        <f t="shared" si="22"/>
        <v>-6.2670504601237109</v>
      </c>
      <c r="W73" s="143">
        <f t="shared" si="23"/>
        <v>6.2670504601237109</v>
      </c>
    </row>
    <row r="74" spans="1:23" x14ac:dyDescent="0.15">
      <c r="A74" s="7" t="s">
        <v>808</v>
      </c>
      <c r="B74" s="24" t="s">
        <v>512</v>
      </c>
      <c r="C74" s="64" t="s">
        <v>824</v>
      </c>
      <c r="D74" s="68" t="s">
        <v>148</v>
      </c>
      <c r="E74" s="24" t="s">
        <v>661</v>
      </c>
      <c r="F74" s="22" t="s">
        <v>374</v>
      </c>
      <c r="G74" s="10" t="s">
        <v>634</v>
      </c>
      <c r="H74" s="10" t="s">
        <v>580</v>
      </c>
      <c r="I74" s="9">
        <v>1450</v>
      </c>
      <c r="J74" s="82">
        <v>1790.1799999999998</v>
      </c>
      <c r="K74" s="56">
        <f t="shared" si="12"/>
        <v>340.17999999999984</v>
      </c>
      <c r="L74" s="56">
        <f t="shared" si="13"/>
        <v>115722.43239999989</v>
      </c>
      <c r="M74" s="56">
        <f t="shared" si="14"/>
        <v>340.17999999999984</v>
      </c>
      <c r="N74" s="56">
        <f t="shared" si="15"/>
        <v>2.5329835648629619</v>
      </c>
      <c r="O74" s="143">
        <f t="shared" si="16"/>
        <v>23.460689655172402</v>
      </c>
      <c r="P74" s="143">
        <f t="shared" si="17"/>
        <v>23.460689655172402</v>
      </c>
      <c r="Q74" s="83">
        <v>1855.6999999999998</v>
      </c>
      <c r="R74" s="56">
        <f t="shared" si="18"/>
        <v>405.69999999999982</v>
      </c>
      <c r="S74" s="56">
        <f t="shared" si="19"/>
        <v>164592.48999999985</v>
      </c>
      <c r="T74" s="56">
        <f t="shared" si="20"/>
        <v>405.69999999999982</v>
      </c>
      <c r="U74" s="56">
        <f t="shared" si="21"/>
        <v>2.6092741724045876</v>
      </c>
      <c r="V74" s="33">
        <f t="shared" si="22"/>
        <v>27.979310344827574</v>
      </c>
      <c r="W74" s="143">
        <f t="shared" si="23"/>
        <v>27.979310344827574</v>
      </c>
    </row>
    <row r="75" spans="1:23" x14ac:dyDescent="0.15">
      <c r="A75" s="7" t="s">
        <v>809</v>
      </c>
      <c r="B75" s="24" t="s">
        <v>512</v>
      </c>
      <c r="C75" s="64" t="s">
        <v>824</v>
      </c>
      <c r="D75" s="9" t="s">
        <v>148</v>
      </c>
      <c r="E75" s="24" t="s">
        <v>661</v>
      </c>
      <c r="F75" s="22" t="s">
        <v>374</v>
      </c>
      <c r="G75" s="10" t="s">
        <v>634</v>
      </c>
      <c r="H75" s="10" t="s">
        <v>580</v>
      </c>
      <c r="I75" s="64">
        <v>1333</v>
      </c>
      <c r="J75" s="82">
        <v>1692.2600000000002</v>
      </c>
      <c r="K75" s="56">
        <f t="shared" si="12"/>
        <v>359.26000000000022</v>
      </c>
      <c r="L75" s="56">
        <f t="shared" si="13"/>
        <v>129067.74760000016</v>
      </c>
      <c r="M75" s="56">
        <f t="shared" si="14"/>
        <v>359.26000000000022</v>
      </c>
      <c r="N75" s="56">
        <f t="shared" si="15"/>
        <v>2.556616044682539</v>
      </c>
      <c r="O75" s="143">
        <f t="shared" si="16"/>
        <v>26.95123780945238</v>
      </c>
      <c r="P75" s="143">
        <f t="shared" si="17"/>
        <v>26.95123780945238</v>
      </c>
      <c r="Q75" s="83">
        <v>1723.1</v>
      </c>
      <c r="R75" s="56">
        <f t="shared" si="18"/>
        <v>390.09999999999991</v>
      </c>
      <c r="S75" s="56">
        <f t="shared" si="19"/>
        <v>152178.00999999992</v>
      </c>
      <c r="T75" s="56">
        <f t="shared" si="20"/>
        <v>390.09999999999991</v>
      </c>
      <c r="U75" s="56">
        <f t="shared" si="21"/>
        <v>2.5922878159521305</v>
      </c>
      <c r="V75" s="33">
        <f t="shared" si="22"/>
        <v>29.264816204051009</v>
      </c>
      <c r="W75" s="143">
        <f t="shared" si="23"/>
        <v>29.264816204051009</v>
      </c>
    </row>
    <row r="76" spans="1:23" x14ac:dyDescent="0.15">
      <c r="A76" s="7" t="s">
        <v>810</v>
      </c>
      <c r="B76" s="24" t="s">
        <v>512</v>
      </c>
      <c r="C76" s="64" t="s">
        <v>824</v>
      </c>
      <c r="D76" s="9" t="s">
        <v>148</v>
      </c>
      <c r="E76" s="24" t="s">
        <v>661</v>
      </c>
      <c r="F76" s="10" t="s">
        <v>374</v>
      </c>
      <c r="G76" s="10" t="s">
        <v>640</v>
      </c>
      <c r="H76" s="10" t="s">
        <v>580</v>
      </c>
      <c r="I76" s="64">
        <v>1622</v>
      </c>
      <c r="J76" s="82">
        <v>2059.46</v>
      </c>
      <c r="K76" s="56">
        <f t="shared" si="12"/>
        <v>437.46000000000004</v>
      </c>
      <c r="L76" s="56">
        <f t="shared" si="13"/>
        <v>191371.25160000002</v>
      </c>
      <c r="M76" s="56">
        <f t="shared" si="14"/>
        <v>437.46000000000004</v>
      </c>
      <c r="N76" s="56">
        <f t="shared" si="15"/>
        <v>2.6419299795226938</v>
      </c>
      <c r="O76" s="143">
        <f t="shared" si="16"/>
        <v>26.970406905055487</v>
      </c>
      <c r="P76" s="143">
        <f t="shared" si="17"/>
        <v>26.970406905055487</v>
      </c>
      <c r="Q76" s="83">
        <v>2058.5</v>
      </c>
      <c r="R76" s="56">
        <f t="shared" si="18"/>
        <v>436.5</v>
      </c>
      <c r="S76" s="56">
        <f t="shared" si="19"/>
        <v>190532.25</v>
      </c>
      <c r="T76" s="56">
        <f t="shared" si="20"/>
        <v>436.5</v>
      </c>
      <c r="U76" s="56">
        <f t="shared" si="21"/>
        <v>2.6409780573583319</v>
      </c>
      <c r="V76" s="33">
        <f t="shared" si="22"/>
        <v>26.911220715166461</v>
      </c>
      <c r="W76" s="143">
        <f t="shared" si="23"/>
        <v>26.911220715166461</v>
      </c>
    </row>
    <row r="77" spans="1:23" x14ac:dyDescent="0.15">
      <c r="A77" s="64" t="s">
        <v>811</v>
      </c>
      <c r="B77" s="24" t="s">
        <v>512</v>
      </c>
      <c r="C77" s="64" t="s">
        <v>824</v>
      </c>
      <c r="D77" s="9" t="s">
        <v>148</v>
      </c>
      <c r="E77" s="24" t="s">
        <v>661</v>
      </c>
      <c r="F77" s="10" t="s">
        <v>374</v>
      </c>
      <c r="G77" s="10" t="s">
        <v>640</v>
      </c>
      <c r="H77" s="10" t="s">
        <v>580</v>
      </c>
      <c r="I77" s="64">
        <v>1774</v>
      </c>
      <c r="J77" s="82">
        <v>2279.7800000000002</v>
      </c>
      <c r="K77" s="56">
        <f t="shared" si="12"/>
        <v>505.7800000000002</v>
      </c>
      <c r="L77" s="56">
        <f t="shared" si="13"/>
        <v>255813.40840000019</v>
      </c>
      <c r="M77" s="56">
        <f t="shared" si="14"/>
        <v>505.7800000000002</v>
      </c>
      <c r="N77" s="56">
        <f t="shared" si="15"/>
        <v>2.7048194671801697</v>
      </c>
      <c r="O77" s="143">
        <f t="shared" si="16"/>
        <v>28.510710259301028</v>
      </c>
      <c r="P77" s="143">
        <f t="shared" si="17"/>
        <v>28.510710259301028</v>
      </c>
      <c r="Q77" s="83">
        <v>2214.5</v>
      </c>
      <c r="R77" s="56">
        <f t="shared" si="18"/>
        <v>440.5</v>
      </c>
      <c r="S77" s="56">
        <f t="shared" si="19"/>
        <v>194040.25</v>
      </c>
      <c r="T77" s="56">
        <f t="shared" si="20"/>
        <v>440.5</v>
      </c>
      <c r="U77" s="56">
        <f t="shared" si="21"/>
        <v>2.6449307079135873</v>
      </c>
      <c r="V77" s="33">
        <f t="shared" si="22"/>
        <v>24.830890642615557</v>
      </c>
      <c r="W77" s="143">
        <f t="shared" si="23"/>
        <v>24.830890642615557</v>
      </c>
    </row>
    <row r="78" spans="1:23" x14ac:dyDescent="0.15">
      <c r="A78" s="64" t="s">
        <v>812</v>
      </c>
      <c r="B78" s="24" t="s">
        <v>512</v>
      </c>
      <c r="C78" s="64" t="s">
        <v>824</v>
      </c>
      <c r="D78" s="9" t="s">
        <v>148</v>
      </c>
      <c r="E78" s="24" t="s">
        <v>661</v>
      </c>
      <c r="F78" s="10" t="s">
        <v>374</v>
      </c>
      <c r="G78" s="10" t="s">
        <v>640</v>
      </c>
      <c r="H78" s="10" t="s">
        <v>580</v>
      </c>
      <c r="I78" s="64">
        <v>1911</v>
      </c>
      <c r="J78" s="82">
        <v>2516.42</v>
      </c>
      <c r="K78" s="56">
        <f t="shared" si="12"/>
        <v>605.42000000000007</v>
      </c>
      <c r="L78" s="56">
        <f t="shared" si="13"/>
        <v>366533.37640000007</v>
      </c>
      <c r="M78" s="56">
        <f t="shared" si="14"/>
        <v>605.42000000000007</v>
      </c>
      <c r="N78" s="56">
        <f t="shared" si="15"/>
        <v>2.7827735160844265</v>
      </c>
      <c r="O78" s="143">
        <f t="shared" si="16"/>
        <v>31.680795395081113</v>
      </c>
      <c r="P78" s="143">
        <f t="shared" si="17"/>
        <v>31.680795395081113</v>
      </c>
      <c r="Q78" s="83">
        <v>2565.5</v>
      </c>
      <c r="R78" s="56">
        <f t="shared" si="18"/>
        <v>654.5</v>
      </c>
      <c r="S78" s="56">
        <f t="shared" si="19"/>
        <v>428370.25</v>
      </c>
      <c r="T78" s="56">
        <f t="shared" si="20"/>
        <v>654.5</v>
      </c>
      <c r="U78" s="56">
        <f t="shared" si="21"/>
        <v>2.8165726960261033</v>
      </c>
      <c r="V78" s="33">
        <f t="shared" si="22"/>
        <v>34.249084249084248</v>
      </c>
      <c r="W78" s="143">
        <f t="shared" si="23"/>
        <v>34.249084249084248</v>
      </c>
    </row>
    <row r="79" spans="1:23" x14ac:dyDescent="0.15">
      <c r="A79" s="7" t="s">
        <v>813</v>
      </c>
      <c r="B79" s="24" t="s">
        <v>512</v>
      </c>
      <c r="C79" s="64" t="s">
        <v>824</v>
      </c>
      <c r="D79" s="9" t="s">
        <v>148</v>
      </c>
      <c r="E79" s="24" t="s">
        <v>661</v>
      </c>
      <c r="F79" s="22" t="s">
        <v>374</v>
      </c>
      <c r="G79" s="10" t="s">
        <v>634</v>
      </c>
      <c r="H79" s="10" t="s">
        <v>580</v>
      </c>
      <c r="I79" s="64">
        <v>1427</v>
      </c>
      <c r="J79" s="82">
        <v>1782.02</v>
      </c>
      <c r="K79" s="56">
        <f t="shared" si="12"/>
        <v>355.02</v>
      </c>
      <c r="L79" s="56">
        <f t="shared" si="13"/>
        <v>126039.20039999999</v>
      </c>
      <c r="M79" s="56">
        <f t="shared" si="14"/>
        <v>355.02</v>
      </c>
      <c r="N79" s="56">
        <f t="shared" si="15"/>
        <v>2.5514743958539468</v>
      </c>
      <c r="O79" s="143">
        <f t="shared" si="16"/>
        <v>24.878766643307639</v>
      </c>
      <c r="P79" s="143">
        <f t="shared" si="17"/>
        <v>24.878766643307639</v>
      </c>
      <c r="Q79" s="83">
        <v>1808.9</v>
      </c>
      <c r="R79" s="56">
        <f t="shared" si="18"/>
        <v>381.90000000000009</v>
      </c>
      <c r="S79" s="56">
        <f t="shared" si="19"/>
        <v>145847.61000000007</v>
      </c>
      <c r="T79" s="56">
        <f t="shared" si="20"/>
        <v>381.90000000000009</v>
      </c>
      <c r="U79" s="56">
        <f t="shared" si="21"/>
        <v>2.5830853663476878</v>
      </c>
      <c r="V79" s="33">
        <f t="shared" si="22"/>
        <v>26.762438682550812</v>
      </c>
      <c r="W79" s="143">
        <f t="shared" si="23"/>
        <v>26.762438682550812</v>
      </c>
    </row>
    <row r="80" spans="1:23" x14ac:dyDescent="0.15">
      <c r="A80" s="7" t="s">
        <v>814</v>
      </c>
      <c r="B80" s="24" t="s">
        <v>512</v>
      </c>
      <c r="C80" s="64" t="s">
        <v>824</v>
      </c>
      <c r="D80" s="9" t="s">
        <v>148</v>
      </c>
      <c r="E80" s="24" t="s">
        <v>661</v>
      </c>
      <c r="F80" s="22" t="s">
        <v>374</v>
      </c>
      <c r="G80" s="10" t="s">
        <v>634</v>
      </c>
      <c r="H80" s="10" t="s">
        <v>580</v>
      </c>
      <c r="I80" s="64">
        <v>1408</v>
      </c>
      <c r="J80" s="82">
        <v>1790.1799999999998</v>
      </c>
      <c r="K80" s="56">
        <f t="shared" si="12"/>
        <v>382.17999999999984</v>
      </c>
      <c r="L80" s="56">
        <f t="shared" si="13"/>
        <v>146061.55239999987</v>
      </c>
      <c r="M80" s="56">
        <f t="shared" si="14"/>
        <v>382.17999999999984</v>
      </c>
      <c r="N80" s="56">
        <f t="shared" si="15"/>
        <v>2.5834028330883614</v>
      </c>
      <c r="O80" s="143">
        <f t="shared" si="16"/>
        <v>27.143465909090899</v>
      </c>
      <c r="P80" s="143">
        <f t="shared" si="17"/>
        <v>27.143465909090899</v>
      </c>
      <c r="Q80" s="83">
        <v>1785.5</v>
      </c>
      <c r="R80" s="56">
        <f t="shared" si="18"/>
        <v>377.5</v>
      </c>
      <c r="S80" s="56">
        <f t="shared" si="19"/>
        <v>142506.25</v>
      </c>
      <c r="T80" s="56">
        <f t="shared" si="20"/>
        <v>377.5</v>
      </c>
      <c r="U80" s="56">
        <f t="shared" si="21"/>
        <v>2.5780658838360915</v>
      </c>
      <c r="V80" s="33">
        <f t="shared" si="22"/>
        <v>26.811079545454547</v>
      </c>
      <c r="W80" s="143">
        <f t="shared" si="23"/>
        <v>26.811079545454547</v>
      </c>
    </row>
    <row r="81" spans="1:23" x14ac:dyDescent="0.15">
      <c r="A81" s="64" t="s">
        <v>815</v>
      </c>
      <c r="B81" s="24" t="s">
        <v>512</v>
      </c>
      <c r="C81" s="64" t="s">
        <v>824</v>
      </c>
      <c r="D81" s="77" t="s">
        <v>148</v>
      </c>
      <c r="E81" s="24" t="s">
        <v>661</v>
      </c>
      <c r="F81" s="10" t="s">
        <v>374</v>
      </c>
      <c r="G81" s="10" t="s">
        <v>640</v>
      </c>
      <c r="H81" s="10" t="s">
        <v>580</v>
      </c>
      <c r="I81" s="64">
        <v>1651</v>
      </c>
      <c r="J81" s="82">
        <v>2051.3000000000002</v>
      </c>
      <c r="K81" s="56">
        <f t="shared" si="12"/>
        <v>400.30000000000018</v>
      </c>
      <c r="L81" s="56">
        <f t="shared" si="13"/>
        <v>160240.09000000014</v>
      </c>
      <c r="M81" s="56">
        <f t="shared" si="14"/>
        <v>400.30000000000018</v>
      </c>
      <c r="N81" s="56">
        <f t="shared" si="15"/>
        <v>2.6034691597338391</v>
      </c>
      <c r="O81" s="143">
        <f t="shared" si="16"/>
        <v>24.245911568746223</v>
      </c>
      <c r="P81" s="143">
        <f t="shared" si="17"/>
        <v>24.245911568746223</v>
      </c>
      <c r="Q81" s="83">
        <v>2027.2999999999997</v>
      </c>
      <c r="R81" s="56">
        <f t="shared" si="18"/>
        <v>376.29999999999973</v>
      </c>
      <c r="S81" s="56">
        <f t="shared" si="19"/>
        <v>141601.6899999998</v>
      </c>
      <c r="T81" s="56">
        <f t="shared" si="20"/>
        <v>376.29999999999973</v>
      </c>
      <c r="U81" s="56">
        <f t="shared" si="21"/>
        <v>2.5766868052009952</v>
      </c>
      <c r="V81" s="33">
        <f t="shared" si="22"/>
        <v>22.792247122955768</v>
      </c>
      <c r="W81" s="143">
        <f t="shared" si="23"/>
        <v>22.792247122955768</v>
      </c>
    </row>
    <row r="82" spans="1:23" x14ac:dyDescent="0.15">
      <c r="A82" s="64" t="s">
        <v>816</v>
      </c>
      <c r="B82" s="24" t="s">
        <v>512</v>
      </c>
      <c r="C82" s="64" t="s">
        <v>824</v>
      </c>
      <c r="D82" s="77" t="s">
        <v>148</v>
      </c>
      <c r="E82" s="24" t="s">
        <v>661</v>
      </c>
      <c r="F82" s="22" t="s">
        <v>374</v>
      </c>
      <c r="G82" s="10" t="s">
        <v>634</v>
      </c>
      <c r="H82" s="10" t="s">
        <v>580</v>
      </c>
      <c r="I82" s="64">
        <v>1476</v>
      </c>
      <c r="J82" s="82">
        <v>1912.58</v>
      </c>
      <c r="K82" s="56">
        <f t="shared" si="12"/>
        <v>436.57999999999993</v>
      </c>
      <c r="L82" s="56">
        <f t="shared" si="13"/>
        <v>190602.09639999992</v>
      </c>
      <c r="M82" s="56">
        <f t="shared" si="14"/>
        <v>436.57999999999993</v>
      </c>
      <c r="N82" s="56">
        <f t="shared" si="15"/>
        <v>2.6410574639466415</v>
      </c>
      <c r="O82" s="143">
        <f t="shared" si="16"/>
        <v>29.578590785907853</v>
      </c>
      <c r="P82" s="143">
        <f t="shared" si="17"/>
        <v>29.578590785907853</v>
      </c>
      <c r="Q82" s="83">
        <v>1980.5</v>
      </c>
      <c r="R82" s="56">
        <f t="shared" si="18"/>
        <v>504.5</v>
      </c>
      <c r="S82" s="56">
        <f t="shared" si="19"/>
        <v>254520.25</v>
      </c>
      <c r="T82" s="56">
        <f t="shared" si="20"/>
        <v>504.5</v>
      </c>
      <c r="U82" s="56">
        <f t="shared" si="21"/>
        <v>2.7037211599270199</v>
      </c>
      <c r="V82" s="33">
        <f t="shared" si="22"/>
        <v>34.180216802168019</v>
      </c>
      <c r="W82" s="143">
        <f t="shared" si="23"/>
        <v>34.180216802168019</v>
      </c>
    </row>
    <row r="83" spans="1:23" x14ac:dyDescent="0.15">
      <c r="A83" s="64" t="s">
        <v>817</v>
      </c>
      <c r="B83" s="24" t="s">
        <v>512</v>
      </c>
      <c r="C83" s="64" t="s">
        <v>824</v>
      </c>
      <c r="D83" s="77" t="s">
        <v>148</v>
      </c>
      <c r="E83" s="24" t="s">
        <v>661</v>
      </c>
      <c r="F83" s="22" t="s">
        <v>374</v>
      </c>
      <c r="G83" s="10" t="s">
        <v>634</v>
      </c>
      <c r="H83" s="10" t="s">
        <v>580</v>
      </c>
      <c r="I83" s="64">
        <v>1495</v>
      </c>
      <c r="J83" s="82">
        <v>1920.7400000000002</v>
      </c>
      <c r="K83" s="56">
        <f t="shared" si="12"/>
        <v>425.74000000000024</v>
      </c>
      <c r="L83" s="56">
        <f t="shared" si="13"/>
        <v>181254.54760000019</v>
      </c>
      <c r="M83" s="56">
        <f t="shared" si="14"/>
        <v>425.74000000000024</v>
      </c>
      <c r="N83" s="56">
        <f t="shared" si="15"/>
        <v>2.630163352878268</v>
      </c>
      <c r="O83" s="143">
        <f t="shared" si="16"/>
        <v>28.477591973244163</v>
      </c>
      <c r="P83" s="143">
        <f t="shared" si="17"/>
        <v>28.477591973244163</v>
      </c>
      <c r="Q83" s="83">
        <v>1871.2999999999997</v>
      </c>
      <c r="R83" s="56">
        <f t="shared" si="18"/>
        <v>376.29999999999973</v>
      </c>
      <c r="S83" s="56">
        <f t="shared" si="19"/>
        <v>141601.6899999998</v>
      </c>
      <c r="T83" s="56">
        <f t="shared" si="20"/>
        <v>376.29999999999973</v>
      </c>
      <c r="U83" s="56">
        <f t="shared" si="21"/>
        <v>2.5766868052009952</v>
      </c>
      <c r="V83" s="33">
        <f t="shared" si="22"/>
        <v>25.170568561872891</v>
      </c>
      <c r="W83" s="143">
        <f t="shared" si="23"/>
        <v>25.170568561872891</v>
      </c>
    </row>
    <row r="84" spans="1:23" x14ac:dyDescent="0.15">
      <c r="A84" s="64" t="s">
        <v>818</v>
      </c>
      <c r="B84" s="24" t="s">
        <v>512</v>
      </c>
      <c r="C84" s="64" t="s">
        <v>824</v>
      </c>
      <c r="D84" s="77" t="s">
        <v>148</v>
      </c>
      <c r="E84" s="24" t="s">
        <v>661</v>
      </c>
      <c r="F84" s="22" t="s">
        <v>374</v>
      </c>
      <c r="G84" s="10" t="s">
        <v>634</v>
      </c>
      <c r="H84" s="10" t="s">
        <v>580</v>
      </c>
      <c r="I84" s="64">
        <v>1360</v>
      </c>
      <c r="J84" s="82">
        <v>1716.7400000000002</v>
      </c>
      <c r="K84" s="56">
        <f t="shared" si="12"/>
        <v>356.74000000000024</v>
      </c>
      <c r="L84" s="56">
        <f t="shared" si="13"/>
        <v>127263.42760000017</v>
      </c>
      <c r="M84" s="56">
        <f t="shared" si="14"/>
        <v>356.74000000000024</v>
      </c>
      <c r="N84" s="56">
        <f t="shared" si="15"/>
        <v>2.5535675026539857</v>
      </c>
      <c r="O84" s="143">
        <f t="shared" si="16"/>
        <v>26.230882352941194</v>
      </c>
      <c r="P84" s="143">
        <f t="shared" si="17"/>
        <v>26.230882352941194</v>
      </c>
      <c r="Q84" s="83">
        <v>1723.1</v>
      </c>
      <c r="R84" s="56">
        <f t="shared" si="18"/>
        <v>363.09999999999991</v>
      </c>
      <c r="S84" s="56">
        <f t="shared" si="19"/>
        <v>131841.60999999993</v>
      </c>
      <c r="T84" s="56">
        <f t="shared" si="20"/>
        <v>363.09999999999991</v>
      </c>
      <c r="U84" s="56">
        <f t="shared" si="21"/>
        <v>2.5612206789339438</v>
      </c>
      <c r="V84" s="33">
        <f t="shared" si="22"/>
        <v>26.698529411764699</v>
      </c>
      <c r="W84" s="143">
        <f t="shared" si="23"/>
        <v>26.698529411764699</v>
      </c>
    </row>
    <row r="85" spans="1:23" x14ac:dyDescent="0.15">
      <c r="A85" s="64" t="s">
        <v>819</v>
      </c>
      <c r="B85" s="24" t="s">
        <v>512</v>
      </c>
      <c r="C85" s="64" t="s">
        <v>824</v>
      </c>
      <c r="D85" s="77" t="s">
        <v>148</v>
      </c>
      <c r="E85" s="24" t="s">
        <v>661</v>
      </c>
      <c r="F85" s="10" t="s">
        <v>374</v>
      </c>
      <c r="G85" s="10" t="s">
        <v>640</v>
      </c>
      <c r="H85" s="10" t="s">
        <v>580</v>
      </c>
      <c r="I85" s="64">
        <v>1830</v>
      </c>
      <c r="J85" s="82">
        <v>2394.02</v>
      </c>
      <c r="K85" s="56">
        <f t="shared" si="12"/>
        <v>564.02</v>
      </c>
      <c r="L85" s="56">
        <f t="shared" si="13"/>
        <v>318118.56039999996</v>
      </c>
      <c r="M85" s="56">
        <f t="shared" si="14"/>
        <v>564.02</v>
      </c>
      <c r="N85" s="56">
        <f t="shared" si="15"/>
        <v>2.7520638208033485</v>
      </c>
      <c r="O85" s="143">
        <f t="shared" si="16"/>
        <v>30.820765027322405</v>
      </c>
      <c r="P85" s="143">
        <f t="shared" si="17"/>
        <v>30.820765027322405</v>
      </c>
      <c r="Q85" s="83">
        <v>2425.1</v>
      </c>
      <c r="R85" s="56">
        <f t="shared" si="18"/>
        <v>595.09999999999991</v>
      </c>
      <c r="S85" s="56">
        <f t="shared" si="19"/>
        <v>354144.00999999989</v>
      </c>
      <c r="T85" s="56">
        <f t="shared" si="20"/>
        <v>595.09999999999991</v>
      </c>
      <c r="U85" s="56">
        <f t="shared" si="21"/>
        <v>2.7753191218294777</v>
      </c>
      <c r="V85" s="33">
        <f t="shared" si="22"/>
        <v>32.519125683060103</v>
      </c>
      <c r="W85" s="143">
        <f t="shared" si="23"/>
        <v>32.519125683060103</v>
      </c>
    </row>
    <row r="86" spans="1:23" x14ac:dyDescent="0.15">
      <c r="A86" s="64" t="s">
        <v>820</v>
      </c>
      <c r="B86" s="24" t="s">
        <v>512</v>
      </c>
      <c r="C86" s="64" t="s">
        <v>824</v>
      </c>
      <c r="D86" s="77" t="s">
        <v>148</v>
      </c>
      <c r="E86" s="24" t="s">
        <v>661</v>
      </c>
      <c r="F86" s="22" t="s">
        <v>374</v>
      </c>
      <c r="G86" s="10" t="s">
        <v>634</v>
      </c>
      <c r="H86" s="10" t="s">
        <v>580</v>
      </c>
      <c r="I86" s="64">
        <v>1416</v>
      </c>
      <c r="J86" s="82">
        <v>1888.1</v>
      </c>
      <c r="K86" s="56">
        <f t="shared" si="12"/>
        <v>472.09999999999991</v>
      </c>
      <c r="L86" s="56">
        <f t="shared" si="13"/>
        <v>222878.40999999992</v>
      </c>
      <c r="M86" s="56">
        <f t="shared" si="14"/>
        <v>472.09999999999991</v>
      </c>
      <c r="N86" s="56">
        <f t="shared" si="15"/>
        <v>2.6749529480485652</v>
      </c>
      <c r="O86" s="143">
        <f t="shared" si="16"/>
        <v>33.340395480225986</v>
      </c>
      <c r="P86" s="143">
        <f t="shared" si="17"/>
        <v>33.340395480225986</v>
      </c>
      <c r="Q86" s="83">
        <v>1871.2999999999997</v>
      </c>
      <c r="R86" s="56">
        <f t="shared" si="18"/>
        <v>455.29999999999973</v>
      </c>
      <c r="S86" s="56">
        <f t="shared" si="19"/>
        <v>207298.08999999976</v>
      </c>
      <c r="T86" s="56">
        <f t="shared" si="20"/>
        <v>455.29999999999973</v>
      </c>
      <c r="U86" s="56">
        <f t="shared" si="21"/>
        <v>2.6592504687726608</v>
      </c>
      <c r="V86" s="33">
        <f t="shared" si="22"/>
        <v>32.153954802259868</v>
      </c>
      <c r="W86" s="143">
        <f t="shared" si="23"/>
        <v>32.153954802259868</v>
      </c>
    </row>
    <row r="87" spans="1:23" x14ac:dyDescent="0.15">
      <c r="A87" s="64" t="s">
        <v>821</v>
      </c>
      <c r="B87" s="24" t="s">
        <v>512</v>
      </c>
      <c r="C87" s="64" t="s">
        <v>824</v>
      </c>
      <c r="D87" s="77" t="s">
        <v>148</v>
      </c>
      <c r="E87" s="24" t="s">
        <v>661</v>
      </c>
      <c r="F87" s="10" t="s">
        <v>293</v>
      </c>
      <c r="G87" s="10" t="s">
        <v>640</v>
      </c>
      <c r="H87" s="10" t="s">
        <v>580</v>
      </c>
      <c r="I87" s="64">
        <v>1980</v>
      </c>
      <c r="J87" s="82">
        <v>2508.2600000000002</v>
      </c>
      <c r="K87" s="56">
        <f t="shared" si="12"/>
        <v>528.26000000000022</v>
      </c>
      <c r="L87" s="56">
        <f t="shared" si="13"/>
        <v>279058.62760000024</v>
      </c>
      <c r="M87" s="56">
        <f t="shared" si="14"/>
        <v>528.26000000000022</v>
      </c>
      <c r="N87" s="56">
        <f t="shared" si="15"/>
        <v>2.7236690724614836</v>
      </c>
      <c r="O87" s="143">
        <f t="shared" si="16"/>
        <v>26.679797979797989</v>
      </c>
      <c r="P87" s="143">
        <f t="shared" si="17"/>
        <v>26.679797979797989</v>
      </c>
      <c r="Q87" s="83">
        <v>2510.9</v>
      </c>
      <c r="R87" s="56">
        <f t="shared" si="18"/>
        <v>530.90000000000009</v>
      </c>
      <c r="S87" s="56">
        <f t="shared" si="19"/>
        <v>281854.81000000011</v>
      </c>
      <c r="T87" s="56">
        <f t="shared" si="20"/>
        <v>530.90000000000009</v>
      </c>
      <c r="U87" s="56">
        <f t="shared" si="21"/>
        <v>2.7258299903205803</v>
      </c>
      <c r="V87" s="33">
        <f t="shared" si="22"/>
        <v>26.813131313131318</v>
      </c>
      <c r="W87" s="143">
        <f t="shared" si="23"/>
        <v>26.813131313131318</v>
      </c>
    </row>
    <row r="88" spans="1:23" x14ac:dyDescent="0.15">
      <c r="A88" s="64" t="s">
        <v>822</v>
      </c>
      <c r="B88" s="24" t="s">
        <v>512</v>
      </c>
      <c r="C88" s="64" t="s">
        <v>824</v>
      </c>
      <c r="D88" s="77" t="s">
        <v>148</v>
      </c>
      <c r="E88" s="24" t="s">
        <v>661</v>
      </c>
      <c r="F88" s="10" t="s">
        <v>374</v>
      </c>
      <c r="G88" s="10" t="s">
        <v>640</v>
      </c>
      <c r="H88" s="10" t="s">
        <v>580</v>
      </c>
      <c r="I88" s="64">
        <v>1744</v>
      </c>
      <c r="J88" s="82">
        <v>2116.58</v>
      </c>
      <c r="K88" s="56">
        <f t="shared" si="12"/>
        <v>372.57999999999993</v>
      </c>
      <c r="L88" s="56">
        <f t="shared" si="13"/>
        <v>138815.85639999993</v>
      </c>
      <c r="M88" s="56">
        <f t="shared" si="14"/>
        <v>372.57999999999993</v>
      </c>
      <c r="N88" s="56">
        <f t="shared" si="15"/>
        <v>2.5723836177664654</v>
      </c>
      <c r="O88" s="143">
        <f t="shared" si="16"/>
        <v>21.363532110091739</v>
      </c>
      <c r="P88" s="143">
        <f t="shared" si="17"/>
        <v>21.363532110091739</v>
      </c>
      <c r="Q88" s="83">
        <v>2175.5</v>
      </c>
      <c r="R88" s="56">
        <f t="shared" si="18"/>
        <v>431.5</v>
      </c>
      <c r="S88" s="56">
        <f t="shared" si="19"/>
        <v>186192.25</v>
      </c>
      <c r="T88" s="56">
        <f t="shared" si="20"/>
        <v>431.5</v>
      </c>
      <c r="U88" s="56">
        <f t="shared" si="21"/>
        <v>2.635986111800833</v>
      </c>
      <c r="V88" s="33">
        <f t="shared" si="22"/>
        <v>24.74197247706422</v>
      </c>
      <c r="W88" s="143">
        <f t="shared" si="23"/>
        <v>24.74197247706422</v>
      </c>
    </row>
    <row r="89" spans="1:23" x14ac:dyDescent="0.15">
      <c r="A89" s="64" t="s">
        <v>823</v>
      </c>
      <c r="B89" s="24" t="s">
        <v>512</v>
      </c>
      <c r="C89" s="64" t="s">
        <v>824</v>
      </c>
      <c r="D89" s="77" t="s">
        <v>148</v>
      </c>
      <c r="E89" s="24" t="s">
        <v>661</v>
      </c>
      <c r="F89" s="10" t="s">
        <v>374</v>
      </c>
      <c r="G89" s="10" t="s">
        <v>640</v>
      </c>
      <c r="H89" s="10" t="s">
        <v>580</v>
      </c>
      <c r="I89" s="64">
        <v>1780</v>
      </c>
      <c r="J89" s="82">
        <v>2255.3000000000002</v>
      </c>
      <c r="K89" s="56">
        <f t="shared" si="12"/>
        <v>475.30000000000018</v>
      </c>
      <c r="L89" s="56">
        <f t="shared" si="13"/>
        <v>225910.09000000017</v>
      </c>
      <c r="M89" s="56">
        <f t="shared" si="14"/>
        <v>475.30000000000018</v>
      </c>
      <c r="N89" s="56">
        <f t="shared" si="15"/>
        <v>2.6778805815115905</v>
      </c>
      <c r="O89" s="143">
        <f t="shared" si="16"/>
        <v>26.702247191011246</v>
      </c>
      <c r="P89" s="143">
        <f t="shared" si="17"/>
        <v>26.702247191011246</v>
      </c>
      <c r="Q89" s="83">
        <v>2222.2999999999997</v>
      </c>
      <c r="R89" s="56">
        <f t="shared" si="18"/>
        <v>442.29999999999973</v>
      </c>
      <c r="S89" s="56">
        <f t="shared" si="19"/>
        <v>195629.28999999975</v>
      </c>
      <c r="T89" s="56">
        <f t="shared" si="20"/>
        <v>442.29999999999973</v>
      </c>
      <c r="U89" s="56">
        <f t="shared" si="21"/>
        <v>2.6466977312993341</v>
      </c>
      <c r="V89" s="33">
        <f t="shared" si="22"/>
        <v>24.848314606741557</v>
      </c>
      <c r="W89" s="143">
        <f t="shared" si="23"/>
        <v>24.848314606741557</v>
      </c>
    </row>
    <row r="90" spans="1:23" x14ac:dyDescent="0.15">
      <c r="A90" s="69" t="s">
        <v>520</v>
      </c>
      <c r="B90" s="24" t="s">
        <v>512</v>
      </c>
      <c r="C90" s="70" t="s">
        <v>401</v>
      </c>
      <c r="D90" s="68" t="s">
        <v>82</v>
      </c>
      <c r="E90" s="24" t="s">
        <v>661</v>
      </c>
      <c r="F90" s="74" t="s">
        <v>494</v>
      </c>
      <c r="G90" s="10" t="s">
        <v>634</v>
      </c>
      <c r="H90" s="10" t="s">
        <v>580</v>
      </c>
      <c r="I90" s="70">
        <v>770</v>
      </c>
      <c r="J90" s="83">
        <v>770.18000000000006</v>
      </c>
      <c r="K90" s="56">
        <f t="shared" si="12"/>
        <v>0.18000000000006366</v>
      </c>
      <c r="L90" s="56">
        <f t="shared" si="13"/>
        <v>3.2400000000022917E-2</v>
      </c>
      <c r="M90" s="56">
        <f t="shared" si="14"/>
        <v>0.18000000000006366</v>
      </c>
      <c r="N90" s="56">
        <f t="shared" si="15"/>
        <v>7.1882007306148812E-2</v>
      </c>
      <c r="O90" s="143">
        <f t="shared" si="16"/>
        <v>2.3376623376631645E-2</v>
      </c>
      <c r="P90" s="143">
        <f t="shared" si="17"/>
        <v>2.3376623376631645E-2</v>
      </c>
      <c r="Q90" s="83">
        <v>755.89999999999986</v>
      </c>
      <c r="R90" s="56">
        <f t="shared" si="18"/>
        <v>-14.100000000000136</v>
      </c>
      <c r="S90" s="56">
        <f t="shared" si="19"/>
        <v>198.81000000000384</v>
      </c>
      <c r="T90" s="56">
        <f t="shared" si="20"/>
        <v>14.100000000000136</v>
      </c>
      <c r="U90" s="56">
        <f t="shared" si="21"/>
        <v>1.1789769472931733</v>
      </c>
      <c r="V90" s="33">
        <f t="shared" si="22"/>
        <v>-1.831168831168849</v>
      </c>
      <c r="W90" s="143">
        <f t="shared" si="23"/>
        <v>1.831168831168849</v>
      </c>
    </row>
    <row r="91" spans="1:23" x14ac:dyDescent="0.15">
      <c r="A91" s="69" t="s">
        <v>521</v>
      </c>
      <c r="B91" s="24" t="s">
        <v>512</v>
      </c>
      <c r="C91" s="70" t="s">
        <v>401</v>
      </c>
      <c r="D91" s="68" t="s">
        <v>82</v>
      </c>
      <c r="E91" s="24" t="s">
        <v>661</v>
      </c>
      <c r="F91" s="74" t="s">
        <v>494</v>
      </c>
      <c r="G91" s="10" t="s">
        <v>634</v>
      </c>
      <c r="H91" s="10" t="s">
        <v>580</v>
      </c>
      <c r="I91" s="70">
        <v>716</v>
      </c>
      <c r="J91" s="83">
        <v>786.5</v>
      </c>
      <c r="K91" s="56">
        <f t="shared" si="12"/>
        <v>70.5</v>
      </c>
      <c r="L91" s="56">
        <f t="shared" si="13"/>
        <v>4970.25</v>
      </c>
      <c r="M91" s="56">
        <f t="shared" si="14"/>
        <v>70.5</v>
      </c>
      <c r="N91" s="56">
        <f t="shared" si="15"/>
        <v>1.8543060418010806</v>
      </c>
      <c r="O91" s="143">
        <f t="shared" si="16"/>
        <v>9.8463687150837984</v>
      </c>
      <c r="P91" s="143">
        <f t="shared" si="17"/>
        <v>9.8463687150837984</v>
      </c>
      <c r="Q91" s="83">
        <v>779.3</v>
      </c>
      <c r="R91" s="56">
        <f t="shared" si="18"/>
        <v>63.299999999999955</v>
      </c>
      <c r="S91" s="56">
        <f t="shared" si="19"/>
        <v>4006.8899999999944</v>
      </c>
      <c r="T91" s="56">
        <f t="shared" si="20"/>
        <v>63.299999999999955</v>
      </c>
      <c r="U91" s="56">
        <f t="shared" si="21"/>
        <v>1.8082109729242217</v>
      </c>
      <c r="V91" s="33">
        <f t="shared" si="22"/>
        <v>8.8407821229050221</v>
      </c>
      <c r="W91" s="143">
        <f t="shared" si="23"/>
        <v>8.8407821229050221</v>
      </c>
    </row>
    <row r="92" spans="1:23" x14ac:dyDescent="0.15">
      <c r="A92" s="64" t="s">
        <v>415</v>
      </c>
      <c r="B92" s="24" t="s">
        <v>512</v>
      </c>
      <c r="C92" s="70" t="s">
        <v>458</v>
      </c>
      <c r="D92" s="9" t="s">
        <v>82</v>
      </c>
      <c r="E92" s="24" t="s">
        <v>661</v>
      </c>
      <c r="F92" s="10" t="s">
        <v>203</v>
      </c>
      <c r="G92" s="10" t="s">
        <v>640</v>
      </c>
      <c r="H92" s="10" t="s">
        <v>581</v>
      </c>
      <c r="I92" s="64">
        <v>2790</v>
      </c>
      <c r="J92" s="82">
        <v>3283.46</v>
      </c>
      <c r="K92" s="56">
        <f t="shared" si="12"/>
        <v>493.46000000000004</v>
      </c>
      <c r="L92" s="56">
        <f t="shared" si="13"/>
        <v>243502.77160000004</v>
      </c>
      <c r="M92" s="56">
        <f t="shared" si="14"/>
        <v>493.46000000000004</v>
      </c>
      <c r="N92" s="56">
        <f t="shared" si="15"/>
        <v>2.6941311645238679</v>
      </c>
      <c r="O92" s="143">
        <f t="shared" si="16"/>
        <v>17.68673835125448</v>
      </c>
      <c r="P92" s="143">
        <f t="shared" si="17"/>
        <v>17.68673835125448</v>
      </c>
      <c r="Q92" s="83">
        <v>3306.5</v>
      </c>
      <c r="R92" s="56">
        <f t="shared" si="18"/>
        <v>516.5</v>
      </c>
      <c r="S92" s="56">
        <f t="shared" si="19"/>
        <v>266772.25</v>
      </c>
      <c r="T92" s="56">
        <f t="shared" si="20"/>
        <v>516.5</v>
      </c>
      <c r="U92" s="56">
        <f t="shared" si="21"/>
        <v>2.7139103541289553</v>
      </c>
      <c r="V92" s="33">
        <f t="shared" si="22"/>
        <v>18.512544802867385</v>
      </c>
      <c r="W92" s="143">
        <f t="shared" si="23"/>
        <v>18.512544802867385</v>
      </c>
    </row>
    <row r="93" spans="1:23" x14ac:dyDescent="0.15">
      <c r="A93" s="70" t="s">
        <v>714</v>
      </c>
      <c r="B93" s="24" t="s">
        <v>512</v>
      </c>
      <c r="C93" s="8" t="s">
        <v>458</v>
      </c>
      <c r="D93" s="9" t="s">
        <v>82</v>
      </c>
      <c r="E93" s="24" t="s">
        <v>661</v>
      </c>
      <c r="F93" s="10" t="s">
        <v>293</v>
      </c>
      <c r="G93" s="10" t="s">
        <v>640</v>
      </c>
      <c r="H93" s="10" t="s">
        <v>580</v>
      </c>
      <c r="I93" s="64">
        <v>1890</v>
      </c>
      <c r="J93" s="82">
        <v>2214.5</v>
      </c>
      <c r="K93" s="56">
        <f t="shared" si="12"/>
        <v>324.5</v>
      </c>
      <c r="L93" s="56">
        <f t="shared" si="13"/>
        <v>105300.25</v>
      </c>
      <c r="M93" s="56">
        <f t="shared" si="14"/>
        <v>324.5</v>
      </c>
      <c r="N93" s="56">
        <f t="shared" si="15"/>
        <v>2.5125509929042109</v>
      </c>
      <c r="O93" s="143">
        <f t="shared" si="16"/>
        <v>17.169312169312171</v>
      </c>
      <c r="P93" s="143">
        <f t="shared" si="17"/>
        <v>17.169312169312171</v>
      </c>
      <c r="Q93" s="83">
        <v>2300.2999999999997</v>
      </c>
      <c r="R93" s="56">
        <f t="shared" si="18"/>
        <v>410.29999999999973</v>
      </c>
      <c r="S93" s="56">
        <f t="shared" si="19"/>
        <v>168346.08999999976</v>
      </c>
      <c r="T93" s="56">
        <f t="shared" si="20"/>
        <v>410.29999999999973</v>
      </c>
      <c r="U93" s="56">
        <f t="shared" si="21"/>
        <v>2.6141587095091747</v>
      </c>
      <c r="V93" s="33">
        <f t="shared" si="22"/>
        <v>21.708994708994695</v>
      </c>
      <c r="W93" s="143">
        <f t="shared" si="23"/>
        <v>21.708994708994695</v>
      </c>
    </row>
    <row r="94" spans="1:23" x14ac:dyDescent="0.15">
      <c r="A94" s="70" t="s">
        <v>715</v>
      </c>
      <c r="B94" s="24" t="s">
        <v>512</v>
      </c>
      <c r="C94" s="8" t="s">
        <v>458</v>
      </c>
      <c r="D94" s="9" t="s">
        <v>82</v>
      </c>
      <c r="E94" s="24" t="s">
        <v>661</v>
      </c>
      <c r="F94" s="10" t="s">
        <v>293</v>
      </c>
      <c r="G94" s="10" t="s">
        <v>640</v>
      </c>
      <c r="H94" s="10" t="s">
        <v>580</v>
      </c>
      <c r="I94" s="85">
        <v>1940</v>
      </c>
      <c r="J94" s="82">
        <v>2279.7800000000002</v>
      </c>
      <c r="K94" s="56">
        <f t="shared" si="12"/>
        <v>339.7800000000002</v>
      </c>
      <c r="L94" s="56">
        <f t="shared" si="13"/>
        <v>115450.44840000014</v>
      </c>
      <c r="M94" s="56">
        <f t="shared" si="14"/>
        <v>339.7800000000002</v>
      </c>
      <c r="N94" s="56">
        <f t="shared" si="15"/>
        <v>2.5324740985814125</v>
      </c>
      <c r="O94" s="143">
        <f t="shared" si="16"/>
        <v>17.514432989690732</v>
      </c>
      <c r="P94" s="143">
        <f t="shared" si="17"/>
        <v>17.514432989690732</v>
      </c>
      <c r="Q94" s="83">
        <v>2284.6999999999998</v>
      </c>
      <c r="R94" s="56">
        <f t="shared" si="18"/>
        <v>344.69999999999982</v>
      </c>
      <c r="S94" s="56">
        <f t="shared" si="19"/>
        <v>118818.08999999988</v>
      </c>
      <c r="T94" s="56">
        <f t="shared" si="20"/>
        <v>344.69999999999982</v>
      </c>
      <c r="U94" s="56">
        <f t="shared" si="21"/>
        <v>2.5386993795424067</v>
      </c>
      <c r="V94" s="33">
        <f t="shared" si="22"/>
        <v>17.768041237113394</v>
      </c>
      <c r="W94" s="143">
        <f t="shared" si="23"/>
        <v>17.768041237113394</v>
      </c>
    </row>
    <row r="95" spans="1:23" x14ac:dyDescent="0.15">
      <c r="A95" s="7" t="s">
        <v>58</v>
      </c>
      <c r="B95" s="24" t="s">
        <v>512</v>
      </c>
      <c r="C95" s="70" t="s">
        <v>403</v>
      </c>
      <c r="D95" s="9" t="s">
        <v>900</v>
      </c>
      <c r="E95" s="24" t="s">
        <v>661</v>
      </c>
      <c r="F95" s="10" t="s">
        <v>203</v>
      </c>
      <c r="G95" s="10" t="s">
        <v>640</v>
      </c>
      <c r="H95" s="10" t="s">
        <v>581</v>
      </c>
      <c r="I95" s="8">
        <v>2949</v>
      </c>
      <c r="J95" s="83">
        <v>3539.6839999999997</v>
      </c>
      <c r="K95" s="56">
        <f t="shared" si="12"/>
        <v>590.68399999999974</v>
      </c>
      <c r="L95" s="56">
        <f t="shared" si="13"/>
        <v>348907.58785599971</v>
      </c>
      <c r="M95" s="56">
        <f t="shared" si="14"/>
        <v>590.68399999999974</v>
      </c>
      <c r="N95" s="56">
        <f t="shared" si="15"/>
        <v>2.7720898254783615</v>
      </c>
      <c r="O95" s="143">
        <f t="shared" si="16"/>
        <v>20.029976263140039</v>
      </c>
      <c r="P95" s="143">
        <f t="shared" si="17"/>
        <v>20.029976263140039</v>
      </c>
      <c r="Q95" s="83">
        <v>3529.58</v>
      </c>
      <c r="R95" s="56">
        <f t="shared" si="18"/>
        <v>580.57999999999993</v>
      </c>
      <c r="S95" s="56">
        <f t="shared" si="19"/>
        <v>337073.1363999999</v>
      </c>
      <c r="T95" s="56">
        <f t="shared" si="20"/>
        <v>580.57999999999993</v>
      </c>
      <c r="U95" s="56">
        <f t="shared" si="21"/>
        <v>2.7646094631209501</v>
      </c>
      <c r="V95" s="33">
        <f t="shared" si="22"/>
        <v>19.687351644625295</v>
      </c>
      <c r="W95" s="143">
        <f t="shared" si="23"/>
        <v>19.687351644625295</v>
      </c>
    </row>
    <row r="96" spans="1:23" x14ac:dyDescent="0.15">
      <c r="A96" s="7" t="s">
        <v>254</v>
      </c>
      <c r="B96" s="24" t="s">
        <v>512</v>
      </c>
      <c r="C96" s="70" t="s">
        <v>403</v>
      </c>
      <c r="D96" s="9" t="s">
        <v>82</v>
      </c>
      <c r="E96" s="24" t="s">
        <v>661</v>
      </c>
      <c r="F96" s="10" t="s">
        <v>374</v>
      </c>
      <c r="G96" s="10" t="s">
        <v>634</v>
      </c>
      <c r="H96" s="10" t="s">
        <v>580</v>
      </c>
      <c r="I96" s="85">
        <v>1176.5999999999999</v>
      </c>
      <c r="J96" s="83">
        <v>1672.5944</v>
      </c>
      <c r="K96" s="56">
        <f t="shared" si="12"/>
        <v>495.99440000000004</v>
      </c>
      <c r="L96" s="56">
        <f t="shared" si="13"/>
        <v>246010.44483136004</v>
      </c>
      <c r="M96" s="56">
        <f t="shared" si="14"/>
        <v>495.99440000000004</v>
      </c>
      <c r="N96" s="56">
        <f t="shared" si="15"/>
        <v>2.6963514952468119</v>
      </c>
      <c r="O96" s="143">
        <f t="shared" si="16"/>
        <v>42.154886962434141</v>
      </c>
      <c r="P96" s="143">
        <f t="shared" si="17"/>
        <v>42.154886962434141</v>
      </c>
      <c r="Q96" s="83">
        <v>1657.8919999999998</v>
      </c>
      <c r="R96" s="56">
        <f t="shared" si="18"/>
        <v>481.29199999999992</v>
      </c>
      <c r="S96" s="56">
        <f t="shared" si="19"/>
        <v>231641.98926399992</v>
      </c>
      <c r="T96" s="56">
        <f t="shared" si="20"/>
        <v>481.29199999999992</v>
      </c>
      <c r="U96" s="56">
        <f t="shared" si="21"/>
        <v>2.683310058138614</v>
      </c>
      <c r="V96" s="33">
        <f t="shared" si="22"/>
        <v>40.905320414754371</v>
      </c>
      <c r="W96" s="143">
        <f t="shared" si="23"/>
        <v>40.905320414754371</v>
      </c>
    </row>
    <row r="97" spans="1:23" x14ac:dyDescent="0.15">
      <c r="A97" s="7" t="s">
        <v>63</v>
      </c>
      <c r="B97" s="24" t="s">
        <v>512</v>
      </c>
      <c r="C97" s="70" t="s">
        <v>403</v>
      </c>
      <c r="D97" s="9" t="s">
        <v>82</v>
      </c>
      <c r="E97" s="24" t="s">
        <v>661</v>
      </c>
      <c r="F97" s="10" t="s">
        <v>494</v>
      </c>
      <c r="G97" s="10" t="s">
        <v>634</v>
      </c>
      <c r="H97" s="10" t="s">
        <v>580</v>
      </c>
      <c r="I97" s="8">
        <v>633</v>
      </c>
      <c r="J97" s="83">
        <v>646.14800000000014</v>
      </c>
      <c r="K97" s="56">
        <f t="shared" si="12"/>
        <v>13.148000000000138</v>
      </c>
      <c r="L97" s="56">
        <f t="shared" si="13"/>
        <v>172.86990400000363</v>
      </c>
      <c r="M97" s="56">
        <f t="shared" si="14"/>
        <v>13.148000000000138</v>
      </c>
      <c r="N97" s="56">
        <f t="shared" si="15"/>
        <v>1.1506950511427183</v>
      </c>
      <c r="O97" s="143">
        <f t="shared" si="16"/>
        <v>2.0770932069510488</v>
      </c>
      <c r="P97" s="143">
        <f t="shared" si="17"/>
        <v>2.0770932069510488</v>
      </c>
      <c r="Q97" s="83">
        <v>640.45999999999981</v>
      </c>
      <c r="R97" s="56">
        <f t="shared" si="18"/>
        <v>7.459999999999809</v>
      </c>
      <c r="S97" s="56">
        <f t="shared" si="19"/>
        <v>55.651599999997153</v>
      </c>
      <c r="T97" s="56">
        <f t="shared" si="20"/>
        <v>7.459999999999809</v>
      </c>
      <c r="U97" s="56">
        <f t="shared" si="21"/>
        <v>0.92737036303901377</v>
      </c>
      <c r="V97" s="33">
        <f t="shared" si="22"/>
        <v>1.178515007898864</v>
      </c>
      <c r="W97" s="143">
        <f t="shared" si="23"/>
        <v>1.178515007898864</v>
      </c>
    </row>
    <row r="98" spans="1:23" x14ac:dyDescent="0.15">
      <c r="A98" s="7" t="s">
        <v>50</v>
      </c>
      <c r="B98" s="24" t="s">
        <v>512</v>
      </c>
      <c r="C98" s="70" t="s">
        <v>403</v>
      </c>
      <c r="D98" s="9" t="s">
        <v>82</v>
      </c>
      <c r="E98" s="24" t="s">
        <v>661</v>
      </c>
      <c r="F98" s="10" t="s">
        <v>203</v>
      </c>
      <c r="G98" s="10" t="s">
        <v>640</v>
      </c>
      <c r="H98" s="10" t="s">
        <v>581</v>
      </c>
      <c r="I98" s="8">
        <v>2873</v>
      </c>
      <c r="J98" s="60">
        <v>3870.9800000000005</v>
      </c>
      <c r="K98" s="56">
        <f t="shared" si="12"/>
        <v>997.98000000000047</v>
      </c>
      <c r="L98" s="56">
        <f t="shared" si="13"/>
        <v>995964.08040000091</v>
      </c>
      <c r="M98" s="56">
        <f t="shared" si="14"/>
        <v>997.98000000000047</v>
      </c>
      <c r="N98" s="56">
        <f t="shared" si="15"/>
        <v>2.999556793554726</v>
      </c>
      <c r="O98" s="143">
        <f t="shared" si="16"/>
        <v>34.736512356421876</v>
      </c>
      <c r="P98" s="143">
        <f t="shared" si="17"/>
        <v>34.736512356421876</v>
      </c>
      <c r="Q98" s="83">
        <v>3821.3</v>
      </c>
      <c r="R98" s="56">
        <f t="shared" si="18"/>
        <v>948.30000000000018</v>
      </c>
      <c r="S98" s="56">
        <f t="shared" si="19"/>
        <v>899272.89000000036</v>
      </c>
      <c r="T98" s="56">
        <f t="shared" si="20"/>
        <v>948.30000000000018</v>
      </c>
      <c r="U98" s="56">
        <f t="shared" si="21"/>
        <v>2.9774034808734346</v>
      </c>
      <c r="V98" s="33">
        <f t="shared" si="22"/>
        <v>33.007309432648803</v>
      </c>
      <c r="W98" s="143">
        <f t="shared" si="23"/>
        <v>33.007309432648803</v>
      </c>
    </row>
    <row r="99" spans="1:23" x14ac:dyDescent="0.15">
      <c r="A99" s="7" t="s">
        <v>252</v>
      </c>
      <c r="B99" s="24" t="s">
        <v>512</v>
      </c>
      <c r="C99" s="70" t="s">
        <v>403</v>
      </c>
      <c r="D99" s="9" t="s">
        <v>82</v>
      </c>
      <c r="E99" s="24" t="s">
        <v>661</v>
      </c>
      <c r="F99" s="10" t="s">
        <v>374</v>
      </c>
      <c r="G99" s="10" t="s">
        <v>634</v>
      </c>
      <c r="H99" s="10" t="s">
        <v>580</v>
      </c>
      <c r="I99" s="85">
        <v>1193.83</v>
      </c>
      <c r="J99" s="83">
        <v>1127.0984000000001</v>
      </c>
      <c r="K99" s="56">
        <f t="shared" si="12"/>
        <v>-66.731599999999844</v>
      </c>
      <c r="L99" s="56">
        <f t="shared" si="13"/>
        <v>4453.1064385599793</v>
      </c>
      <c r="M99" s="56">
        <f t="shared" si="14"/>
        <v>66.731599999999844</v>
      </c>
      <c r="N99" s="56">
        <f t="shared" si="15"/>
        <v>1.8307913349148444</v>
      </c>
      <c r="O99" s="143">
        <f t="shared" si="16"/>
        <v>-5.5897070772220374</v>
      </c>
      <c r="P99" s="143">
        <f t="shared" si="17"/>
        <v>5.5897070772220374</v>
      </c>
      <c r="Q99" s="83">
        <v>1122.7496000000001</v>
      </c>
      <c r="R99" s="56">
        <f t="shared" si="18"/>
        <v>-71.080399999999827</v>
      </c>
      <c r="S99" s="56">
        <f t="shared" si="19"/>
        <v>5052.4232641599756</v>
      </c>
      <c r="T99" s="56">
        <f t="shared" si="20"/>
        <v>71.080399999999827</v>
      </c>
      <c r="U99" s="56">
        <f t="shared" si="21"/>
        <v>1.8578171880335852</v>
      </c>
      <c r="V99" s="33">
        <f t="shared" si="22"/>
        <v>-5.953980047410421</v>
      </c>
      <c r="W99" s="143">
        <f t="shared" si="23"/>
        <v>5.953980047410421</v>
      </c>
    </row>
    <row r="100" spans="1:23" x14ac:dyDescent="0.15">
      <c r="A100" s="70" t="s">
        <v>604</v>
      </c>
      <c r="B100" s="24" t="s">
        <v>512</v>
      </c>
      <c r="C100" s="70" t="s">
        <v>403</v>
      </c>
      <c r="D100" s="9" t="s">
        <v>96</v>
      </c>
      <c r="E100" s="24" t="s">
        <v>661</v>
      </c>
      <c r="F100" s="10" t="s">
        <v>293</v>
      </c>
      <c r="G100" s="10" t="s">
        <v>640</v>
      </c>
      <c r="H100" s="10" t="s">
        <v>580</v>
      </c>
      <c r="I100" s="64">
        <v>1985.9</v>
      </c>
      <c r="J100" s="83">
        <v>2354.7703999999999</v>
      </c>
      <c r="K100" s="56">
        <f t="shared" si="12"/>
        <v>368.87039999999979</v>
      </c>
      <c r="L100" s="56">
        <f t="shared" si="13"/>
        <v>136065.37199615984</v>
      </c>
      <c r="M100" s="56">
        <f t="shared" si="14"/>
        <v>368.87039999999979</v>
      </c>
      <c r="N100" s="56">
        <f t="shared" si="15"/>
        <v>2.5680495769735838</v>
      </c>
      <c r="O100" s="143">
        <f t="shared" si="16"/>
        <v>18.574470013595839</v>
      </c>
      <c r="P100" s="143">
        <f t="shared" si="17"/>
        <v>18.574470013595839</v>
      </c>
      <c r="Q100" s="83">
        <v>2349.9079999999999</v>
      </c>
      <c r="R100" s="56">
        <f t="shared" si="18"/>
        <v>364.00799999999981</v>
      </c>
      <c r="S100" s="56">
        <f t="shared" si="19"/>
        <v>132501.82406399987</v>
      </c>
      <c r="T100" s="56">
        <f t="shared" si="20"/>
        <v>364.00799999999981</v>
      </c>
      <c r="U100" s="56">
        <f t="shared" si="21"/>
        <v>2.5623023831353255</v>
      </c>
      <c r="V100" s="33">
        <f t="shared" si="22"/>
        <v>18.329623848129302</v>
      </c>
      <c r="W100" s="143">
        <f t="shared" si="23"/>
        <v>18.329623848129302</v>
      </c>
    </row>
    <row r="101" spans="1:23" x14ac:dyDescent="0.15">
      <c r="A101" s="7" t="s">
        <v>244</v>
      </c>
      <c r="B101" s="24" t="s">
        <v>512</v>
      </c>
      <c r="C101" s="70" t="s">
        <v>403</v>
      </c>
      <c r="D101" s="9" t="s">
        <v>82</v>
      </c>
      <c r="E101" s="24" t="s">
        <v>661</v>
      </c>
      <c r="F101" s="10" t="s">
        <v>374</v>
      </c>
      <c r="G101" s="10" t="s">
        <v>634</v>
      </c>
      <c r="H101" s="10" t="s">
        <v>580</v>
      </c>
      <c r="I101" s="8">
        <v>1199.5</v>
      </c>
      <c r="J101" s="83">
        <v>1330.7719999999999</v>
      </c>
      <c r="K101" s="56">
        <f t="shared" si="12"/>
        <v>131.27199999999993</v>
      </c>
      <c r="L101" s="56">
        <f t="shared" si="13"/>
        <v>17232.337983999983</v>
      </c>
      <c r="M101" s="56">
        <f t="shared" si="14"/>
        <v>131.27199999999993</v>
      </c>
      <c r="N101" s="56">
        <f t="shared" si="15"/>
        <v>2.1214679202836964</v>
      </c>
      <c r="O101" s="143">
        <f t="shared" si="16"/>
        <v>10.943893288870358</v>
      </c>
      <c r="P101" s="143">
        <f t="shared" si="17"/>
        <v>10.943893288870358</v>
      </c>
      <c r="Q101" s="83">
        <v>1343.24</v>
      </c>
      <c r="R101" s="56">
        <f t="shared" si="18"/>
        <v>143.74</v>
      </c>
      <c r="S101" s="56">
        <f t="shared" si="19"/>
        <v>20661.187600000001</v>
      </c>
      <c r="T101" s="56">
        <f t="shared" si="20"/>
        <v>143.74</v>
      </c>
      <c r="U101" s="56">
        <f t="shared" si="21"/>
        <v>2.1605885682900348</v>
      </c>
      <c r="V101" s="33">
        <f t="shared" si="22"/>
        <v>11.983326385994165</v>
      </c>
      <c r="W101" s="143">
        <f t="shared" si="23"/>
        <v>11.983326385994165</v>
      </c>
    </row>
    <row r="102" spans="1:23" x14ac:dyDescent="0.15">
      <c r="A102" s="16" t="s">
        <v>825</v>
      </c>
      <c r="B102" s="24" t="s">
        <v>512</v>
      </c>
      <c r="C102" s="16" t="s">
        <v>403</v>
      </c>
      <c r="D102" s="9" t="s">
        <v>82</v>
      </c>
      <c r="E102" s="24" t="s">
        <v>661</v>
      </c>
      <c r="F102" s="10" t="s">
        <v>494</v>
      </c>
      <c r="G102" s="10" t="s">
        <v>634</v>
      </c>
      <c r="H102" s="10" t="s">
        <v>580</v>
      </c>
      <c r="I102" s="17">
        <v>660.93000000000006</v>
      </c>
      <c r="J102" s="83">
        <v>737.54</v>
      </c>
      <c r="K102" s="56">
        <f t="shared" si="12"/>
        <v>76.6099999999999</v>
      </c>
      <c r="L102" s="56">
        <f t="shared" si="13"/>
        <v>5869.0920999999844</v>
      </c>
      <c r="M102" s="56">
        <f t="shared" si="14"/>
        <v>76.6099999999999</v>
      </c>
      <c r="N102" s="56">
        <f t="shared" si="15"/>
        <v>1.8899176834362053</v>
      </c>
      <c r="O102" s="143">
        <f t="shared" si="16"/>
        <v>11.591242642942504</v>
      </c>
      <c r="P102" s="143">
        <f t="shared" si="17"/>
        <v>11.591242642942504</v>
      </c>
      <c r="Q102" s="83">
        <v>725.48</v>
      </c>
      <c r="R102" s="56">
        <f t="shared" si="18"/>
        <v>64.549999999999955</v>
      </c>
      <c r="S102" s="56">
        <f t="shared" si="19"/>
        <v>4166.702499999994</v>
      </c>
      <c r="T102" s="56">
        <f t="shared" si="20"/>
        <v>64.549999999999955</v>
      </c>
      <c r="U102" s="56">
        <f t="shared" si="21"/>
        <v>1.8165726960261028</v>
      </c>
      <c r="V102" s="33">
        <f t="shared" si="22"/>
        <v>9.7665410860454127</v>
      </c>
      <c r="W102" s="143">
        <f t="shared" si="23"/>
        <v>9.7665410860454127</v>
      </c>
    </row>
    <row r="103" spans="1:23" x14ac:dyDescent="0.15">
      <c r="A103" s="70" t="s">
        <v>605</v>
      </c>
      <c r="B103" s="24" t="s">
        <v>512</v>
      </c>
      <c r="C103" s="70" t="s">
        <v>403</v>
      </c>
      <c r="D103" s="9" t="s">
        <v>82</v>
      </c>
      <c r="E103" s="24" t="s">
        <v>661</v>
      </c>
      <c r="F103" s="22" t="s">
        <v>374</v>
      </c>
      <c r="G103" s="10" t="s">
        <v>634</v>
      </c>
      <c r="H103" s="10" t="s">
        <v>580</v>
      </c>
      <c r="I103" s="64">
        <v>1348</v>
      </c>
      <c r="J103" s="83">
        <v>1856.2760000000003</v>
      </c>
      <c r="K103" s="56">
        <f t="shared" si="12"/>
        <v>508.27600000000029</v>
      </c>
      <c r="L103" s="56">
        <f t="shared" si="13"/>
        <v>258344.49217600029</v>
      </c>
      <c r="M103" s="56">
        <f t="shared" si="14"/>
        <v>508.27600000000029</v>
      </c>
      <c r="N103" s="56">
        <f t="shared" si="15"/>
        <v>2.7069532102167062</v>
      </c>
      <c r="O103" s="143">
        <f t="shared" si="16"/>
        <v>37.705934718100913</v>
      </c>
      <c r="P103" s="143">
        <f t="shared" si="17"/>
        <v>37.705934718100913</v>
      </c>
      <c r="Q103" s="83">
        <v>1848.6800000000003</v>
      </c>
      <c r="R103" s="56">
        <f t="shared" si="18"/>
        <v>500.68000000000029</v>
      </c>
      <c r="S103" s="56">
        <f t="shared" si="19"/>
        <v>250680.46240000028</v>
      </c>
      <c r="T103" s="56">
        <f t="shared" si="20"/>
        <v>500.68000000000029</v>
      </c>
      <c r="U103" s="56">
        <f t="shared" si="21"/>
        <v>2.7004267877672938</v>
      </c>
      <c r="V103" s="33">
        <f t="shared" si="22"/>
        <v>37.142433234421389</v>
      </c>
      <c r="W103" s="143">
        <f t="shared" si="23"/>
        <v>37.142433234421389</v>
      </c>
    </row>
    <row r="104" spans="1:23" x14ac:dyDescent="0.15">
      <c r="A104" s="70" t="s">
        <v>615</v>
      </c>
      <c r="B104" s="24" t="s">
        <v>512</v>
      </c>
      <c r="C104" s="8" t="s">
        <v>403</v>
      </c>
      <c r="D104" s="9" t="s">
        <v>148</v>
      </c>
      <c r="E104" s="24" t="s">
        <v>661</v>
      </c>
      <c r="F104" s="10" t="s">
        <v>374</v>
      </c>
      <c r="G104" s="10" t="s">
        <v>634</v>
      </c>
      <c r="H104" s="10" t="s">
        <v>580</v>
      </c>
      <c r="I104" s="64">
        <v>1168</v>
      </c>
      <c r="J104" s="83">
        <v>1501.2344000000001</v>
      </c>
      <c r="K104" s="56">
        <f t="shared" si="12"/>
        <v>333.23440000000005</v>
      </c>
      <c r="L104" s="56">
        <f t="shared" si="13"/>
        <v>111045.16534336003</v>
      </c>
      <c r="M104" s="56">
        <f t="shared" si="14"/>
        <v>333.23440000000005</v>
      </c>
      <c r="N104" s="56">
        <f t="shared" si="15"/>
        <v>2.5240511462196684</v>
      </c>
      <c r="O104" s="143">
        <f t="shared" si="16"/>
        <v>28.530342465753428</v>
      </c>
      <c r="P104" s="143">
        <f t="shared" si="17"/>
        <v>28.530342465753428</v>
      </c>
      <c r="Q104" s="83">
        <v>1487.306</v>
      </c>
      <c r="R104" s="56">
        <f t="shared" si="18"/>
        <v>319.30600000000004</v>
      </c>
      <c r="S104" s="56">
        <f t="shared" si="19"/>
        <v>101956.32163600002</v>
      </c>
      <c r="T104" s="56">
        <f t="shared" si="20"/>
        <v>319.30600000000004</v>
      </c>
      <c r="U104" s="56">
        <f t="shared" si="21"/>
        <v>2.5055650739822282</v>
      </c>
      <c r="V104" s="33">
        <f t="shared" si="22"/>
        <v>27.337842465753429</v>
      </c>
      <c r="W104" s="143">
        <f t="shared" si="23"/>
        <v>27.337842465753429</v>
      </c>
    </row>
    <row r="105" spans="1:23" x14ac:dyDescent="0.15">
      <c r="A105" s="70" t="s">
        <v>607</v>
      </c>
      <c r="B105" s="24" t="s">
        <v>512</v>
      </c>
      <c r="C105" s="8" t="s">
        <v>403</v>
      </c>
      <c r="D105" s="9" t="s">
        <v>148</v>
      </c>
      <c r="E105" s="24" t="s">
        <v>661</v>
      </c>
      <c r="F105" s="22" t="s">
        <v>374</v>
      </c>
      <c r="G105" s="10" t="s">
        <v>634</v>
      </c>
      <c r="H105" s="10" t="s">
        <v>580</v>
      </c>
      <c r="I105" s="64">
        <v>1439.3</v>
      </c>
      <c r="J105" s="83">
        <v>1765.6999999999998</v>
      </c>
      <c r="K105" s="56">
        <f t="shared" si="12"/>
        <v>326.39999999999986</v>
      </c>
      <c r="L105" s="56">
        <f t="shared" si="13"/>
        <v>106536.9599999999</v>
      </c>
      <c r="M105" s="56">
        <f t="shared" si="14"/>
        <v>326.39999999999986</v>
      </c>
      <c r="N105" s="56">
        <f t="shared" si="15"/>
        <v>2.5150786750759226</v>
      </c>
      <c r="O105" s="143">
        <f t="shared" si="16"/>
        <v>22.677690544014443</v>
      </c>
      <c r="P105" s="143">
        <f t="shared" si="17"/>
        <v>22.677690544014443</v>
      </c>
      <c r="Q105" s="83">
        <v>1759.7599999999998</v>
      </c>
      <c r="R105" s="56">
        <f t="shared" si="18"/>
        <v>320.45999999999981</v>
      </c>
      <c r="S105" s="56">
        <f t="shared" si="19"/>
        <v>102694.61159999987</v>
      </c>
      <c r="T105" s="56">
        <f t="shared" si="20"/>
        <v>320.45999999999981</v>
      </c>
      <c r="U105" s="56">
        <f t="shared" si="21"/>
        <v>2.5071269403705476</v>
      </c>
      <c r="V105" s="33">
        <f t="shared" si="22"/>
        <v>22.264989925658295</v>
      </c>
      <c r="W105" s="143">
        <f t="shared" si="23"/>
        <v>22.264989925658295</v>
      </c>
    </row>
    <row r="106" spans="1:23" x14ac:dyDescent="0.15">
      <c r="A106" s="70" t="s">
        <v>606</v>
      </c>
      <c r="B106" s="24" t="s">
        <v>512</v>
      </c>
      <c r="C106" s="8" t="s">
        <v>403</v>
      </c>
      <c r="D106" s="9" t="s">
        <v>148</v>
      </c>
      <c r="E106" s="24" t="s">
        <v>661</v>
      </c>
      <c r="F106" s="10" t="s">
        <v>374</v>
      </c>
      <c r="G106" s="10" t="s">
        <v>634</v>
      </c>
      <c r="H106" s="10" t="s">
        <v>580</v>
      </c>
      <c r="I106" s="64">
        <v>1196.7</v>
      </c>
      <c r="J106" s="83">
        <v>1530.0392000000002</v>
      </c>
      <c r="K106" s="56">
        <f t="shared" si="12"/>
        <v>333.33920000000012</v>
      </c>
      <c r="L106" s="56">
        <f t="shared" si="13"/>
        <v>111115.02225664008</v>
      </c>
      <c r="M106" s="56">
        <f t="shared" si="14"/>
        <v>333.33920000000012</v>
      </c>
      <c r="N106" s="56">
        <f t="shared" si="15"/>
        <v>2.5241872989546144</v>
      </c>
      <c r="O106" s="143">
        <f t="shared" si="16"/>
        <v>27.854867552435874</v>
      </c>
      <c r="P106" s="143">
        <f t="shared" si="17"/>
        <v>27.854867552435874</v>
      </c>
      <c r="Q106" s="83">
        <v>1571.7800000000002</v>
      </c>
      <c r="R106" s="56">
        <f t="shared" si="18"/>
        <v>375.08000000000015</v>
      </c>
      <c r="S106" s="56">
        <f t="shared" si="19"/>
        <v>140685.00640000013</v>
      </c>
      <c r="T106" s="56">
        <f t="shared" si="20"/>
        <v>375.08000000000015</v>
      </c>
      <c r="U106" s="56">
        <f t="shared" si="21"/>
        <v>2.5752802381801962</v>
      </c>
      <c r="V106" s="33">
        <f t="shared" si="22"/>
        <v>31.342859530375211</v>
      </c>
      <c r="W106" s="143">
        <f t="shared" si="23"/>
        <v>31.342859530375211</v>
      </c>
    </row>
    <row r="107" spans="1:23" x14ac:dyDescent="0.15">
      <c r="A107" s="70" t="s">
        <v>666</v>
      </c>
      <c r="B107" s="24" t="s">
        <v>512</v>
      </c>
      <c r="C107" s="64" t="s">
        <v>403</v>
      </c>
      <c r="D107" s="9" t="s">
        <v>82</v>
      </c>
      <c r="E107" s="24" t="s">
        <v>661</v>
      </c>
      <c r="F107" s="10" t="s">
        <v>374</v>
      </c>
      <c r="G107" s="10" t="s">
        <v>634</v>
      </c>
      <c r="H107" s="10" t="s">
        <v>580</v>
      </c>
      <c r="I107" s="64">
        <v>1207.3</v>
      </c>
      <c r="J107" s="83">
        <v>1382.6695999999999</v>
      </c>
      <c r="K107" s="56">
        <f t="shared" si="12"/>
        <v>175.36959999999999</v>
      </c>
      <c r="L107" s="56">
        <f t="shared" si="13"/>
        <v>30754.496604159998</v>
      </c>
      <c r="M107" s="56">
        <f t="shared" si="14"/>
        <v>175.36959999999999</v>
      </c>
      <c r="N107" s="56">
        <f t="shared" si="15"/>
        <v>2.2464237299453731</v>
      </c>
      <c r="O107" s="143">
        <f t="shared" si="16"/>
        <v>14.525768243187278</v>
      </c>
      <c r="P107" s="143">
        <f t="shared" si="17"/>
        <v>14.525768243187278</v>
      </c>
      <c r="Q107" s="83">
        <v>1351.3520000000001</v>
      </c>
      <c r="R107" s="56">
        <f t="shared" si="18"/>
        <v>144.05200000000013</v>
      </c>
      <c r="S107" s="56">
        <f t="shared" si="19"/>
        <v>20750.978704000037</v>
      </c>
      <c r="T107" s="56">
        <f t="shared" si="20"/>
        <v>144.05200000000013</v>
      </c>
      <c r="U107" s="56">
        <f t="shared" si="21"/>
        <v>2.1615237213012182</v>
      </c>
      <c r="V107" s="33">
        <f t="shared" si="22"/>
        <v>11.931748529777201</v>
      </c>
      <c r="W107" s="143">
        <f t="shared" si="23"/>
        <v>11.931748529777201</v>
      </c>
    </row>
    <row r="108" spans="1:23" x14ac:dyDescent="0.15">
      <c r="A108" s="70" t="s">
        <v>616</v>
      </c>
      <c r="B108" s="24" t="s">
        <v>512</v>
      </c>
      <c r="C108" s="8" t="s">
        <v>403</v>
      </c>
      <c r="D108" s="9" t="s">
        <v>82</v>
      </c>
      <c r="E108" s="24" t="s">
        <v>661</v>
      </c>
      <c r="F108" s="10" t="s">
        <v>293</v>
      </c>
      <c r="G108" s="10" t="s">
        <v>640</v>
      </c>
      <c r="H108" s="10" t="s">
        <v>580</v>
      </c>
      <c r="I108" s="64">
        <v>2298</v>
      </c>
      <c r="J108" s="83">
        <v>2475.62</v>
      </c>
      <c r="K108" s="56">
        <f t="shared" si="12"/>
        <v>177.61999999999989</v>
      </c>
      <c r="L108" s="56">
        <f t="shared" si="13"/>
        <v>31548.864399999962</v>
      </c>
      <c r="M108" s="56">
        <f t="shared" si="14"/>
        <v>177.61999999999989</v>
      </c>
      <c r="N108" s="56">
        <f t="shared" si="15"/>
        <v>2.2519300850303683</v>
      </c>
      <c r="O108" s="143">
        <f t="shared" si="16"/>
        <v>7.729329852045252</v>
      </c>
      <c r="P108" s="143">
        <f t="shared" si="17"/>
        <v>7.729329852045252</v>
      </c>
      <c r="Q108" s="83">
        <v>2446.16</v>
      </c>
      <c r="R108" s="56">
        <f t="shared" si="18"/>
        <v>148.15999999999985</v>
      </c>
      <c r="S108" s="56">
        <f t="shared" si="19"/>
        <v>21951.385599999958</v>
      </c>
      <c r="T108" s="56">
        <f t="shared" si="20"/>
        <v>148.15999999999985</v>
      </c>
      <c r="U108" s="56">
        <f t="shared" si="21"/>
        <v>2.1736523746892691</v>
      </c>
      <c r="V108" s="33">
        <f t="shared" si="22"/>
        <v>6.4473455178415948</v>
      </c>
      <c r="W108" s="143">
        <f t="shared" si="23"/>
        <v>6.4473455178415948</v>
      </c>
    </row>
    <row r="109" spans="1:23" x14ac:dyDescent="0.15">
      <c r="A109" s="70" t="s">
        <v>617</v>
      </c>
      <c r="B109" s="24" t="s">
        <v>512</v>
      </c>
      <c r="C109" s="8" t="s">
        <v>403</v>
      </c>
      <c r="D109" s="9" t="s">
        <v>82</v>
      </c>
      <c r="E109" s="24" t="s">
        <v>661</v>
      </c>
      <c r="F109" s="10" t="s">
        <v>293</v>
      </c>
      <c r="G109" s="10" t="s">
        <v>640</v>
      </c>
      <c r="H109" s="10" t="s">
        <v>580</v>
      </c>
      <c r="I109" s="64">
        <v>2030</v>
      </c>
      <c r="J109" s="83">
        <v>2415.2360000000003</v>
      </c>
      <c r="K109" s="56">
        <f t="shared" si="12"/>
        <v>385.23600000000033</v>
      </c>
      <c r="L109" s="56">
        <f t="shared" si="13"/>
        <v>148406.77569600026</v>
      </c>
      <c r="M109" s="56">
        <f t="shared" si="14"/>
        <v>385.23600000000033</v>
      </c>
      <c r="N109" s="56">
        <f t="shared" si="15"/>
        <v>2.5868527507294887</v>
      </c>
      <c r="O109" s="143">
        <f t="shared" si="16"/>
        <v>18.977142857142873</v>
      </c>
      <c r="P109" s="143">
        <f t="shared" si="17"/>
        <v>18.977142857142873</v>
      </c>
      <c r="Q109" s="83">
        <v>2401.6999999999998</v>
      </c>
      <c r="R109" s="56">
        <f t="shared" si="18"/>
        <v>371.69999999999982</v>
      </c>
      <c r="S109" s="56">
        <f t="shared" si="19"/>
        <v>138160.88999999987</v>
      </c>
      <c r="T109" s="56">
        <f t="shared" si="20"/>
        <v>371.69999999999982</v>
      </c>
      <c r="U109" s="56">
        <f t="shared" si="21"/>
        <v>2.5713593927538394</v>
      </c>
      <c r="V109" s="33">
        <f t="shared" si="22"/>
        <v>18.310344827586199</v>
      </c>
      <c r="W109" s="143">
        <f t="shared" si="23"/>
        <v>18.310344827586199</v>
      </c>
    </row>
    <row r="110" spans="1:23" x14ac:dyDescent="0.15">
      <c r="A110" s="7" t="s">
        <v>808</v>
      </c>
      <c r="B110" s="24" t="s">
        <v>525</v>
      </c>
      <c r="C110" s="64" t="s">
        <v>824</v>
      </c>
      <c r="D110" s="68" t="s">
        <v>148</v>
      </c>
      <c r="E110" s="24" t="s">
        <v>662</v>
      </c>
      <c r="F110" s="22" t="s">
        <v>374</v>
      </c>
      <c r="G110" s="10" t="s">
        <v>634</v>
      </c>
      <c r="H110" s="10" t="s">
        <v>580</v>
      </c>
      <c r="I110" s="9">
        <v>1450</v>
      </c>
      <c r="J110" s="34">
        <v>1361.0124660855174</v>
      </c>
      <c r="K110" s="56">
        <f t="shared" si="12"/>
        <v>-88.987533914482583</v>
      </c>
      <c r="L110" s="56">
        <f t="shared" si="13"/>
        <v>7918.7811921811881</v>
      </c>
      <c r="M110" s="56">
        <f t="shared" si="14"/>
        <v>88.987533914482583</v>
      </c>
      <c r="N110" s="56">
        <f t="shared" si="15"/>
        <v>1.9541823502489404</v>
      </c>
      <c r="O110" s="143">
        <f t="shared" si="16"/>
        <v>-6.1370713044470753</v>
      </c>
      <c r="P110" s="143">
        <f t="shared" si="17"/>
        <v>6.1370713044470753</v>
      </c>
      <c r="Q110" s="83">
        <v>1380.8062681629879</v>
      </c>
      <c r="R110" s="56">
        <f t="shared" si="18"/>
        <v>-69.193731837012137</v>
      </c>
      <c r="S110" s="56">
        <f t="shared" si="19"/>
        <v>4787.7725255323467</v>
      </c>
      <c r="T110" s="56">
        <f t="shared" si="20"/>
        <v>69.193731837012137</v>
      </c>
      <c r="U110" s="56">
        <f t="shared" si="21"/>
        <v>1.846298332213302</v>
      </c>
      <c r="V110" s="33">
        <f t="shared" si="22"/>
        <v>-4.771981506000837</v>
      </c>
      <c r="W110" s="143">
        <f t="shared" si="23"/>
        <v>4.771981506000837</v>
      </c>
    </row>
    <row r="111" spans="1:23" x14ac:dyDescent="0.15">
      <c r="A111" s="7" t="s">
        <v>809</v>
      </c>
      <c r="B111" s="24" t="s">
        <v>525</v>
      </c>
      <c r="C111" s="64" t="s">
        <v>824</v>
      </c>
      <c r="D111" s="9" t="s">
        <v>148</v>
      </c>
      <c r="E111" s="24" t="s">
        <v>662</v>
      </c>
      <c r="F111" s="22" t="s">
        <v>374</v>
      </c>
      <c r="G111" s="10" t="s">
        <v>634</v>
      </c>
      <c r="H111" s="10" t="s">
        <v>580</v>
      </c>
      <c r="I111" s="64">
        <v>1333</v>
      </c>
      <c r="J111" s="34">
        <v>1290.7077877641104</v>
      </c>
      <c r="K111" s="56">
        <f t="shared" si="12"/>
        <v>-42.292212235889565</v>
      </c>
      <c r="L111" s="56">
        <f t="shared" si="13"/>
        <v>1788.6312158055271</v>
      </c>
      <c r="M111" s="56">
        <f t="shared" si="14"/>
        <v>42.292212235889565</v>
      </c>
      <c r="N111" s="56">
        <f t="shared" si="15"/>
        <v>1.6364097788667853</v>
      </c>
      <c r="O111" s="143">
        <f t="shared" si="16"/>
        <v>-3.1727090949654588</v>
      </c>
      <c r="P111" s="143">
        <f t="shared" si="17"/>
        <v>3.1727090949654588</v>
      </c>
      <c r="Q111" s="83">
        <v>1287.0979963041912</v>
      </c>
      <c r="R111" s="56">
        <f t="shared" si="18"/>
        <v>-45.902003695808844</v>
      </c>
      <c r="S111" s="56">
        <f t="shared" si="19"/>
        <v>2106.9939432900487</v>
      </c>
      <c r="T111" s="56">
        <f t="shared" si="20"/>
        <v>45.902003695808844</v>
      </c>
      <c r="U111" s="56">
        <f t="shared" si="21"/>
        <v>1.6711913965625287</v>
      </c>
      <c r="V111" s="33">
        <f t="shared" si="22"/>
        <v>-3.4435111549744071</v>
      </c>
      <c r="W111" s="143">
        <f t="shared" si="23"/>
        <v>3.4435111549744071</v>
      </c>
    </row>
    <row r="112" spans="1:23" x14ac:dyDescent="0.15">
      <c r="A112" s="7" t="s">
        <v>810</v>
      </c>
      <c r="B112" s="24" t="s">
        <v>525</v>
      </c>
      <c r="C112" s="64" t="s">
        <v>824</v>
      </c>
      <c r="D112" s="9" t="s">
        <v>148</v>
      </c>
      <c r="E112" s="24" t="s">
        <v>662</v>
      </c>
      <c r="F112" s="10" t="s">
        <v>374</v>
      </c>
      <c r="G112" s="10" t="s">
        <v>640</v>
      </c>
      <c r="H112" s="10" t="s">
        <v>580</v>
      </c>
      <c r="I112" s="64">
        <v>1622</v>
      </c>
      <c r="J112" s="34">
        <v>1557.1717168838918</v>
      </c>
      <c r="K112" s="56">
        <f t="shared" si="12"/>
        <v>-64.828283116108196</v>
      </c>
      <c r="L112" s="56">
        <f t="shared" si="13"/>
        <v>4202.7062917822786</v>
      </c>
      <c r="M112" s="56">
        <f t="shared" si="14"/>
        <v>64.828283116108196</v>
      </c>
      <c r="N112" s="56">
        <f t="shared" si="15"/>
        <v>1.8184125282969441</v>
      </c>
      <c r="O112" s="143">
        <f t="shared" si="16"/>
        <v>-3.9968115361349073</v>
      </c>
      <c r="P112" s="143">
        <f t="shared" si="17"/>
        <v>3.9968115361349073</v>
      </c>
      <c r="Q112" s="83">
        <v>1526.0058345868642</v>
      </c>
      <c r="R112" s="56">
        <f t="shared" si="18"/>
        <v>-95.994165413135761</v>
      </c>
      <c r="S112" s="56">
        <f t="shared" si="19"/>
        <v>9214.8797933644692</v>
      </c>
      <c r="T112" s="56">
        <f t="shared" si="20"/>
        <v>95.994165413135761</v>
      </c>
      <c r="U112" s="56">
        <f t="shared" si="21"/>
        <v>1.9867456105024224</v>
      </c>
      <c r="V112" s="33">
        <f t="shared" si="22"/>
        <v>-5.9182592733129322</v>
      </c>
      <c r="W112" s="143">
        <f t="shared" si="23"/>
        <v>5.9182592733129322</v>
      </c>
    </row>
    <row r="113" spans="1:23" x14ac:dyDescent="0.15">
      <c r="A113" s="64" t="s">
        <v>811</v>
      </c>
      <c r="B113" s="24" t="s">
        <v>525</v>
      </c>
      <c r="C113" s="64" t="s">
        <v>824</v>
      </c>
      <c r="D113" s="9" t="s">
        <v>148</v>
      </c>
      <c r="E113" s="24" t="s">
        <v>662</v>
      </c>
      <c r="F113" s="10" t="s">
        <v>374</v>
      </c>
      <c r="G113" s="10" t="s">
        <v>640</v>
      </c>
      <c r="H113" s="10" t="s">
        <v>580</v>
      </c>
      <c r="I113" s="64">
        <v>1774</v>
      </c>
      <c r="J113" s="34">
        <v>1720.5438555285875</v>
      </c>
      <c r="K113" s="56">
        <f t="shared" si="12"/>
        <v>-53.456144471412472</v>
      </c>
      <c r="L113" s="56">
        <f t="shared" si="13"/>
        <v>2857.5593817485224</v>
      </c>
      <c r="M113" s="56">
        <f t="shared" si="14"/>
        <v>53.456144471412472</v>
      </c>
      <c r="N113" s="56">
        <f t="shared" si="15"/>
        <v>1.7360468897754386</v>
      </c>
      <c r="O113" s="143">
        <f t="shared" si="16"/>
        <v>-3.0133114132701504</v>
      </c>
      <c r="P113" s="143">
        <f t="shared" si="17"/>
        <v>3.0133114132701504</v>
      </c>
      <c r="Q113" s="83">
        <v>1639.1613639294715</v>
      </c>
      <c r="R113" s="56">
        <f t="shared" si="18"/>
        <v>-134.83863607052854</v>
      </c>
      <c r="S113" s="56">
        <f t="shared" si="19"/>
        <v>18181.45777736044</v>
      </c>
      <c r="T113" s="56">
        <f t="shared" si="20"/>
        <v>134.83863607052854</v>
      </c>
      <c r="U113" s="56">
        <f t="shared" si="21"/>
        <v>2.1330233122548763</v>
      </c>
      <c r="V113" s="33">
        <f t="shared" si="22"/>
        <v>-7.6008250321605715</v>
      </c>
      <c r="W113" s="143">
        <f t="shared" si="23"/>
        <v>7.6008250321605715</v>
      </c>
    </row>
    <row r="114" spans="1:23" x14ac:dyDescent="0.15">
      <c r="A114" s="64" t="s">
        <v>812</v>
      </c>
      <c r="B114" s="24" t="s">
        <v>525</v>
      </c>
      <c r="C114" s="64" t="s">
        <v>824</v>
      </c>
      <c r="D114" s="9" t="s">
        <v>148</v>
      </c>
      <c r="E114" s="24" t="s">
        <v>662</v>
      </c>
      <c r="F114" s="10" t="s">
        <v>374</v>
      </c>
      <c r="G114" s="10" t="s">
        <v>640</v>
      </c>
      <c r="H114" s="10" t="s">
        <v>580</v>
      </c>
      <c r="I114" s="64">
        <v>1911</v>
      </c>
      <c r="J114" s="34">
        <v>1898.6898914602536</v>
      </c>
      <c r="K114" s="56">
        <f t="shared" si="12"/>
        <v>-12.310108539746352</v>
      </c>
      <c r="L114" s="56">
        <f t="shared" si="13"/>
        <v>151.53877226033606</v>
      </c>
      <c r="M114" s="56">
        <f t="shared" si="14"/>
        <v>12.310108539746352</v>
      </c>
      <c r="N114" s="56">
        <f t="shared" si="15"/>
        <v>1.1241815970239395</v>
      </c>
      <c r="O114" s="143">
        <f t="shared" si="16"/>
        <v>-0.64417103818662225</v>
      </c>
      <c r="P114" s="143">
        <f t="shared" si="17"/>
        <v>0.64417103818662225</v>
      </c>
      <c r="Q114" s="83">
        <v>1898.0814701865286</v>
      </c>
      <c r="R114" s="56">
        <f t="shared" si="18"/>
        <v>-12.918529813471423</v>
      </c>
      <c r="S114" s="56">
        <f t="shared" si="19"/>
        <v>166.88841254155</v>
      </c>
      <c r="T114" s="56">
        <f t="shared" si="20"/>
        <v>12.918529813471423</v>
      </c>
      <c r="U114" s="56">
        <f t="shared" si="21"/>
        <v>1.1435933640376927</v>
      </c>
      <c r="V114" s="33">
        <f t="shared" si="22"/>
        <v>-0.676008886105255</v>
      </c>
      <c r="W114" s="143">
        <f t="shared" si="23"/>
        <v>0.676008886105255</v>
      </c>
    </row>
    <row r="115" spans="1:23" x14ac:dyDescent="0.15">
      <c r="A115" s="7" t="s">
        <v>813</v>
      </c>
      <c r="B115" s="24" t="s">
        <v>525</v>
      </c>
      <c r="C115" s="64" t="s">
        <v>824</v>
      </c>
      <c r="D115" s="9" t="s">
        <v>148</v>
      </c>
      <c r="E115" s="24" t="s">
        <v>662</v>
      </c>
      <c r="F115" s="22" t="s">
        <v>374</v>
      </c>
      <c r="G115" s="10" t="s">
        <v>634</v>
      </c>
      <c r="H115" s="10" t="s">
        <v>580</v>
      </c>
      <c r="I115" s="64">
        <v>1427</v>
      </c>
      <c r="J115" s="34">
        <v>1355.1321401946566</v>
      </c>
      <c r="K115" s="56">
        <f t="shared" si="12"/>
        <v>-71.867859805343414</v>
      </c>
      <c r="L115" s="56">
        <f t="shared" si="13"/>
        <v>5164.9892730004958</v>
      </c>
      <c r="M115" s="56">
        <f t="shared" si="14"/>
        <v>71.867859805343414</v>
      </c>
      <c r="N115" s="56">
        <f t="shared" si="15"/>
        <v>1.8625360140921159</v>
      </c>
      <c r="O115" s="143">
        <f t="shared" si="16"/>
        <v>-5.0362901054900782</v>
      </c>
      <c r="P115" s="143">
        <f t="shared" si="17"/>
        <v>5.0362901054900782</v>
      </c>
      <c r="Q115" s="83">
        <v>1347.6183966598242</v>
      </c>
      <c r="R115" s="56">
        <f t="shared" si="18"/>
        <v>-79.381603340175843</v>
      </c>
      <c r="S115" s="56">
        <f t="shared" si="19"/>
        <v>6301.4389488570168</v>
      </c>
      <c r="T115" s="56">
        <f t="shared" si="20"/>
        <v>79.381603340175843</v>
      </c>
      <c r="U115" s="56">
        <f t="shared" si="21"/>
        <v>1.9051566646433551</v>
      </c>
      <c r="V115" s="33">
        <f t="shared" si="22"/>
        <v>-5.5628313482954344</v>
      </c>
      <c r="W115" s="143">
        <f t="shared" si="23"/>
        <v>5.5628313482954344</v>
      </c>
    </row>
    <row r="116" spans="1:23" x14ac:dyDescent="0.15">
      <c r="A116" s="7" t="s">
        <v>814</v>
      </c>
      <c r="B116" s="24" t="s">
        <v>525</v>
      </c>
      <c r="C116" s="64" t="s">
        <v>824</v>
      </c>
      <c r="D116" s="9" t="s">
        <v>148</v>
      </c>
      <c r="E116" s="24" t="s">
        <v>662</v>
      </c>
      <c r="F116" s="22" t="s">
        <v>374</v>
      </c>
      <c r="G116" s="10" t="s">
        <v>634</v>
      </c>
      <c r="H116" s="10" t="s">
        <v>580</v>
      </c>
      <c r="I116" s="64">
        <v>1408</v>
      </c>
      <c r="J116" s="34">
        <v>1361.0124660855174</v>
      </c>
      <c r="K116" s="56">
        <f t="shared" si="12"/>
        <v>-46.987533914482583</v>
      </c>
      <c r="L116" s="56">
        <f t="shared" si="13"/>
        <v>2207.8283433646511</v>
      </c>
      <c r="M116" s="56">
        <f t="shared" si="14"/>
        <v>46.987533914482583</v>
      </c>
      <c r="N116" s="56">
        <f t="shared" si="15"/>
        <v>1.6811284320567963</v>
      </c>
      <c r="O116" s="143">
        <f t="shared" si="16"/>
        <v>-3.3371828064263198</v>
      </c>
      <c r="P116" s="143">
        <f t="shared" si="17"/>
        <v>3.3371828064263198</v>
      </c>
      <c r="Q116" s="83">
        <v>1331.0708879599656</v>
      </c>
      <c r="R116" s="56">
        <f t="shared" si="18"/>
        <v>-76.929112040034397</v>
      </c>
      <c r="S116" s="56">
        <f t="shared" si="19"/>
        <v>5918.088279268165</v>
      </c>
      <c r="T116" s="56">
        <f t="shared" si="20"/>
        <v>76.929112040034397</v>
      </c>
      <c r="U116" s="56">
        <f t="shared" si="21"/>
        <v>1.8916997277173007</v>
      </c>
      <c r="V116" s="33">
        <f t="shared" si="22"/>
        <v>-5.4637153437524431</v>
      </c>
      <c r="W116" s="143">
        <f t="shared" si="23"/>
        <v>5.4637153437524431</v>
      </c>
    </row>
    <row r="117" spans="1:23" x14ac:dyDescent="0.15">
      <c r="A117" s="64" t="s">
        <v>815</v>
      </c>
      <c r="B117" s="24" t="s">
        <v>525</v>
      </c>
      <c r="C117" s="64" t="s">
        <v>824</v>
      </c>
      <c r="D117" s="77" t="s">
        <v>148</v>
      </c>
      <c r="E117" s="24" t="s">
        <v>662</v>
      </c>
      <c r="F117" s="10" t="s">
        <v>374</v>
      </c>
      <c r="G117" s="10" t="s">
        <v>640</v>
      </c>
      <c r="H117" s="10" t="s">
        <v>580</v>
      </c>
      <c r="I117" s="64">
        <v>1651</v>
      </c>
      <c r="J117" s="34">
        <v>1551.1692125003165</v>
      </c>
      <c r="K117" s="56">
        <f t="shared" si="12"/>
        <v>-99.830787499683538</v>
      </c>
      <c r="L117" s="56">
        <f t="shared" si="13"/>
        <v>9966.1861328069717</v>
      </c>
      <c r="M117" s="56">
        <f t="shared" si="14"/>
        <v>99.830787499683538</v>
      </c>
      <c r="N117" s="56">
        <f t="shared" si="15"/>
        <v>2.0035931590906721</v>
      </c>
      <c r="O117" s="143">
        <f t="shared" si="16"/>
        <v>-6.0466860993145692</v>
      </c>
      <c r="P117" s="143">
        <f t="shared" si="17"/>
        <v>6.0466860993145692</v>
      </c>
      <c r="Q117" s="83">
        <v>1503.5245489485635</v>
      </c>
      <c r="R117" s="56">
        <f t="shared" si="18"/>
        <v>-147.47545105143649</v>
      </c>
      <c r="S117" s="56">
        <f t="shared" si="19"/>
        <v>21749.008662824643</v>
      </c>
      <c r="T117" s="56">
        <f t="shared" si="20"/>
        <v>147.47545105143649</v>
      </c>
      <c r="U117" s="56">
        <f t="shared" si="21"/>
        <v>2.1716546532880212</v>
      </c>
      <c r="V117" s="33">
        <f t="shared" si="22"/>
        <v>-8.9324924925158395</v>
      </c>
      <c r="W117" s="143">
        <f t="shared" si="23"/>
        <v>8.9324924925158395</v>
      </c>
    </row>
    <row r="118" spans="1:23" x14ac:dyDescent="0.15">
      <c r="A118" s="64" t="s">
        <v>816</v>
      </c>
      <c r="B118" s="24" t="s">
        <v>525</v>
      </c>
      <c r="C118" s="64" t="s">
        <v>824</v>
      </c>
      <c r="D118" s="77" t="s">
        <v>148</v>
      </c>
      <c r="E118" s="24" t="s">
        <v>662</v>
      </c>
      <c r="F118" s="22" t="s">
        <v>374</v>
      </c>
      <c r="G118" s="10" t="s">
        <v>634</v>
      </c>
      <c r="H118" s="10" t="s">
        <v>580</v>
      </c>
      <c r="I118" s="64">
        <v>1476</v>
      </c>
      <c r="J118" s="34">
        <v>1449.6761439776756</v>
      </c>
      <c r="K118" s="56">
        <f t="shared" si="12"/>
        <v>-26.323856022324435</v>
      </c>
      <c r="L118" s="56">
        <f t="shared" si="13"/>
        <v>692.94539588406644</v>
      </c>
      <c r="M118" s="56">
        <f t="shared" si="14"/>
        <v>26.323856022324435</v>
      </c>
      <c r="N118" s="56">
        <f t="shared" si="15"/>
        <v>1.4365419882395956</v>
      </c>
      <c r="O118" s="143">
        <f t="shared" si="16"/>
        <v>-1.7834590801032815</v>
      </c>
      <c r="P118" s="143">
        <f t="shared" si="17"/>
        <v>1.7834590801032815</v>
      </c>
      <c r="Q118" s="83">
        <v>1469.8986710628274</v>
      </c>
      <c r="R118" s="56">
        <f t="shared" si="18"/>
        <v>-6.1013289371726387</v>
      </c>
      <c r="S118" s="56">
        <f t="shared" si="19"/>
        <v>37.226214799580198</v>
      </c>
      <c r="T118" s="56">
        <f t="shared" si="20"/>
        <v>6.1013289371726387</v>
      </c>
      <c r="U118" s="56">
        <f t="shared" si="21"/>
        <v>0.85133962985622957</v>
      </c>
      <c r="V118" s="33">
        <f t="shared" si="22"/>
        <v>-0.41336916918513811</v>
      </c>
      <c r="W118" s="143">
        <f t="shared" si="23"/>
        <v>0.41336916918513811</v>
      </c>
    </row>
    <row r="119" spans="1:23" x14ac:dyDescent="0.15">
      <c r="A119" s="64" t="s">
        <v>817</v>
      </c>
      <c r="B119" s="24" t="s">
        <v>525</v>
      </c>
      <c r="C119" s="64" t="s">
        <v>824</v>
      </c>
      <c r="D119" s="77" t="s">
        <v>148</v>
      </c>
      <c r="E119" s="24" t="s">
        <v>662</v>
      </c>
      <c r="F119" s="22" t="s">
        <v>374</v>
      </c>
      <c r="G119" s="10" t="s">
        <v>634</v>
      </c>
      <c r="H119" s="10" t="s">
        <v>580</v>
      </c>
      <c r="I119" s="64">
        <v>1495</v>
      </c>
      <c r="J119" s="34">
        <v>1455.6171391228686</v>
      </c>
      <c r="K119" s="56">
        <f t="shared" si="12"/>
        <v>-39.382860877131407</v>
      </c>
      <c r="L119" s="56">
        <f t="shared" si="13"/>
        <v>1551.0097308674876</v>
      </c>
      <c r="M119" s="56">
        <f t="shared" si="14"/>
        <v>39.382860877131407</v>
      </c>
      <c r="N119" s="56">
        <f t="shared" si="15"/>
        <v>1.6061970827884056</v>
      </c>
      <c r="O119" s="143">
        <f t="shared" si="16"/>
        <v>-2.6343050753934052</v>
      </c>
      <c r="P119" s="143">
        <f t="shared" si="17"/>
        <v>2.6343050753934052</v>
      </c>
      <c r="Q119" s="83">
        <v>1391.8961211629376</v>
      </c>
      <c r="R119" s="56">
        <f t="shared" si="18"/>
        <v>-103.10387883706244</v>
      </c>
      <c r="S119" s="56">
        <f t="shared" si="19"/>
        <v>10630.409831247653</v>
      </c>
      <c r="T119" s="56">
        <f t="shared" si="20"/>
        <v>103.10387883706244</v>
      </c>
      <c r="U119" s="56">
        <f t="shared" si="21"/>
        <v>2.0174669113179262</v>
      </c>
      <c r="V119" s="33">
        <f t="shared" si="22"/>
        <v>-6.8965805242182237</v>
      </c>
      <c r="W119" s="143">
        <f t="shared" si="23"/>
        <v>6.8965805242182237</v>
      </c>
    </row>
    <row r="120" spans="1:23" x14ac:dyDescent="0.15">
      <c r="A120" s="64" t="s">
        <v>818</v>
      </c>
      <c r="B120" s="24" t="s">
        <v>525</v>
      </c>
      <c r="C120" s="64" t="s">
        <v>824</v>
      </c>
      <c r="D120" s="77" t="s">
        <v>148</v>
      </c>
      <c r="E120" s="24" t="s">
        <v>662</v>
      </c>
      <c r="F120" s="22" t="s">
        <v>374</v>
      </c>
      <c r="G120" s="10" t="s">
        <v>634</v>
      </c>
      <c r="H120" s="10" t="s">
        <v>580</v>
      </c>
      <c r="I120" s="64">
        <v>1360</v>
      </c>
      <c r="J120" s="34">
        <v>1308.2304974414956</v>
      </c>
      <c r="K120" s="56">
        <f t="shared" si="12"/>
        <v>-51.769502558504428</v>
      </c>
      <c r="L120" s="56">
        <f t="shared" si="13"/>
        <v>2680.0813951549967</v>
      </c>
      <c r="M120" s="56">
        <f t="shared" si="14"/>
        <v>51.769502558504428</v>
      </c>
      <c r="N120" s="56">
        <f t="shared" si="15"/>
        <v>1.7223830002389988</v>
      </c>
      <c r="O120" s="143">
        <f t="shared" si="16"/>
        <v>-3.8065810704782668</v>
      </c>
      <c r="P120" s="143">
        <f t="shared" si="17"/>
        <v>3.8065810704782668</v>
      </c>
      <c r="Q120" s="83">
        <v>1287.0979963041912</v>
      </c>
      <c r="R120" s="56">
        <f t="shared" si="18"/>
        <v>-72.902003695808844</v>
      </c>
      <c r="S120" s="56">
        <f t="shared" si="19"/>
        <v>5314.7021428637263</v>
      </c>
      <c r="T120" s="56">
        <f t="shared" si="20"/>
        <v>72.902003695808844</v>
      </c>
      <c r="U120" s="56">
        <f t="shared" si="21"/>
        <v>1.8686562135265761</v>
      </c>
      <c r="V120" s="33">
        <f t="shared" si="22"/>
        <v>-5.3604414482212386</v>
      </c>
      <c r="W120" s="143">
        <f t="shared" si="23"/>
        <v>5.3604414482212386</v>
      </c>
    </row>
    <row r="121" spans="1:23" x14ac:dyDescent="0.15">
      <c r="A121" s="64" t="s">
        <v>819</v>
      </c>
      <c r="B121" s="24" t="s">
        <v>525</v>
      </c>
      <c r="C121" s="64" t="s">
        <v>824</v>
      </c>
      <c r="D121" s="77" t="s">
        <v>148</v>
      </c>
      <c r="E121" s="24" t="s">
        <v>662</v>
      </c>
      <c r="F121" s="10" t="s">
        <v>374</v>
      </c>
      <c r="G121" s="10" t="s">
        <v>640</v>
      </c>
      <c r="H121" s="10" t="s">
        <v>580</v>
      </c>
      <c r="I121" s="64">
        <v>1830</v>
      </c>
      <c r="J121" s="34">
        <v>1806.2112508870032</v>
      </c>
      <c r="K121" s="56">
        <f t="shared" si="12"/>
        <v>-23.788749112996811</v>
      </c>
      <c r="L121" s="56">
        <f t="shared" si="13"/>
        <v>565.90458436110657</v>
      </c>
      <c r="M121" s="56">
        <f t="shared" si="14"/>
        <v>23.788749112996811</v>
      </c>
      <c r="N121" s="56">
        <f t="shared" si="15"/>
        <v>1.3942546120026125</v>
      </c>
      <c r="O121" s="143">
        <f t="shared" si="16"/>
        <v>-1.2999316455189514</v>
      </c>
      <c r="P121" s="143">
        <f t="shared" si="17"/>
        <v>1.2999316455189514</v>
      </c>
      <c r="Q121" s="83">
        <v>1793.8214955698543</v>
      </c>
      <c r="R121" s="56">
        <f t="shared" si="18"/>
        <v>-36.178504430145722</v>
      </c>
      <c r="S121" s="56">
        <f t="shared" si="19"/>
        <v>1308.8841828020736</v>
      </c>
      <c r="T121" s="56">
        <f t="shared" si="20"/>
        <v>36.178504430145722</v>
      </c>
      <c r="U121" s="56">
        <f t="shared" si="21"/>
        <v>1.5702919155381168</v>
      </c>
      <c r="V121" s="33">
        <f t="shared" si="22"/>
        <v>-1.9769674551992198</v>
      </c>
      <c r="W121" s="143">
        <f t="shared" si="23"/>
        <v>1.9769674551992198</v>
      </c>
    </row>
    <row r="122" spans="1:23" x14ac:dyDescent="0.15">
      <c r="A122" s="64" t="s">
        <v>820</v>
      </c>
      <c r="B122" s="24" t="s">
        <v>525</v>
      </c>
      <c r="C122" s="64" t="s">
        <v>824</v>
      </c>
      <c r="D122" s="77" t="s">
        <v>148</v>
      </c>
      <c r="E122" s="24" t="s">
        <v>662</v>
      </c>
      <c r="F122" s="22" t="s">
        <v>374</v>
      </c>
      <c r="G122" s="10" t="s">
        <v>634</v>
      </c>
      <c r="H122" s="10" t="s">
        <v>580</v>
      </c>
      <c r="I122" s="64">
        <v>1416</v>
      </c>
      <c r="J122" s="34">
        <v>1431.8754604430014</v>
      </c>
      <c r="K122" s="56">
        <f t="shared" si="12"/>
        <v>15.87546044300143</v>
      </c>
      <c r="L122" s="56">
        <f t="shared" si="13"/>
        <v>252.03024427730315</v>
      </c>
      <c r="M122" s="56">
        <f t="shared" si="14"/>
        <v>15.87546044300143</v>
      </c>
      <c r="N122" s="56">
        <f t="shared" si="15"/>
        <v>1.2272556312883478</v>
      </c>
      <c r="O122" s="143">
        <f t="shared" si="16"/>
        <v>1.1211483363701575</v>
      </c>
      <c r="P122" s="143">
        <f t="shared" si="17"/>
        <v>1.1211483363701575</v>
      </c>
      <c r="Q122" s="83">
        <v>1391.8961211629376</v>
      </c>
      <c r="R122" s="56">
        <f t="shared" si="18"/>
        <v>-24.103878837062439</v>
      </c>
      <c r="S122" s="56">
        <f t="shared" si="19"/>
        <v>580.99697499178649</v>
      </c>
      <c r="T122" s="56">
        <f t="shared" si="20"/>
        <v>24.103878837062439</v>
      </c>
      <c r="U122" s="56">
        <f t="shared" si="21"/>
        <v>1.3997408301417549</v>
      </c>
      <c r="V122" s="33">
        <f t="shared" si="22"/>
        <v>-1.7022513303010196</v>
      </c>
      <c r="W122" s="143">
        <f t="shared" si="23"/>
        <v>1.7022513303010196</v>
      </c>
    </row>
    <row r="123" spans="1:23" x14ac:dyDescent="0.15">
      <c r="A123" s="64" t="s">
        <v>821</v>
      </c>
      <c r="B123" s="24" t="s">
        <v>525</v>
      </c>
      <c r="C123" s="64" t="s">
        <v>824</v>
      </c>
      <c r="D123" s="77" t="s">
        <v>148</v>
      </c>
      <c r="E123" s="24" t="s">
        <v>662</v>
      </c>
      <c r="F123" s="10" t="s">
        <v>293</v>
      </c>
      <c r="G123" s="10" t="s">
        <v>640</v>
      </c>
      <c r="H123" s="10" t="s">
        <v>580</v>
      </c>
      <c r="I123" s="64">
        <v>1980</v>
      </c>
      <c r="J123" s="34">
        <v>1892.5028552179774</v>
      </c>
      <c r="K123" s="56">
        <f t="shared" si="12"/>
        <v>-87.497144782022588</v>
      </c>
      <c r="L123" s="56">
        <f t="shared" si="13"/>
        <v>7655.7503450062222</v>
      </c>
      <c r="M123" s="56">
        <f t="shared" si="14"/>
        <v>87.497144782022588</v>
      </c>
      <c r="N123" s="56">
        <f t="shared" si="15"/>
        <v>1.9469292591112108</v>
      </c>
      <c r="O123" s="143">
        <f t="shared" si="16"/>
        <v>-4.4190477162637674</v>
      </c>
      <c r="P123" s="143">
        <f t="shared" si="17"/>
        <v>4.4190477162637674</v>
      </c>
      <c r="Q123" s="83">
        <v>1857.4293739379859</v>
      </c>
      <c r="R123" s="56">
        <f t="shared" si="18"/>
        <v>-122.57062606201407</v>
      </c>
      <c r="S123" s="56">
        <f t="shared" si="19"/>
        <v>15023.558373234084</v>
      </c>
      <c r="T123" s="56">
        <f t="shared" si="20"/>
        <v>122.57062606201407</v>
      </c>
      <c r="U123" s="56">
        <f t="shared" si="21"/>
        <v>2.0919152470045517</v>
      </c>
      <c r="V123" s="33">
        <f t="shared" si="22"/>
        <v>-6.1904356596976804</v>
      </c>
      <c r="W123" s="143">
        <f t="shared" si="23"/>
        <v>6.1904356596976804</v>
      </c>
    </row>
    <row r="124" spans="1:23" x14ac:dyDescent="0.15">
      <c r="A124" s="64" t="s">
        <v>822</v>
      </c>
      <c r="B124" s="24" t="s">
        <v>525</v>
      </c>
      <c r="C124" s="64" t="s">
        <v>824</v>
      </c>
      <c r="D124" s="77" t="s">
        <v>148</v>
      </c>
      <c r="E124" s="24" t="s">
        <v>662</v>
      </c>
      <c r="F124" s="10" t="s">
        <v>374</v>
      </c>
      <c r="G124" s="10" t="s">
        <v>640</v>
      </c>
      <c r="H124" s="10" t="s">
        <v>580</v>
      </c>
      <c r="I124" s="64">
        <v>1744</v>
      </c>
      <c r="J124" s="34">
        <v>1599.2875622869974</v>
      </c>
      <c r="K124" s="56">
        <f t="shared" si="12"/>
        <v>-144.7124377130026</v>
      </c>
      <c r="L124" s="56">
        <f t="shared" si="13"/>
        <v>20941.689628839657</v>
      </c>
      <c r="M124" s="56">
        <f t="shared" si="14"/>
        <v>144.7124377130026</v>
      </c>
      <c r="N124" s="56">
        <f t="shared" si="15"/>
        <v>2.16349662383301</v>
      </c>
      <c r="O124" s="143">
        <f t="shared" si="16"/>
        <v>-8.2977315202409745</v>
      </c>
      <c r="P124" s="143">
        <f t="shared" si="17"/>
        <v>8.2977315202409745</v>
      </c>
      <c r="Q124" s="83">
        <v>1610.757278726835</v>
      </c>
      <c r="R124" s="56">
        <f t="shared" si="18"/>
        <v>-133.24272127316499</v>
      </c>
      <c r="S124" s="56">
        <f t="shared" si="19"/>
        <v>17753.622772278333</v>
      </c>
      <c r="T124" s="56">
        <f t="shared" si="20"/>
        <v>133.24272127316499</v>
      </c>
      <c r="U124" s="56">
        <f t="shared" si="21"/>
        <v>2.1278907472833479</v>
      </c>
      <c r="V124" s="33">
        <f t="shared" si="22"/>
        <v>-7.6400642931860663</v>
      </c>
      <c r="W124" s="143">
        <f t="shared" si="23"/>
        <v>7.6400642931860663</v>
      </c>
    </row>
    <row r="125" spans="1:23" x14ac:dyDescent="0.15">
      <c r="A125" s="64" t="s">
        <v>823</v>
      </c>
      <c r="B125" s="24" t="s">
        <v>525</v>
      </c>
      <c r="C125" s="64" t="s">
        <v>824</v>
      </c>
      <c r="D125" s="77" t="s">
        <v>148</v>
      </c>
      <c r="E125" s="24" t="s">
        <v>662</v>
      </c>
      <c r="F125" s="10" t="s">
        <v>374</v>
      </c>
      <c r="G125" s="10" t="s">
        <v>640</v>
      </c>
      <c r="H125" s="10" t="s">
        <v>580</v>
      </c>
      <c r="I125" s="64">
        <v>1780</v>
      </c>
      <c r="J125" s="34">
        <v>1702.2697966189126</v>
      </c>
      <c r="K125" s="56">
        <f t="shared" si="12"/>
        <v>-77.730203381087449</v>
      </c>
      <c r="L125" s="56">
        <f t="shared" si="13"/>
        <v>6041.9845176652188</v>
      </c>
      <c r="M125" s="56">
        <f t="shared" si="14"/>
        <v>77.730203381087449</v>
      </c>
      <c r="N125" s="56">
        <f t="shared" si="15"/>
        <v>1.8961413733418027</v>
      </c>
      <c r="O125" s="143">
        <f t="shared" si="16"/>
        <v>-4.3668653584880586</v>
      </c>
      <c r="P125" s="143">
        <f t="shared" si="17"/>
        <v>4.3668653584880586</v>
      </c>
      <c r="Q125" s="83">
        <v>1644.8512396692463</v>
      </c>
      <c r="R125" s="56">
        <f t="shared" si="18"/>
        <v>-135.1487603307537</v>
      </c>
      <c r="S125" s="56">
        <f t="shared" si="19"/>
        <v>18265.187418939506</v>
      </c>
      <c r="T125" s="56">
        <f t="shared" si="20"/>
        <v>135.1487603307537</v>
      </c>
      <c r="U125" s="56">
        <f t="shared" si="21"/>
        <v>2.134013691331774</v>
      </c>
      <c r="V125" s="33">
        <f t="shared" si="22"/>
        <v>-7.5926269848738039</v>
      </c>
      <c r="W125" s="143">
        <f t="shared" si="23"/>
        <v>7.5926269848738039</v>
      </c>
    </row>
    <row r="126" spans="1:23" x14ac:dyDescent="0.15">
      <c r="A126" s="69" t="s">
        <v>520</v>
      </c>
      <c r="B126" s="24" t="s">
        <v>525</v>
      </c>
      <c r="C126" s="70" t="s">
        <v>401</v>
      </c>
      <c r="D126" s="68" t="s">
        <v>82</v>
      </c>
      <c r="E126" s="24" t="s">
        <v>662</v>
      </c>
      <c r="F126" s="74" t="s">
        <v>494</v>
      </c>
      <c r="G126" s="10" t="s">
        <v>634</v>
      </c>
      <c r="H126" s="10" t="s">
        <v>580</v>
      </c>
      <c r="I126" s="70">
        <v>770</v>
      </c>
      <c r="J126" s="34">
        <v>660.88454193669293</v>
      </c>
      <c r="K126" s="56">
        <f t="shared" si="12"/>
        <v>-109.11545806330707</v>
      </c>
      <c r="L126" s="56">
        <f t="shared" si="13"/>
        <v>11906.183188365325</v>
      </c>
      <c r="M126" s="56">
        <f t="shared" si="14"/>
        <v>109.11545806330707</v>
      </c>
      <c r="N126" s="56">
        <f t="shared" si="15"/>
        <v>2.0418482897288932</v>
      </c>
      <c r="O126" s="143">
        <f t="shared" si="16"/>
        <v>-14.170838709520398</v>
      </c>
      <c r="P126" s="143">
        <f t="shared" si="17"/>
        <v>14.170838709520398</v>
      </c>
      <c r="Q126" s="40">
        <v>638.92098705588671</v>
      </c>
      <c r="R126" s="56">
        <f t="shared" si="18"/>
        <v>-131.07901294411329</v>
      </c>
      <c r="S126" s="56">
        <f t="shared" si="19"/>
        <v>17181.707634403017</v>
      </c>
      <c r="T126" s="56">
        <f t="shared" si="20"/>
        <v>131.07901294411329</v>
      </c>
      <c r="U126" s="56">
        <f t="shared" si="21"/>
        <v>2.1208338146874546</v>
      </c>
      <c r="V126" s="33">
        <f t="shared" si="22"/>
        <v>-17.023248434300427</v>
      </c>
      <c r="W126" s="143">
        <f t="shared" si="23"/>
        <v>17.023248434300427</v>
      </c>
    </row>
    <row r="127" spans="1:23" x14ac:dyDescent="0.15">
      <c r="A127" s="69" t="s">
        <v>521</v>
      </c>
      <c r="B127" s="24" t="s">
        <v>525</v>
      </c>
      <c r="C127" s="70" t="s">
        <v>401</v>
      </c>
      <c r="D127" s="68" t="s">
        <v>82</v>
      </c>
      <c r="E127" s="24" t="s">
        <v>662</v>
      </c>
      <c r="F127" s="74" t="s">
        <v>494</v>
      </c>
      <c r="G127" s="10" t="s">
        <v>634</v>
      </c>
      <c r="H127" s="10" t="s">
        <v>580</v>
      </c>
      <c r="I127" s="70">
        <v>716</v>
      </c>
      <c r="J127" s="34">
        <v>671.43483980522342</v>
      </c>
      <c r="K127" s="56">
        <f t="shared" si="12"/>
        <v>-44.565160194776581</v>
      </c>
      <c r="L127" s="56">
        <f t="shared" si="13"/>
        <v>1986.0535031860991</v>
      </c>
      <c r="M127" s="56">
        <f t="shared" si="14"/>
        <v>44.565160194776581</v>
      </c>
      <c r="N127" s="56">
        <f t="shared" si="15"/>
        <v>1.6586329014741077</v>
      </c>
      <c r="O127" s="143">
        <f t="shared" si="16"/>
        <v>-6.2241843847453326</v>
      </c>
      <c r="P127" s="143">
        <f t="shared" si="17"/>
        <v>6.2241843847453326</v>
      </c>
      <c r="Q127" s="40">
        <v>653.72854422873797</v>
      </c>
      <c r="R127" s="56">
        <f t="shared" si="18"/>
        <v>-62.271455771262026</v>
      </c>
      <c r="S127" s="56">
        <f t="shared" si="19"/>
        <v>3877.7342038722427</v>
      </c>
      <c r="T127" s="56">
        <f t="shared" si="20"/>
        <v>62.271455771262026</v>
      </c>
      <c r="U127" s="56">
        <f t="shared" si="21"/>
        <v>1.801207826969859</v>
      </c>
      <c r="V127" s="33">
        <f t="shared" si="22"/>
        <v>-8.6971306943103386</v>
      </c>
      <c r="W127" s="143">
        <f t="shared" si="23"/>
        <v>8.6971306943103386</v>
      </c>
    </row>
    <row r="128" spans="1:23" x14ac:dyDescent="0.15">
      <c r="A128" s="64" t="s">
        <v>415</v>
      </c>
      <c r="B128" s="24" t="s">
        <v>525</v>
      </c>
      <c r="C128" s="70" t="s">
        <v>458</v>
      </c>
      <c r="D128" s="9" t="s">
        <v>82</v>
      </c>
      <c r="E128" s="24" t="s">
        <v>662</v>
      </c>
      <c r="F128" s="10" t="s">
        <v>203</v>
      </c>
      <c r="G128" s="10" t="s">
        <v>640</v>
      </c>
      <c r="H128" s="10" t="s">
        <v>581</v>
      </c>
      <c r="I128" s="64">
        <v>2790</v>
      </c>
      <c r="J128" s="34">
        <v>2493.1385483301624</v>
      </c>
      <c r="K128" s="56">
        <f t="shared" si="12"/>
        <v>-296.86145166983761</v>
      </c>
      <c r="L128" s="56">
        <f t="shared" si="13"/>
        <v>88126.721487523333</v>
      </c>
      <c r="M128" s="56">
        <f t="shared" si="14"/>
        <v>296.86145166983761</v>
      </c>
      <c r="N128" s="56">
        <f t="shared" si="15"/>
        <v>2.4740143017704805</v>
      </c>
      <c r="O128" s="143">
        <f t="shared" si="16"/>
        <v>-10.640195400352603</v>
      </c>
      <c r="P128" s="143">
        <f t="shared" si="17"/>
        <v>10.640195400352603</v>
      </c>
      <c r="Q128" s="83">
        <v>2462.216689172727</v>
      </c>
      <c r="R128" s="56">
        <f t="shared" si="18"/>
        <v>-327.783310827273</v>
      </c>
      <c r="S128" s="56">
        <f t="shared" si="19"/>
        <v>107441.89885688867</v>
      </c>
      <c r="T128" s="56">
        <f t="shared" si="20"/>
        <v>327.783310827273</v>
      </c>
      <c r="U128" s="56">
        <f t="shared" si="21"/>
        <v>2.5169097644654097</v>
      </c>
      <c r="V128" s="33">
        <f t="shared" si="22"/>
        <v>-11.748505764418388</v>
      </c>
      <c r="W128" s="143">
        <f t="shared" si="23"/>
        <v>11.748505764418388</v>
      </c>
    </row>
    <row r="129" spans="1:23" x14ac:dyDescent="0.15">
      <c r="A129" s="70" t="s">
        <v>714</v>
      </c>
      <c r="B129" s="24" t="s">
        <v>525</v>
      </c>
      <c r="C129" s="8" t="s">
        <v>458</v>
      </c>
      <c r="D129" s="9" t="s">
        <v>82</v>
      </c>
      <c r="E129" s="24" t="s">
        <v>662</v>
      </c>
      <c r="F129" s="10" t="s">
        <v>293</v>
      </c>
      <c r="G129" s="10" t="s">
        <v>640</v>
      </c>
      <c r="H129" s="10" t="s">
        <v>580</v>
      </c>
      <c r="I129" s="64">
        <v>1890</v>
      </c>
      <c r="J129" s="82">
        <v>1671.8795032376424</v>
      </c>
      <c r="K129" s="56">
        <f t="shared" si="12"/>
        <v>-218.12049676235756</v>
      </c>
      <c r="L129" s="56">
        <f t="shared" si="13"/>
        <v>47576.551107857638</v>
      </c>
      <c r="M129" s="56">
        <f t="shared" si="14"/>
        <v>218.12049676235756</v>
      </c>
      <c r="N129" s="56">
        <f t="shared" si="15"/>
        <v>2.3406830038247026</v>
      </c>
      <c r="O129" s="143">
        <f t="shared" si="16"/>
        <v>-11.540767024463364</v>
      </c>
      <c r="P129" s="143">
        <f t="shared" si="17"/>
        <v>11.540767024463364</v>
      </c>
      <c r="Q129" s="83">
        <v>1701.9139631565849</v>
      </c>
      <c r="R129" s="56">
        <f t="shared" si="18"/>
        <v>-188.08603684341506</v>
      </c>
      <c r="S129" s="56">
        <f t="shared" si="19"/>
        <v>35376.357255462484</v>
      </c>
      <c r="T129" s="56">
        <f t="shared" si="20"/>
        <v>188.08603684341506</v>
      </c>
      <c r="U129" s="56">
        <f t="shared" si="21"/>
        <v>2.2766594593275706</v>
      </c>
      <c r="V129" s="33">
        <f t="shared" si="22"/>
        <v>-9.9516421610272516</v>
      </c>
      <c r="W129" s="143">
        <f t="shared" si="23"/>
        <v>9.9516421610272516</v>
      </c>
    </row>
    <row r="130" spans="1:23" x14ac:dyDescent="0.15">
      <c r="A130" s="70" t="s">
        <v>715</v>
      </c>
      <c r="B130" s="24" t="s">
        <v>525</v>
      </c>
      <c r="C130" s="8" t="s">
        <v>458</v>
      </c>
      <c r="D130" s="9" t="s">
        <v>82</v>
      </c>
      <c r="E130" s="24" t="s">
        <v>662</v>
      </c>
      <c r="F130" s="10" t="s">
        <v>293</v>
      </c>
      <c r="G130" s="10" t="s">
        <v>640</v>
      </c>
      <c r="H130" s="10" t="s">
        <v>580</v>
      </c>
      <c r="I130" s="85">
        <v>1940</v>
      </c>
      <c r="J130" s="34">
        <v>1720.5438555285875</v>
      </c>
      <c r="K130" s="56">
        <f t="shared" ref="K130:K193" si="24">J130-I130</f>
        <v>-219.45614447141247</v>
      </c>
      <c r="L130" s="56">
        <f t="shared" ref="L130:L193" si="25">K130^2</f>
        <v>48160.999346257464</v>
      </c>
      <c r="M130" s="56">
        <f t="shared" ref="M130:M193" si="26">SQRT(L130)</f>
        <v>219.45614447141247</v>
      </c>
      <c r="N130" s="56">
        <f t="shared" ref="N130:N193" si="27">LOG10(M130+1)</f>
        <v>2.3433222078248064</v>
      </c>
      <c r="O130" s="143">
        <f t="shared" ref="O130:O193" si="28">100*K130/I130</f>
        <v>-11.312172395433633</v>
      </c>
      <c r="P130" s="143">
        <f t="shared" ref="P130:P193" si="29">ABS(O130)</f>
        <v>11.312172395433633</v>
      </c>
      <c r="Q130" s="83">
        <v>1690.4777383073251</v>
      </c>
      <c r="R130" s="56">
        <f t="shared" ref="R130:R193" si="30">Q130-I130</f>
        <v>-249.52226169267487</v>
      </c>
      <c r="S130" s="56">
        <f t="shared" ref="S130:S193" si="31">R130^2</f>
        <v>62261.359080227725</v>
      </c>
      <c r="T130" s="56">
        <f t="shared" ref="T130:T193" si="32">SQRT(S130)</f>
        <v>249.52226169267487</v>
      </c>
      <c r="U130" s="56">
        <f t="shared" ref="U130:U193" si="33">LOG10(T130+1)</f>
        <v>2.3988463238188862</v>
      </c>
      <c r="V130" s="33">
        <f t="shared" ref="V130:V193" si="34">100*R130/I130</f>
        <v>-12.861972252199736</v>
      </c>
      <c r="W130" s="143">
        <f t="shared" ref="W130:W193" si="35">ABS(V130)</f>
        <v>12.861972252199736</v>
      </c>
    </row>
    <row r="131" spans="1:23" x14ac:dyDescent="0.15">
      <c r="A131" s="7" t="s">
        <v>58</v>
      </c>
      <c r="B131" s="24" t="s">
        <v>525</v>
      </c>
      <c r="C131" s="70" t="s">
        <v>403</v>
      </c>
      <c r="D131" s="9" t="s">
        <v>900</v>
      </c>
      <c r="E131" s="24" t="s">
        <v>662</v>
      </c>
      <c r="F131" s="10" t="s">
        <v>203</v>
      </c>
      <c r="G131" s="10" t="s">
        <v>640</v>
      </c>
      <c r="H131" s="10" t="s">
        <v>581</v>
      </c>
      <c r="I131" s="8">
        <v>2949</v>
      </c>
      <c r="J131" s="34">
        <v>2696.9315669929601</v>
      </c>
      <c r="K131" s="56">
        <f t="shared" si="24"/>
        <v>-252.06843300703986</v>
      </c>
      <c r="L131" s="56">
        <f t="shared" si="25"/>
        <v>63538.494918624543</v>
      </c>
      <c r="M131" s="56">
        <f t="shared" si="26"/>
        <v>252.06843300703986</v>
      </c>
      <c r="N131" s="56">
        <f t="shared" si="27"/>
        <v>2.4032379759529992</v>
      </c>
      <c r="O131" s="143">
        <f t="shared" si="28"/>
        <v>-8.5475901324869401</v>
      </c>
      <c r="P131" s="143">
        <f t="shared" si="29"/>
        <v>8.5475901324869401</v>
      </c>
      <c r="Q131" s="40">
        <v>2636.2293869756254</v>
      </c>
      <c r="R131" s="56">
        <f t="shared" si="30"/>
        <v>-312.7706130243746</v>
      </c>
      <c r="S131" s="56">
        <f t="shared" si="31"/>
        <v>97825.456371643086</v>
      </c>
      <c r="T131" s="56">
        <f t="shared" si="32"/>
        <v>312.7706130243746</v>
      </c>
      <c r="U131" s="56">
        <f t="shared" si="33"/>
        <v>2.4966122662139769</v>
      </c>
      <c r="V131" s="33">
        <f t="shared" si="34"/>
        <v>-10.60598891232196</v>
      </c>
      <c r="W131" s="143">
        <f t="shared" si="35"/>
        <v>10.60598891232196</v>
      </c>
    </row>
    <row r="132" spans="1:23" x14ac:dyDescent="0.15">
      <c r="A132" s="7" t="s">
        <v>254</v>
      </c>
      <c r="B132" s="24" t="s">
        <v>525</v>
      </c>
      <c r="C132" s="70" t="s">
        <v>403</v>
      </c>
      <c r="D132" s="9" t="s">
        <v>82</v>
      </c>
      <c r="E132" s="24" t="s">
        <v>662</v>
      </c>
      <c r="F132" s="10" t="s">
        <v>374</v>
      </c>
      <c r="G132" s="10" t="s">
        <v>634</v>
      </c>
      <c r="H132" s="10" t="s">
        <v>580</v>
      </c>
      <c r="I132" s="85">
        <v>1176.5999999999999</v>
      </c>
      <c r="J132" s="34">
        <v>1276.6574136349632</v>
      </c>
      <c r="K132" s="56">
        <f t="shared" si="24"/>
        <v>100.05741363496327</v>
      </c>
      <c r="L132" s="56">
        <f t="shared" si="25"/>
        <v>10011.486023318133</v>
      </c>
      <c r="M132" s="56">
        <f t="shared" si="26"/>
        <v>100.05741363496327</v>
      </c>
      <c r="N132" s="56">
        <f t="shared" si="27"/>
        <v>2.0045681791343792</v>
      </c>
      <c r="O132" s="143">
        <f t="shared" si="28"/>
        <v>8.5039447250521221</v>
      </c>
      <c r="P132" s="143">
        <f t="shared" si="29"/>
        <v>8.5039447250521221</v>
      </c>
      <c r="Q132" s="40">
        <v>1241.389931394322</v>
      </c>
      <c r="R132" s="56">
        <f t="shared" si="30"/>
        <v>64.789931394322139</v>
      </c>
      <c r="S132" s="56">
        <f t="shared" si="31"/>
        <v>4197.7352100809694</v>
      </c>
      <c r="T132" s="56">
        <f t="shared" si="32"/>
        <v>64.789931394322139</v>
      </c>
      <c r="U132" s="56">
        <f t="shared" si="33"/>
        <v>1.8181594335155489</v>
      </c>
      <c r="V132" s="33">
        <f t="shared" si="34"/>
        <v>5.5065384492879605</v>
      </c>
      <c r="W132" s="143">
        <f t="shared" si="35"/>
        <v>5.5065384492879605</v>
      </c>
    </row>
    <row r="133" spans="1:23" x14ac:dyDescent="0.15">
      <c r="A133" s="7" t="s">
        <v>63</v>
      </c>
      <c r="B133" s="24" t="s">
        <v>525</v>
      </c>
      <c r="C133" s="70" t="s">
        <v>403</v>
      </c>
      <c r="D133" s="9" t="s">
        <v>82</v>
      </c>
      <c r="E133" s="24" t="s">
        <v>662</v>
      </c>
      <c r="F133" s="10" t="s">
        <v>494</v>
      </c>
      <c r="G133" s="10" t="s">
        <v>634</v>
      </c>
      <c r="H133" s="10" t="s">
        <v>580</v>
      </c>
      <c r="I133" s="8">
        <v>633</v>
      </c>
      <c r="J133" s="34">
        <v>581.5609061864692</v>
      </c>
      <c r="K133" s="56">
        <f t="shared" si="24"/>
        <v>-51.439093813530803</v>
      </c>
      <c r="L133" s="56">
        <f t="shared" si="25"/>
        <v>2645.9803723572231</v>
      </c>
      <c r="M133" s="56">
        <f t="shared" si="26"/>
        <v>51.439093813530803</v>
      </c>
      <c r="N133" s="56">
        <f t="shared" si="27"/>
        <v>1.7196551781518461</v>
      </c>
      <c r="O133" s="143">
        <f t="shared" si="28"/>
        <v>-8.1262391490569978</v>
      </c>
      <c r="P133" s="143">
        <f t="shared" si="29"/>
        <v>8.1262391490569978</v>
      </c>
      <c r="Q133" s="40">
        <v>566.65036739045775</v>
      </c>
      <c r="R133" s="56">
        <f t="shared" si="30"/>
        <v>-66.349632609542255</v>
      </c>
      <c r="S133" s="56">
        <f t="shared" si="31"/>
        <v>4402.2737474212327</v>
      </c>
      <c r="T133" s="56">
        <f t="shared" si="32"/>
        <v>66.349632609542255</v>
      </c>
      <c r="U133" s="56">
        <f t="shared" si="33"/>
        <v>1.8283352310005978</v>
      </c>
      <c r="V133" s="33">
        <f t="shared" si="34"/>
        <v>-10.481774503877133</v>
      </c>
      <c r="W133" s="143">
        <f t="shared" si="35"/>
        <v>10.481774503877133</v>
      </c>
    </row>
    <row r="134" spans="1:23" x14ac:dyDescent="0.15">
      <c r="A134" s="7" t="s">
        <v>50</v>
      </c>
      <c r="B134" s="24" t="s">
        <v>525</v>
      </c>
      <c r="C134" s="70" t="s">
        <v>403</v>
      </c>
      <c r="D134" s="9" t="s">
        <v>82</v>
      </c>
      <c r="E134" s="24" t="s">
        <v>662</v>
      </c>
      <c r="F134" s="10" t="s">
        <v>203</v>
      </c>
      <c r="G134" s="10" t="s">
        <v>640</v>
      </c>
      <c r="H134" s="10" t="s">
        <v>581</v>
      </c>
      <c r="I134" s="8">
        <v>2873</v>
      </c>
      <c r="J134" s="34">
        <v>2963.9410457496956</v>
      </c>
      <c r="K134" s="56">
        <f t="shared" si="24"/>
        <v>90.941045749695604</v>
      </c>
      <c r="L134" s="56">
        <f t="shared" si="25"/>
        <v>8270.2738020482284</v>
      </c>
      <c r="M134" s="56">
        <f t="shared" si="26"/>
        <v>90.941045749695604</v>
      </c>
      <c r="N134" s="56">
        <f t="shared" si="27"/>
        <v>1.9635094391656438</v>
      </c>
      <c r="O134" s="143">
        <f t="shared" si="28"/>
        <v>3.1653688043750647</v>
      </c>
      <c r="P134" s="143">
        <f t="shared" si="29"/>
        <v>3.1653688043750647</v>
      </c>
      <c r="Q134" s="40">
        <v>2866.4431563906969</v>
      </c>
      <c r="R134" s="56">
        <f t="shared" si="30"/>
        <v>-6.5568436093030869</v>
      </c>
      <c r="S134" s="56">
        <f t="shared" si="31"/>
        <v>42.992198116858731</v>
      </c>
      <c r="T134" s="56">
        <f t="shared" si="32"/>
        <v>6.5568436093030869</v>
      </c>
      <c r="U134" s="56">
        <f t="shared" si="33"/>
        <v>0.87834043448196863</v>
      </c>
      <c r="V134" s="33">
        <f t="shared" si="34"/>
        <v>-0.22822288929004828</v>
      </c>
      <c r="W134" s="143">
        <f t="shared" si="35"/>
        <v>0.22822288929004828</v>
      </c>
    </row>
    <row r="135" spans="1:23" x14ac:dyDescent="0.15">
      <c r="A135" s="7" t="s">
        <v>252</v>
      </c>
      <c r="B135" s="24" t="s">
        <v>525</v>
      </c>
      <c r="C135" s="70" t="s">
        <v>403</v>
      </c>
      <c r="D135" s="9" t="s">
        <v>82</v>
      </c>
      <c r="E135" s="24" t="s">
        <v>662</v>
      </c>
      <c r="F135" s="10" t="s">
        <v>374</v>
      </c>
      <c r="G135" s="10" t="s">
        <v>634</v>
      </c>
      <c r="H135" s="10" t="s">
        <v>580</v>
      </c>
      <c r="I135" s="85">
        <v>1193.83</v>
      </c>
      <c r="J135" s="34">
        <v>897.02911199142227</v>
      </c>
      <c r="K135" s="56">
        <f t="shared" si="24"/>
        <v>-296.80088800857766</v>
      </c>
      <c r="L135" s="56">
        <f t="shared" si="25"/>
        <v>88090.767122680263</v>
      </c>
      <c r="M135" s="56">
        <f t="shared" si="26"/>
        <v>296.80088800857766</v>
      </c>
      <c r="N135" s="56">
        <f t="shared" si="27"/>
        <v>2.4739259884351306</v>
      </c>
      <c r="O135" s="143">
        <f t="shared" si="28"/>
        <v>-24.861235520013544</v>
      </c>
      <c r="P135" s="143">
        <f t="shared" si="29"/>
        <v>24.861235520013544</v>
      </c>
      <c r="Q135" s="40">
        <v>876.59100091937466</v>
      </c>
      <c r="R135" s="56">
        <f t="shared" si="30"/>
        <v>-317.23899908062526</v>
      </c>
      <c r="S135" s="56">
        <f t="shared" si="31"/>
        <v>100640.58253767695</v>
      </c>
      <c r="T135" s="56">
        <f t="shared" si="32"/>
        <v>317.23899908062526</v>
      </c>
      <c r="U135" s="56">
        <f t="shared" si="33"/>
        <v>2.5027533998475899</v>
      </c>
      <c r="V135" s="33">
        <f t="shared" si="34"/>
        <v>-26.573213864672965</v>
      </c>
      <c r="W135" s="143">
        <f t="shared" si="35"/>
        <v>26.573213864672965</v>
      </c>
    </row>
    <row r="136" spans="1:23" x14ac:dyDescent="0.15">
      <c r="A136" s="70" t="s">
        <v>604</v>
      </c>
      <c r="B136" s="24" t="s">
        <v>525</v>
      </c>
      <c r="C136" s="70" t="s">
        <v>403</v>
      </c>
      <c r="D136" s="9" t="s">
        <v>96</v>
      </c>
      <c r="E136" s="24" t="s">
        <v>662</v>
      </c>
      <c r="F136" s="10" t="s">
        <v>293</v>
      </c>
      <c r="G136" s="10" t="s">
        <v>640</v>
      </c>
      <c r="H136" s="10" t="s">
        <v>580</v>
      </c>
      <c r="I136" s="64">
        <v>1985.9</v>
      </c>
      <c r="J136" s="34">
        <v>1776.7069426066694</v>
      </c>
      <c r="K136" s="56">
        <f t="shared" si="24"/>
        <v>-209.19305739333072</v>
      </c>
      <c r="L136" s="56">
        <f t="shared" si="25"/>
        <v>43761.73526156936</v>
      </c>
      <c r="M136" s="56">
        <f t="shared" si="26"/>
        <v>209.19305739333072</v>
      </c>
      <c r="N136" s="56">
        <f t="shared" si="27"/>
        <v>2.3226183673270455</v>
      </c>
      <c r="O136" s="143">
        <f t="shared" si="28"/>
        <v>-10.533916984406602</v>
      </c>
      <c r="P136" s="143">
        <f t="shared" si="29"/>
        <v>10.533916984406602</v>
      </c>
      <c r="Q136" s="40">
        <v>1738.3588490010368</v>
      </c>
      <c r="R136" s="56">
        <f t="shared" si="30"/>
        <v>-247.5411509989633</v>
      </c>
      <c r="S136" s="56">
        <f t="shared" si="31"/>
        <v>61276.621437891554</v>
      </c>
      <c r="T136" s="56">
        <f t="shared" si="32"/>
        <v>247.5411509989633</v>
      </c>
      <c r="U136" s="56">
        <f t="shared" si="33"/>
        <v>2.3953983052310681</v>
      </c>
      <c r="V136" s="33">
        <f t="shared" si="34"/>
        <v>-12.464935344124241</v>
      </c>
      <c r="W136" s="143">
        <f t="shared" si="35"/>
        <v>12.464935344124241</v>
      </c>
    </row>
    <row r="137" spans="1:23" x14ac:dyDescent="0.15">
      <c r="A137" s="7" t="s">
        <v>244</v>
      </c>
      <c r="B137" s="24" t="s">
        <v>525</v>
      </c>
      <c r="C137" s="70" t="s">
        <v>403</v>
      </c>
      <c r="D137" s="9" t="s">
        <v>82</v>
      </c>
      <c r="E137" s="24" t="s">
        <v>662</v>
      </c>
      <c r="F137" s="10" t="s">
        <v>374</v>
      </c>
      <c r="G137" s="10" t="s">
        <v>634</v>
      </c>
      <c r="H137" s="10" t="s">
        <v>580</v>
      </c>
      <c r="I137" s="8">
        <v>1199.5</v>
      </c>
      <c r="J137" s="34">
        <v>1036.3673569987454</v>
      </c>
      <c r="K137" s="56">
        <f t="shared" si="24"/>
        <v>-163.13264300125456</v>
      </c>
      <c r="L137" s="56">
        <f t="shared" si="25"/>
        <v>26612.259212574769</v>
      </c>
      <c r="M137" s="56">
        <f t="shared" si="26"/>
        <v>163.13264300125456</v>
      </c>
      <c r="N137" s="56">
        <f t="shared" si="27"/>
        <v>2.2151949629268444</v>
      </c>
      <c r="O137" s="143">
        <f t="shared" si="28"/>
        <v>-13.600053605773619</v>
      </c>
      <c r="P137" s="143">
        <f t="shared" si="29"/>
        <v>13.600053605773619</v>
      </c>
      <c r="Q137" s="40">
        <v>1024.5445787979997</v>
      </c>
      <c r="R137" s="56">
        <f t="shared" si="30"/>
        <v>-174.95542120200025</v>
      </c>
      <c r="S137" s="56">
        <f t="shared" si="31"/>
        <v>30609.399407969318</v>
      </c>
      <c r="T137" s="56">
        <f t="shared" si="32"/>
        <v>174.95542120200025</v>
      </c>
      <c r="U137" s="56">
        <f t="shared" si="33"/>
        <v>2.2454026520285222</v>
      </c>
      <c r="V137" s="33">
        <f t="shared" si="34"/>
        <v>-14.585695806752835</v>
      </c>
      <c r="W137" s="143">
        <f t="shared" si="35"/>
        <v>14.585695806752835</v>
      </c>
    </row>
    <row r="138" spans="1:23" x14ac:dyDescent="0.15">
      <c r="A138" s="16" t="s">
        <v>825</v>
      </c>
      <c r="B138" s="24" t="s">
        <v>525</v>
      </c>
      <c r="C138" s="16" t="s">
        <v>403</v>
      </c>
      <c r="D138" s="9" t="s">
        <v>82</v>
      </c>
      <c r="E138" s="24" t="s">
        <v>662</v>
      </c>
      <c r="F138" s="10" t="s">
        <v>494</v>
      </c>
      <c r="G138" s="10" t="s">
        <v>634</v>
      </c>
      <c r="H138" s="10" t="s">
        <v>580</v>
      </c>
      <c r="I138" s="17">
        <v>660.93000000000006</v>
      </c>
      <c r="J138" s="34">
        <v>639.86108822393294</v>
      </c>
      <c r="K138" s="56">
        <f t="shared" si="24"/>
        <v>-21.068911776067125</v>
      </c>
      <c r="L138" s="56">
        <f t="shared" si="25"/>
        <v>443.89904342770001</v>
      </c>
      <c r="M138" s="56">
        <f t="shared" si="26"/>
        <v>21.068911776067125</v>
      </c>
      <c r="N138" s="56">
        <f t="shared" si="27"/>
        <v>1.3437809185127567</v>
      </c>
      <c r="O138" s="143">
        <f t="shared" si="28"/>
        <v>-3.1877675057974555</v>
      </c>
      <c r="P138" s="143">
        <f t="shared" si="29"/>
        <v>3.1877675057974555</v>
      </c>
      <c r="Q138" s="40">
        <v>619.74924477520528</v>
      </c>
      <c r="R138" s="56">
        <f t="shared" si="30"/>
        <v>-41.18075522479478</v>
      </c>
      <c r="S138" s="56">
        <f t="shared" si="31"/>
        <v>1695.8546008844626</v>
      </c>
      <c r="T138" s="56">
        <f t="shared" si="32"/>
        <v>41.18075522479478</v>
      </c>
      <c r="U138" s="56">
        <f t="shared" si="33"/>
        <v>1.6251143512931003</v>
      </c>
      <c r="V138" s="33">
        <f t="shared" si="34"/>
        <v>-6.23072870421902</v>
      </c>
      <c r="W138" s="143">
        <f t="shared" si="35"/>
        <v>6.23072870421902</v>
      </c>
    </row>
    <row r="139" spans="1:23" x14ac:dyDescent="0.15">
      <c r="A139" s="70" t="s">
        <v>605</v>
      </c>
      <c r="B139" s="24" t="s">
        <v>525</v>
      </c>
      <c r="C139" s="70" t="s">
        <v>403</v>
      </c>
      <c r="D139" s="9" t="s">
        <v>82</v>
      </c>
      <c r="E139" s="24" t="s">
        <v>662</v>
      </c>
      <c r="F139" s="22" t="s">
        <v>374</v>
      </c>
      <c r="G139" s="10" t="s">
        <v>634</v>
      </c>
      <c r="H139" s="10" t="s">
        <v>580</v>
      </c>
      <c r="I139" s="64">
        <v>1348</v>
      </c>
      <c r="J139" s="34">
        <v>1408.7849635100606</v>
      </c>
      <c r="K139" s="56">
        <f t="shared" si="24"/>
        <v>60.784963510060606</v>
      </c>
      <c r="L139" s="56">
        <f t="shared" si="25"/>
        <v>3694.8117889193995</v>
      </c>
      <c r="M139" s="56">
        <f t="shared" si="26"/>
        <v>60.784963510060606</v>
      </c>
      <c r="N139" s="56">
        <f t="shared" si="27"/>
        <v>1.7908827945196815</v>
      </c>
      <c r="O139" s="143">
        <f t="shared" si="28"/>
        <v>4.5092702900638431</v>
      </c>
      <c r="P139" s="143">
        <f t="shared" si="29"/>
        <v>4.5092702900638431</v>
      </c>
      <c r="Q139" s="40">
        <v>1375.8202549252126</v>
      </c>
      <c r="R139" s="56">
        <f t="shared" si="30"/>
        <v>27.820254925212566</v>
      </c>
      <c r="S139" s="56">
        <f t="shared" si="31"/>
        <v>773.96658410381406</v>
      </c>
      <c r="T139" s="56">
        <f t="shared" si="32"/>
        <v>27.820254925212566</v>
      </c>
      <c r="U139" s="56">
        <f t="shared" si="33"/>
        <v>1.4596978179812137</v>
      </c>
      <c r="V139" s="33">
        <f t="shared" si="34"/>
        <v>2.0638171309504871</v>
      </c>
      <c r="W139" s="143">
        <f t="shared" si="35"/>
        <v>2.0638171309504871</v>
      </c>
    </row>
    <row r="140" spans="1:23" x14ac:dyDescent="0.15">
      <c r="A140" s="70" t="s">
        <v>615</v>
      </c>
      <c r="B140" s="24" t="s">
        <v>525</v>
      </c>
      <c r="C140" s="8" t="s">
        <v>403</v>
      </c>
      <c r="D140" s="9" t="s">
        <v>148</v>
      </c>
      <c r="E140" s="24" t="s">
        <v>662</v>
      </c>
      <c r="F140" s="10" t="s">
        <v>374</v>
      </c>
      <c r="G140" s="10" t="s">
        <v>634</v>
      </c>
      <c r="H140" s="10" t="s">
        <v>580</v>
      </c>
      <c r="I140" s="64">
        <v>1168</v>
      </c>
      <c r="J140" s="34">
        <v>1155.2432481224573</v>
      </c>
      <c r="K140" s="56">
        <f t="shared" si="24"/>
        <v>-12.756751877542683</v>
      </c>
      <c r="L140" s="56">
        <f t="shared" si="25"/>
        <v>162.73471846518876</v>
      </c>
      <c r="M140" s="56">
        <f t="shared" si="26"/>
        <v>12.756751877542683</v>
      </c>
      <c r="N140" s="56">
        <f t="shared" si="27"/>
        <v>1.1385159042351929</v>
      </c>
      <c r="O140" s="143">
        <f t="shared" si="28"/>
        <v>-1.0921876607485175</v>
      </c>
      <c r="P140" s="143">
        <f t="shared" si="29"/>
        <v>1.0921876607485175</v>
      </c>
      <c r="Q140" s="40">
        <v>1123.0406890911606</v>
      </c>
      <c r="R140" s="56">
        <f t="shared" si="30"/>
        <v>-44.95931090883937</v>
      </c>
      <c r="S140" s="56">
        <f t="shared" si="31"/>
        <v>2021.3396373976827</v>
      </c>
      <c r="T140" s="56">
        <f t="shared" si="32"/>
        <v>44.95931090883937</v>
      </c>
      <c r="U140" s="56">
        <f t="shared" si="33"/>
        <v>1.6623735084685514</v>
      </c>
      <c r="V140" s="33">
        <f t="shared" si="34"/>
        <v>-3.8492560709622747</v>
      </c>
      <c r="W140" s="143">
        <f t="shared" si="35"/>
        <v>3.8492560709622747</v>
      </c>
    </row>
    <row r="141" spans="1:23" x14ac:dyDescent="0.15">
      <c r="A141" s="70" t="s">
        <v>607</v>
      </c>
      <c r="B141" s="24" t="s">
        <v>525</v>
      </c>
      <c r="C141" s="8" t="s">
        <v>403</v>
      </c>
      <c r="D141" s="9" t="s">
        <v>148</v>
      </c>
      <c r="E141" s="24" t="s">
        <v>662</v>
      </c>
      <c r="F141" s="22" t="s">
        <v>374</v>
      </c>
      <c r="G141" s="10" t="s">
        <v>634</v>
      </c>
      <c r="H141" s="10" t="s">
        <v>580</v>
      </c>
      <c r="I141" s="64">
        <v>1439.3</v>
      </c>
      <c r="J141" s="34">
        <v>1343.383164031814</v>
      </c>
      <c r="K141" s="56">
        <f t="shared" si="24"/>
        <v>-95.916835968185978</v>
      </c>
      <c r="L141" s="56">
        <f t="shared" si="25"/>
        <v>9200.0394221478946</v>
      </c>
      <c r="M141" s="56">
        <f t="shared" si="26"/>
        <v>95.916835968185978</v>
      </c>
      <c r="N141" s="56">
        <f t="shared" si="27"/>
        <v>1.9863992273393074</v>
      </c>
      <c r="O141" s="143">
        <f t="shared" si="28"/>
        <v>-6.6641308947534208</v>
      </c>
      <c r="P141" s="143">
        <f t="shared" si="29"/>
        <v>6.6641308947534208</v>
      </c>
      <c r="Q141" s="40">
        <v>1312.9047980084247</v>
      </c>
      <c r="R141" s="56">
        <f t="shared" si="30"/>
        <v>-126.39520199157528</v>
      </c>
      <c r="S141" s="56">
        <f t="shared" si="31"/>
        <v>15975.747086491116</v>
      </c>
      <c r="T141" s="56">
        <f t="shared" si="32"/>
        <v>126.39520199157528</v>
      </c>
      <c r="U141" s="56">
        <f t="shared" si="33"/>
        <v>2.1051530717369928</v>
      </c>
      <c r="V141" s="33">
        <f t="shared" si="34"/>
        <v>-8.7817134712412468</v>
      </c>
      <c r="W141" s="143">
        <f t="shared" si="35"/>
        <v>8.7817134712412468</v>
      </c>
    </row>
    <row r="142" spans="1:23" x14ac:dyDescent="0.15">
      <c r="A142" s="70" t="s">
        <v>606</v>
      </c>
      <c r="B142" s="24" t="s">
        <v>525</v>
      </c>
      <c r="C142" s="8" t="s">
        <v>403</v>
      </c>
      <c r="D142" s="9" t="s">
        <v>148</v>
      </c>
      <c r="E142" s="24" t="s">
        <v>662</v>
      </c>
      <c r="F142" s="10" t="s">
        <v>374</v>
      </c>
      <c r="G142" s="10" t="s">
        <v>634</v>
      </c>
      <c r="H142" s="10" t="s">
        <v>580</v>
      </c>
      <c r="I142" s="64">
        <v>1196.7</v>
      </c>
      <c r="J142" s="34">
        <v>1175.5220768941249</v>
      </c>
      <c r="K142" s="56">
        <f t="shared" si="24"/>
        <v>-21.177923105875152</v>
      </c>
      <c r="L142" s="56">
        <f t="shared" si="25"/>
        <v>448.50442707836066</v>
      </c>
      <c r="M142" s="56">
        <f t="shared" si="26"/>
        <v>21.177923105875152</v>
      </c>
      <c r="N142" s="56">
        <f t="shared" si="27"/>
        <v>1.3459208733780379</v>
      </c>
      <c r="O142" s="143">
        <f t="shared" si="28"/>
        <v>-1.7696935828424125</v>
      </c>
      <c r="P142" s="143">
        <f t="shared" si="29"/>
        <v>1.7696935828424125</v>
      </c>
      <c r="Q142" s="40">
        <v>1181.4211825389277</v>
      </c>
      <c r="R142" s="56">
        <f t="shared" si="30"/>
        <v>-15.278817461072322</v>
      </c>
      <c r="S142" s="56">
        <f t="shared" si="31"/>
        <v>233.44226300876846</v>
      </c>
      <c r="T142" s="56">
        <f t="shared" si="32"/>
        <v>15.278817461072322</v>
      </c>
      <c r="U142" s="56">
        <f t="shared" si="33"/>
        <v>1.2116228533305742</v>
      </c>
      <c r="V142" s="33">
        <f t="shared" si="34"/>
        <v>-1.276745839481267</v>
      </c>
      <c r="W142" s="143">
        <f t="shared" si="35"/>
        <v>1.276745839481267</v>
      </c>
    </row>
    <row r="143" spans="1:23" x14ac:dyDescent="0.15">
      <c r="A143" s="70" t="s">
        <v>666</v>
      </c>
      <c r="B143" s="24" t="s">
        <v>525</v>
      </c>
      <c r="C143" s="64" t="s">
        <v>403</v>
      </c>
      <c r="D143" s="9" t="s">
        <v>82</v>
      </c>
      <c r="E143" s="24" t="s">
        <v>662</v>
      </c>
      <c r="F143" s="10" t="s">
        <v>374</v>
      </c>
      <c r="G143" s="10" t="s">
        <v>634</v>
      </c>
      <c r="H143" s="10" t="s">
        <v>580</v>
      </c>
      <c r="I143" s="64">
        <v>1207.3</v>
      </c>
      <c r="J143" s="34">
        <v>1072.3500025985393</v>
      </c>
      <c r="K143" s="56">
        <f t="shared" si="24"/>
        <v>-134.94999740146068</v>
      </c>
      <c r="L143" s="56">
        <f t="shared" si="25"/>
        <v>18211.501798654244</v>
      </c>
      <c r="M143" s="56">
        <f t="shared" si="26"/>
        <v>134.94999740146068</v>
      </c>
      <c r="N143" s="56">
        <f t="shared" si="27"/>
        <v>2.1333792036224426</v>
      </c>
      <c r="O143" s="143">
        <f t="shared" si="28"/>
        <v>-11.177834622832824</v>
      </c>
      <c r="P143" s="143">
        <f t="shared" si="29"/>
        <v>11.177834622832824</v>
      </c>
      <c r="Q143" s="40">
        <v>1030.0536855407076</v>
      </c>
      <c r="R143" s="56">
        <f t="shared" si="30"/>
        <v>-177.24631445929231</v>
      </c>
      <c r="S143" s="56">
        <f t="shared" si="31"/>
        <v>31416.255989402332</v>
      </c>
      <c r="T143" s="56">
        <f t="shared" si="32"/>
        <v>177.24631445929231</v>
      </c>
      <c r="U143" s="56">
        <f t="shared" si="33"/>
        <v>2.251020558851871</v>
      </c>
      <c r="V143" s="33">
        <f t="shared" si="34"/>
        <v>-14.681215477453184</v>
      </c>
      <c r="W143" s="143">
        <f t="shared" si="35"/>
        <v>14.681215477453184</v>
      </c>
    </row>
    <row r="144" spans="1:23" x14ac:dyDescent="0.15">
      <c r="A144" s="70" t="s">
        <v>616</v>
      </c>
      <c r="B144" s="24" t="s">
        <v>525</v>
      </c>
      <c r="C144" s="8" t="s">
        <v>403</v>
      </c>
      <c r="D144" s="9" t="s">
        <v>82</v>
      </c>
      <c r="E144" s="24" t="s">
        <v>662</v>
      </c>
      <c r="F144" s="10" t="s">
        <v>293</v>
      </c>
      <c r="G144" s="10" t="s">
        <v>640</v>
      </c>
      <c r="H144" s="10" t="s">
        <v>580</v>
      </c>
      <c r="I144" s="64">
        <v>2298</v>
      </c>
      <c r="J144" s="34">
        <v>1867.7856053343689</v>
      </c>
      <c r="K144" s="56">
        <f t="shared" si="24"/>
        <v>-430.21439466563106</v>
      </c>
      <c r="L144" s="56">
        <f t="shared" si="25"/>
        <v>185084.42537751538</v>
      </c>
      <c r="M144" s="56">
        <f t="shared" si="26"/>
        <v>430.21439466563106</v>
      </c>
      <c r="N144" s="56">
        <f t="shared" si="27"/>
        <v>2.6346932499048141</v>
      </c>
      <c r="O144" s="143">
        <f t="shared" si="28"/>
        <v>-18.721253031576634</v>
      </c>
      <c r="P144" s="143">
        <f t="shared" si="29"/>
        <v>18.721253031576634</v>
      </c>
      <c r="Q144" s="40">
        <v>1809.4029807816969</v>
      </c>
      <c r="R144" s="56">
        <f t="shared" si="30"/>
        <v>-488.5970192183031</v>
      </c>
      <c r="S144" s="56">
        <f t="shared" si="31"/>
        <v>238727.04718901086</v>
      </c>
      <c r="T144" s="56">
        <f t="shared" si="32"/>
        <v>488.5970192183031</v>
      </c>
      <c r="U144" s="56">
        <f t="shared" si="33"/>
        <v>2.6898387650586986</v>
      </c>
      <c r="V144" s="33">
        <f t="shared" si="34"/>
        <v>-21.261837215766018</v>
      </c>
      <c r="W144" s="143">
        <f t="shared" si="35"/>
        <v>21.261837215766018</v>
      </c>
    </row>
    <row r="145" spans="1:23" x14ac:dyDescent="0.15">
      <c r="A145" s="70" t="s">
        <v>617</v>
      </c>
      <c r="B145" s="24" t="s">
        <v>525</v>
      </c>
      <c r="C145" s="8" t="s">
        <v>403</v>
      </c>
      <c r="D145" s="9" t="s">
        <v>82</v>
      </c>
      <c r="E145" s="24" t="s">
        <v>662</v>
      </c>
      <c r="F145" s="10" t="s">
        <v>293</v>
      </c>
      <c r="G145" s="10" t="s">
        <v>640</v>
      </c>
      <c r="H145" s="10" t="s">
        <v>580</v>
      </c>
      <c r="I145" s="64">
        <v>2030</v>
      </c>
      <c r="J145" s="34">
        <v>1822.1902519723778</v>
      </c>
      <c r="K145" s="56">
        <f t="shared" si="24"/>
        <v>-207.80974802762216</v>
      </c>
      <c r="L145" s="56">
        <f t="shared" si="25"/>
        <v>43184.891375303814</v>
      </c>
      <c r="M145" s="56">
        <f t="shared" si="26"/>
        <v>207.80974802762216</v>
      </c>
      <c r="N145" s="56">
        <f t="shared" si="27"/>
        <v>2.3197507693100423</v>
      </c>
      <c r="O145" s="143">
        <f t="shared" si="28"/>
        <v>-10.236933400375476</v>
      </c>
      <c r="P145" s="143">
        <f t="shared" si="29"/>
        <v>10.236933400375476</v>
      </c>
      <c r="Q145" s="40">
        <v>1776.5329105268427</v>
      </c>
      <c r="R145" s="56">
        <f t="shared" si="30"/>
        <v>-253.46708947315733</v>
      </c>
      <c r="S145" s="56">
        <f t="shared" si="31"/>
        <v>64245.565445993547</v>
      </c>
      <c r="T145" s="56">
        <f t="shared" si="32"/>
        <v>253.46708947315733</v>
      </c>
      <c r="U145" s="56">
        <f t="shared" si="33"/>
        <v>2.405631622490378</v>
      </c>
      <c r="V145" s="33">
        <f t="shared" si="34"/>
        <v>-12.486063520845189</v>
      </c>
      <c r="W145" s="143">
        <f t="shared" si="35"/>
        <v>12.486063520845189</v>
      </c>
    </row>
    <row r="146" spans="1:23" x14ac:dyDescent="0.15">
      <c r="A146" s="7" t="s">
        <v>808</v>
      </c>
      <c r="B146" s="24" t="s">
        <v>516</v>
      </c>
      <c r="C146" s="64" t="s">
        <v>824</v>
      </c>
      <c r="D146" s="68" t="s">
        <v>148</v>
      </c>
      <c r="E146" s="24" t="s">
        <v>661</v>
      </c>
      <c r="F146" s="22" t="s">
        <v>374</v>
      </c>
      <c r="G146" s="10" t="s">
        <v>634</v>
      </c>
      <c r="H146" s="10" t="s">
        <v>580</v>
      </c>
      <c r="I146" s="9">
        <v>1450</v>
      </c>
      <c r="J146" s="34">
        <v>1436.8421052631579</v>
      </c>
      <c r="K146" s="56">
        <f t="shared" si="24"/>
        <v>-13.157894736842081</v>
      </c>
      <c r="L146" s="56">
        <f t="shared" si="25"/>
        <v>173.13019390581655</v>
      </c>
      <c r="M146" s="56">
        <f t="shared" si="26"/>
        <v>13.157894736842081</v>
      </c>
      <c r="N146" s="56">
        <f t="shared" si="27"/>
        <v>1.1509986790495783</v>
      </c>
      <c r="O146" s="143">
        <f t="shared" si="28"/>
        <v>-0.90744101633393659</v>
      </c>
      <c r="P146" s="143">
        <f t="shared" si="29"/>
        <v>0.90744101633393659</v>
      </c>
      <c r="Q146" s="34">
        <v>1508.8989992496111</v>
      </c>
      <c r="R146" s="56">
        <f t="shared" si="30"/>
        <v>58.898999249611052</v>
      </c>
      <c r="S146" s="56">
        <f t="shared" si="31"/>
        <v>3469.0921126056833</v>
      </c>
      <c r="T146" s="56">
        <f t="shared" si="32"/>
        <v>58.898999249611052</v>
      </c>
      <c r="U146" s="56">
        <f t="shared" si="33"/>
        <v>1.7774195665628951</v>
      </c>
      <c r="V146" s="33">
        <f t="shared" si="34"/>
        <v>4.0619999482490377</v>
      </c>
      <c r="W146" s="143">
        <f t="shared" si="35"/>
        <v>4.0619999482490377</v>
      </c>
    </row>
    <row r="147" spans="1:23" x14ac:dyDescent="0.15">
      <c r="A147" s="7" t="s">
        <v>809</v>
      </c>
      <c r="B147" s="24" t="s">
        <v>516</v>
      </c>
      <c r="C147" s="64" t="s">
        <v>824</v>
      </c>
      <c r="D147" s="9" t="s">
        <v>148</v>
      </c>
      <c r="E147" s="24" t="s">
        <v>661</v>
      </c>
      <c r="F147" s="22" t="s">
        <v>374</v>
      </c>
      <c r="G147" s="10" t="s">
        <v>634</v>
      </c>
      <c r="H147" s="10" t="s">
        <v>580</v>
      </c>
      <c r="I147" s="64">
        <v>1333</v>
      </c>
      <c r="J147" s="34">
        <v>1373.6842105263158</v>
      </c>
      <c r="K147" s="56">
        <f t="shared" si="24"/>
        <v>40.684210526315837</v>
      </c>
      <c r="L147" s="56">
        <f t="shared" si="25"/>
        <v>1655.2049861495884</v>
      </c>
      <c r="M147" s="56">
        <f t="shared" si="26"/>
        <v>40.684210526315837</v>
      </c>
      <c r="N147" s="56">
        <f t="shared" si="27"/>
        <v>1.619971580636665</v>
      </c>
      <c r="O147" s="143">
        <f t="shared" si="28"/>
        <v>3.0520788091759816</v>
      </c>
      <c r="P147" s="143">
        <f t="shared" si="29"/>
        <v>3.0520788091759816</v>
      </c>
      <c r="Q147" s="34">
        <v>1408.4174654719584</v>
      </c>
      <c r="R147" s="56">
        <f t="shared" si="30"/>
        <v>75.417465471958394</v>
      </c>
      <c r="S147" s="56">
        <f t="shared" si="31"/>
        <v>5687.7940982140362</v>
      </c>
      <c r="T147" s="56">
        <f t="shared" si="32"/>
        <v>75.417465471958394</v>
      </c>
      <c r="U147" s="56">
        <f t="shared" si="33"/>
        <v>1.8831926294032091</v>
      </c>
      <c r="V147" s="33">
        <f t="shared" si="34"/>
        <v>5.6577243414822505</v>
      </c>
      <c r="W147" s="143">
        <f t="shared" si="35"/>
        <v>5.6577243414822505</v>
      </c>
    </row>
    <row r="148" spans="1:23" x14ac:dyDescent="0.15">
      <c r="A148" s="7" t="s">
        <v>810</v>
      </c>
      <c r="B148" s="24" t="s">
        <v>516</v>
      </c>
      <c r="C148" s="64" t="s">
        <v>824</v>
      </c>
      <c r="D148" s="9" t="s">
        <v>148</v>
      </c>
      <c r="E148" s="24" t="s">
        <v>661</v>
      </c>
      <c r="F148" s="10" t="s">
        <v>374</v>
      </c>
      <c r="G148" s="10" t="s">
        <v>640</v>
      </c>
      <c r="H148" s="10" t="s">
        <v>580</v>
      </c>
      <c r="I148" s="64">
        <v>1622</v>
      </c>
      <c r="J148" s="34">
        <v>1610.5263157894738</v>
      </c>
      <c r="K148" s="56">
        <f t="shared" si="24"/>
        <v>-11.473684210526244</v>
      </c>
      <c r="L148" s="56">
        <f t="shared" si="25"/>
        <v>131.64542936287924</v>
      </c>
      <c r="M148" s="56">
        <f t="shared" si="26"/>
        <v>11.473684210526244</v>
      </c>
      <c r="N148" s="56">
        <f t="shared" si="27"/>
        <v>1.0959947450572725</v>
      </c>
      <c r="O148" s="143">
        <f t="shared" si="28"/>
        <v>-0.70737880459471292</v>
      </c>
      <c r="P148" s="143">
        <f t="shared" si="29"/>
        <v>0.70737880459471292</v>
      </c>
      <c r="Q148" s="34">
        <v>1664.3353368218502</v>
      </c>
      <c r="R148" s="56">
        <f t="shared" si="30"/>
        <v>42.335336821850206</v>
      </c>
      <c r="S148" s="56">
        <f t="shared" si="31"/>
        <v>1792.2807438195059</v>
      </c>
      <c r="T148" s="56">
        <f t="shared" si="32"/>
        <v>42.335336821850206</v>
      </c>
      <c r="U148" s="56">
        <f t="shared" si="33"/>
        <v>1.63684217644626</v>
      </c>
      <c r="V148" s="33">
        <f t="shared" si="34"/>
        <v>2.6100700876603087</v>
      </c>
      <c r="W148" s="143">
        <f t="shared" si="35"/>
        <v>2.6100700876603087</v>
      </c>
    </row>
    <row r="149" spans="1:23" x14ac:dyDescent="0.15">
      <c r="A149" s="64" t="s">
        <v>811</v>
      </c>
      <c r="B149" s="24" t="s">
        <v>516</v>
      </c>
      <c r="C149" s="64" t="s">
        <v>824</v>
      </c>
      <c r="D149" s="9" t="s">
        <v>148</v>
      </c>
      <c r="E149" s="24" t="s">
        <v>661</v>
      </c>
      <c r="F149" s="10" t="s">
        <v>374</v>
      </c>
      <c r="G149" s="10" t="s">
        <v>640</v>
      </c>
      <c r="H149" s="10" t="s">
        <v>580</v>
      </c>
      <c r="I149" s="64">
        <v>1774</v>
      </c>
      <c r="J149" s="34">
        <v>1752.6315789473683</v>
      </c>
      <c r="K149" s="56">
        <f t="shared" si="24"/>
        <v>-21.368421052631675</v>
      </c>
      <c r="L149" s="56">
        <f t="shared" si="25"/>
        <v>456.60941828255255</v>
      </c>
      <c r="M149" s="56">
        <f t="shared" si="26"/>
        <v>21.368421052631675</v>
      </c>
      <c r="N149" s="56">
        <f t="shared" si="27"/>
        <v>1.3496353290974845</v>
      </c>
      <c r="O149" s="143">
        <f t="shared" si="28"/>
        <v>-1.2045333175102411</v>
      </c>
      <c r="P149" s="143">
        <f t="shared" si="29"/>
        <v>1.2045333175102411</v>
      </c>
      <c r="Q149" s="34">
        <v>1785.2679822400087</v>
      </c>
      <c r="R149" s="56">
        <f t="shared" si="30"/>
        <v>11.267982240008678</v>
      </c>
      <c r="S149" s="56">
        <f t="shared" si="31"/>
        <v>126.96742376115098</v>
      </c>
      <c r="T149" s="56">
        <f t="shared" si="32"/>
        <v>11.267982240008678</v>
      </c>
      <c r="U149" s="56">
        <f t="shared" si="33"/>
        <v>1.0887731385957582</v>
      </c>
      <c r="V149" s="33">
        <f t="shared" si="34"/>
        <v>0.63517374520905734</v>
      </c>
      <c r="W149" s="143">
        <f t="shared" si="35"/>
        <v>0.63517374520905734</v>
      </c>
    </row>
    <row r="150" spans="1:23" x14ac:dyDescent="0.15">
      <c r="A150" s="64" t="s">
        <v>812</v>
      </c>
      <c r="B150" s="24" t="s">
        <v>516</v>
      </c>
      <c r="C150" s="64" t="s">
        <v>824</v>
      </c>
      <c r="D150" s="9" t="s">
        <v>148</v>
      </c>
      <c r="E150" s="24" t="s">
        <v>661</v>
      </c>
      <c r="F150" s="10" t="s">
        <v>374</v>
      </c>
      <c r="G150" s="10" t="s">
        <v>640</v>
      </c>
      <c r="H150" s="10" t="s">
        <v>580</v>
      </c>
      <c r="I150" s="64">
        <v>1911</v>
      </c>
      <c r="J150" s="34">
        <v>1905.2631578947369</v>
      </c>
      <c r="K150" s="56">
        <f t="shared" si="24"/>
        <v>-5.736842105263122</v>
      </c>
      <c r="L150" s="56">
        <f t="shared" si="25"/>
        <v>32.91135734071981</v>
      </c>
      <c r="M150" s="56">
        <f t="shared" si="26"/>
        <v>5.736842105263122</v>
      </c>
      <c r="N150" s="56">
        <f t="shared" si="27"/>
        <v>0.82845636869503714</v>
      </c>
      <c r="O150" s="143">
        <f t="shared" si="28"/>
        <v>-0.30020105208074943</v>
      </c>
      <c r="P150" s="143">
        <f t="shared" si="29"/>
        <v>0.30020105208074943</v>
      </c>
      <c r="Q150" s="34">
        <v>2061.3909889086103</v>
      </c>
      <c r="R150" s="56">
        <f t="shared" si="30"/>
        <v>150.39098890861032</v>
      </c>
      <c r="S150" s="56">
        <f t="shared" si="31"/>
        <v>22617.449544909752</v>
      </c>
      <c r="T150" s="56">
        <f t="shared" si="32"/>
        <v>150.39098890861032</v>
      </c>
      <c r="U150" s="56">
        <f t="shared" si="33"/>
        <v>2.1801000258659506</v>
      </c>
      <c r="V150" s="33">
        <f t="shared" si="34"/>
        <v>7.8697534750711835</v>
      </c>
      <c r="W150" s="143">
        <f t="shared" si="35"/>
        <v>7.8697534750711835</v>
      </c>
    </row>
    <row r="151" spans="1:23" x14ac:dyDescent="0.15">
      <c r="A151" s="7" t="s">
        <v>813</v>
      </c>
      <c r="B151" s="24" t="s">
        <v>516</v>
      </c>
      <c r="C151" s="64" t="s">
        <v>824</v>
      </c>
      <c r="D151" s="9" t="s">
        <v>148</v>
      </c>
      <c r="E151" s="24" t="s">
        <v>661</v>
      </c>
      <c r="F151" s="22" t="s">
        <v>374</v>
      </c>
      <c r="G151" s="10" t="s">
        <v>634</v>
      </c>
      <c r="H151" s="10" t="s">
        <v>580</v>
      </c>
      <c r="I151" s="64">
        <v>1427</v>
      </c>
      <c r="J151" s="34">
        <v>1431.578947368421</v>
      </c>
      <c r="K151" s="56">
        <f t="shared" si="24"/>
        <v>4.5789473684210407</v>
      </c>
      <c r="L151" s="56">
        <f t="shared" si="25"/>
        <v>20.966759002769972</v>
      </c>
      <c r="M151" s="56">
        <f t="shared" si="26"/>
        <v>4.5789473684210407</v>
      </c>
      <c r="N151" s="56">
        <f t="shared" si="27"/>
        <v>0.74655226431194033</v>
      </c>
      <c r="O151" s="143">
        <f t="shared" si="28"/>
        <v>0.32087928300077367</v>
      </c>
      <c r="P151" s="143">
        <f t="shared" si="29"/>
        <v>0.32087928300077367</v>
      </c>
      <c r="Q151" s="34">
        <v>1473.3279152932034</v>
      </c>
      <c r="R151" s="56">
        <f t="shared" si="30"/>
        <v>46.327915293203432</v>
      </c>
      <c r="S151" s="56">
        <f t="shared" si="31"/>
        <v>2146.2757354142323</v>
      </c>
      <c r="T151" s="56">
        <f t="shared" si="32"/>
        <v>46.327915293203432</v>
      </c>
      <c r="U151" s="56">
        <f t="shared" si="33"/>
        <v>1.6751173750237107</v>
      </c>
      <c r="V151" s="33">
        <f t="shared" si="34"/>
        <v>3.2465252482973672</v>
      </c>
      <c r="W151" s="143">
        <f t="shared" si="35"/>
        <v>3.2465252482973672</v>
      </c>
    </row>
    <row r="152" spans="1:23" x14ac:dyDescent="0.15">
      <c r="A152" s="7" t="s">
        <v>814</v>
      </c>
      <c r="B152" s="24" t="s">
        <v>516</v>
      </c>
      <c r="C152" s="64" t="s">
        <v>824</v>
      </c>
      <c r="D152" s="9" t="s">
        <v>148</v>
      </c>
      <c r="E152" s="24" t="s">
        <v>661</v>
      </c>
      <c r="F152" s="22" t="s">
        <v>374</v>
      </c>
      <c r="G152" s="10" t="s">
        <v>634</v>
      </c>
      <c r="H152" s="10" t="s">
        <v>580</v>
      </c>
      <c r="I152" s="64">
        <v>1408</v>
      </c>
      <c r="J152" s="34">
        <v>1436.8421052631579</v>
      </c>
      <c r="K152" s="56">
        <f t="shared" si="24"/>
        <v>28.842105263157919</v>
      </c>
      <c r="L152" s="56">
        <f t="shared" si="25"/>
        <v>831.86703601108172</v>
      </c>
      <c r="M152" s="56">
        <f t="shared" si="26"/>
        <v>28.842105263157919</v>
      </c>
      <c r="N152" s="56">
        <f t="shared" si="27"/>
        <v>1.474829457940078</v>
      </c>
      <c r="O152" s="143">
        <f t="shared" si="28"/>
        <v>2.0484449760765568</v>
      </c>
      <c r="P152" s="143">
        <f t="shared" si="29"/>
        <v>2.0484449760765568</v>
      </c>
      <c r="Q152" s="34">
        <v>1455.5858069642557</v>
      </c>
      <c r="R152" s="56">
        <f t="shared" si="30"/>
        <v>47.585806964255653</v>
      </c>
      <c r="S152" s="56">
        <f t="shared" si="31"/>
        <v>2264.4090244394019</v>
      </c>
      <c r="T152" s="56">
        <f t="shared" si="32"/>
        <v>47.585806964255653</v>
      </c>
      <c r="U152" s="56">
        <f t="shared" si="33"/>
        <v>1.6865094203459425</v>
      </c>
      <c r="V152" s="33">
        <f t="shared" si="34"/>
        <v>3.3796737900749751</v>
      </c>
      <c r="W152" s="143">
        <f t="shared" si="35"/>
        <v>3.3796737900749751</v>
      </c>
    </row>
    <row r="153" spans="1:23" x14ac:dyDescent="0.15">
      <c r="A153" s="64" t="s">
        <v>815</v>
      </c>
      <c r="B153" s="24" t="s">
        <v>516</v>
      </c>
      <c r="C153" s="64" t="s">
        <v>824</v>
      </c>
      <c r="D153" s="77" t="s">
        <v>148</v>
      </c>
      <c r="E153" s="24" t="s">
        <v>661</v>
      </c>
      <c r="F153" s="10" t="s">
        <v>374</v>
      </c>
      <c r="G153" s="10" t="s">
        <v>640</v>
      </c>
      <c r="H153" s="10" t="s">
        <v>580</v>
      </c>
      <c r="I153" s="64">
        <v>1651</v>
      </c>
      <c r="J153" s="34">
        <v>1605.2631578947369</v>
      </c>
      <c r="K153" s="56">
        <f t="shared" si="24"/>
        <v>-45.736842105263122</v>
      </c>
      <c r="L153" s="56">
        <f t="shared" si="25"/>
        <v>2091.8587257617696</v>
      </c>
      <c r="M153" s="56">
        <f t="shared" si="26"/>
        <v>45.736842105263122</v>
      </c>
      <c r="N153" s="56">
        <f t="shared" si="27"/>
        <v>1.6696593648257718</v>
      </c>
      <c r="O153" s="143">
        <f t="shared" si="28"/>
        <v>-2.7702508846313219</v>
      </c>
      <c r="P153" s="143">
        <f t="shared" si="29"/>
        <v>2.7702508846313219</v>
      </c>
      <c r="Q153" s="34">
        <v>1640.2885895853622</v>
      </c>
      <c r="R153" s="56">
        <f t="shared" si="30"/>
        <v>-10.711410414637839</v>
      </c>
      <c r="S153" s="56">
        <f t="shared" si="31"/>
        <v>114.73431307081198</v>
      </c>
      <c r="T153" s="56">
        <f t="shared" si="32"/>
        <v>10.711410414637839</v>
      </c>
      <c r="U153" s="56">
        <f t="shared" si="33"/>
        <v>1.0686092006580905</v>
      </c>
      <c r="V153" s="33">
        <f t="shared" si="34"/>
        <v>-0.64878318683451486</v>
      </c>
      <c r="W153" s="143">
        <f t="shared" si="35"/>
        <v>0.64878318683451486</v>
      </c>
    </row>
    <row r="154" spans="1:23" x14ac:dyDescent="0.15">
      <c r="A154" s="64" t="s">
        <v>816</v>
      </c>
      <c r="B154" s="24" t="s">
        <v>516</v>
      </c>
      <c r="C154" s="64" t="s">
        <v>824</v>
      </c>
      <c r="D154" s="77" t="s">
        <v>148</v>
      </c>
      <c r="E154" s="24" t="s">
        <v>661</v>
      </c>
      <c r="F154" s="22" t="s">
        <v>374</v>
      </c>
      <c r="G154" s="10" t="s">
        <v>634</v>
      </c>
      <c r="H154" s="10" t="s">
        <v>580</v>
      </c>
      <c r="I154" s="64">
        <v>1476</v>
      </c>
      <c r="J154" s="34">
        <v>1515.7894736842104</v>
      </c>
      <c r="K154" s="56">
        <f t="shared" si="24"/>
        <v>39.789473684210407</v>
      </c>
      <c r="L154" s="56">
        <f t="shared" si="25"/>
        <v>1583.2022160664724</v>
      </c>
      <c r="M154" s="56">
        <f t="shared" si="26"/>
        <v>39.789473684210407</v>
      </c>
      <c r="N154" s="56">
        <f t="shared" si="27"/>
        <v>1.6105481015534802</v>
      </c>
      <c r="O154" s="143">
        <f t="shared" si="28"/>
        <v>2.6957637997432524</v>
      </c>
      <c r="P154" s="143">
        <f t="shared" si="29"/>
        <v>2.6957637997432524</v>
      </c>
      <c r="Q154" s="34">
        <v>1604.3081471424712</v>
      </c>
      <c r="R154" s="56">
        <f t="shared" si="30"/>
        <v>128.30814714247117</v>
      </c>
      <c r="S154" s="56">
        <f t="shared" si="31"/>
        <v>16462.980623134034</v>
      </c>
      <c r="T154" s="56">
        <f t="shared" si="32"/>
        <v>128.30814714247117</v>
      </c>
      <c r="U154" s="56">
        <f t="shared" si="33"/>
        <v>2.1116258887438977</v>
      </c>
      <c r="V154" s="33">
        <f t="shared" si="34"/>
        <v>8.6929638985414073</v>
      </c>
      <c r="W154" s="143">
        <f t="shared" si="35"/>
        <v>8.6929638985414073</v>
      </c>
    </row>
    <row r="155" spans="1:23" x14ac:dyDescent="0.15">
      <c r="A155" s="64" t="s">
        <v>817</v>
      </c>
      <c r="B155" s="24" t="s">
        <v>516</v>
      </c>
      <c r="C155" s="64" t="s">
        <v>824</v>
      </c>
      <c r="D155" s="77" t="s">
        <v>148</v>
      </c>
      <c r="E155" s="24" t="s">
        <v>661</v>
      </c>
      <c r="F155" s="22" t="s">
        <v>374</v>
      </c>
      <c r="G155" s="10" t="s">
        <v>634</v>
      </c>
      <c r="H155" s="10" t="s">
        <v>580</v>
      </c>
      <c r="I155" s="64">
        <v>1495</v>
      </c>
      <c r="J155" s="34">
        <v>1521.0526315789473</v>
      </c>
      <c r="K155" s="56">
        <f t="shared" si="24"/>
        <v>26.052631578947285</v>
      </c>
      <c r="L155" s="56">
        <f t="shared" si="25"/>
        <v>678.73961218836132</v>
      </c>
      <c r="M155" s="56">
        <f t="shared" si="26"/>
        <v>26.052631578947285</v>
      </c>
      <c r="N155" s="56">
        <f t="shared" si="27"/>
        <v>1.4322095180424455</v>
      </c>
      <c r="O155" s="143">
        <f t="shared" si="28"/>
        <v>1.7426509417356044</v>
      </c>
      <c r="P155" s="143">
        <f t="shared" si="29"/>
        <v>1.7426509417356044</v>
      </c>
      <c r="Q155" s="34">
        <v>1520.7814934297262</v>
      </c>
      <c r="R155" s="56">
        <f t="shared" si="30"/>
        <v>25.781493429726197</v>
      </c>
      <c r="S155" s="56">
        <f t="shared" si="31"/>
        <v>664.68540346701502</v>
      </c>
      <c r="T155" s="56">
        <f t="shared" si="32"/>
        <v>25.781493429726197</v>
      </c>
      <c r="U155" s="56">
        <f t="shared" si="33"/>
        <v>1.4278347911302502</v>
      </c>
      <c r="V155" s="33">
        <f t="shared" si="34"/>
        <v>1.7245146106840266</v>
      </c>
      <c r="W155" s="143">
        <f t="shared" si="35"/>
        <v>1.7245146106840266</v>
      </c>
    </row>
    <row r="156" spans="1:23" x14ac:dyDescent="0.15">
      <c r="A156" s="64" t="s">
        <v>818</v>
      </c>
      <c r="B156" s="24" t="s">
        <v>516</v>
      </c>
      <c r="C156" s="64" t="s">
        <v>824</v>
      </c>
      <c r="D156" s="77" t="s">
        <v>148</v>
      </c>
      <c r="E156" s="24" t="s">
        <v>661</v>
      </c>
      <c r="F156" s="22" t="s">
        <v>374</v>
      </c>
      <c r="G156" s="10" t="s">
        <v>634</v>
      </c>
      <c r="H156" s="10" t="s">
        <v>580</v>
      </c>
      <c r="I156" s="64">
        <v>1360</v>
      </c>
      <c r="J156" s="34">
        <v>1389.4736842105262</v>
      </c>
      <c r="K156" s="56">
        <f t="shared" si="24"/>
        <v>29.473684210526244</v>
      </c>
      <c r="L156" s="56">
        <f t="shared" si="25"/>
        <v>868.698060941824</v>
      </c>
      <c r="M156" s="56">
        <f t="shared" si="26"/>
        <v>29.473684210526244</v>
      </c>
      <c r="N156" s="56">
        <f t="shared" si="27"/>
        <v>1.4839249627746063</v>
      </c>
      <c r="O156" s="143">
        <f t="shared" si="28"/>
        <v>2.1671826625386945</v>
      </c>
      <c r="P156" s="143">
        <f t="shared" si="29"/>
        <v>2.1671826625386945</v>
      </c>
      <c r="Q156" s="34">
        <v>1408.4174654719584</v>
      </c>
      <c r="R156" s="56">
        <f t="shared" si="30"/>
        <v>48.417465471958394</v>
      </c>
      <c r="S156" s="56">
        <f t="shared" si="31"/>
        <v>2344.2509627282834</v>
      </c>
      <c r="T156" s="56">
        <f t="shared" si="32"/>
        <v>48.417465471958394</v>
      </c>
      <c r="U156" s="56">
        <f t="shared" si="33"/>
        <v>1.6938804674972741</v>
      </c>
      <c r="V156" s="33">
        <f t="shared" si="34"/>
        <v>3.5601077552910585</v>
      </c>
      <c r="W156" s="143">
        <f t="shared" si="35"/>
        <v>3.5601077552910585</v>
      </c>
    </row>
    <row r="157" spans="1:23" x14ac:dyDescent="0.15">
      <c r="A157" s="64" t="s">
        <v>819</v>
      </c>
      <c r="B157" s="24" t="s">
        <v>516</v>
      </c>
      <c r="C157" s="64" t="s">
        <v>824</v>
      </c>
      <c r="D157" s="77" t="s">
        <v>148</v>
      </c>
      <c r="E157" s="24" t="s">
        <v>661</v>
      </c>
      <c r="F157" s="10" t="s">
        <v>374</v>
      </c>
      <c r="G157" s="10" t="s">
        <v>640</v>
      </c>
      <c r="H157" s="10" t="s">
        <v>580</v>
      </c>
      <c r="I157" s="64">
        <v>1830</v>
      </c>
      <c r="J157" s="34">
        <v>1826.3157894736842</v>
      </c>
      <c r="K157" s="56">
        <f t="shared" si="24"/>
        <v>-3.6842105263158373</v>
      </c>
      <c r="L157" s="56">
        <f t="shared" si="25"/>
        <v>13.573407202216419</v>
      </c>
      <c r="M157" s="56">
        <f t="shared" si="26"/>
        <v>3.6842105263158373</v>
      </c>
      <c r="N157" s="56">
        <f t="shared" si="27"/>
        <v>0.67063640569208827</v>
      </c>
      <c r="O157" s="143">
        <f t="shared" si="28"/>
        <v>-0.2013229795801004</v>
      </c>
      <c r="P157" s="143">
        <f t="shared" si="29"/>
        <v>0.2013229795801004</v>
      </c>
      <c r="Q157" s="34">
        <v>1950.2978659778091</v>
      </c>
      <c r="R157" s="56">
        <f t="shared" si="30"/>
        <v>120.29786597780912</v>
      </c>
      <c r="S157" s="56">
        <f t="shared" si="31"/>
        <v>14471.576558814926</v>
      </c>
      <c r="T157" s="56">
        <f t="shared" si="32"/>
        <v>120.29786597780912</v>
      </c>
      <c r="U157" s="56">
        <f t="shared" si="33"/>
        <v>2.0838531602877239</v>
      </c>
      <c r="V157" s="33">
        <f t="shared" si="34"/>
        <v>6.5736538785688046</v>
      </c>
      <c r="W157" s="143">
        <f t="shared" si="35"/>
        <v>6.5736538785688046</v>
      </c>
    </row>
    <row r="158" spans="1:23" x14ac:dyDescent="0.15">
      <c r="A158" s="64" t="s">
        <v>820</v>
      </c>
      <c r="B158" s="24" t="s">
        <v>516</v>
      </c>
      <c r="C158" s="64" t="s">
        <v>824</v>
      </c>
      <c r="D158" s="77" t="s">
        <v>148</v>
      </c>
      <c r="E158" s="24" t="s">
        <v>661</v>
      </c>
      <c r="F158" s="22" t="s">
        <v>374</v>
      </c>
      <c r="G158" s="10" t="s">
        <v>634</v>
      </c>
      <c r="H158" s="10" t="s">
        <v>580</v>
      </c>
      <c r="I158" s="64">
        <v>1416</v>
      </c>
      <c r="J158" s="34">
        <v>1500</v>
      </c>
      <c r="K158" s="56">
        <f t="shared" si="24"/>
        <v>84</v>
      </c>
      <c r="L158" s="56">
        <f t="shared" si="25"/>
        <v>7056</v>
      </c>
      <c r="M158" s="56">
        <f t="shared" si="26"/>
        <v>84</v>
      </c>
      <c r="N158" s="56">
        <f t="shared" si="27"/>
        <v>1.9294189257142926</v>
      </c>
      <c r="O158" s="143">
        <f t="shared" si="28"/>
        <v>5.9322033898305087</v>
      </c>
      <c r="P158" s="143">
        <f t="shared" si="29"/>
        <v>5.9322033898305087</v>
      </c>
      <c r="Q158" s="34">
        <v>1520.7814934297262</v>
      </c>
      <c r="R158" s="56">
        <f t="shared" si="30"/>
        <v>104.7814934297262</v>
      </c>
      <c r="S158" s="56">
        <f t="shared" si="31"/>
        <v>10979.161365363754</v>
      </c>
      <c r="T158" s="56">
        <f t="shared" si="32"/>
        <v>104.7814934297262</v>
      </c>
      <c r="U158" s="56">
        <f t="shared" si="33"/>
        <v>2.024409694122848</v>
      </c>
      <c r="V158" s="33">
        <f t="shared" si="34"/>
        <v>7.3998229823252961</v>
      </c>
      <c r="W158" s="143">
        <f t="shared" si="35"/>
        <v>7.3998229823252961</v>
      </c>
    </row>
    <row r="159" spans="1:23" x14ac:dyDescent="0.15">
      <c r="A159" s="64" t="s">
        <v>821</v>
      </c>
      <c r="B159" s="24" t="s">
        <v>516</v>
      </c>
      <c r="C159" s="64" t="s">
        <v>824</v>
      </c>
      <c r="D159" s="77" t="s">
        <v>148</v>
      </c>
      <c r="E159" s="24" t="s">
        <v>661</v>
      </c>
      <c r="F159" s="10" t="s">
        <v>293</v>
      </c>
      <c r="G159" s="10" t="s">
        <v>640</v>
      </c>
      <c r="H159" s="10" t="s">
        <v>580</v>
      </c>
      <c r="I159" s="64">
        <v>1980</v>
      </c>
      <c r="J159" s="34">
        <v>1900</v>
      </c>
      <c r="K159" s="56">
        <f t="shared" si="24"/>
        <v>-80</v>
      </c>
      <c r="L159" s="56">
        <f t="shared" si="25"/>
        <v>6400</v>
      </c>
      <c r="M159" s="56">
        <f t="shared" si="26"/>
        <v>80</v>
      </c>
      <c r="N159" s="56">
        <f t="shared" si="27"/>
        <v>1.9084850188786497</v>
      </c>
      <c r="O159" s="143">
        <f t="shared" si="28"/>
        <v>-4.0404040404040407</v>
      </c>
      <c r="P159" s="143">
        <f t="shared" si="29"/>
        <v>4.0404040404040407</v>
      </c>
      <c r="Q159" s="34">
        <v>2018.0890298581351</v>
      </c>
      <c r="R159" s="56">
        <f t="shared" si="30"/>
        <v>38.089029858135063</v>
      </c>
      <c r="S159" s="56">
        <f t="shared" si="31"/>
        <v>1450.7741955339043</v>
      </c>
      <c r="T159" s="56">
        <f t="shared" si="32"/>
        <v>38.089029858135063</v>
      </c>
      <c r="U159" s="56">
        <f t="shared" si="33"/>
        <v>1.5920548919086612</v>
      </c>
      <c r="V159" s="33">
        <f t="shared" si="34"/>
        <v>1.923688376673488</v>
      </c>
      <c r="W159" s="143">
        <f t="shared" si="35"/>
        <v>1.923688376673488</v>
      </c>
    </row>
    <row r="160" spans="1:23" x14ac:dyDescent="0.15">
      <c r="A160" s="64" t="s">
        <v>822</v>
      </c>
      <c r="B160" s="24" t="s">
        <v>516</v>
      </c>
      <c r="C160" s="64" t="s">
        <v>824</v>
      </c>
      <c r="D160" s="77" t="s">
        <v>148</v>
      </c>
      <c r="E160" s="24" t="s">
        <v>661</v>
      </c>
      <c r="F160" s="10" t="s">
        <v>374</v>
      </c>
      <c r="G160" s="10" t="s">
        <v>640</v>
      </c>
      <c r="H160" s="10" t="s">
        <v>580</v>
      </c>
      <c r="I160" s="64">
        <v>1744</v>
      </c>
      <c r="J160" s="34">
        <v>1647.3684210526314</v>
      </c>
      <c r="K160" s="56">
        <f t="shared" si="24"/>
        <v>-96.631578947368553</v>
      </c>
      <c r="L160" s="56">
        <f t="shared" si="25"/>
        <v>9337.6620498615212</v>
      </c>
      <c r="M160" s="56">
        <f t="shared" si="26"/>
        <v>96.631578947368553</v>
      </c>
      <c r="N160" s="56">
        <f t="shared" si="27"/>
        <v>1.9895903129982364</v>
      </c>
      <c r="O160" s="143">
        <f t="shared" si="28"/>
        <v>-5.5408015451472785</v>
      </c>
      <c r="P160" s="143">
        <f t="shared" si="29"/>
        <v>5.5408015451472785</v>
      </c>
      <c r="Q160" s="34">
        <v>1754.9273846890353</v>
      </c>
      <c r="R160" s="56">
        <f t="shared" si="30"/>
        <v>10.927384689035307</v>
      </c>
      <c r="S160" s="56">
        <f t="shared" si="31"/>
        <v>119.40773614216326</v>
      </c>
      <c r="T160" s="56">
        <f t="shared" si="32"/>
        <v>10.927384689035307</v>
      </c>
      <c r="U160" s="56">
        <f t="shared" si="33"/>
        <v>1.0765452266010964</v>
      </c>
      <c r="V160" s="33">
        <f t="shared" si="34"/>
        <v>0.62657022299514376</v>
      </c>
      <c r="W160" s="143">
        <f t="shared" si="35"/>
        <v>0.62657022299514376</v>
      </c>
    </row>
    <row r="161" spans="1:23" x14ac:dyDescent="0.15">
      <c r="A161" s="64" t="s">
        <v>823</v>
      </c>
      <c r="B161" s="24" t="s">
        <v>516</v>
      </c>
      <c r="C161" s="64" t="s">
        <v>824</v>
      </c>
      <c r="D161" s="77" t="s">
        <v>148</v>
      </c>
      <c r="E161" s="24" t="s">
        <v>661</v>
      </c>
      <c r="F161" s="10" t="s">
        <v>374</v>
      </c>
      <c r="G161" s="10" t="s">
        <v>640</v>
      </c>
      <c r="H161" s="10" t="s">
        <v>580</v>
      </c>
      <c r="I161" s="64">
        <v>1780</v>
      </c>
      <c r="J161" s="34">
        <v>1736.8421052631579</v>
      </c>
      <c r="K161" s="56">
        <f t="shared" si="24"/>
        <v>-43.157894736842081</v>
      </c>
      <c r="L161" s="56">
        <f t="shared" si="25"/>
        <v>1862.6038781163413</v>
      </c>
      <c r="M161" s="56">
        <f t="shared" si="26"/>
        <v>43.157894736842081</v>
      </c>
      <c r="N161" s="56">
        <f t="shared" si="27"/>
        <v>1.6450083598758711</v>
      </c>
      <c r="O161" s="143">
        <f t="shared" si="28"/>
        <v>-2.4246008279124767</v>
      </c>
      <c r="P161" s="143">
        <f t="shared" si="29"/>
        <v>2.4246008279124767</v>
      </c>
      <c r="Q161" s="34">
        <v>1791.3445456578083</v>
      </c>
      <c r="R161" s="56">
        <f t="shared" si="30"/>
        <v>11.344545657808339</v>
      </c>
      <c r="S161" s="56">
        <f t="shared" si="31"/>
        <v>128.69871618209805</v>
      </c>
      <c r="T161" s="56">
        <f t="shared" si="32"/>
        <v>11.344545657808339</v>
      </c>
      <c r="U161" s="56">
        <f t="shared" si="33"/>
        <v>1.0914751103118676</v>
      </c>
      <c r="V161" s="33">
        <f t="shared" si="34"/>
        <v>0.63733402571956965</v>
      </c>
      <c r="W161" s="143">
        <f t="shared" si="35"/>
        <v>0.63733402571956965</v>
      </c>
    </row>
    <row r="162" spans="1:23" x14ac:dyDescent="0.15">
      <c r="A162" s="69" t="s">
        <v>520</v>
      </c>
      <c r="B162" s="24" t="s">
        <v>516</v>
      </c>
      <c r="C162" s="70" t="s">
        <v>401</v>
      </c>
      <c r="D162" s="68" t="s">
        <v>82</v>
      </c>
      <c r="E162" s="24" t="s">
        <v>661</v>
      </c>
      <c r="F162" s="74" t="s">
        <v>494</v>
      </c>
      <c r="G162" s="10" t="s">
        <v>634</v>
      </c>
      <c r="H162" s="10" t="s">
        <v>580</v>
      </c>
      <c r="I162" s="70">
        <v>770</v>
      </c>
      <c r="J162" s="34">
        <v>778.9473684210526</v>
      </c>
      <c r="K162" s="56">
        <f t="shared" si="24"/>
        <v>8.9473684210526017</v>
      </c>
      <c r="L162" s="56">
        <f t="shared" si="25"/>
        <v>80.05540166204932</v>
      </c>
      <c r="M162" s="56">
        <f t="shared" si="26"/>
        <v>8.9473684210526017</v>
      </c>
      <c r="N162" s="56">
        <f t="shared" si="27"/>
        <v>0.99770820322041387</v>
      </c>
      <c r="O162" s="143">
        <f t="shared" si="28"/>
        <v>1.1619958988380001</v>
      </c>
      <c r="P162" s="143">
        <f t="shared" si="29"/>
        <v>1.1619958988380001</v>
      </c>
      <c r="Q162" s="34">
        <v>708.71282950784757</v>
      </c>
      <c r="R162" s="56">
        <f t="shared" si="30"/>
        <v>-61.287170492152427</v>
      </c>
      <c r="S162" s="56">
        <f t="shared" si="31"/>
        <v>3756.117266934159</v>
      </c>
      <c r="T162" s="56">
        <f t="shared" si="32"/>
        <v>61.287170492152427</v>
      </c>
      <c r="U162" s="56">
        <f t="shared" si="33"/>
        <v>1.7943986027066114</v>
      </c>
      <c r="V162" s="33">
        <f t="shared" si="34"/>
        <v>-7.9593727911886267</v>
      </c>
      <c r="W162" s="143">
        <f t="shared" si="35"/>
        <v>7.9593727911886267</v>
      </c>
    </row>
    <row r="163" spans="1:23" x14ac:dyDescent="0.15">
      <c r="A163" s="69" t="s">
        <v>521</v>
      </c>
      <c r="B163" s="24" t="s">
        <v>516</v>
      </c>
      <c r="C163" s="70" t="s">
        <v>401</v>
      </c>
      <c r="D163" s="68" t="s">
        <v>82</v>
      </c>
      <c r="E163" s="24" t="s">
        <v>661</v>
      </c>
      <c r="F163" s="74" t="s">
        <v>494</v>
      </c>
      <c r="G163" s="10" t="s">
        <v>634</v>
      </c>
      <c r="H163" s="10" t="s">
        <v>580</v>
      </c>
      <c r="I163" s="70">
        <v>716</v>
      </c>
      <c r="J163" s="34">
        <v>789.47368421052636</v>
      </c>
      <c r="K163" s="56">
        <f t="shared" si="24"/>
        <v>73.473684210526358</v>
      </c>
      <c r="L163" s="56">
        <f t="shared" si="25"/>
        <v>5398.3822714681501</v>
      </c>
      <c r="M163" s="56">
        <f t="shared" si="26"/>
        <v>73.473684210526358</v>
      </c>
      <c r="N163" s="56">
        <f t="shared" si="27"/>
        <v>1.8720028389074803</v>
      </c>
      <c r="O163" s="143">
        <f t="shared" si="28"/>
        <v>10.261687738900328</v>
      </c>
      <c r="P163" s="143">
        <f t="shared" si="29"/>
        <v>10.261687738900328</v>
      </c>
      <c r="Q163" s="34">
        <v>724.81549576321549</v>
      </c>
      <c r="R163" s="56">
        <f t="shared" si="30"/>
        <v>8.8154957632154947</v>
      </c>
      <c r="S163" s="56">
        <f t="shared" si="31"/>
        <v>77.712965551270344</v>
      </c>
      <c r="T163" s="56">
        <f t="shared" si="32"/>
        <v>8.8154957632154947</v>
      </c>
      <c r="U163" s="56">
        <f t="shared" si="33"/>
        <v>0.99191223993106692</v>
      </c>
      <c r="V163" s="33">
        <f t="shared" si="34"/>
        <v>1.2312144920692032</v>
      </c>
      <c r="W163" s="143">
        <f t="shared" si="35"/>
        <v>1.2312144920692032</v>
      </c>
    </row>
    <row r="164" spans="1:23" x14ac:dyDescent="0.15">
      <c r="A164" s="64" t="s">
        <v>415</v>
      </c>
      <c r="B164" s="24" t="s">
        <v>516</v>
      </c>
      <c r="C164" s="70" t="s">
        <v>458</v>
      </c>
      <c r="D164" s="9" t="s">
        <v>82</v>
      </c>
      <c r="E164" s="24" t="s">
        <v>661</v>
      </c>
      <c r="F164" s="10" t="s">
        <v>203</v>
      </c>
      <c r="G164" s="10" t="s">
        <v>640</v>
      </c>
      <c r="H164" s="10" t="s">
        <v>581</v>
      </c>
      <c r="I164" s="64">
        <v>2790</v>
      </c>
      <c r="J164" s="34">
        <v>2400</v>
      </c>
      <c r="K164" s="56">
        <f t="shared" si="24"/>
        <v>-390</v>
      </c>
      <c r="L164" s="56">
        <f t="shared" si="25"/>
        <v>152100</v>
      </c>
      <c r="M164" s="56">
        <f t="shared" si="26"/>
        <v>390</v>
      </c>
      <c r="N164" s="56">
        <f t="shared" si="27"/>
        <v>2.5921767573958667</v>
      </c>
      <c r="O164" s="143">
        <f t="shared" si="28"/>
        <v>-13.978494623655914</v>
      </c>
      <c r="P164" s="143">
        <f t="shared" si="29"/>
        <v>13.978494623655914</v>
      </c>
      <c r="Q164" s="34">
        <v>2660.5928574732825</v>
      </c>
      <c r="R164" s="56">
        <f t="shared" si="30"/>
        <v>-129.40714252671751</v>
      </c>
      <c r="S164" s="56">
        <f t="shared" si="31"/>
        <v>16746.208536930179</v>
      </c>
      <c r="T164" s="56">
        <f t="shared" si="32"/>
        <v>129.40714252671751</v>
      </c>
      <c r="U164" s="56">
        <f t="shared" si="33"/>
        <v>2.1153013787807944</v>
      </c>
      <c r="V164" s="33">
        <f t="shared" si="34"/>
        <v>-4.6382488360830649</v>
      </c>
      <c r="W164" s="143">
        <f t="shared" si="35"/>
        <v>4.6382488360830649</v>
      </c>
    </row>
    <row r="165" spans="1:23" x14ac:dyDescent="0.15">
      <c r="A165" s="70" t="s">
        <v>714</v>
      </c>
      <c r="B165" s="24" t="s">
        <v>516</v>
      </c>
      <c r="C165" s="8" t="s">
        <v>458</v>
      </c>
      <c r="D165" s="9" t="s">
        <v>82</v>
      </c>
      <c r="E165" s="24" t="s">
        <v>661</v>
      </c>
      <c r="F165" s="10" t="s">
        <v>293</v>
      </c>
      <c r="G165" s="10" t="s">
        <v>640</v>
      </c>
      <c r="H165" s="10" t="s">
        <v>580</v>
      </c>
      <c r="I165" s="64">
        <v>1890</v>
      </c>
      <c r="J165" s="34">
        <v>1710.5263157894738</v>
      </c>
      <c r="K165" s="56">
        <f t="shared" si="24"/>
        <v>-179.47368421052624</v>
      </c>
      <c r="L165" s="56">
        <f t="shared" si="25"/>
        <v>32210.803324099696</v>
      </c>
      <c r="M165" s="56">
        <f t="shared" si="26"/>
        <v>179.47368421052624</v>
      </c>
      <c r="N165" s="56">
        <f t="shared" si="27"/>
        <v>2.2564138841621149</v>
      </c>
      <c r="O165" s="143">
        <f t="shared" si="28"/>
        <v>-9.4959621275410715</v>
      </c>
      <c r="P165" s="143">
        <f t="shared" si="29"/>
        <v>9.4959621275410715</v>
      </c>
      <c r="Q165" s="34">
        <v>1852.2629634430446</v>
      </c>
      <c r="R165" s="56">
        <f t="shared" si="30"/>
        <v>-37.737036556955445</v>
      </c>
      <c r="S165" s="56">
        <f t="shared" si="31"/>
        <v>1424.0839281009917</v>
      </c>
      <c r="T165" s="56">
        <f t="shared" si="32"/>
        <v>37.737036556955445</v>
      </c>
      <c r="U165" s="56">
        <f t="shared" si="33"/>
        <v>1.5881263934561576</v>
      </c>
      <c r="V165" s="33">
        <f t="shared" si="34"/>
        <v>-1.9966686008971135</v>
      </c>
      <c r="W165" s="143">
        <f t="shared" si="35"/>
        <v>1.9966686008971135</v>
      </c>
    </row>
    <row r="166" spans="1:23" x14ac:dyDescent="0.15">
      <c r="A166" s="70" t="s">
        <v>715</v>
      </c>
      <c r="B166" s="24" t="s">
        <v>516</v>
      </c>
      <c r="C166" s="8" t="s">
        <v>458</v>
      </c>
      <c r="D166" s="9" t="s">
        <v>82</v>
      </c>
      <c r="E166" s="24" t="s">
        <v>661</v>
      </c>
      <c r="F166" s="10" t="s">
        <v>293</v>
      </c>
      <c r="G166" s="10" t="s">
        <v>640</v>
      </c>
      <c r="H166" s="10" t="s">
        <v>580</v>
      </c>
      <c r="I166" s="85">
        <v>1940</v>
      </c>
      <c r="J166" s="34">
        <v>1752.6315789473683</v>
      </c>
      <c r="K166" s="56">
        <f t="shared" si="24"/>
        <v>-187.36842105263167</v>
      </c>
      <c r="L166" s="56">
        <f t="shared" si="25"/>
        <v>35106.925207756271</v>
      </c>
      <c r="M166" s="56">
        <f t="shared" si="26"/>
        <v>187.36842105263167</v>
      </c>
      <c r="N166" s="56">
        <f t="shared" si="27"/>
        <v>2.2750080974371754</v>
      </c>
      <c r="O166" s="143">
        <f t="shared" si="28"/>
        <v>-9.6581660336408088</v>
      </c>
      <c r="P166" s="143">
        <f t="shared" si="29"/>
        <v>9.6581660336408088</v>
      </c>
      <c r="Q166" s="34">
        <v>1840.0572191156639</v>
      </c>
      <c r="R166" s="56">
        <f t="shared" si="30"/>
        <v>-99.942780884336116</v>
      </c>
      <c r="S166" s="56">
        <f t="shared" si="31"/>
        <v>9988.5594508944214</v>
      </c>
      <c r="T166" s="56">
        <f t="shared" si="32"/>
        <v>99.942780884336116</v>
      </c>
      <c r="U166" s="56">
        <f t="shared" si="33"/>
        <v>2.0040752649913465</v>
      </c>
      <c r="V166" s="33">
        <f t="shared" si="34"/>
        <v>-5.1516897363059853</v>
      </c>
      <c r="W166" s="143">
        <f t="shared" si="35"/>
        <v>5.1516897363059853</v>
      </c>
    </row>
    <row r="167" spans="1:23" x14ac:dyDescent="0.15">
      <c r="A167" s="7" t="s">
        <v>58</v>
      </c>
      <c r="B167" s="24" t="s">
        <v>516</v>
      </c>
      <c r="C167" s="70" t="s">
        <v>403</v>
      </c>
      <c r="D167" s="9" t="s">
        <v>900</v>
      </c>
      <c r="E167" s="24" t="s">
        <v>661</v>
      </c>
      <c r="F167" s="10" t="s">
        <v>203</v>
      </c>
      <c r="G167" s="10" t="s">
        <v>640</v>
      </c>
      <c r="H167" s="10" t="s">
        <v>581</v>
      </c>
      <c r="I167" s="8">
        <v>2949</v>
      </c>
      <c r="J167" s="34">
        <v>2565.2631578947367</v>
      </c>
      <c r="K167" s="56">
        <f t="shared" si="24"/>
        <v>-383.73684210526335</v>
      </c>
      <c r="L167" s="56">
        <f t="shared" si="25"/>
        <v>147253.9639889198</v>
      </c>
      <c r="M167" s="56">
        <f t="shared" si="26"/>
        <v>383.73684210526335</v>
      </c>
      <c r="N167" s="56">
        <f t="shared" si="27"/>
        <v>2.5851637760050319</v>
      </c>
      <c r="O167" s="143">
        <f t="shared" si="28"/>
        <v>-13.01243954239618</v>
      </c>
      <c r="P167" s="143">
        <f t="shared" si="29"/>
        <v>13.01243954239618</v>
      </c>
      <c r="Q167" s="34">
        <v>2844.8524929169162</v>
      </c>
      <c r="R167" s="56">
        <f t="shared" si="30"/>
        <v>-104.14750708308384</v>
      </c>
      <c r="S167" s="56">
        <f t="shared" si="31"/>
        <v>10846.703231620999</v>
      </c>
      <c r="T167" s="56">
        <f t="shared" si="32"/>
        <v>104.14750708308384</v>
      </c>
      <c r="U167" s="56">
        <f t="shared" si="33"/>
        <v>2.0217989805611447</v>
      </c>
      <c r="V167" s="33">
        <f t="shared" si="34"/>
        <v>-3.5316211286227142</v>
      </c>
      <c r="W167" s="143">
        <f t="shared" si="35"/>
        <v>3.5316211286227142</v>
      </c>
    </row>
    <row r="168" spans="1:23" x14ac:dyDescent="0.15">
      <c r="A168" s="7" t="s">
        <v>254</v>
      </c>
      <c r="B168" s="24" t="s">
        <v>516</v>
      </c>
      <c r="C168" s="70" t="s">
        <v>403</v>
      </c>
      <c r="D168" s="9" t="s">
        <v>82</v>
      </c>
      <c r="E168" s="24" t="s">
        <v>661</v>
      </c>
      <c r="F168" s="10" t="s">
        <v>374</v>
      </c>
      <c r="G168" s="10" t="s">
        <v>634</v>
      </c>
      <c r="H168" s="10" t="s">
        <v>580</v>
      </c>
      <c r="I168" s="85">
        <v>1176.5999999999999</v>
      </c>
      <c r="J168" s="34">
        <v>1360.9999999999998</v>
      </c>
      <c r="K168" s="56">
        <f t="shared" si="24"/>
        <v>184.39999999999986</v>
      </c>
      <c r="L168" s="56">
        <f t="shared" si="25"/>
        <v>34003.35999999995</v>
      </c>
      <c r="M168" s="56">
        <f t="shared" si="26"/>
        <v>184.39999999999986</v>
      </c>
      <c r="N168" s="56">
        <f t="shared" si="27"/>
        <v>2.268109729808478</v>
      </c>
      <c r="O168" s="143">
        <f t="shared" si="28"/>
        <v>15.672276049634529</v>
      </c>
      <c r="P168" s="143">
        <f t="shared" si="29"/>
        <v>15.672276049634529</v>
      </c>
      <c r="Q168" s="34">
        <v>1359.3546732567179</v>
      </c>
      <c r="R168" s="56">
        <f t="shared" si="30"/>
        <v>182.75467325671798</v>
      </c>
      <c r="S168" s="56">
        <f t="shared" si="31"/>
        <v>33399.270597169751</v>
      </c>
      <c r="T168" s="56">
        <f t="shared" si="32"/>
        <v>182.75467325671798</v>
      </c>
      <c r="U168" s="56">
        <f t="shared" si="33"/>
        <v>2.2642383928925418</v>
      </c>
      <c r="V168" s="33">
        <f t="shared" si="34"/>
        <v>15.532438658568587</v>
      </c>
      <c r="W168" s="143">
        <f t="shared" si="35"/>
        <v>15.532438658568587</v>
      </c>
    </row>
    <row r="169" spans="1:23" x14ac:dyDescent="0.15">
      <c r="A169" s="7" t="s">
        <v>63</v>
      </c>
      <c r="B169" s="24" t="s">
        <v>516</v>
      </c>
      <c r="C169" s="70" t="s">
        <v>403</v>
      </c>
      <c r="D169" s="9" t="s">
        <v>82</v>
      </c>
      <c r="E169" s="24" t="s">
        <v>661</v>
      </c>
      <c r="F169" s="10" t="s">
        <v>494</v>
      </c>
      <c r="G169" s="10" t="s">
        <v>634</v>
      </c>
      <c r="H169" s="10" t="s">
        <v>580</v>
      </c>
      <c r="I169" s="8">
        <v>633</v>
      </c>
      <c r="J169" s="34">
        <v>698.94736842105272</v>
      </c>
      <c r="K169" s="56">
        <f t="shared" si="24"/>
        <v>65.947368421052715</v>
      </c>
      <c r="L169" s="56">
        <f t="shared" si="25"/>
        <v>4349.0554016620608</v>
      </c>
      <c r="M169" s="56">
        <f t="shared" si="26"/>
        <v>65.947368421052715</v>
      </c>
      <c r="N169" s="56">
        <f t="shared" si="27"/>
        <v>1.8257335103595667</v>
      </c>
      <c r="O169" s="143">
        <f t="shared" si="28"/>
        <v>10.418225658934078</v>
      </c>
      <c r="P169" s="143">
        <f t="shared" si="29"/>
        <v>10.418225658934078</v>
      </c>
      <c r="Q169" s="34">
        <v>630.01387622042398</v>
      </c>
      <c r="R169" s="56">
        <f t="shared" si="30"/>
        <v>-2.9861237795760189</v>
      </c>
      <c r="S169" s="56">
        <f t="shared" si="31"/>
        <v>8.9169352269493682</v>
      </c>
      <c r="T169" s="56">
        <f t="shared" si="32"/>
        <v>2.9861237795760189</v>
      </c>
      <c r="U169" s="56">
        <f t="shared" si="33"/>
        <v>0.60055078055417888</v>
      </c>
      <c r="V169" s="33">
        <f t="shared" si="34"/>
        <v>-0.47174151336114045</v>
      </c>
      <c r="W169" s="143">
        <f t="shared" si="35"/>
        <v>0.47174151336114045</v>
      </c>
    </row>
    <row r="170" spans="1:23" x14ac:dyDescent="0.15">
      <c r="A170" s="7" t="s">
        <v>50</v>
      </c>
      <c r="B170" s="24" t="s">
        <v>516</v>
      </c>
      <c r="C170" s="70" t="s">
        <v>403</v>
      </c>
      <c r="D170" s="9" t="s">
        <v>82</v>
      </c>
      <c r="E170" s="24" t="s">
        <v>661</v>
      </c>
      <c r="F170" s="10" t="s">
        <v>203</v>
      </c>
      <c r="G170" s="10" t="s">
        <v>640</v>
      </c>
      <c r="H170" s="10" t="s">
        <v>581</v>
      </c>
      <c r="I170" s="8">
        <v>2873</v>
      </c>
      <c r="J170" s="34">
        <v>2778.9473684210525</v>
      </c>
      <c r="K170" s="56">
        <f t="shared" si="24"/>
        <v>-94.052631578947512</v>
      </c>
      <c r="L170" s="56">
        <f t="shared" si="25"/>
        <v>8845.8975069252356</v>
      </c>
      <c r="M170" s="56">
        <f t="shared" si="26"/>
        <v>94.052631578947512</v>
      </c>
      <c r="N170" s="56">
        <f t="shared" si="27"/>
        <v>1.9779641450246588</v>
      </c>
      <c r="O170" s="143">
        <f t="shared" si="28"/>
        <v>-3.2736732188982773</v>
      </c>
      <c r="P170" s="143">
        <f t="shared" si="29"/>
        <v>3.2736732188982773</v>
      </c>
      <c r="Q170" s="34">
        <v>3088.2624209563223</v>
      </c>
      <c r="R170" s="56">
        <f t="shared" si="30"/>
        <v>215.26242095632233</v>
      </c>
      <c r="S170" s="56">
        <f t="shared" si="31"/>
        <v>46337.909875976919</v>
      </c>
      <c r="T170" s="56">
        <f t="shared" si="32"/>
        <v>215.26242095632233</v>
      </c>
      <c r="U170" s="56">
        <f t="shared" si="33"/>
        <v>2.3349810604044885</v>
      </c>
      <c r="V170" s="33">
        <f t="shared" si="34"/>
        <v>7.4926007990366275</v>
      </c>
      <c r="W170" s="143">
        <f t="shared" si="35"/>
        <v>7.4926007990366275</v>
      </c>
    </row>
    <row r="171" spans="1:23" x14ac:dyDescent="0.15">
      <c r="A171" s="7" t="s">
        <v>252</v>
      </c>
      <c r="B171" s="24" t="s">
        <v>516</v>
      </c>
      <c r="C171" s="70" t="s">
        <v>403</v>
      </c>
      <c r="D171" s="9" t="s">
        <v>82</v>
      </c>
      <c r="E171" s="24" t="s">
        <v>661</v>
      </c>
      <c r="F171" s="10" t="s">
        <v>374</v>
      </c>
      <c r="G171" s="10" t="s">
        <v>634</v>
      </c>
      <c r="H171" s="10" t="s">
        <v>580</v>
      </c>
      <c r="I171" s="85">
        <v>1193.83</v>
      </c>
      <c r="J171" s="34">
        <v>1009.1578947368422</v>
      </c>
      <c r="K171" s="56">
        <f t="shared" si="24"/>
        <v>-184.67210526315773</v>
      </c>
      <c r="L171" s="56">
        <f t="shared" si="25"/>
        <v>34103.786462326811</v>
      </c>
      <c r="M171" s="56">
        <f t="shared" si="26"/>
        <v>184.67210526315773</v>
      </c>
      <c r="N171" s="56">
        <f t="shared" si="27"/>
        <v>2.2687466617351397</v>
      </c>
      <c r="O171" s="143">
        <f t="shared" si="28"/>
        <v>-15.468877919231192</v>
      </c>
      <c r="P171" s="143">
        <f t="shared" si="29"/>
        <v>15.468877919231192</v>
      </c>
      <c r="Q171" s="34">
        <v>966.39439932648463</v>
      </c>
      <c r="R171" s="56">
        <f t="shared" si="30"/>
        <v>-227.4356006735153</v>
      </c>
      <c r="S171" s="56">
        <f t="shared" si="31"/>
        <v>51726.952453722712</v>
      </c>
      <c r="T171" s="56">
        <f t="shared" si="32"/>
        <v>227.4356006735153</v>
      </c>
      <c r="U171" s="56">
        <f t="shared" si="33"/>
        <v>2.3587637877140004</v>
      </c>
      <c r="V171" s="33">
        <f t="shared" si="34"/>
        <v>-19.05092020417608</v>
      </c>
      <c r="W171" s="143">
        <f t="shared" si="35"/>
        <v>19.05092020417608</v>
      </c>
    </row>
    <row r="172" spans="1:23" x14ac:dyDescent="0.15">
      <c r="A172" s="70" t="s">
        <v>604</v>
      </c>
      <c r="B172" s="24" t="s">
        <v>516</v>
      </c>
      <c r="C172" s="70" t="s">
        <v>403</v>
      </c>
      <c r="D172" s="9" t="s">
        <v>96</v>
      </c>
      <c r="E172" s="24" t="s">
        <v>661</v>
      </c>
      <c r="F172" s="10" t="s">
        <v>293</v>
      </c>
      <c r="G172" s="10" t="s">
        <v>640</v>
      </c>
      <c r="H172" s="10" t="s">
        <v>580</v>
      </c>
      <c r="I172" s="64">
        <v>1985.9</v>
      </c>
      <c r="J172" s="34">
        <v>1801</v>
      </c>
      <c r="K172" s="56">
        <f t="shared" si="24"/>
        <v>-184.90000000000009</v>
      </c>
      <c r="L172" s="56">
        <f t="shared" si="25"/>
        <v>34188.010000000031</v>
      </c>
      <c r="M172" s="56">
        <f t="shared" si="26"/>
        <v>184.90000000000009</v>
      </c>
      <c r="N172" s="56">
        <f t="shared" si="27"/>
        <v>2.2692793897718988</v>
      </c>
      <c r="O172" s="143">
        <f t="shared" si="28"/>
        <v>-9.3106400120852033</v>
      </c>
      <c r="P172" s="143">
        <f t="shared" si="29"/>
        <v>9.3106400120852033</v>
      </c>
      <c r="Q172" s="34">
        <v>1891.1495824237591</v>
      </c>
      <c r="R172" s="56">
        <f t="shared" si="30"/>
        <v>-94.750417576241034</v>
      </c>
      <c r="S172" s="56">
        <f t="shared" si="31"/>
        <v>8977.6416308720454</v>
      </c>
      <c r="T172" s="56">
        <f t="shared" si="32"/>
        <v>94.750417576241034</v>
      </c>
      <c r="U172" s="56">
        <f t="shared" si="33"/>
        <v>1.9811406766423503</v>
      </c>
      <c r="V172" s="33">
        <f t="shared" si="34"/>
        <v>-4.7711575394652819</v>
      </c>
      <c r="W172" s="143">
        <f t="shared" si="35"/>
        <v>4.7711575394652819</v>
      </c>
    </row>
    <row r="173" spans="1:23" x14ac:dyDescent="0.15">
      <c r="A173" s="7" t="s">
        <v>244</v>
      </c>
      <c r="B173" s="24" t="s">
        <v>516</v>
      </c>
      <c r="C173" s="70" t="s">
        <v>403</v>
      </c>
      <c r="D173" s="9" t="s">
        <v>82</v>
      </c>
      <c r="E173" s="24" t="s">
        <v>661</v>
      </c>
      <c r="F173" s="10" t="s">
        <v>374</v>
      </c>
      <c r="G173" s="10" t="s">
        <v>634</v>
      </c>
      <c r="H173" s="10" t="s">
        <v>580</v>
      </c>
      <c r="I173" s="8">
        <v>1199.5</v>
      </c>
      <c r="J173" s="34">
        <v>1140.5263157894735</v>
      </c>
      <c r="K173" s="56">
        <f t="shared" si="24"/>
        <v>-58.973684210526471</v>
      </c>
      <c r="L173" s="56">
        <f t="shared" si="25"/>
        <v>3477.8954293628994</v>
      </c>
      <c r="M173" s="56">
        <f t="shared" si="26"/>
        <v>58.973684210526471</v>
      </c>
      <c r="N173" s="56">
        <f t="shared" si="27"/>
        <v>1.7779607285635666</v>
      </c>
      <c r="O173" s="143">
        <f t="shared" si="28"/>
        <v>-4.9165222351418487</v>
      </c>
      <c r="P173" s="143">
        <f t="shared" si="29"/>
        <v>4.9165222351418487</v>
      </c>
      <c r="Q173" s="34">
        <v>1126.0914182663319</v>
      </c>
      <c r="R173" s="56">
        <f t="shared" si="30"/>
        <v>-73.408581733668143</v>
      </c>
      <c r="S173" s="56">
        <f t="shared" si="31"/>
        <v>5388.819872148636</v>
      </c>
      <c r="T173" s="56">
        <f t="shared" si="32"/>
        <v>73.408581733668143</v>
      </c>
      <c r="U173" s="56">
        <f t="shared" si="33"/>
        <v>1.871623026737367</v>
      </c>
      <c r="V173" s="33">
        <f t="shared" si="34"/>
        <v>-6.1199317827151436</v>
      </c>
      <c r="W173" s="143">
        <f t="shared" si="35"/>
        <v>6.1199317827151436</v>
      </c>
    </row>
    <row r="174" spans="1:23" x14ac:dyDescent="0.15">
      <c r="A174" s="16" t="s">
        <v>825</v>
      </c>
      <c r="B174" s="24" t="s">
        <v>516</v>
      </c>
      <c r="C174" s="16" t="s">
        <v>403</v>
      </c>
      <c r="D174" s="9" t="s">
        <v>82</v>
      </c>
      <c r="E174" s="24" t="s">
        <v>661</v>
      </c>
      <c r="F174" s="10" t="s">
        <v>494</v>
      </c>
      <c r="G174" s="10" t="s">
        <v>634</v>
      </c>
      <c r="H174" s="10" t="s">
        <v>580</v>
      </c>
      <c r="I174" s="17">
        <v>660.93000000000006</v>
      </c>
      <c r="J174" s="34">
        <v>757.8947368421052</v>
      </c>
      <c r="K174" s="56">
        <f t="shared" si="24"/>
        <v>96.96473684210514</v>
      </c>
      <c r="L174" s="56">
        <f t="shared" si="25"/>
        <v>9402.1601908587018</v>
      </c>
      <c r="M174" s="56">
        <f t="shared" si="26"/>
        <v>96.96473684210514</v>
      </c>
      <c r="N174" s="56">
        <f t="shared" si="27"/>
        <v>1.9910697761939187</v>
      </c>
      <c r="O174" s="143">
        <f t="shared" si="28"/>
        <v>14.670954086227759</v>
      </c>
      <c r="P174" s="143">
        <f t="shared" si="29"/>
        <v>14.670954086227759</v>
      </c>
      <c r="Q174" s="34">
        <v>687.85348614163593</v>
      </c>
      <c r="R174" s="56">
        <f t="shared" si="30"/>
        <v>26.923486141635863</v>
      </c>
      <c r="S174" s="56">
        <f t="shared" si="31"/>
        <v>724.87410601885836</v>
      </c>
      <c r="T174" s="56">
        <f t="shared" si="32"/>
        <v>26.923486141635863</v>
      </c>
      <c r="U174" s="56">
        <f t="shared" si="33"/>
        <v>1.4459696373595159</v>
      </c>
      <c r="V174" s="33">
        <f t="shared" si="34"/>
        <v>4.0735760430962218</v>
      </c>
      <c r="W174" s="143">
        <f t="shared" si="35"/>
        <v>4.0735760430962218</v>
      </c>
    </row>
    <row r="175" spans="1:23" x14ac:dyDescent="0.15">
      <c r="A175" s="70" t="s">
        <v>605</v>
      </c>
      <c r="B175" s="24" t="s">
        <v>516</v>
      </c>
      <c r="C175" s="70" t="s">
        <v>403</v>
      </c>
      <c r="D175" s="9" t="s">
        <v>82</v>
      </c>
      <c r="E175" s="24" t="s">
        <v>661</v>
      </c>
      <c r="F175" s="22" t="s">
        <v>374</v>
      </c>
      <c r="G175" s="10" t="s">
        <v>634</v>
      </c>
      <c r="H175" s="10" t="s">
        <v>580</v>
      </c>
      <c r="I175" s="64">
        <v>1348</v>
      </c>
      <c r="J175" s="34">
        <v>1479.4736842105265</v>
      </c>
      <c r="K175" s="56">
        <f t="shared" si="24"/>
        <v>131.47368421052647</v>
      </c>
      <c r="L175" s="56">
        <f t="shared" si="25"/>
        <v>17285.329639889238</v>
      </c>
      <c r="M175" s="56">
        <f t="shared" si="26"/>
        <v>131.47368421052647</v>
      </c>
      <c r="N175" s="56">
        <f t="shared" si="27"/>
        <v>2.1221296145955342</v>
      </c>
      <c r="O175" s="143">
        <f t="shared" si="28"/>
        <v>9.7532406684366819</v>
      </c>
      <c r="P175" s="143">
        <f t="shared" si="29"/>
        <v>9.7532406684366819</v>
      </c>
      <c r="Q175" s="34">
        <v>1503.5560107131544</v>
      </c>
      <c r="R175" s="56">
        <f t="shared" si="30"/>
        <v>155.55601071315436</v>
      </c>
      <c r="S175" s="56">
        <f t="shared" si="31"/>
        <v>24197.672468990997</v>
      </c>
      <c r="T175" s="56">
        <f t="shared" si="32"/>
        <v>155.55601071315436</v>
      </c>
      <c r="U175" s="56">
        <f t="shared" si="33"/>
        <v>2.194669746302619</v>
      </c>
      <c r="V175" s="33">
        <f t="shared" si="34"/>
        <v>11.539763406020352</v>
      </c>
      <c r="W175" s="143">
        <f t="shared" si="35"/>
        <v>11.539763406020352</v>
      </c>
    </row>
    <row r="176" spans="1:23" x14ac:dyDescent="0.15">
      <c r="A176" s="70" t="s">
        <v>615</v>
      </c>
      <c r="B176" s="24" t="s">
        <v>516</v>
      </c>
      <c r="C176" s="8" t="s">
        <v>403</v>
      </c>
      <c r="D176" s="9" t="s">
        <v>148</v>
      </c>
      <c r="E176" s="24" t="s">
        <v>661</v>
      </c>
      <c r="F176" s="10" t="s">
        <v>374</v>
      </c>
      <c r="G176" s="10" t="s">
        <v>634</v>
      </c>
      <c r="H176" s="10" t="s">
        <v>580</v>
      </c>
      <c r="I176" s="64">
        <v>1168</v>
      </c>
      <c r="J176" s="34">
        <v>1250.4736842105262</v>
      </c>
      <c r="K176" s="56">
        <f t="shared" si="24"/>
        <v>82.473684210526244</v>
      </c>
      <c r="L176" s="56">
        <f t="shared" si="25"/>
        <v>6801.9085872576061</v>
      </c>
      <c r="M176" s="56">
        <f t="shared" si="26"/>
        <v>82.473684210526244</v>
      </c>
      <c r="N176" s="56">
        <f t="shared" si="27"/>
        <v>1.9215495820287556</v>
      </c>
      <c r="O176" s="143">
        <f t="shared" si="28"/>
        <v>7.0611031002162878</v>
      </c>
      <c r="P176" s="143">
        <f t="shared" si="29"/>
        <v>7.0611031002162878</v>
      </c>
      <c r="Q176" s="34">
        <v>1232.1528076849429</v>
      </c>
      <c r="R176" s="56">
        <f t="shared" si="30"/>
        <v>64.1528076849429</v>
      </c>
      <c r="S176" s="56">
        <f t="shared" si="31"/>
        <v>4115.5827338612689</v>
      </c>
      <c r="T176" s="56">
        <f t="shared" si="32"/>
        <v>64.1528076849429</v>
      </c>
      <c r="U176" s="56">
        <f t="shared" si="33"/>
        <v>1.8139331358706103</v>
      </c>
      <c r="V176" s="33">
        <f t="shared" si="34"/>
        <v>5.4925349045327829</v>
      </c>
      <c r="W176" s="143">
        <f t="shared" si="35"/>
        <v>5.4925349045327829</v>
      </c>
    </row>
    <row r="177" spans="1:23" x14ac:dyDescent="0.15">
      <c r="A177" s="70" t="s">
        <v>607</v>
      </c>
      <c r="B177" s="24" t="s">
        <v>516</v>
      </c>
      <c r="C177" s="8" t="s">
        <v>403</v>
      </c>
      <c r="D177" s="9" t="s">
        <v>148</v>
      </c>
      <c r="E177" s="24" t="s">
        <v>661</v>
      </c>
      <c r="F177" s="22" t="s">
        <v>374</v>
      </c>
      <c r="G177" s="10" t="s">
        <v>634</v>
      </c>
      <c r="H177" s="10" t="s">
        <v>580</v>
      </c>
      <c r="I177" s="64">
        <v>1439.3</v>
      </c>
      <c r="J177" s="34">
        <v>1421.0526315789473</v>
      </c>
      <c r="K177" s="56">
        <f t="shared" si="24"/>
        <v>-18.24736842105267</v>
      </c>
      <c r="L177" s="56">
        <f t="shared" si="25"/>
        <v>332.96645429363019</v>
      </c>
      <c r="M177" s="56">
        <f t="shared" si="26"/>
        <v>18.24736842105267</v>
      </c>
      <c r="N177" s="56">
        <f t="shared" si="27"/>
        <v>1.2843713593852162</v>
      </c>
      <c r="O177" s="143">
        <f t="shared" si="28"/>
        <v>-1.2677946516398715</v>
      </c>
      <c r="P177" s="143">
        <f t="shared" si="29"/>
        <v>1.2677946516398715</v>
      </c>
      <c r="Q177" s="34">
        <v>1436.1033364218497</v>
      </c>
      <c r="R177" s="56">
        <f t="shared" si="30"/>
        <v>-3.1966635781502646</v>
      </c>
      <c r="S177" s="56">
        <f t="shared" si="31"/>
        <v>10.218658031872453</v>
      </c>
      <c r="T177" s="56">
        <f t="shared" si="32"/>
        <v>3.1966635781502646</v>
      </c>
      <c r="U177" s="56">
        <f t="shared" si="33"/>
        <v>0.62290415577117297</v>
      </c>
      <c r="V177" s="33">
        <f t="shared" si="34"/>
        <v>-0.22209849080457617</v>
      </c>
      <c r="W177" s="143">
        <f t="shared" si="35"/>
        <v>0.22209849080457617</v>
      </c>
    </row>
    <row r="178" spans="1:23" x14ac:dyDescent="0.15">
      <c r="A178" s="70" t="s">
        <v>606</v>
      </c>
      <c r="B178" s="24" t="s">
        <v>516</v>
      </c>
      <c r="C178" s="8" t="s">
        <v>403</v>
      </c>
      <c r="D178" s="9" t="s">
        <v>148</v>
      </c>
      <c r="E178" s="24" t="s">
        <v>661</v>
      </c>
      <c r="F178" s="10" t="s">
        <v>374</v>
      </c>
      <c r="G178" s="10" t="s">
        <v>634</v>
      </c>
      <c r="H178" s="10" t="s">
        <v>580</v>
      </c>
      <c r="I178" s="64">
        <v>1196.7</v>
      </c>
      <c r="J178" s="34">
        <v>1269.0526315789473</v>
      </c>
      <c r="K178" s="56">
        <f t="shared" si="24"/>
        <v>72.352631578947239</v>
      </c>
      <c r="L178" s="56">
        <f t="shared" si="25"/>
        <v>5234.903296398873</v>
      </c>
      <c r="M178" s="56">
        <f t="shared" si="26"/>
        <v>72.352631578947239</v>
      </c>
      <c r="N178" s="56">
        <f t="shared" si="27"/>
        <v>1.8654156990888366</v>
      </c>
      <c r="O178" s="143">
        <f t="shared" si="28"/>
        <v>6.0460124992853039</v>
      </c>
      <c r="P178" s="143">
        <f t="shared" si="29"/>
        <v>6.0460124992853039</v>
      </c>
      <c r="Q178" s="34">
        <v>1294.9311190563394</v>
      </c>
      <c r="R178" s="56">
        <f t="shared" si="30"/>
        <v>98.231119056339367</v>
      </c>
      <c r="S178" s="56">
        <f t="shared" si="31"/>
        <v>9649.3527510607182</v>
      </c>
      <c r="T178" s="56">
        <f t="shared" si="32"/>
        <v>98.231119056339367</v>
      </c>
      <c r="U178" s="56">
        <f t="shared" si="33"/>
        <v>1.996647889040172</v>
      </c>
      <c r="V178" s="33">
        <f t="shared" si="34"/>
        <v>8.2084999629263287</v>
      </c>
      <c r="W178" s="143">
        <f t="shared" si="35"/>
        <v>8.2084999629263287</v>
      </c>
    </row>
    <row r="179" spans="1:23" x14ac:dyDescent="0.15">
      <c r="A179" s="70" t="s">
        <v>666</v>
      </c>
      <c r="B179" s="24" t="s">
        <v>516</v>
      </c>
      <c r="C179" s="64" t="s">
        <v>403</v>
      </c>
      <c r="D179" s="9" t="s">
        <v>82</v>
      </c>
      <c r="E179" s="24" t="s">
        <v>661</v>
      </c>
      <c r="F179" s="10" t="s">
        <v>374</v>
      </c>
      <c r="G179" s="10" t="s">
        <v>634</v>
      </c>
      <c r="H179" s="10" t="s">
        <v>580</v>
      </c>
      <c r="I179" s="64">
        <v>1207.3</v>
      </c>
      <c r="J179" s="34">
        <v>1174</v>
      </c>
      <c r="K179" s="56">
        <f t="shared" si="24"/>
        <v>-33.299999999999955</v>
      </c>
      <c r="L179" s="56">
        <f t="shared" si="25"/>
        <v>1108.8899999999969</v>
      </c>
      <c r="M179" s="56">
        <f t="shared" si="26"/>
        <v>33.299999999999955</v>
      </c>
      <c r="N179" s="56">
        <f t="shared" si="27"/>
        <v>1.5352941200427699</v>
      </c>
      <c r="O179" s="143">
        <f t="shared" si="28"/>
        <v>-2.7582208233247707</v>
      </c>
      <c r="P179" s="143">
        <f t="shared" si="29"/>
        <v>2.7582208233247707</v>
      </c>
      <c r="Q179" s="34">
        <v>1132.0287253688834</v>
      </c>
      <c r="R179" s="56">
        <f t="shared" si="30"/>
        <v>-75.271274631116512</v>
      </c>
      <c r="S179" s="56">
        <f t="shared" si="31"/>
        <v>5665.7647845929641</v>
      </c>
      <c r="T179" s="56">
        <f t="shared" si="32"/>
        <v>75.271274631116512</v>
      </c>
      <c r="U179" s="56">
        <f t="shared" si="33"/>
        <v>1.8823610042966044</v>
      </c>
      <c r="V179" s="33">
        <f t="shared" si="34"/>
        <v>-6.2346785911634655</v>
      </c>
      <c r="W179" s="143">
        <f t="shared" si="35"/>
        <v>6.2346785911634655</v>
      </c>
    </row>
    <row r="180" spans="1:23" x14ac:dyDescent="0.15">
      <c r="A180" s="70" t="s">
        <v>616</v>
      </c>
      <c r="B180" s="24" t="s">
        <v>516</v>
      </c>
      <c r="C180" s="8" t="s">
        <v>403</v>
      </c>
      <c r="D180" s="9" t="s">
        <v>82</v>
      </c>
      <c r="E180" s="24" t="s">
        <v>661</v>
      </c>
      <c r="F180" s="10" t="s">
        <v>293</v>
      </c>
      <c r="G180" s="10" t="s">
        <v>640</v>
      </c>
      <c r="H180" s="10" t="s">
        <v>580</v>
      </c>
      <c r="I180" s="64">
        <v>2298</v>
      </c>
      <c r="J180" s="34">
        <v>1878.9473684210527</v>
      </c>
      <c r="K180" s="56">
        <f t="shared" si="24"/>
        <v>-419.05263157894728</v>
      </c>
      <c r="L180" s="56">
        <f t="shared" si="25"/>
        <v>175605.10803324092</v>
      </c>
      <c r="M180" s="56">
        <f t="shared" si="26"/>
        <v>419.05263157894728</v>
      </c>
      <c r="N180" s="56">
        <f t="shared" si="27"/>
        <v>2.6233037098556378</v>
      </c>
      <c r="O180" s="143">
        <f t="shared" si="28"/>
        <v>-18.235536622234431</v>
      </c>
      <c r="P180" s="143">
        <f t="shared" si="29"/>
        <v>18.235536622234431</v>
      </c>
      <c r="Q180" s="34">
        <v>1966.9083477704689</v>
      </c>
      <c r="R180" s="56">
        <f t="shared" si="30"/>
        <v>-331.09165222953106</v>
      </c>
      <c r="S180" s="56">
        <f t="shared" si="31"/>
        <v>109621.68217608074</v>
      </c>
      <c r="T180" s="56">
        <f t="shared" si="32"/>
        <v>331.09165222953106</v>
      </c>
      <c r="U180" s="56">
        <f t="shared" si="33"/>
        <v>2.5212579588979454</v>
      </c>
      <c r="V180" s="33">
        <f t="shared" si="34"/>
        <v>-14.407817764557485</v>
      </c>
      <c r="W180" s="143">
        <f t="shared" si="35"/>
        <v>14.407817764557485</v>
      </c>
    </row>
    <row r="181" spans="1:23" x14ac:dyDescent="0.15">
      <c r="A181" s="70" t="s">
        <v>617</v>
      </c>
      <c r="B181" s="24" t="s">
        <v>516</v>
      </c>
      <c r="C181" s="8" t="s">
        <v>403</v>
      </c>
      <c r="D181" s="9" t="s">
        <v>82</v>
      </c>
      <c r="E181" s="24" t="s">
        <v>661</v>
      </c>
      <c r="F181" s="10" t="s">
        <v>293</v>
      </c>
      <c r="G181" s="10" t="s">
        <v>640</v>
      </c>
      <c r="H181" s="10" t="s">
        <v>580</v>
      </c>
      <c r="I181" s="64">
        <v>2030</v>
      </c>
      <c r="J181" s="34">
        <v>1840</v>
      </c>
      <c r="K181" s="56">
        <f t="shared" si="24"/>
        <v>-190</v>
      </c>
      <c r="L181" s="56">
        <f t="shared" si="25"/>
        <v>36100</v>
      </c>
      <c r="M181" s="56">
        <f t="shared" si="26"/>
        <v>190</v>
      </c>
      <c r="N181" s="56">
        <f t="shared" si="27"/>
        <v>2.2810333672477277</v>
      </c>
      <c r="O181" s="143">
        <f t="shared" si="28"/>
        <v>-9.3596059113300498</v>
      </c>
      <c r="P181" s="143">
        <f t="shared" si="29"/>
        <v>9.3596059113300498</v>
      </c>
      <c r="Q181" s="34">
        <v>1931.8642693260022</v>
      </c>
      <c r="R181" s="56">
        <f t="shared" si="30"/>
        <v>-98.135730673997841</v>
      </c>
      <c r="S181" s="56">
        <f t="shared" si="31"/>
        <v>9630.6216349194401</v>
      </c>
      <c r="T181" s="56">
        <f t="shared" si="32"/>
        <v>98.135730673997841</v>
      </c>
      <c r="U181" s="56">
        <f t="shared" si="33"/>
        <v>1.9962302118795174</v>
      </c>
      <c r="V181" s="33">
        <f t="shared" si="34"/>
        <v>-4.8342724469949676</v>
      </c>
      <c r="W181" s="143">
        <f t="shared" si="35"/>
        <v>4.8342724469949676</v>
      </c>
    </row>
    <row r="182" spans="1:23" x14ac:dyDescent="0.15">
      <c r="A182" s="7" t="s">
        <v>808</v>
      </c>
      <c r="B182" s="24" t="s">
        <v>515</v>
      </c>
      <c r="C182" s="64" t="s">
        <v>824</v>
      </c>
      <c r="D182" s="68" t="s">
        <v>148</v>
      </c>
      <c r="E182" s="24" t="s">
        <v>662</v>
      </c>
      <c r="F182" s="22" t="s">
        <v>374</v>
      </c>
      <c r="G182" s="10" t="s">
        <v>634</v>
      </c>
      <c r="H182" s="10" t="s">
        <v>580</v>
      </c>
      <c r="I182" s="9">
        <v>1450</v>
      </c>
      <c r="J182" s="34">
        <v>1457.5713590579346</v>
      </c>
      <c r="K182" s="56">
        <f t="shared" si="24"/>
        <v>7.5713590579346146</v>
      </c>
      <c r="L182" s="56">
        <f t="shared" si="25"/>
        <v>57.325477984168536</v>
      </c>
      <c r="M182" s="56">
        <f t="shared" si="26"/>
        <v>7.5713590579346146</v>
      </c>
      <c r="N182" s="56">
        <f t="shared" si="27"/>
        <v>0.9330496882669731</v>
      </c>
      <c r="O182" s="143">
        <f t="shared" si="28"/>
        <v>0.52216269365066303</v>
      </c>
      <c r="P182" s="143">
        <f t="shared" si="29"/>
        <v>0.52216269365066303</v>
      </c>
      <c r="Q182" s="34">
        <v>1470</v>
      </c>
      <c r="R182" s="56">
        <f t="shared" si="30"/>
        <v>20</v>
      </c>
      <c r="S182" s="56">
        <f t="shared" si="31"/>
        <v>400</v>
      </c>
      <c r="T182" s="56">
        <f t="shared" si="32"/>
        <v>20</v>
      </c>
      <c r="U182" s="56">
        <f t="shared" si="33"/>
        <v>1.3222192947339193</v>
      </c>
      <c r="V182" s="33">
        <f t="shared" si="34"/>
        <v>1.3793103448275863</v>
      </c>
      <c r="W182" s="143">
        <f t="shared" si="35"/>
        <v>1.3793103448275863</v>
      </c>
    </row>
    <row r="183" spans="1:23" x14ac:dyDescent="0.15">
      <c r="A183" s="7" t="s">
        <v>809</v>
      </c>
      <c r="B183" s="24" t="s">
        <v>515</v>
      </c>
      <c r="C183" s="64" t="s">
        <v>824</v>
      </c>
      <c r="D183" s="9" t="s">
        <v>148</v>
      </c>
      <c r="E183" s="24" t="s">
        <v>662</v>
      </c>
      <c r="F183" s="22" t="s">
        <v>374</v>
      </c>
      <c r="G183" s="10" t="s">
        <v>634</v>
      </c>
      <c r="H183" s="10" t="s">
        <v>580</v>
      </c>
      <c r="I183" s="64">
        <v>1333</v>
      </c>
      <c r="J183" s="34">
        <v>1383.7024512221533</v>
      </c>
      <c r="K183" s="56">
        <f t="shared" si="24"/>
        <v>50.702451222153286</v>
      </c>
      <c r="L183" s="56">
        <f t="shared" si="25"/>
        <v>2570.7385599348331</v>
      </c>
      <c r="M183" s="56">
        <f t="shared" si="26"/>
        <v>50.702451222153286</v>
      </c>
      <c r="N183" s="56">
        <f t="shared" si="27"/>
        <v>1.7135111335585342</v>
      </c>
      <c r="O183" s="143">
        <f t="shared" si="28"/>
        <v>3.8036347503490839</v>
      </c>
      <c r="P183" s="143">
        <f t="shared" si="29"/>
        <v>3.8036347503490839</v>
      </c>
      <c r="Q183" s="34">
        <v>1385</v>
      </c>
      <c r="R183" s="56">
        <f t="shared" si="30"/>
        <v>52</v>
      </c>
      <c r="S183" s="56">
        <f t="shared" si="31"/>
        <v>2704</v>
      </c>
      <c r="T183" s="56">
        <f t="shared" si="32"/>
        <v>52</v>
      </c>
      <c r="U183" s="56">
        <f t="shared" si="33"/>
        <v>1.7242758696007889</v>
      </c>
      <c r="V183" s="33">
        <f t="shared" si="34"/>
        <v>3.9009752438109526</v>
      </c>
      <c r="W183" s="143">
        <f t="shared" si="35"/>
        <v>3.9009752438109526</v>
      </c>
    </row>
    <row r="184" spans="1:23" x14ac:dyDescent="0.15">
      <c r="A184" s="7" t="s">
        <v>810</v>
      </c>
      <c r="B184" s="24" t="s">
        <v>515</v>
      </c>
      <c r="C184" s="64" t="s">
        <v>824</v>
      </c>
      <c r="D184" s="9" t="s">
        <v>148</v>
      </c>
      <c r="E184" s="24" t="s">
        <v>662</v>
      </c>
      <c r="F184" s="10" t="s">
        <v>374</v>
      </c>
      <c r="G184" s="10" t="s">
        <v>640</v>
      </c>
      <c r="H184" s="10" t="s">
        <v>580</v>
      </c>
      <c r="I184" s="64">
        <v>1622</v>
      </c>
      <c r="J184" s="34">
        <v>1663.2951981631145</v>
      </c>
      <c r="K184" s="56">
        <f t="shared" si="24"/>
        <v>41.295198163114492</v>
      </c>
      <c r="L184" s="56">
        <f t="shared" si="25"/>
        <v>1705.2933913308946</v>
      </c>
      <c r="M184" s="56">
        <f t="shared" si="26"/>
        <v>41.295198163114492</v>
      </c>
      <c r="N184" s="56">
        <f t="shared" si="27"/>
        <v>1.6262910640739119</v>
      </c>
      <c r="O184" s="143">
        <f t="shared" si="28"/>
        <v>2.5459431666531747</v>
      </c>
      <c r="P184" s="143">
        <f t="shared" si="29"/>
        <v>2.5459431666531747</v>
      </c>
      <c r="Q184" s="34">
        <v>1600</v>
      </c>
      <c r="R184" s="56">
        <f t="shared" si="30"/>
        <v>-22</v>
      </c>
      <c r="S184" s="56">
        <f t="shared" si="31"/>
        <v>484</v>
      </c>
      <c r="T184" s="56">
        <f t="shared" si="32"/>
        <v>22</v>
      </c>
      <c r="U184" s="56">
        <f t="shared" si="33"/>
        <v>1.3617278360175928</v>
      </c>
      <c r="V184" s="33">
        <f t="shared" si="34"/>
        <v>-1.3563501849568433</v>
      </c>
      <c r="W184" s="143">
        <f t="shared" si="35"/>
        <v>1.3563501849568433</v>
      </c>
    </row>
    <row r="185" spans="1:23" x14ac:dyDescent="0.15">
      <c r="A185" s="64" t="s">
        <v>811</v>
      </c>
      <c r="B185" s="24" t="s">
        <v>515</v>
      </c>
      <c r="C185" s="64" t="s">
        <v>824</v>
      </c>
      <c r="D185" s="9" t="s">
        <v>148</v>
      </c>
      <c r="E185" s="24" t="s">
        <v>662</v>
      </c>
      <c r="F185" s="10" t="s">
        <v>374</v>
      </c>
      <c r="G185" s="10" t="s">
        <v>640</v>
      </c>
      <c r="H185" s="10" t="s">
        <v>580</v>
      </c>
      <c r="I185" s="64">
        <v>1774</v>
      </c>
      <c r="J185" s="34">
        <v>1834.2461723148485</v>
      </c>
      <c r="K185" s="56">
        <f t="shared" si="24"/>
        <v>60.246172314848536</v>
      </c>
      <c r="L185" s="56">
        <f t="shared" si="25"/>
        <v>3629.6012785904222</v>
      </c>
      <c r="M185" s="56">
        <f t="shared" si="26"/>
        <v>60.246172314848536</v>
      </c>
      <c r="N185" s="56">
        <f t="shared" si="27"/>
        <v>1.7870789519021351</v>
      </c>
      <c r="O185" s="143">
        <f t="shared" si="28"/>
        <v>3.3960638283454641</v>
      </c>
      <c r="P185" s="143">
        <f t="shared" si="29"/>
        <v>3.3960638283454641</v>
      </c>
      <c r="Q185" s="34">
        <v>1700</v>
      </c>
      <c r="R185" s="56">
        <f t="shared" si="30"/>
        <v>-74</v>
      </c>
      <c r="S185" s="56">
        <f t="shared" si="31"/>
        <v>5476</v>
      </c>
      <c r="T185" s="56">
        <f t="shared" si="32"/>
        <v>74</v>
      </c>
      <c r="U185" s="56">
        <f t="shared" si="33"/>
        <v>1.8750612633917001</v>
      </c>
      <c r="V185" s="33">
        <f t="shared" si="34"/>
        <v>-4.1713641488162345</v>
      </c>
      <c r="W185" s="143">
        <f t="shared" si="35"/>
        <v>4.1713641488162345</v>
      </c>
    </row>
    <row r="186" spans="1:23" x14ac:dyDescent="0.15">
      <c r="A186" s="64" t="s">
        <v>812</v>
      </c>
      <c r="B186" s="24" t="s">
        <v>515</v>
      </c>
      <c r="C186" s="64" t="s">
        <v>824</v>
      </c>
      <c r="D186" s="9" t="s">
        <v>148</v>
      </c>
      <c r="E186" s="24" t="s">
        <v>662</v>
      </c>
      <c r="F186" s="10" t="s">
        <v>374</v>
      </c>
      <c r="G186" s="10" t="s">
        <v>640</v>
      </c>
      <c r="H186" s="10" t="s">
        <v>580</v>
      </c>
      <c r="I186" s="64">
        <v>1911</v>
      </c>
      <c r="J186" s="34">
        <v>2020.2981186219599</v>
      </c>
      <c r="K186" s="56">
        <f t="shared" si="24"/>
        <v>109.29811862195993</v>
      </c>
      <c r="L186" s="56">
        <f t="shared" si="25"/>
        <v>11946.078734300025</v>
      </c>
      <c r="M186" s="56">
        <f t="shared" si="26"/>
        <v>109.29811862195993</v>
      </c>
      <c r="N186" s="56">
        <f t="shared" si="27"/>
        <v>2.0425681046517079</v>
      </c>
      <c r="O186" s="143">
        <f t="shared" si="28"/>
        <v>5.7194201267378295</v>
      </c>
      <c r="P186" s="143">
        <f t="shared" si="29"/>
        <v>5.7194201267378295</v>
      </c>
      <c r="Q186" s="34">
        <v>1925</v>
      </c>
      <c r="R186" s="56">
        <f t="shared" si="30"/>
        <v>14</v>
      </c>
      <c r="S186" s="56">
        <f t="shared" si="31"/>
        <v>196</v>
      </c>
      <c r="T186" s="56">
        <f t="shared" si="32"/>
        <v>14</v>
      </c>
      <c r="U186" s="56">
        <f t="shared" si="33"/>
        <v>1.1760912590556813</v>
      </c>
      <c r="V186" s="33">
        <f t="shared" si="34"/>
        <v>0.73260073260073255</v>
      </c>
      <c r="W186" s="143">
        <f t="shared" si="35"/>
        <v>0.73260073260073255</v>
      </c>
    </row>
    <row r="187" spans="1:23" x14ac:dyDescent="0.15">
      <c r="A187" s="7" t="s">
        <v>813</v>
      </c>
      <c r="B187" s="24" t="s">
        <v>515</v>
      </c>
      <c r="C187" s="64" t="s">
        <v>824</v>
      </c>
      <c r="D187" s="9" t="s">
        <v>148</v>
      </c>
      <c r="E187" s="24" t="s">
        <v>662</v>
      </c>
      <c r="F187" s="22" t="s">
        <v>374</v>
      </c>
      <c r="G187" s="10" t="s">
        <v>634</v>
      </c>
      <c r="H187" s="10" t="s">
        <v>580</v>
      </c>
      <c r="I187" s="64">
        <v>1427</v>
      </c>
      <c r="J187" s="34">
        <v>1451.3958109174741</v>
      </c>
      <c r="K187" s="56">
        <f t="shared" si="24"/>
        <v>24.395810917474137</v>
      </c>
      <c r="L187" s="56">
        <f t="shared" si="25"/>
        <v>595.15559032115027</v>
      </c>
      <c r="M187" s="56">
        <f t="shared" si="26"/>
        <v>24.395810917474137</v>
      </c>
      <c r="N187" s="56">
        <f t="shared" si="27"/>
        <v>1.4047620849087208</v>
      </c>
      <c r="O187" s="143">
        <f t="shared" si="28"/>
        <v>1.7095873102644805</v>
      </c>
      <c r="P187" s="143">
        <f t="shared" si="29"/>
        <v>1.7095873102644805</v>
      </c>
      <c r="Q187" s="34">
        <v>1440</v>
      </c>
      <c r="R187" s="56">
        <f t="shared" si="30"/>
        <v>13</v>
      </c>
      <c r="S187" s="56">
        <f t="shared" si="31"/>
        <v>169</v>
      </c>
      <c r="T187" s="56">
        <f t="shared" si="32"/>
        <v>13</v>
      </c>
      <c r="U187" s="56">
        <f t="shared" si="33"/>
        <v>1.146128035678238</v>
      </c>
      <c r="V187" s="33">
        <f t="shared" si="34"/>
        <v>0.91100210231254375</v>
      </c>
      <c r="W187" s="143">
        <f t="shared" si="35"/>
        <v>0.91100210231254375</v>
      </c>
    </row>
    <row r="188" spans="1:23" x14ac:dyDescent="0.15">
      <c r="A188" s="7" t="s">
        <v>814</v>
      </c>
      <c r="B188" s="24" t="s">
        <v>515</v>
      </c>
      <c r="C188" s="64" t="s">
        <v>824</v>
      </c>
      <c r="D188" s="9" t="s">
        <v>148</v>
      </c>
      <c r="E188" s="24" t="s">
        <v>662</v>
      </c>
      <c r="F188" s="22" t="s">
        <v>374</v>
      </c>
      <c r="G188" s="10" t="s">
        <v>634</v>
      </c>
      <c r="H188" s="10" t="s">
        <v>580</v>
      </c>
      <c r="I188" s="64">
        <v>1408</v>
      </c>
      <c r="J188" s="34">
        <v>1457.5713590579346</v>
      </c>
      <c r="K188" s="56">
        <f t="shared" si="24"/>
        <v>49.571359057934615</v>
      </c>
      <c r="L188" s="56">
        <f t="shared" si="25"/>
        <v>2457.3196388506763</v>
      </c>
      <c r="M188" s="56">
        <f t="shared" si="26"/>
        <v>49.571359057934615</v>
      </c>
      <c r="N188" s="56">
        <f t="shared" si="27"/>
        <v>1.7039046250470307</v>
      </c>
      <c r="O188" s="143">
        <f t="shared" si="28"/>
        <v>3.520693114910129</v>
      </c>
      <c r="P188" s="143">
        <f t="shared" si="29"/>
        <v>3.520693114910129</v>
      </c>
      <c r="Q188" s="34">
        <v>1425</v>
      </c>
      <c r="R188" s="56">
        <f t="shared" si="30"/>
        <v>17</v>
      </c>
      <c r="S188" s="56">
        <f t="shared" si="31"/>
        <v>289</v>
      </c>
      <c r="T188" s="56">
        <f t="shared" si="32"/>
        <v>17</v>
      </c>
      <c r="U188" s="56">
        <f t="shared" si="33"/>
        <v>1.255272505103306</v>
      </c>
      <c r="V188" s="33">
        <f t="shared" si="34"/>
        <v>1.2073863636363635</v>
      </c>
      <c r="W188" s="143">
        <f t="shared" si="35"/>
        <v>1.2073863636363635</v>
      </c>
    </row>
    <row r="189" spans="1:23" x14ac:dyDescent="0.15">
      <c r="A189" s="64" t="s">
        <v>815</v>
      </c>
      <c r="B189" s="24" t="s">
        <v>515</v>
      </c>
      <c r="C189" s="64" t="s">
        <v>824</v>
      </c>
      <c r="D189" s="77" t="s">
        <v>148</v>
      </c>
      <c r="E189" s="24" t="s">
        <v>662</v>
      </c>
      <c r="F189" s="10" t="s">
        <v>374</v>
      </c>
      <c r="G189" s="10" t="s">
        <v>640</v>
      </c>
      <c r="H189" s="10" t="s">
        <v>580</v>
      </c>
      <c r="I189" s="64">
        <v>1651</v>
      </c>
      <c r="J189" s="34">
        <v>1657.0078177575213</v>
      </c>
      <c r="K189" s="56">
        <f t="shared" si="24"/>
        <v>6.0078177575212521</v>
      </c>
      <c r="L189" s="56">
        <f t="shared" si="25"/>
        <v>36.093874207587689</v>
      </c>
      <c r="M189" s="56">
        <f t="shared" si="26"/>
        <v>6.0078177575212521</v>
      </c>
      <c r="N189" s="56">
        <f t="shared" si="27"/>
        <v>0.84558279921995427</v>
      </c>
      <c r="O189" s="143">
        <f t="shared" si="28"/>
        <v>0.36388962795404312</v>
      </c>
      <c r="P189" s="143">
        <f t="shared" si="29"/>
        <v>0.36388962795404312</v>
      </c>
      <c r="Q189" s="34">
        <v>1580</v>
      </c>
      <c r="R189" s="56">
        <f t="shared" si="30"/>
        <v>-71</v>
      </c>
      <c r="S189" s="56">
        <f t="shared" si="31"/>
        <v>5041</v>
      </c>
      <c r="T189" s="56">
        <f t="shared" si="32"/>
        <v>71</v>
      </c>
      <c r="U189" s="56">
        <f t="shared" si="33"/>
        <v>1.8573324964312685</v>
      </c>
      <c r="V189" s="33">
        <f t="shared" si="34"/>
        <v>-4.3004239854633557</v>
      </c>
      <c r="W189" s="143">
        <f t="shared" si="35"/>
        <v>4.3004239854633557</v>
      </c>
    </row>
    <row r="190" spans="1:23" x14ac:dyDescent="0.15">
      <c r="A190" s="64" t="s">
        <v>816</v>
      </c>
      <c r="B190" s="24" t="s">
        <v>515</v>
      </c>
      <c r="C190" s="64" t="s">
        <v>824</v>
      </c>
      <c r="D190" s="77" t="s">
        <v>148</v>
      </c>
      <c r="E190" s="24" t="s">
        <v>662</v>
      </c>
      <c r="F190" s="22" t="s">
        <v>374</v>
      </c>
      <c r="G190" s="10" t="s">
        <v>634</v>
      </c>
      <c r="H190" s="10" t="s">
        <v>580</v>
      </c>
      <c r="I190" s="64">
        <v>1476</v>
      </c>
      <c r="J190" s="34">
        <v>1550.6248929617627</v>
      </c>
      <c r="K190" s="56">
        <f t="shared" si="24"/>
        <v>74.624892961762725</v>
      </c>
      <c r="L190" s="56">
        <f t="shared" si="25"/>
        <v>5568.8746495545438</v>
      </c>
      <c r="M190" s="56">
        <f t="shared" si="26"/>
        <v>74.624892961762725</v>
      </c>
      <c r="N190" s="56">
        <f t="shared" si="27"/>
        <v>1.87866477296765</v>
      </c>
      <c r="O190" s="143">
        <f t="shared" si="28"/>
        <v>5.0558870570299952</v>
      </c>
      <c r="P190" s="143">
        <f t="shared" si="29"/>
        <v>5.0558870570299952</v>
      </c>
      <c r="Q190" s="34">
        <v>1550</v>
      </c>
      <c r="R190" s="56">
        <f t="shared" si="30"/>
        <v>74</v>
      </c>
      <c r="S190" s="56">
        <f t="shared" si="31"/>
        <v>5476</v>
      </c>
      <c r="T190" s="56">
        <f t="shared" si="32"/>
        <v>74</v>
      </c>
      <c r="U190" s="56">
        <f t="shared" si="33"/>
        <v>1.8750612633917001</v>
      </c>
      <c r="V190" s="33">
        <f t="shared" si="34"/>
        <v>5.0135501355013554</v>
      </c>
      <c r="W190" s="143">
        <f t="shared" si="35"/>
        <v>5.0135501355013554</v>
      </c>
    </row>
    <row r="191" spans="1:23" x14ac:dyDescent="0.15">
      <c r="A191" s="64" t="s">
        <v>817</v>
      </c>
      <c r="B191" s="24" t="s">
        <v>515</v>
      </c>
      <c r="C191" s="64" t="s">
        <v>824</v>
      </c>
      <c r="D191" s="77" t="s">
        <v>148</v>
      </c>
      <c r="E191" s="24" t="s">
        <v>662</v>
      </c>
      <c r="F191" s="22" t="s">
        <v>374</v>
      </c>
      <c r="G191" s="10" t="s">
        <v>634</v>
      </c>
      <c r="H191" s="10" t="s">
        <v>580</v>
      </c>
      <c r="I191" s="64">
        <v>1495</v>
      </c>
      <c r="J191" s="34">
        <v>1556.8560094002207</v>
      </c>
      <c r="K191" s="56">
        <f t="shared" si="24"/>
        <v>61.856009400220728</v>
      </c>
      <c r="L191" s="56">
        <f t="shared" si="25"/>
        <v>3826.1658989201951</v>
      </c>
      <c r="M191" s="56">
        <f t="shared" si="26"/>
        <v>61.856009400220728</v>
      </c>
      <c r="N191" s="56">
        <f t="shared" si="27"/>
        <v>1.798346805086305</v>
      </c>
      <c r="O191" s="143">
        <f t="shared" si="28"/>
        <v>4.1375257123893467</v>
      </c>
      <c r="P191" s="143">
        <f t="shared" si="29"/>
        <v>4.1375257123893467</v>
      </c>
      <c r="Q191" s="34">
        <v>1480</v>
      </c>
      <c r="R191" s="56">
        <f t="shared" si="30"/>
        <v>-15</v>
      </c>
      <c r="S191" s="56">
        <f t="shared" si="31"/>
        <v>225</v>
      </c>
      <c r="T191" s="56">
        <f t="shared" si="32"/>
        <v>15</v>
      </c>
      <c r="U191" s="56">
        <f t="shared" si="33"/>
        <v>1.2041199826559248</v>
      </c>
      <c r="V191" s="33">
        <f t="shared" si="34"/>
        <v>-1.0033444816053512</v>
      </c>
      <c r="W191" s="143">
        <f t="shared" si="35"/>
        <v>1.0033444816053512</v>
      </c>
    </row>
    <row r="192" spans="1:23" x14ac:dyDescent="0.15">
      <c r="A192" s="64" t="s">
        <v>818</v>
      </c>
      <c r="B192" s="24" t="s">
        <v>515</v>
      </c>
      <c r="C192" s="64" t="s">
        <v>824</v>
      </c>
      <c r="D192" s="77" t="s">
        <v>148</v>
      </c>
      <c r="E192" s="24" t="s">
        <v>662</v>
      </c>
      <c r="F192" s="22" t="s">
        <v>374</v>
      </c>
      <c r="G192" s="10" t="s">
        <v>634</v>
      </c>
      <c r="H192" s="10" t="s">
        <v>580</v>
      </c>
      <c r="I192" s="64">
        <v>1360</v>
      </c>
      <c r="J192" s="34">
        <v>1402.1206538042336</v>
      </c>
      <c r="K192" s="56">
        <f t="shared" si="24"/>
        <v>42.120653804233598</v>
      </c>
      <c r="L192" s="56">
        <f t="shared" si="25"/>
        <v>1774.1494768960983</v>
      </c>
      <c r="M192" s="56">
        <f t="shared" si="26"/>
        <v>42.120653804233598</v>
      </c>
      <c r="N192" s="56">
        <f t="shared" si="27"/>
        <v>1.63468533709098</v>
      </c>
      <c r="O192" s="143">
        <f t="shared" si="28"/>
        <v>3.0971068973701175</v>
      </c>
      <c r="P192" s="143">
        <f t="shared" si="29"/>
        <v>3.0971068973701175</v>
      </c>
      <c r="Q192" s="34">
        <v>1385</v>
      </c>
      <c r="R192" s="56">
        <f t="shared" si="30"/>
        <v>25</v>
      </c>
      <c r="S192" s="56">
        <f t="shared" si="31"/>
        <v>625</v>
      </c>
      <c r="T192" s="56">
        <f t="shared" si="32"/>
        <v>25</v>
      </c>
      <c r="U192" s="56">
        <f t="shared" si="33"/>
        <v>1.414973347970818</v>
      </c>
      <c r="V192" s="33">
        <f t="shared" si="34"/>
        <v>1.838235294117647</v>
      </c>
      <c r="W192" s="143">
        <f t="shared" si="35"/>
        <v>1.838235294117647</v>
      </c>
    </row>
    <row r="193" spans="1:23" x14ac:dyDescent="0.15">
      <c r="A193" s="64" t="s">
        <v>819</v>
      </c>
      <c r="B193" s="24" t="s">
        <v>515</v>
      </c>
      <c r="C193" s="64" t="s">
        <v>824</v>
      </c>
      <c r="D193" s="77" t="s">
        <v>148</v>
      </c>
      <c r="E193" s="24" t="s">
        <v>662</v>
      </c>
      <c r="F193" s="10" t="s">
        <v>374</v>
      </c>
      <c r="G193" s="10" t="s">
        <v>640</v>
      </c>
      <c r="H193" s="10" t="s">
        <v>580</v>
      </c>
      <c r="I193" s="64">
        <v>1830</v>
      </c>
      <c r="J193" s="34">
        <v>1923.7598018103718</v>
      </c>
      <c r="K193" s="56">
        <f t="shared" si="24"/>
        <v>93.759801810371755</v>
      </c>
      <c r="L193" s="56">
        <f t="shared" si="25"/>
        <v>8790.9004355201905</v>
      </c>
      <c r="M193" s="56">
        <f t="shared" si="26"/>
        <v>93.759801810371755</v>
      </c>
      <c r="N193" s="56">
        <f t="shared" si="27"/>
        <v>1.9766241437270473</v>
      </c>
      <c r="O193" s="143">
        <f t="shared" si="28"/>
        <v>5.1234864377252327</v>
      </c>
      <c r="P193" s="143">
        <f t="shared" si="29"/>
        <v>5.1234864377252327</v>
      </c>
      <c r="Q193" s="34">
        <v>1835</v>
      </c>
      <c r="R193" s="56">
        <f t="shared" si="30"/>
        <v>5</v>
      </c>
      <c r="S193" s="56">
        <f t="shared" si="31"/>
        <v>25</v>
      </c>
      <c r="T193" s="56">
        <f t="shared" si="32"/>
        <v>5</v>
      </c>
      <c r="U193" s="56">
        <f t="shared" si="33"/>
        <v>0.77815125038364363</v>
      </c>
      <c r="V193" s="33">
        <f t="shared" si="34"/>
        <v>0.27322404371584702</v>
      </c>
      <c r="W193" s="143">
        <f t="shared" si="35"/>
        <v>0.27322404371584702</v>
      </c>
    </row>
    <row r="194" spans="1:23" x14ac:dyDescent="0.15">
      <c r="A194" s="64" t="s">
        <v>820</v>
      </c>
      <c r="B194" s="24" t="s">
        <v>515</v>
      </c>
      <c r="C194" s="64" t="s">
        <v>824</v>
      </c>
      <c r="D194" s="77" t="s">
        <v>148</v>
      </c>
      <c r="E194" s="24" t="s">
        <v>662</v>
      </c>
      <c r="F194" s="22" t="s">
        <v>374</v>
      </c>
      <c r="G194" s="10" t="s">
        <v>634</v>
      </c>
      <c r="H194" s="10" t="s">
        <v>580</v>
      </c>
      <c r="I194" s="64">
        <v>1416</v>
      </c>
      <c r="J194" s="34">
        <v>1531.9519590256568</v>
      </c>
      <c r="K194" s="56">
        <f t="shared" ref="K194:K217" si="36">J194-I194</f>
        <v>115.95195902565683</v>
      </c>
      <c r="L194" s="56">
        <f t="shared" ref="L194:L217" si="37">K194^2</f>
        <v>13444.856801887601</v>
      </c>
      <c r="M194" s="56">
        <f t="shared" ref="M194:M217" si="38">SQRT(L194)</f>
        <v>115.95195902565683</v>
      </c>
      <c r="N194" s="56">
        <f t="shared" ref="N194:N217" si="39">LOG10(M194+1)</f>
        <v>2.0680075009370227</v>
      </c>
      <c r="O194" s="143">
        <f t="shared" ref="O194:O217" si="40">100*K194/I194</f>
        <v>8.1886976713034478</v>
      </c>
      <c r="P194" s="143">
        <f t="shared" ref="P194:P217" si="41">ABS(O194)</f>
        <v>8.1886976713034478</v>
      </c>
      <c r="Q194" s="34">
        <v>1480</v>
      </c>
      <c r="R194" s="56">
        <f t="shared" ref="R194:R217" si="42">Q194-I194</f>
        <v>64</v>
      </c>
      <c r="S194" s="56">
        <f t="shared" ref="S194:S217" si="43">R194^2</f>
        <v>4096</v>
      </c>
      <c r="T194" s="56">
        <f t="shared" ref="T194:T217" si="44">SQRT(S194)</f>
        <v>64</v>
      </c>
      <c r="U194" s="56">
        <f t="shared" ref="U194:U217" si="45">LOG10(T194+1)</f>
        <v>1.8129133566428555</v>
      </c>
      <c r="V194" s="33">
        <f t="shared" ref="V194:V217" si="46">100*R194/I194</f>
        <v>4.5197740112994351</v>
      </c>
      <c r="W194" s="143">
        <f t="shared" ref="W194:W217" si="47">ABS(V194)</f>
        <v>4.5197740112994351</v>
      </c>
    </row>
    <row r="195" spans="1:23" x14ac:dyDescent="0.15">
      <c r="A195" s="64" t="s">
        <v>821</v>
      </c>
      <c r="B195" s="24" t="s">
        <v>515</v>
      </c>
      <c r="C195" s="64" t="s">
        <v>824</v>
      </c>
      <c r="D195" s="77" t="s">
        <v>148</v>
      </c>
      <c r="E195" s="24" t="s">
        <v>662</v>
      </c>
      <c r="F195" s="10" t="s">
        <v>293</v>
      </c>
      <c r="G195" s="10" t="s">
        <v>640</v>
      </c>
      <c r="H195" s="10" t="s">
        <v>580</v>
      </c>
      <c r="I195" s="64">
        <v>1980</v>
      </c>
      <c r="J195" s="34">
        <v>2013.842379274626</v>
      </c>
      <c r="K195" s="56">
        <f t="shared" si="36"/>
        <v>33.842379274625955</v>
      </c>
      <c r="L195" s="56">
        <f t="shared" si="37"/>
        <v>1145.3066349676324</v>
      </c>
      <c r="M195" s="56">
        <f t="shared" si="38"/>
        <v>33.842379274625955</v>
      </c>
      <c r="N195" s="56">
        <f t="shared" si="39"/>
        <v>1.5421078039291849</v>
      </c>
      <c r="O195" s="143">
        <f t="shared" si="40"/>
        <v>1.7092110744760582</v>
      </c>
      <c r="P195" s="143">
        <f t="shared" si="41"/>
        <v>1.7092110744760582</v>
      </c>
      <c r="Q195" s="34">
        <v>1890</v>
      </c>
      <c r="R195" s="56">
        <f t="shared" si="42"/>
        <v>-90</v>
      </c>
      <c r="S195" s="56">
        <f t="shared" si="43"/>
        <v>8100</v>
      </c>
      <c r="T195" s="56">
        <f t="shared" si="44"/>
        <v>90</v>
      </c>
      <c r="U195" s="56">
        <f t="shared" si="45"/>
        <v>1.9590413923210936</v>
      </c>
      <c r="V195" s="33">
        <f t="shared" si="46"/>
        <v>-4.5454545454545459</v>
      </c>
      <c r="W195" s="143">
        <f t="shared" si="47"/>
        <v>4.5454545454545459</v>
      </c>
    </row>
    <row r="196" spans="1:23" x14ac:dyDescent="0.15">
      <c r="A196" s="64" t="s">
        <v>822</v>
      </c>
      <c r="B196" s="24" t="s">
        <v>515</v>
      </c>
      <c r="C196" s="64" t="s">
        <v>824</v>
      </c>
      <c r="D196" s="77" t="s">
        <v>148</v>
      </c>
      <c r="E196" s="24" t="s">
        <v>662</v>
      </c>
      <c r="F196" s="10" t="s">
        <v>374</v>
      </c>
      <c r="G196" s="10" t="s">
        <v>640</v>
      </c>
      <c r="H196" s="10" t="s">
        <v>580</v>
      </c>
      <c r="I196" s="64">
        <v>1744</v>
      </c>
      <c r="J196" s="34">
        <v>1707.3967162946535</v>
      </c>
      <c r="K196" s="56">
        <f t="shared" si="36"/>
        <v>-36.603283705346485</v>
      </c>
      <c r="L196" s="56">
        <f t="shared" si="37"/>
        <v>1339.8003780140834</v>
      </c>
      <c r="M196" s="56">
        <f t="shared" si="38"/>
        <v>36.603283705346485</v>
      </c>
      <c r="N196" s="56">
        <f t="shared" si="39"/>
        <v>1.5752257713330735</v>
      </c>
      <c r="O196" s="143">
        <f t="shared" si="40"/>
        <v>-2.0988121390680323</v>
      </c>
      <c r="P196" s="143">
        <f t="shared" si="41"/>
        <v>2.0988121390680323</v>
      </c>
      <c r="Q196" s="34">
        <v>1675</v>
      </c>
      <c r="R196" s="56">
        <f t="shared" si="42"/>
        <v>-69</v>
      </c>
      <c r="S196" s="56">
        <f t="shared" si="43"/>
        <v>4761</v>
      </c>
      <c r="T196" s="56">
        <f t="shared" si="44"/>
        <v>69</v>
      </c>
      <c r="U196" s="56">
        <f t="shared" si="45"/>
        <v>1.8450980400142569</v>
      </c>
      <c r="V196" s="33">
        <f t="shared" si="46"/>
        <v>-3.9564220183486238</v>
      </c>
      <c r="W196" s="143">
        <f t="shared" si="47"/>
        <v>3.9564220183486238</v>
      </c>
    </row>
    <row r="197" spans="1:23" x14ac:dyDescent="0.15">
      <c r="A197" s="64" t="s">
        <v>823</v>
      </c>
      <c r="B197" s="24" t="s">
        <v>515</v>
      </c>
      <c r="C197" s="64" t="s">
        <v>824</v>
      </c>
      <c r="D197" s="77" t="s">
        <v>148</v>
      </c>
      <c r="E197" s="24" t="s">
        <v>662</v>
      </c>
      <c r="F197" s="10" t="s">
        <v>374</v>
      </c>
      <c r="G197" s="10" t="s">
        <v>640</v>
      </c>
      <c r="H197" s="10" t="s">
        <v>580</v>
      </c>
      <c r="I197" s="64">
        <v>1780</v>
      </c>
      <c r="J197" s="34">
        <v>1815.1406033527871</v>
      </c>
      <c r="K197" s="56">
        <f t="shared" si="36"/>
        <v>35.140603352787139</v>
      </c>
      <c r="L197" s="56">
        <f t="shared" si="37"/>
        <v>1234.8620039979146</v>
      </c>
      <c r="M197" s="56">
        <f t="shared" si="38"/>
        <v>35.140603352787139</v>
      </c>
      <c r="N197" s="56">
        <f t="shared" si="39"/>
        <v>1.5579953986565349</v>
      </c>
      <c r="O197" s="143">
        <f t="shared" si="40"/>
        <v>1.9741911995947832</v>
      </c>
      <c r="P197" s="143">
        <f t="shared" si="41"/>
        <v>1.9741911995947832</v>
      </c>
      <c r="Q197" s="34">
        <v>1705</v>
      </c>
      <c r="R197" s="56">
        <f t="shared" si="42"/>
        <v>-75</v>
      </c>
      <c r="S197" s="56">
        <f t="shared" si="43"/>
        <v>5625</v>
      </c>
      <c r="T197" s="56">
        <f t="shared" si="44"/>
        <v>75</v>
      </c>
      <c r="U197" s="56">
        <f t="shared" si="45"/>
        <v>1.8808135922807914</v>
      </c>
      <c r="V197" s="33">
        <f t="shared" si="46"/>
        <v>-4.213483146067416</v>
      </c>
      <c r="W197" s="143">
        <f t="shared" si="47"/>
        <v>4.213483146067416</v>
      </c>
    </row>
    <row r="198" spans="1:23" x14ac:dyDescent="0.15">
      <c r="A198" s="69" t="s">
        <v>520</v>
      </c>
      <c r="B198" s="24" t="s">
        <v>515</v>
      </c>
      <c r="C198" s="70" t="s">
        <v>401</v>
      </c>
      <c r="D198" s="68" t="s">
        <v>82</v>
      </c>
      <c r="E198" s="24" t="s">
        <v>662</v>
      </c>
      <c r="F198" s="74" t="s">
        <v>494</v>
      </c>
      <c r="G198" s="10" t="s">
        <v>634</v>
      </c>
      <c r="H198" s="10" t="s">
        <v>580</v>
      </c>
      <c r="I198" s="70">
        <v>770</v>
      </c>
      <c r="J198" s="34">
        <v>717.76528223987737</v>
      </c>
      <c r="K198" s="56">
        <f t="shared" si="36"/>
        <v>-52.234717760122635</v>
      </c>
      <c r="L198" s="56">
        <f t="shared" si="37"/>
        <v>2728.4657394796709</v>
      </c>
      <c r="M198" s="56">
        <f t="shared" si="38"/>
        <v>52.234717760122635</v>
      </c>
      <c r="N198" s="56">
        <f t="shared" si="39"/>
        <v>1.7261949558664798</v>
      </c>
      <c r="O198" s="143">
        <f t="shared" si="40"/>
        <v>-6.7837295792367067</v>
      </c>
      <c r="P198" s="143">
        <f t="shared" si="41"/>
        <v>6.7837295792367067</v>
      </c>
      <c r="Q198" s="34">
        <v>765</v>
      </c>
      <c r="R198" s="56">
        <f t="shared" si="42"/>
        <v>-5</v>
      </c>
      <c r="S198" s="56">
        <f t="shared" si="43"/>
        <v>25</v>
      </c>
      <c r="T198" s="56">
        <f t="shared" si="44"/>
        <v>5</v>
      </c>
      <c r="U198" s="56">
        <f t="shared" si="45"/>
        <v>0.77815125038364363</v>
      </c>
      <c r="V198" s="33">
        <f t="shared" si="46"/>
        <v>-0.64935064935064934</v>
      </c>
      <c r="W198" s="143">
        <f t="shared" si="47"/>
        <v>0.64935064935064934</v>
      </c>
    </row>
    <row r="199" spans="1:23" x14ac:dyDescent="0.15">
      <c r="A199" s="69" t="s">
        <v>521</v>
      </c>
      <c r="B199" s="24" t="s">
        <v>515</v>
      </c>
      <c r="C199" s="70" t="s">
        <v>401</v>
      </c>
      <c r="D199" s="68" t="s">
        <v>82</v>
      </c>
      <c r="E199" s="24" t="s">
        <v>662</v>
      </c>
      <c r="F199" s="74" t="s">
        <v>494</v>
      </c>
      <c r="G199" s="10" t="s">
        <v>634</v>
      </c>
      <c r="H199" s="10" t="s">
        <v>580</v>
      </c>
      <c r="I199" s="70">
        <v>716</v>
      </c>
      <c r="J199" s="34">
        <v>728.99949929409695</v>
      </c>
      <c r="K199" s="56">
        <f t="shared" si="36"/>
        <v>12.99949929409695</v>
      </c>
      <c r="L199" s="56">
        <f t="shared" si="37"/>
        <v>168.98698189722708</v>
      </c>
      <c r="M199" s="56">
        <f t="shared" si="38"/>
        <v>12.99949929409695</v>
      </c>
      <c r="N199" s="56">
        <f t="shared" si="39"/>
        <v>1.1461125029854216</v>
      </c>
      <c r="O199" s="143">
        <f t="shared" si="40"/>
        <v>1.8155725271085126</v>
      </c>
      <c r="P199" s="143">
        <f t="shared" si="41"/>
        <v>1.8155725271085126</v>
      </c>
      <c r="Q199" s="34">
        <v>780</v>
      </c>
      <c r="R199" s="56">
        <f t="shared" si="42"/>
        <v>64</v>
      </c>
      <c r="S199" s="56">
        <f t="shared" si="43"/>
        <v>4096</v>
      </c>
      <c r="T199" s="56">
        <f t="shared" si="44"/>
        <v>64</v>
      </c>
      <c r="U199" s="56">
        <f t="shared" si="45"/>
        <v>1.8129133566428555</v>
      </c>
      <c r="V199" s="33">
        <f t="shared" si="46"/>
        <v>8.938547486033519</v>
      </c>
      <c r="W199" s="143">
        <f t="shared" si="47"/>
        <v>8.938547486033519</v>
      </c>
    </row>
    <row r="200" spans="1:23" x14ac:dyDescent="0.15">
      <c r="A200" s="64" t="s">
        <v>415</v>
      </c>
      <c r="B200" s="24" t="s">
        <v>515</v>
      </c>
      <c r="C200" s="70" t="s">
        <v>458</v>
      </c>
      <c r="D200" s="9" t="s">
        <v>82</v>
      </c>
      <c r="E200" s="24" t="s">
        <v>662</v>
      </c>
      <c r="F200" s="10" t="s">
        <v>203</v>
      </c>
      <c r="G200" s="10" t="s">
        <v>640</v>
      </c>
      <c r="H200" s="10" t="s">
        <v>581</v>
      </c>
      <c r="I200" s="64">
        <v>2790</v>
      </c>
      <c r="J200" s="34">
        <v>2638.8333629791664</v>
      </c>
      <c r="K200" s="56">
        <f t="shared" si="36"/>
        <v>-151.1666370208336</v>
      </c>
      <c r="L200" s="56">
        <f t="shared" si="37"/>
        <v>22851.35214818846</v>
      </c>
      <c r="M200" s="56">
        <f t="shared" si="38"/>
        <v>151.1666370208336</v>
      </c>
      <c r="N200" s="56">
        <f t="shared" si="39"/>
        <v>2.1823194425393324</v>
      </c>
      <c r="O200" s="143">
        <f t="shared" si="40"/>
        <v>-5.4181590330047884</v>
      </c>
      <c r="P200" s="143">
        <f t="shared" si="41"/>
        <v>5.4181590330047884</v>
      </c>
      <c r="Q200" s="34">
        <v>2400</v>
      </c>
      <c r="R200" s="56">
        <f t="shared" si="42"/>
        <v>-390</v>
      </c>
      <c r="S200" s="56">
        <f t="shared" si="43"/>
        <v>152100</v>
      </c>
      <c r="T200" s="56">
        <f t="shared" si="44"/>
        <v>390</v>
      </c>
      <c r="U200" s="56">
        <f t="shared" si="45"/>
        <v>2.5921767573958667</v>
      </c>
      <c r="V200" s="33">
        <f t="shared" si="46"/>
        <v>-13.978494623655914</v>
      </c>
      <c r="W200" s="143">
        <f t="shared" si="47"/>
        <v>13.978494623655914</v>
      </c>
    </row>
    <row r="201" spans="1:23" x14ac:dyDescent="0.15">
      <c r="A201" s="70" t="s">
        <v>714</v>
      </c>
      <c r="B201" s="24" t="s">
        <v>515</v>
      </c>
      <c r="C201" s="8" t="s">
        <v>458</v>
      </c>
      <c r="D201" s="9" t="s">
        <v>82</v>
      </c>
      <c r="E201" s="24" t="s">
        <v>662</v>
      </c>
      <c r="F201" s="10" t="s">
        <v>293</v>
      </c>
      <c r="G201" s="10" t="s">
        <v>640</v>
      </c>
      <c r="H201" s="10" t="s">
        <v>580</v>
      </c>
      <c r="I201" s="64">
        <v>1890</v>
      </c>
      <c r="J201" s="34">
        <v>1783.3586472756149</v>
      </c>
      <c r="K201" s="56">
        <f t="shared" si="36"/>
        <v>-106.64135272438511</v>
      </c>
      <c r="L201" s="56">
        <f t="shared" si="37"/>
        <v>11372.378110886721</v>
      </c>
      <c r="M201" s="56">
        <f t="shared" si="38"/>
        <v>106.64135272438511</v>
      </c>
      <c r="N201" s="56">
        <f t="shared" si="39"/>
        <v>2.0319791468866311</v>
      </c>
      <c r="O201" s="143">
        <f t="shared" si="40"/>
        <v>-5.6423996150468314</v>
      </c>
      <c r="P201" s="143">
        <f t="shared" si="41"/>
        <v>5.6423996150468314</v>
      </c>
      <c r="Q201" s="34">
        <v>1755</v>
      </c>
      <c r="R201" s="56">
        <f t="shared" si="42"/>
        <v>-135</v>
      </c>
      <c r="S201" s="56">
        <f t="shared" si="43"/>
        <v>18225</v>
      </c>
      <c r="T201" s="56">
        <f t="shared" si="44"/>
        <v>135</v>
      </c>
      <c r="U201" s="56">
        <f t="shared" si="45"/>
        <v>2.1335389083702174</v>
      </c>
      <c r="V201" s="33">
        <f t="shared" si="46"/>
        <v>-7.1428571428571432</v>
      </c>
      <c r="W201" s="143">
        <f t="shared" si="47"/>
        <v>7.1428571428571432</v>
      </c>
    </row>
    <row r="202" spans="1:23" x14ac:dyDescent="0.15">
      <c r="A202" s="70" t="s">
        <v>715</v>
      </c>
      <c r="B202" s="24" t="s">
        <v>515</v>
      </c>
      <c r="C202" s="8" t="s">
        <v>458</v>
      </c>
      <c r="D202" s="9" t="s">
        <v>82</v>
      </c>
      <c r="E202" s="24" t="s">
        <v>662</v>
      </c>
      <c r="F202" s="10" t="s">
        <v>293</v>
      </c>
      <c r="G202" s="10" t="s">
        <v>640</v>
      </c>
      <c r="H202" s="10" t="s">
        <v>580</v>
      </c>
      <c r="I202" s="85">
        <v>1940</v>
      </c>
      <c r="J202" s="34">
        <v>1834.2461723148485</v>
      </c>
      <c r="K202" s="56">
        <f t="shared" si="36"/>
        <v>-105.75382768515146</v>
      </c>
      <c r="L202" s="56">
        <f t="shared" si="37"/>
        <v>11183.872070060708</v>
      </c>
      <c r="M202" s="56">
        <f t="shared" si="38"/>
        <v>105.75382768515146</v>
      </c>
      <c r="N202" s="56">
        <f t="shared" si="39"/>
        <v>2.028383455713338</v>
      </c>
      <c r="O202" s="143">
        <f t="shared" si="40"/>
        <v>-5.4512282311933742</v>
      </c>
      <c r="P202" s="143">
        <f t="shared" si="41"/>
        <v>5.4512282311933742</v>
      </c>
      <c r="Q202" s="34">
        <v>1745</v>
      </c>
      <c r="R202" s="56">
        <f t="shared" si="42"/>
        <v>-195</v>
      </c>
      <c r="S202" s="56">
        <f t="shared" si="43"/>
        <v>38025</v>
      </c>
      <c r="T202" s="56">
        <f t="shared" si="44"/>
        <v>195</v>
      </c>
      <c r="U202" s="56">
        <f t="shared" si="45"/>
        <v>2.2922560713564759</v>
      </c>
      <c r="V202" s="33">
        <f t="shared" si="46"/>
        <v>-10.051546391752577</v>
      </c>
      <c r="W202" s="143">
        <f t="shared" si="47"/>
        <v>10.051546391752577</v>
      </c>
    </row>
    <row r="203" spans="1:23" x14ac:dyDescent="0.15">
      <c r="A203" s="7" t="s">
        <v>58</v>
      </c>
      <c r="B203" s="24" t="s">
        <v>515</v>
      </c>
      <c r="C203" s="70" t="s">
        <v>403</v>
      </c>
      <c r="D203" s="9" t="s">
        <v>900</v>
      </c>
      <c r="E203" s="24" t="s">
        <v>662</v>
      </c>
      <c r="F203" s="10" t="s">
        <v>203</v>
      </c>
      <c r="G203" s="10" t="s">
        <v>640</v>
      </c>
      <c r="H203" s="10" t="s">
        <v>581</v>
      </c>
      <c r="I203" s="8">
        <v>2949</v>
      </c>
      <c r="J203" s="34">
        <v>2850.1859543022465</v>
      </c>
      <c r="K203" s="56">
        <f t="shared" si="36"/>
        <v>-98.8140456977535</v>
      </c>
      <c r="L203" s="56">
        <f t="shared" si="37"/>
        <v>9764.2156271577169</v>
      </c>
      <c r="M203" s="56">
        <f t="shared" si="38"/>
        <v>98.8140456977535</v>
      </c>
      <c r="N203" s="56">
        <f t="shared" si="39"/>
        <v>1.9991916589208278</v>
      </c>
      <c r="O203" s="143">
        <f t="shared" si="40"/>
        <v>-3.3507645201001526</v>
      </c>
      <c r="P203" s="143">
        <f t="shared" si="41"/>
        <v>3.3507645201001526</v>
      </c>
      <c r="Q203" s="34">
        <v>2543</v>
      </c>
      <c r="R203" s="56">
        <f t="shared" si="42"/>
        <v>-406</v>
      </c>
      <c r="S203" s="56">
        <f t="shared" si="43"/>
        <v>164836</v>
      </c>
      <c r="T203" s="56">
        <f t="shared" si="44"/>
        <v>406</v>
      </c>
      <c r="U203" s="56">
        <f t="shared" si="45"/>
        <v>2.6095944092252199</v>
      </c>
      <c r="V203" s="33">
        <f t="shared" si="46"/>
        <v>-13.767378772465243</v>
      </c>
      <c r="W203" s="143">
        <f t="shared" si="47"/>
        <v>13.767378772465243</v>
      </c>
    </row>
    <row r="204" spans="1:23" x14ac:dyDescent="0.15">
      <c r="A204" s="7" t="s">
        <v>254</v>
      </c>
      <c r="B204" s="24" t="s">
        <v>515</v>
      </c>
      <c r="C204" s="70" t="s">
        <v>403</v>
      </c>
      <c r="D204" s="9" t="s">
        <v>82</v>
      </c>
      <c r="E204" s="24" t="s">
        <v>662</v>
      </c>
      <c r="F204" s="10" t="s">
        <v>374</v>
      </c>
      <c r="G204" s="10" t="s">
        <v>634</v>
      </c>
      <c r="H204" s="10" t="s">
        <v>580</v>
      </c>
      <c r="I204" s="85">
        <v>1176.5999999999999</v>
      </c>
      <c r="J204" s="34">
        <v>1368.9305337553819</v>
      </c>
      <c r="K204" s="56">
        <f t="shared" si="36"/>
        <v>192.33053375538202</v>
      </c>
      <c r="L204" s="56">
        <f t="shared" si="37"/>
        <v>36991.034214630141</v>
      </c>
      <c r="M204" s="56">
        <f t="shared" si="38"/>
        <v>192.33053375538202</v>
      </c>
      <c r="N204" s="56">
        <f t="shared" si="39"/>
        <v>2.286300449963659</v>
      </c>
      <c r="O204" s="143">
        <f t="shared" si="40"/>
        <v>16.346297276507059</v>
      </c>
      <c r="P204" s="143">
        <f t="shared" si="41"/>
        <v>16.346297276507059</v>
      </c>
      <c r="Q204" s="34">
        <v>1343.1999999999998</v>
      </c>
      <c r="R204" s="56">
        <f t="shared" si="42"/>
        <v>166.59999999999991</v>
      </c>
      <c r="S204" s="56">
        <f t="shared" si="43"/>
        <v>27755.559999999969</v>
      </c>
      <c r="T204" s="56">
        <f t="shared" si="44"/>
        <v>166.59999999999991</v>
      </c>
      <c r="U204" s="56">
        <f t="shared" si="45"/>
        <v>2.2242740142942576</v>
      </c>
      <c r="V204" s="33">
        <f t="shared" si="46"/>
        <v>14.159442461329249</v>
      </c>
      <c r="W204" s="143">
        <f t="shared" si="47"/>
        <v>14.159442461329249</v>
      </c>
    </row>
    <row r="205" spans="1:23" x14ac:dyDescent="0.15">
      <c r="A205" s="7" t="s">
        <v>63</v>
      </c>
      <c r="B205" s="24" t="s">
        <v>515</v>
      </c>
      <c r="C205" s="70" t="s">
        <v>403</v>
      </c>
      <c r="D205" s="9" t="s">
        <v>82</v>
      </c>
      <c r="E205" s="24" t="s">
        <v>662</v>
      </c>
      <c r="F205" s="10" t="s">
        <v>494</v>
      </c>
      <c r="G205" s="10" t="s">
        <v>634</v>
      </c>
      <c r="H205" s="10" t="s">
        <v>580</v>
      </c>
      <c r="I205" s="8">
        <v>633</v>
      </c>
      <c r="J205" s="34">
        <v>633.18383090673569</v>
      </c>
      <c r="K205" s="56">
        <f t="shared" si="36"/>
        <v>0.18383090673569313</v>
      </c>
      <c r="L205" s="56">
        <f t="shared" si="37"/>
        <v>3.3793802271267104E-2</v>
      </c>
      <c r="M205" s="56">
        <f t="shared" si="38"/>
        <v>0.18383090673569313</v>
      </c>
      <c r="N205" s="56">
        <f t="shared" si="39"/>
        <v>7.3289674079447586E-2</v>
      </c>
      <c r="O205" s="143">
        <f t="shared" si="40"/>
        <v>2.9041217493790385E-2</v>
      </c>
      <c r="P205" s="143">
        <f t="shared" si="41"/>
        <v>2.9041217493790385E-2</v>
      </c>
      <c r="Q205" s="34">
        <v>690.99999999999989</v>
      </c>
      <c r="R205" s="56">
        <f t="shared" si="42"/>
        <v>57.999999999999886</v>
      </c>
      <c r="S205" s="56">
        <f t="shared" si="43"/>
        <v>3363.9999999999868</v>
      </c>
      <c r="T205" s="56">
        <f t="shared" si="44"/>
        <v>57.999999999999886</v>
      </c>
      <c r="U205" s="56">
        <f t="shared" si="45"/>
        <v>1.7708520116421433</v>
      </c>
      <c r="V205" s="33">
        <f t="shared" si="46"/>
        <v>9.1627172195892399</v>
      </c>
      <c r="W205" s="143">
        <f t="shared" si="47"/>
        <v>9.1627172195892399</v>
      </c>
    </row>
    <row r="206" spans="1:23" x14ac:dyDescent="0.15">
      <c r="A206" s="7" t="s">
        <v>50</v>
      </c>
      <c r="B206" s="24" t="s">
        <v>515</v>
      </c>
      <c r="C206" s="70" t="s">
        <v>403</v>
      </c>
      <c r="D206" s="9" t="s">
        <v>82</v>
      </c>
      <c r="E206" s="24" t="s">
        <v>662</v>
      </c>
      <c r="F206" s="10" t="s">
        <v>203</v>
      </c>
      <c r="G206" s="10" t="s">
        <v>640</v>
      </c>
      <c r="H206" s="10" t="s">
        <v>581</v>
      </c>
      <c r="I206" s="8">
        <v>2873</v>
      </c>
      <c r="J206" s="34">
        <v>3126.6343271442265</v>
      </c>
      <c r="K206" s="56">
        <f t="shared" si="36"/>
        <v>253.63432714422652</v>
      </c>
      <c r="L206" s="56">
        <f t="shared" si="37"/>
        <v>64330.371905904518</v>
      </c>
      <c r="M206" s="56">
        <f t="shared" si="38"/>
        <v>253.63432714422652</v>
      </c>
      <c r="N206" s="56">
        <f t="shared" si="39"/>
        <v>2.4059169503168327</v>
      </c>
      <c r="O206" s="143">
        <f t="shared" si="40"/>
        <v>8.8282049127819882</v>
      </c>
      <c r="P206" s="143">
        <f t="shared" si="41"/>
        <v>8.8282049127819882</v>
      </c>
      <c r="Q206" s="34">
        <v>2730</v>
      </c>
      <c r="R206" s="56">
        <f t="shared" si="42"/>
        <v>-143</v>
      </c>
      <c r="S206" s="56">
        <f t="shared" si="43"/>
        <v>20449</v>
      </c>
      <c r="T206" s="56">
        <f t="shared" si="44"/>
        <v>143</v>
      </c>
      <c r="U206" s="56">
        <f t="shared" si="45"/>
        <v>2.1583624920952498</v>
      </c>
      <c r="V206" s="33">
        <f t="shared" si="46"/>
        <v>-4.9773755656108598</v>
      </c>
      <c r="W206" s="143">
        <f t="shared" si="47"/>
        <v>4.9773755656108598</v>
      </c>
    </row>
    <row r="207" spans="1:23" x14ac:dyDescent="0.15">
      <c r="A207" s="7" t="s">
        <v>252</v>
      </c>
      <c r="B207" s="24" t="s">
        <v>515</v>
      </c>
      <c r="C207" s="70" t="s">
        <v>403</v>
      </c>
      <c r="D207" s="9" t="s">
        <v>82</v>
      </c>
      <c r="E207" s="24" t="s">
        <v>662</v>
      </c>
      <c r="F207" s="10" t="s">
        <v>374</v>
      </c>
      <c r="G207" s="10" t="s">
        <v>634</v>
      </c>
      <c r="H207" s="10" t="s">
        <v>580</v>
      </c>
      <c r="I207" s="85">
        <v>1193.83</v>
      </c>
      <c r="J207" s="34">
        <v>968.47466423808146</v>
      </c>
      <c r="K207" s="56">
        <f t="shared" si="36"/>
        <v>-225.35533576191847</v>
      </c>
      <c r="L207" s="56">
        <f t="shared" si="37"/>
        <v>50785.027356367005</v>
      </c>
      <c r="M207" s="56">
        <f t="shared" si="38"/>
        <v>225.35533576191847</v>
      </c>
      <c r="N207" s="56">
        <f t="shared" si="39"/>
        <v>2.3547907363600786</v>
      </c>
      <c r="O207" s="143">
        <f t="shared" si="40"/>
        <v>-18.876668852509862</v>
      </c>
      <c r="P207" s="143">
        <f t="shared" si="41"/>
        <v>18.876668852509862</v>
      </c>
      <c r="Q207" s="34">
        <v>1000.16</v>
      </c>
      <c r="R207" s="56">
        <f t="shared" si="42"/>
        <v>-193.66999999999996</v>
      </c>
      <c r="S207" s="56">
        <f t="shared" si="43"/>
        <v>37508.068899999984</v>
      </c>
      <c r="T207" s="56">
        <f t="shared" si="44"/>
        <v>193.66999999999996</v>
      </c>
      <c r="U207" s="56">
        <f t="shared" si="45"/>
        <v>2.2892990288784163</v>
      </c>
      <c r="V207" s="33">
        <f t="shared" si="46"/>
        <v>-16.222577753951565</v>
      </c>
      <c r="W207" s="143">
        <f t="shared" si="47"/>
        <v>16.222577753951565</v>
      </c>
    </row>
    <row r="208" spans="1:23" x14ac:dyDescent="0.15">
      <c r="A208" s="70" t="s">
        <v>604</v>
      </c>
      <c r="B208" s="24" t="s">
        <v>515</v>
      </c>
      <c r="C208" s="70" t="s">
        <v>403</v>
      </c>
      <c r="D208" s="9" t="s">
        <v>96</v>
      </c>
      <c r="E208" s="24" t="s">
        <v>662</v>
      </c>
      <c r="F208" s="10" t="s">
        <v>293</v>
      </c>
      <c r="G208" s="10" t="s">
        <v>640</v>
      </c>
      <c r="H208" s="10" t="s">
        <v>580</v>
      </c>
      <c r="I208" s="64">
        <v>1985.9</v>
      </c>
      <c r="J208" s="34">
        <v>1892.9403350308869</v>
      </c>
      <c r="K208" s="56">
        <f t="shared" si="36"/>
        <v>-92.959664969113192</v>
      </c>
      <c r="L208" s="56">
        <f t="shared" si="37"/>
        <v>8641.4993111697695</v>
      </c>
      <c r="M208" s="56">
        <f t="shared" si="38"/>
        <v>92.959664969113192</v>
      </c>
      <c r="N208" s="56">
        <f t="shared" si="39"/>
        <v>1.9729414595495358</v>
      </c>
      <c r="O208" s="143">
        <f t="shared" si="40"/>
        <v>-4.6809841869738245</v>
      </c>
      <c r="P208" s="143">
        <f t="shared" si="41"/>
        <v>4.6809841869738245</v>
      </c>
      <c r="Q208" s="34">
        <v>1786.8</v>
      </c>
      <c r="R208" s="56">
        <f t="shared" si="42"/>
        <v>-199.10000000000014</v>
      </c>
      <c r="S208" s="56">
        <f t="shared" si="43"/>
        <v>39640.810000000056</v>
      </c>
      <c r="T208" s="56">
        <f t="shared" si="44"/>
        <v>199.10000000000014</v>
      </c>
      <c r="U208" s="56">
        <f t="shared" si="45"/>
        <v>2.3012470886362117</v>
      </c>
      <c r="V208" s="33">
        <f t="shared" si="46"/>
        <v>-10.025681051412464</v>
      </c>
      <c r="W208" s="143">
        <f t="shared" si="47"/>
        <v>10.025681051412464</v>
      </c>
    </row>
    <row r="209" spans="1:23" x14ac:dyDescent="0.15">
      <c r="A209" s="7" t="s">
        <v>244</v>
      </c>
      <c r="B209" s="24" t="s">
        <v>515</v>
      </c>
      <c r="C209" s="70" t="s">
        <v>403</v>
      </c>
      <c r="D209" s="9" t="s">
        <v>82</v>
      </c>
      <c r="E209" s="24" t="s">
        <v>662</v>
      </c>
      <c r="F209" s="10" t="s">
        <v>374</v>
      </c>
      <c r="G209" s="10" t="s">
        <v>634</v>
      </c>
      <c r="H209" s="10" t="s">
        <v>580</v>
      </c>
      <c r="I209" s="8">
        <v>1199.5</v>
      </c>
      <c r="J209" s="34">
        <v>1115.7795661753992</v>
      </c>
      <c r="K209" s="56">
        <f t="shared" si="36"/>
        <v>-83.720433824600832</v>
      </c>
      <c r="L209" s="56">
        <f t="shared" si="37"/>
        <v>7009.1110397793673</v>
      </c>
      <c r="M209" s="56">
        <f t="shared" si="38"/>
        <v>83.720433824600832</v>
      </c>
      <c r="N209" s="56">
        <f t="shared" si="39"/>
        <v>1.927988170979833</v>
      </c>
      <c r="O209" s="143">
        <f t="shared" si="40"/>
        <v>-6.9796109899625547</v>
      </c>
      <c r="P209" s="143">
        <f t="shared" si="41"/>
        <v>6.9796109899625547</v>
      </c>
      <c r="Q209" s="34">
        <v>1141.5</v>
      </c>
      <c r="R209" s="56">
        <f t="shared" si="42"/>
        <v>-58</v>
      </c>
      <c r="S209" s="56">
        <f t="shared" si="43"/>
        <v>3364</v>
      </c>
      <c r="T209" s="56">
        <f t="shared" si="44"/>
        <v>58</v>
      </c>
      <c r="U209" s="56">
        <f t="shared" si="45"/>
        <v>1.7708520116421442</v>
      </c>
      <c r="V209" s="33">
        <f t="shared" si="46"/>
        <v>-4.8353480616923719</v>
      </c>
      <c r="W209" s="143">
        <f t="shared" si="47"/>
        <v>4.8353480616923719</v>
      </c>
    </row>
    <row r="210" spans="1:23" x14ac:dyDescent="0.15">
      <c r="A210" s="16" t="s">
        <v>825</v>
      </c>
      <c r="B210" s="24" t="s">
        <v>515</v>
      </c>
      <c r="C210" s="16" t="s">
        <v>403</v>
      </c>
      <c r="D210" s="9" t="s">
        <v>82</v>
      </c>
      <c r="E210" s="24" t="s">
        <v>662</v>
      </c>
      <c r="F210" s="10" t="s">
        <v>494</v>
      </c>
      <c r="G210" s="10" t="s">
        <v>634</v>
      </c>
      <c r="H210" s="10" t="s">
        <v>580</v>
      </c>
      <c r="I210" s="17">
        <v>660.93000000000006</v>
      </c>
      <c r="J210" s="34">
        <v>695.36855328729212</v>
      </c>
      <c r="K210" s="56">
        <f t="shared" si="36"/>
        <v>34.438553287292052</v>
      </c>
      <c r="L210" s="56">
        <f t="shared" si="37"/>
        <v>1186.0139525216541</v>
      </c>
      <c r="M210" s="56">
        <f t="shared" si="38"/>
        <v>34.438553287292052</v>
      </c>
      <c r="N210" s="56">
        <f t="shared" si="39"/>
        <v>1.5494759843163011</v>
      </c>
      <c r="O210" s="143">
        <f t="shared" si="40"/>
        <v>5.2106203814764118</v>
      </c>
      <c r="P210" s="143">
        <f t="shared" si="41"/>
        <v>5.2106203814764118</v>
      </c>
      <c r="Q210" s="34">
        <v>745.49999999999989</v>
      </c>
      <c r="R210" s="56">
        <f t="shared" si="42"/>
        <v>84.569999999999823</v>
      </c>
      <c r="S210" s="56">
        <f t="shared" si="43"/>
        <v>7152.0848999999698</v>
      </c>
      <c r="T210" s="56">
        <f t="shared" si="44"/>
        <v>84.569999999999823</v>
      </c>
      <c r="U210" s="56">
        <f t="shared" si="45"/>
        <v>1.9323215319892924</v>
      </c>
      <c r="V210" s="33">
        <f t="shared" si="46"/>
        <v>12.795606191275901</v>
      </c>
      <c r="W210" s="143">
        <f t="shared" si="47"/>
        <v>12.795606191275901</v>
      </c>
    </row>
    <row r="211" spans="1:23" x14ac:dyDescent="0.15">
      <c r="A211" s="70" t="s">
        <v>605</v>
      </c>
      <c r="B211" s="24" t="s">
        <v>515</v>
      </c>
      <c r="C211" s="70" t="s">
        <v>403</v>
      </c>
      <c r="D211" s="9" t="s">
        <v>82</v>
      </c>
      <c r="E211" s="24" t="s">
        <v>662</v>
      </c>
      <c r="F211" s="22" t="s">
        <v>374</v>
      </c>
      <c r="G211" s="10" t="s">
        <v>634</v>
      </c>
      <c r="H211" s="10" t="s">
        <v>580</v>
      </c>
      <c r="I211" s="64">
        <v>1348</v>
      </c>
      <c r="J211" s="34">
        <v>1507.7232836806754</v>
      </c>
      <c r="K211" s="56">
        <f t="shared" si="36"/>
        <v>159.72328368067542</v>
      </c>
      <c r="L211" s="56">
        <f t="shared" si="37"/>
        <v>25511.527349737516</v>
      </c>
      <c r="M211" s="56">
        <f t="shared" si="38"/>
        <v>159.72328368067542</v>
      </c>
      <c r="N211" s="56">
        <f t="shared" si="39"/>
        <v>2.2060787967480926</v>
      </c>
      <c r="O211" s="143">
        <f t="shared" si="40"/>
        <v>11.848908284916574</v>
      </c>
      <c r="P211" s="143">
        <f t="shared" si="41"/>
        <v>11.848908284916574</v>
      </c>
      <c r="Q211" s="34">
        <v>1465.5</v>
      </c>
      <c r="R211" s="56">
        <f t="shared" si="42"/>
        <v>117.5</v>
      </c>
      <c r="S211" s="56">
        <f t="shared" si="43"/>
        <v>13806.25</v>
      </c>
      <c r="T211" s="56">
        <f t="shared" si="44"/>
        <v>117.5</v>
      </c>
      <c r="U211" s="56">
        <f t="shared" si="45"/>
        <v>2.0737183503461227</v>
      </c>
      <c r="V211" s="33">
        <f t="shared" si="46"/>
        <v>8.7166172106824931</v>
      </c>
      <c r="W211" s="143">
        <f t="shared" si="47"/>
        <v>8.7166172106824931</v>
      </c>
    </row>
    <row r="212" spans="1:23" x14ac:dyDescent="0.15">
      <c r="A212" s="70" t="s">
        <v>615</v>
      </c>
      <c r="B212" s="24" t="s">
        <v>515</v>
      </c>
      <c r="C212" s="8" t="s">
        <v>403</v>
      </c>
      <c r="D212" s="9" t="s">
        <v>148</v>
      </c>
      <c r="E212" s="24" t="s">
        <v>662</v>
      </c>
      <c r="F212" s="10" t="s">
        <v>374</v>
      </c>
      <c r="G212" s="10" t="s">
        <v>634</v>
      </c>
      <c r="H212" s="10" t="s">
        <v>580</v>
      </c>
      <c r="I212" s="64">
        <v>1168</v>
      </c>
      <c r="J212" s="34">
        <v>1241.1458559890302</v>
      </c>
      <c r="K212" s="56">
        <f t="shared" si="36"/>
        <v>73.145855989030224</v>
      </c>
      <c r="L212" s="56">
        <f t="shared" si="37"/>
        <v>5350.3162483679489</v>
      </c>
      <c r="M212" s="56">
        <f t="shared" si="38"/>
        <v>73.145855989030224</v>
      </c>
      <c r="N212" s="56">
        <f t="shared" si="39"/>
        <v>1.8700868833294799</v>
      </c>
      <c r="O212" s="143">
        <f t="shared" si="40"/>
        <v>6.2624876702936838</v>
      </c>
      <c r="P212" s="143">
        <f t="shared" si="41"/>
        <v>6.2624876702936838</v>
      </c>
      <c r="Q212" s="34">
        <v>1233.8499999999999</v>
      </c>
      <c r="R212" s="56">
        <f t="shared" si="42"/>
        <v>65.849999999999909</v>
      </c>
      <c r="S212" s="56">
        <f t="shared" si="43"/>
        <v>4336.222499999988</v>
      </c>
      <c r="T212" s="56">
        <f t="shared" si="44"/>
        <v>65.849999999999909</v>
      </c>
      <c r="U212" s="56">
        <f t="shared" si="45"/>
        <v>1.8251014115980027</v>
      </c>
      <c r="V212" s="33">
        <f t="shared" si="46"/>
        <v>5.6378424657534172</v>
      </c>
      <c r="W212" s="143">
        <f t="shared" si="47"/>
        <v>5.6378424657534172</v>
      </c>
    </row>
    <row r="213" spans="1:23" x14ac:dyDescent="0.15">
      <c r="A213" s="70" t="s">
        <v>607</v>
      </c>
      <c r="B213" s="24" t="s">
        <v>515</v>
      </c>
      <c r="C213" s="8" t="s">
        <v>403</v>
      </c>
      <c r="D213" s="9" t="s">
        <v>148</v>
      </c>
      <c r="E213" s="24" t="s">
        <v>662</v>
      </c>
      <c r="F213" s="22" t="s">
        <v>374</v>
      </c>
      <c r="G213" s="10" t="s">
        <v>634</v>
      </c>
      <c r="H213" s="10" t="s">
        <v>580</v>
      </c>
      <c r="I213" s="64">
        <v>1439.3</v>
      </c>
      <c r="J213" s="34">
        <v>1439.0554163431921</v>
      </c>
      <c r="K213" s="56">
        <f t="shared" si="36"/>
        <v>-0.24458365680789029</v>
      </c>
      <c r="L213" s="56">
        <f t="shared" si="37"/>
        <v>5.9821165177519862E-2</v>
      </c>
      <c r="M213" s="56">
        <f t="shared" si="38"/>
        <v>0.24458365680789029</v>
      </c>
      <c r="N213" s="56">
        <f t="shared" si="39"/>
        <v>9.5024093768207737E-2</v>
      </c>
      <c r="O213" s="143">
        <f t="shared" si="40"/>
        <v>-1.6993236768421474E-2</v>
      </c>
      <c r="P213" s="143">
        <f t="shared" si="41"/>
        <v>1.6993236768421474E-2</v>
      </c>
      <c r="Q213" s="34">
        <v>1408.4999999999998</v>
      </c>
      <c r="R213" s="56">
        <f t="shared" si="42"/>
        <v>-30.800000000000182</v>
      </c>
      <c r="S213" s="56">
        <f t="shared" si="43"/>
        <v>948.64000000001124</v>
      </c>
      <c r="T213" s="56">
        <f t="shared" si="44"/>
        <v>30.800000000000182</v>
      </c>
      <c r="U213" s="56">
        <f t="shared" si="45"/>
        <v>1.5024271199844352</v>
      </c>
      <c r="V213" s="33">
        <f t="shared" si="46"/>
        <v>-2.1399291322170626</v>
      </c>
      <c r="W213" s="143">
        <f t="shared" si="47"/>
        <v>2.1399291322170626</v>
      </c>
    </row>
    <row r="214" spans="1:23" x14ac:dyDescent="0.15">
      <c r="A214" s="70" t="s">
        <v>606</v>
      </c>
      <c r="B214" s="24" t="s">
        <v>515</v>
      </c>
      <c r="C214" s="8" t="s">
        <v>403</v>
      </c>
      <c r="D214" s="9" t="s">
        <v>148</v>
      </c>
      <c r="E214" s="24" t="s">
        <v>662</v>
      </c>
      <c r="F214" s="10" t="s">
        <v>374</v>
      </c>
      <c r="G214" s="10" t="s">
        <v>634</v>
      </c>
      <c r="H214" s="10" t="s">
        <v>580</v>
      </c>
      <c r="I214" s="64">
        <v>1196.7</v>
      </c>
      <c r="J214" s="34">
        <v>1262.5061319827278</v>
      </c>
      <c r="K214" s="56">
        <f t="shared" si="36"/>
        <v>65.80613198272772</v>
      </c>
      <c r="L214" s="56">
        <f t="shared" si="37"/>
        <v>4330.4470065281803</v>
      </c>
      <c r="M214" s="56">
        <f t="shared" si="38"/>
        <v>65.80613198272772</v>
      </c>
      <c r="N214" s="56">
        <f t="shared" si="39"/>
        <v>1.8248163272066642</v>
      </c>
      <c r="O214" s="143">
        <f t="shared" si="40"/>
        <v>5.4989664897407637</v>
      </c>
      <c r="P214" s="143">
        <f t="shared" si="41"/>
        <v>5.4989664897407637</v>
      </c>
      <c r="Q214" s="34">
        <v>1288</v>
      </c>
      <c r="R214" s="56">
        <f t="shared" si="42"/>
        <v>91.299999999999955</v>
      </c>
      <c r="S214" s="56">
        <f t="shared" si="43"/>
        <v>8335.6899999999914</v>
      </c>
      <c r="T214" s="56">
        <f t="shared" si="44"/>
        <v>91.299999999999955</v>
      </c>
      <c r="U214" s="56">
        <f t="shared" si="45"/>
        <v>1.9652017010259117</v>
      </c>
      <c r="V214" s="33">
        <f t="shared" si="46"/>
        <v>7.6293139466867181</v>
      </c>
      <c r="W214" s="143">
        <f t="shared" si="47"/>
        <v>7.6293139466867181</v>
      </c>
    </row>
    <row r="215" spans="1:23" x14ac:dyDescent="0.15">
      <c r="A215" s="70" t="s">
        <v>666</v>
      </c>
      <c r="B215" s="24" t="s">
        <v>515</v>
      </c>
      <c r="C215" s="64" t="s">
        <v>403</v>
      </c>
      <c r="D215" s="9" t="s">
        <v>82</v>
      </c>
      <c r="E215" s="24" t="s">
        <v>662</v>
      </c>
      <c r="F215" s="10" t="s">
        <v>374</v>
      </c>
      <c r="G215" s="10" t="s">
        <v>634</v>
      </c>
      <c r="H215" s="10" t="s">
        <v>580</v>
      </c>
      <c r="I215" s="64">
        <v>1207.3</v>
      </c>
      <c r="J215" s="34">
        <v>1153.7548714184543</v>
      </c>
      <c r="K215" s="56">
        <f t="shared" si="36"/>
        <v>-53.545128581545669</v>
      </c>
      <c r="L215" s="56">
        <f t="shared" si="37"/>
        <v>2867.0807948142588</v>
      </c>
      <c r="M215" s="56">
        <f t="shared" si="38"/>
        <v>53.545128581545669</v>
      </c>
      <c r="N215" s="56">
        <f t="shared" si="39"/>
        <v>1.7367559698716701</v>
      </c>
      <c r="O215" s="143">
        <f t="shared" si="40"/>
        <v>-4.4351137730096637</v>
      </c>
      <c r="P215" s="143">
        <f t="shared" si="41"/>
        <v>4.4351137730096637</v>
      </c>
      <c r="Q215" s="34">
        <v>1146.7</v>
      </c>
      <c r="R215" s="56">
        <f t="shared" si="42"/>
        <v>-60.599999999999909</v>
      </c>
      <c r="S215" s="56">
        <f t="shared" si="43"/>
        <v>3672.3599999999888</v>
      </c>
      <c r="T215" s="56">
        <f t="shared" si="44"/>
        <v>60.599999999999909</v>
      </c>
      <c r="U215" s="56">
        <f t="shared" si="45"/>
        <v>1.7895807121644247</v>
      </c>
      <c r="V215" s="33">
        <f t="shared" si="46"/>
        <v>-5.0194649217261587</v>
      </c>
      <c r="W215" s="143">
        <f t="shared" si="47"/>
        <v>5.0194649217261587</v>
      </c>
    </row>
    <row r="216" spans="1:23" x14ac:dyDescent="0.15">
      <c r="A216" s="70" t="s">
        <v>616</v>
      </c>
      <c r="B216" s="24" t="s">
        <v>515</v>
      </c>
      <c r="C216" s="8" t="s">
        <v>403</v>
      </c>
      <c r="D216" s="9" t="s">
        <v>82</v>
      </c>
      <c r="E216" s="24" t="s">
        <v>662</v>
      </c>
      <c r="F216" s="10" t="s">
        <v>293</v>
      </c>
      <c r="G216" s="10" t="s">
        <v>640</v>
      </c>
      <c r="H216" s="10" t="s">
        <v>580</v>
      </c>
      <c r="I216" s="64">
        <v>2298</v>
      </c>
      <c r="J216" s="34">
        <v>1988.047557906825</v>
      </c>
      <c r="K216" s="56">
        <f t="shared" si="36"/>
        <v>-309.95244209317502</v>
      </c>
      <c r="L216" s="56">
        <f t="shared" si="37"/>
        <v>96070.516359523011</v>
      </c>
      <c r="M216" s="56">
        <f t="shared" si="38"/>
        <v>309.95244209317502</v>
      </c>
      <c r="N216" s="56">
        <f t="shared" si="39"/>
        <v>2.4926939719339947</v>
      </c>
      <c r="O216" s="143">
        <f t="shared" si="40"/>
        <v>-13.487921762105092</v>
      </c>
      <c r="P216" s="143">
        <f t="shared" si="41"/>
        <v>13.487921762105092</v>
      </c>
      <c r="Q216" s="34">
        <v>1848.4999999999998</v>
      </c>
      <c r="R216" s="56">
        <f t="shared" si="42"/>
        <v>-449.50000000000023</v>
      </c>
      <c r="S216" s="56">
        <f t="shared" si="43"/>
        <v>202050.2500000002</v>
      </c>
      <c r="T216" s="56">
        <f t="shared" si="44"/>
        <v>449.50000000000023</v>
      </c>
      <c r="U216" s="56">
        <f t="shared" si="45"/>
        <v>2.653694795315082</v>
      </c>
      <c r="V216" s="33">
        <f t="shared" si="46"/>
        <v>-19.560487380330731</v>
      </c>
      <c r="W216" s="143">
        <f t="shared" si="47"/>
        <v>19.560487380330731</v>
      </c>
    </row>
    <row r="217" spans="1:23" x14ac:dyDescent="0.15">
      <c r="A217" s="70" t="s">
        <v>617</v>
      </c>
      <c r="B217" s="24" t="s">
        <v>515</v>
      </c>
      <c r="C217" s="8" t="s">
        <v>403</v>
      </c>
      <c r="D217" s="9" t="s">
        <v>82</v>
      </c>
      <c r="E217" s="24" t="s">
        <v>662</v>
      </c>
      <c r="F217" s="10" t="s">
        <v>293</v>
      </c>
      <c r="G217" s="10" t="s">
        <v>640</v>
      </c>
      <c r="H217" s="10" t="s">
        <v>580</v>
      </c>
      <c r="I217" s="64">
        <v>2030</v>
      </c>
      <c r="J217" s="34">
        <v>1940.4469803376135</v>
      </c>
      <c r="K217" s="56">
        <f t="shared" si="36"/>
        <v>-89.553019662386532</v>
      </c>
      <c r="L217" s="56">
        <f t="shared" si="37"/>
        <v>8019.7433306517887</v>
      </c>
      <c r="M217" s="56">
        <f t="shared" si="38"/>
        <v>89.553019662386532</v>
      </c>
      <c r="N217" s="56">
        <f t="shared" si="39"/>
        <v>1.9569029372657094</v>
      </c>
      <c r="O217" s="143">
        <f t="shared" si="40"/>
        <v>-4.4114788011027857</v>
      </c>
      <c r="P217" s="143">
        <f t="shared" si="41"/>
        <v>4.4114788011027857</v>
      </c>
      <c r="Q217" s="34">
        <v>1820</v>
      </c>
      <c r="R217" s="56">
        <f t="shared" si="42"/>
        <v>-210</v>
      </c>
      <c r="S217" s="56">
        <f t="shared" si="43"/>
        <v>44100</v>
      </c>
      <c r="T217" s="56">
        <f t="shared" si="44"/>
        <v>210</v>
      </c>
      <c r="U217" s="56">
        <f t="shared" si="45"/>
        <v>2.3242824552976926</v>
      </c>
      <c r="V217" s="33">
        <f t="shared" si="46"/>
        <v>-10.344827586206897</v>
      </c>
      <c r="W217" s="143">
        <f t="shared" si="47"/>
        <v>10.344827586206897</v>
      </c>
    </row>
    <row r="218" spans="1:23" x14ac:dyDescent="0.15">
      <c r="A218" s="16"/>
      <c r="B218" s="24"/>
      <c r="C218" s="70"/>
      <c r="D218" s="9"/>
      <c r="E218" s="24"/>
      <c r="F218" s="10"/>
      <c r="G218" s="10"/>
      <c r="H218" s="10"/>
      <c r="I218" s="17"/>
      <c r="J218" s="82"/>
      <c r="K218" s="56"/>
      <c r="L218" s="56"/>
      <c r="M218" s="56"/>
      <c r="N218" s="56"/>
      <c r="O218" s="143"/>
      <c r="P218" s="143"/>
      <c r="Q218" s="83"/>
      <c r="R218" s="56"/>
      <c r="S218" s="56"/>
      <c r="T218" s="56"/>
      <c r="U218" s="56"/>
      <c r="V218" s="33"/>
      <c r="W218" s="143"/>
    </row>
    <row r="219" spans="1:23" x14ac:dyDescent="0.15">
      <c r="A219" s="16"/>
      <c r="B219" s="24"/>
      <c r="C219" s="70"/>
      <c r="D219" s="9"/>
      <c r="E219" s="24"/>
      <c r="F219" s="10"/>
      <c r="G219" s="10"/>
      <c r="H219" s="10"/>
      <c r="I219" s="17"/>
      <c r="J219" s="82"/>
      <c r="K219" s="56"/>
      <c r="L219" s="56"/>
      <c r="M219" s="56"/>
      <c r="N219" s="56"/>
      <c r="O219" s="143"/>
      <c r="P219" s="143"/>
      <c r="Q219" s="83"/>
      <c r="R219" s="56"/>
      <c r="S219" s="56"/>
      <c r="T219" s="56"/>
      <c r="U219" s="56"/>
      <c r="V219" s="33"/>
      <c r="W219" s="143"/>
    </row>
    <row r="220" spans="1:23" x14ac:dyDescent="0.15">
      <c r="A220" s="16"/>
      <c r="B220" s="24"/>
      <c r="C220" s="70"/>
      <c r="D220" s="9"/>
      <c r="E220" s="24"/>
      <c r="F220" s="10"/>
      <c r="G220" s="10"/>
      <c r="H220" s="10"/>
      <c r="I220" s="17"/>
      <c r="J220" s="83"/>
      <c r="K220" s="56"/>
      <c r="L220" s="56"/>
      <c r="M220" s="56"/>
      <c r="N220" s="56"/>
      <c r="O220" s="143"/>
      <c r="P220" s="143"/>
      <c r="Q220" s="83"/>
      <c r="R220" s="56"/>
      <c r="S220" s="56"/>
      <c r="T220" s="56"/>
      <c r="U220" s="56"/>
      <c r="V220" s="33"/>
      <c r="W220" s="143"/>
    </row>
    <row r="221" spans="1:23" x14ac:dyDescent="0.15">
      <c r="A221" s="16"/>
      <c r="B221" s="24"/>
      <c r="C221" s="70"/>
      <c r="D221" s="9"/>
      <c r="E221" s="24"/>
      <c r="F221" s="10"/>
      <c r="G221" s="10"/>
      <c r="H221" s="10"/>
      <c r="I221" s="17"/>
      <c r="K221" s="56"/>
      <c r="L221" s="56"/>
      <c r="M221" s="56"/>
      <c r="N221" s="56"/>
      <c r="O221" s="143"/>
      <c r="P221" s="143"/>
      <c r="Q221" s="40"/>
      <c r="R221" s="56"/>
      <c r="S221" s="56"/>
      <c r="T221" s="56"/>
      <c r="U221" s="56"/>
      <c r="V221" s="33"/>
      <c r="W221" s="143"/>
    </row>
    <row r="222" spans="1:23" x14ac:dyDescent="0.15">
      <c r="A222" s="16"/>
      <c r="B222" s="24"/>
      <c r="C222" s="70"/>
      <c r="D222" s="9"/>
      <c r="E222" s="24"/>
      <c r="F222" s="10"/>
      <c r="G222" s="10"/>
      <c r="H222" s="10"/>
      <c r="I222" s="17"/>
      <c r="K222" s="56"/>
      <c r="L222" s="56"/>
      <c r="M222" s="56"/>
      <c r="N222" s="56"/>
      <c r="O222" s="143"/>
      <c r="P222" s="143"/>
      <c r="Q222" s="34"/>
      <c r="R222" s="56"/>
      <c r="S222" s="56"/>
      <c r="T222" s="56"/>
      <c r="U222" s="56"/>
      <c r="V222" s="33"/>
      <c r="W222" s="143"/>
    </row>
    <row r="223" spans="1:23" x14ac:dyDescent="0.15">
      <c r="A223" s="16"/>
      <c r="B223" s="24"/>
      <c r="C223" s="70"/>
      <c r="D223" s="9"/>
      <c r="E223" s="24"/>
      <c r="F223" s="10"/>
      <c r="G223" s="10"/>
      <c r="H223" s="10"/>
      <c r="I223" s="17"/>
      <c r="K223" s="56"/>
      <c r="L223" s="56"/>
      <c r="M223" s="56"/>
      <c r="N223" s="56"/>
      <c r="O223" s="143"/>
      <c r="P223" s="143"/>
      <c r="Q223" s="34"/>
      <c r="R223" s="56"/>
      <c r="S223" s="56"/>
      <c r="T223" s="56"/>
      <c r="U223" s="56"/>
      <c r="V223" s="33"/>
      <c r="W223" s="143"/>
    </row>
  </sheetData>
  <sortState xmlns:xlrd2="http://schemas.microsoft.com/office/spreadsheetml/2017/richdata2" ref="A2:W223">
    <sortCondition ref="B1:B22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64F0-3C01-B847-9522-67583EB58DA9}">
  <dimension ref="A1:BY149"/>
  <sheetViews>
    <sheetView workbookViewId="0">
      <pane xSplit="2" topLeftCell="D1" activePane="topRight" state="frozen"/>
      <selection pane="topRight" activeCell="X2" sqref="X2"/>
    </sheetView>
  </sheetViews>
  <sheetFormatPr baseColWidth="10" defaultRowHeight="13" x14ac:dyDescent="0.15"/>
  <cols>
    <col min="2" max="2" width="11.83203125" bestFit="1" customWidth="1"/>
    <col min="13" max="13" width="7" customWidth="1"/>
    <col min="14" max="26" width="10.83203125" customWidth="1"/>
    <col min="30" max="32" width="10.83203125" customWidth="1"/>
    <col min="36" max="38" width="10.83203125" customWidth="1"/>
    <col min="42" max="44" width="10.83203125" customWidth="1"/>
    <col min="48" max="50" width="10.83203125" customWidth="1"/>
    <col min="54" max="56" width="10.83203125" customWidth="1"/>
    <col min="60" max="62" width="10.83203125" customWidth="1"/>
    <col min="66" max="68" width="10.83203125" customWidth="1"/>
    <col min="72" max="77" width="10.83203125" customWidth="1"/>
  </cols>
  <sheetData>
    <row r="1" spans="1:77" ht="14" x14ac:dyDescent="0.15">
      <c r="A1" s="54" t="s">
        <v>0</v>
      </c>
      <c r="B1" s="57" t="s">
        <v>402</v>
      </c>
      <c r="C1" s="54" t="s">
        <v>400</v>
      </c>
      <c r="D1" s="55" t="s">
        <v>81</v>
      </c>
      <c r="E1" s="55" t="s">
        <v>442</v>
      </c>
      <c r="F1" s="55" t="s">
        <v>583</v>
      </c>
      <c r="G1" s="55" t="s">
        <v>502</v>
      </c>
      <c r="H1" s="55" t="s">
        <v>503</v>
      </c>
      <c r="I1" s="55" t="s">
        <v>510</v>
      </c>
      <c r="J1" s="55" t="s">
        <v>28</v>
      </c>
      <c r="K1" s="55" t="s">
        <v>6</v>
      </c>
      <c r="L1" s="55" t="s">
        <v>5</v>
      </c>
      <c r="M1" t="s">
        <v>487</v>
      </c>
      <c r="N1" s="52" t="s">
        <v>545</v>
      </c>
      <c r="O1" s="52" t="s">
        <v>546</v>
      </c>
      <c r="P1" s="52" t="s">
        <v>547</v>
      </c>
      <c r="Q1" s="52" t="s">
        <v>567</v>
      </c>
      <c r="R1" s="52" t="s">
        <v>568</v>
      </c>
      <c r="S1" s="52" t="s">
        <v>569</v>
      </c>
      <c r="T1" s="52" t="s">
        <v>554</v>
      </c>
      <c r="U1" s="52" t="s">
        <v>549</v>
      </c>
      <c r="V1" s="52" t="s">
        <v>561</v>
      </c>
      <c r="W1" s="52" t="s">
        <v>559</v>
      </c>
      <c r="X1" s="53" t="s">
        <v>570</v>
      </c>
      <c r="Y1" s="53" t="s">
        <v>495</v>
      </c>
      <c r="Z1" s="53" t="s">
        <v>650</v>
      </c>
      <c r="AA1" s="105" t="s">
        <v>686</v>
      </c>
      <c r="AB1" s="105" t="s">
        <v>687</v>
      </c>
      <c r="AC1" s="105" t="s">
        <v>679</v>
      </c>
      <c r="AD1" s="53" t="s">
        <v>578</v>
      </c>
      <c r="AE1" s="53" t="s">
        <v>496</v>
      </c>
      <c r="AF1" s="53" t="s">
        <v>651</v>
      </c>
      <c r="AG1" s="105" t="s">
        <v>688</v>
      </c>
      <c r="AH1" s="105" t="s">
        <v>689</v>
      </c>
      <c r="AI1" s="105" t="s">
        <v>680</v>
      </c>
      <c r="AJ1" s="53" t="s">
        <v>579</v>
      </c>
      <c r="AK1" s="53" t="s">
        <v>498</v>
      </c>
      <c r="AL1" s="53" t="s">
        <v>652</v>
      </c>
      <c r="AM1" s="105" t="s">
        <v>690</v>
      </c>
      <c r="AN1" s="105" t="s">
        <v>691</v>
      </c>
      <c r="AO1" s="105" t="s">
        <v>696</v>
      </c>
      <c r="AP1" s="53" t="s">
        <v>571</v>
      </c>
      <c r="AQ1" s="53" t="s">
        <v>530</v>
      </c>
      <c r="AR1" s="53" t="s">
        <v>657</v>
      </c>
      <c r="AS1" s="105" t="s">
        <v>705</v>
      </c>
      <c r="AT1" s="105" t="s">
        <v>706</v>
      </c>
      <c r="AU1" s="105" t="s">
        <v>707</v>
      </c>
      <c r="AV1" s="53" t="s">
        <v>573</v>
      </c>
      <c r="AW1" s="53" t="s">
        <v>532</v>
      </c>
      <c r="AX1" s="53" t="s">
        <v>658</v>
      </c>
      <c r="AY1" s="105" t="s">
        <v>708</v>
      </c>
      <c r="AZ1" s="105" t="s">
        <v>709</v>
      </c>
      <c r="BA1" s="105" t="s">
        <v>710</v>
      </c>
      <c r="BB1" s="53" t="s">
        <v>574</v>
      </c>
      <c r="BC1" s="53" t="s">
        <v>533</v>
      </c>
      <c r="BD1" s="53" t="s">
        <v>659</v>
      </c>
      <c r="BE1" s="105" t="s">
        <v>711</v>
      </c>
      <c r="BF1" s="105" t="s">
        <v>712</v>
      </c>
      <c r="BG1" s="105" t="s">
        <v>713</v>
      </c>
      <c r="BH1" s="53" t="s">
        <v>572</v>
      </c>
      <c r="BI1" s="53" t="s">
        <v>531</v>
      </c>
      <c r="BJ1" s="53" t="s">
        <v>656</v>
      </c>
      <c r="BK1" s="105" t="s">
        <v>702</v>
      </c>
      <c r="BL1" s="105" t="s">
        <v>703</v>
      </c>
      <c r="BM1" s="105" t="s">
        <v>704</v>
      </c>
      <c r="BN1" s="53" t="s">
        <v>575</v>
      </c>
      <c r="BO1" s="53" t="s">
        <v>499</v>
      </c>
      <c r="BP1" s="53" t="s">
        <v>654</v>
      </c>
      <c r="BQ1" s="105" t="s">
        <v>697</v>
      </c>
      <c r="BR1" s="105" t="s">
        <v>698</v>
      </c>
      <c r="BS1" s="105" t="s">
        <v>681</v>
      </c>
      <c r="BT1" s="53" t="s">
        <v>576</v>
      </c>
      <c r="BU1" s="53" t="s">
        <v>500</v>
      </c>
      <c r="BV1" s="53" t="s">
        <v>534</v>
      </c>
      <c r="BW1" s="53" t="s">
        <v>577</v>
      </c>
      <c r="BX1" s="53" t="s">
        <v>535</v>
      </c>
      <c r="BY1" s="53" t="s">
        <v>536</v>
      </c>
    </row>
    <row r="2" spans="1:77" ht="15" x14ac:dyDescent="0.2">
      <c r="A2" s="206" t="s">
        <v>465</v>
      </c>
      <c r="B2" s="28" t="s">
        <v>421</v>
      </c>
      <c r="C2" s="28" t="s">
        <v>458</v>
      </c>
      <c r="D2" s="35" t="s">
        <v>82</v>
      </c>
      <c r="E2" s="35" t="s">
        <v>494</v>
      </c>
      <c r="F2" s="35" t="s">
        <v>580</v>
      </c>
      <c r="G2" s="141">
        <v>825</v>
      </c>
      <c r="H2" s="141">
        <v>825</v>
      </c>
      <c r="I2" s="35" t="s">
        <v>626</v>
      </c>
      <c r="J2" s="141">
        <v>205</v>
      </c>
      <c r="K2" s="73">
        <v>193</v>
      </c>
      <c r="L2" s="207">
        <v>255</v>
      </c>
      <c r="M2" s="35" t="s">
        <v>37</v>
      </c>
      <c r="N2" s="33">
        <f t="shared" ref="N2:N33" si="0">4.0034*J2+121.49</f>
        <v>942.18700000000001</v>
      </c>
      <c r="O2" s="33">
        <f t="shared" ref="O2:O33" si="1">5.589*J2-390.37</f>
        <v>755.37500000000011</v>
      </c>
      <c r="P2" s="33">
        <f t="shared" ref="P2:P33" si="2">1.4769*(J2^1.1975)</f>
        <v>866.31600726875115</v>
      </c>
      <c r="Q2" s="33">
        <f t="shared" ref="Q2:Q33" si="3">J2*4.7847-180.708</f>
        <v>800.15550000000007</v>
      </c>
      <c r="R2" s="33">
        <f t="shared" ref="R2:R33" si="4">(1.1655*J2)^1.21065</f>
        <v>757.26502863908706</v>
      </c>
      <c r="S2" s="33">
        <f t="shared" ref="S2:S33" si="5">(2.21386*J2)^1.097</f>
        <v>821.53052339634894</v>
      </c>
      <c r="T2" s="33">
        <f t="shared" ref="T2:T33" si="6">(1.699*J2)^1.143</f>
        <v>804.35116511253204</v>
      </c>
      <c r="U2" s="33">
        <f t="shared" ref="U2:U33" si="7">J2/0.24</f>
        <v>854.16666666666674</v>
      </c>
      <c r="V2" s="33">
        <f t="shared" ref="V2:V33" si="8">4.3851*J2-83.41</f>
        <v>815.53550000000007</v>
      </c>
      <c r="W2" s="33">
        <f t="shared" ref="W2:W33" si="9">3.1996*J2^1.0426</f>
        <v>822.86817053958555</v>
      </c>
      <c r="X2" s="34">
        <f t="shared" ref="X2:X33" si="10">4.1598*K2 + 121.49</f>
        <v>924.33139999999992</v>
      </c>
      <c r="Y2" s="34">
        <f t="shared" ref="Y2:Y33" si="11">X2-G2</f>
        <v>99.331399999999917</v>
      </c>
      <c r="Z2" s="34">
        <f t="shared" ref="Z2:Z33" si="12">ABS(Y2)</f>
        <v>99.331399999999917</v>
      </c>
      <c r="AA2" s="113">
        <f t="shared" ref="AA2:AA33" si="13">Y2/G2*100</f>
        <v>12.040169696969686</v>
      </c>
      <c r="AB2" s="113">
        <f t="shared" ref="AB2:AB33" si="14">ABS(AA2)</f>
        <v>12.040169696969686</v>
      </c>
      <c r="AC2" s="113">
        <f t="shared" ref="AC2:AC33" si="15">LOG10(Z2+1)</f>
        <v>2.0014368723284535</v>
      </c>
      <c r="AD2" s="34">
        <f t="shared" ref="AD2:AD33" si="16">5.4599*K2-289.37</f>
        <v>764.39070000000004</v>
      </c>
      <c r="AE2" s="34">
        <f t="shared" ref="AE2:AE33" si="17">AD2-G2</f>
        <v>-60.609299999999962</v>
      </c>
      <c r="AF2" s="34">
        <f t="shared" ref="AF2:AF33" si="18">ABS(AE2)</f>
        <v>60.609299999999962</v>
      </c>
      <c r="AG2" s="113">
        <f t="shared" ref="AG2:AG33" si="19">AE2/G2*100</f>
        <v>-7.3465818181818134</v>
      </c>
      <c r="AH2" s="113">
        <f t="shared" ref="AH2:AH33" si="20">ABS(AG2)</f>
        <v>7.3465818181818134</v>
      </c>
      <c r="AI2" s="113">
        <f t="shared" ref="AI2:AI33" si="21">LOG10(AF2+1)</f>
        <v>1.7896462744018435</v>
      </c>
      <c r="AJ2" s="34">
        <f t="shared" ref="AJ2:AJ33" si="22">0.9913*K2^1.2526</f>
        <v>722.92657767046785</v>
      </c>
      <c r="AK2" s="34">
        <f t="shared" ref="AK2:AK33" si="23">AJ2-G2</f>
        <v>-102.07342232953215</v>
      </c>
      <c r="AL2" s="34">
        <f t="shared" ref="AL2:AL33" si="24">ABS(AK2)</f>
        <v>102.07342232953215</v>
      </c>
      <c r="AM2" s="113">
        <f t="shared" ref="AM2:AM33" si="25">AK2/G2*100</f>
        <v>-12.372536039943292</v>
      </c>
      <c r="AN2" s="113">
        <f t="shared" ref="AN2:AN33" si="26">ABS(AM2)</f>
        <v>12.372536039943292</v>
      </c>
      <c r="AO2" s="113">
        <f t="shared" ref="AO2:AO33" si="27">LOG10(AL2+1)</f>
        <v>2.0131466960921478</v>
      </c>
      <c r="AP2" s="34">
        <f t="shared" ref="AP2:AP33" si="28">5.2579*K2-180.708</f>
        <v>834.06670000000008</v>
      </c>
      <c r="AQ2" s="34">
        <f t="shared" ref="AQ2:AQ33" si="29">AP2-G2</f>
        <v>9.0667000000000826</v>
      </c>
      <c r="AR2" s="34">
        <f t="shared" ref="AR2:AR33" si="30">ABS(AQ2)</f>
        <v>9.0667000000000826</v>
      </c>
      <c r="AS2" s="113">
        <f t="shared" ref="AS2:AS33" si="31">AQ2/G2*100</f>
        <v>1.0989939393939494</v>
      </c>
      <c r="AT2" s="113">
        <f t="shared" ref="AT2:AT33" si="32">ABS(AS2)</f>
        <v>1.0989939393939494</v>
      </c>
      <c r="AU2" s="113">
        <f t="shared" ref="AU2:AU33" si="33">LOG10(AR2+1)</f>
        <v>1.0028871262963093</v>
      </c>
      <c r="AV2" s="34">
        <f t="shared" ref="AV2:AV33" si="34">(1.2268*K2)^1.211</f>
        <v>750.43820058496487</v>
      </c>
      <c r="AW2" s="34">
        <f t="shared" ref="AW2:AW33" si="35">AV2-G2</f>
        <v>-74.561799415035125</v>
      </c>
      <c r="AX2" s="34">
        <f t="shared" ref="AX2:AX33" si="36">ABS(AW2)</f>
        <v>74.561799415035125</v>
      </c>
      <c r="AY2" s="113">
        <f t="shared" ref="AY2:AY33" si="37">AW2/G2*100</f>
        <v>-9.037793868489107</v>
      </c>
      <c r="AZ2" s="113">
        <f t="shared" ref="AZ2:AZ33" si="38">ABS(AY2)</f>
        <v>9.037793868489107</v>
      </c>
      <c r="BA2" s="113">
        <f t="shared" ref="BA2:BA33" si="39">LOG10(AX2+1)</f>
        <v>1.8783022915832446</v>
      </c>
      <c r="BB2" s="34">
        <f t="shared" ref="BB2:BB33" si="40">(2.3304*K2)^1.097</f>
        <v>813.44387866770978</v>
      </c>
      <c r="BC2" s="34">
        <f t="shared" ref="BC2:BC33" si="41">BB2-G2</f>
        <v>-11.556121332290218</v>
      </c>
      <c r="BD2" s="34">
        <f t="shared" ref="BD2:BD33" si="42">ABS(BC2)</f>
        <v>11.556121332290218</v>
      </c>
      <c r="BE2" s="113">
        <f t="shared" ref="BE2:BE33" si="43">BC2/G2*100</f>
        <v>-1.4007419796715417</v>
      </c>
      <c r="BF2" s="113">
        <f t="shared" ref="BF2:BF33" si="44">ABS(BE2)</f>
        <v>1.4007419796715417</v>
      </c>
      <c r="BG2" s="113">
        <f t="shared" ref="BG2:BG33" si="45">LOG10(BD2+1)</f>
        <v>1.0988555037219776</v>
      </c>
      <c r="BH2" s="34">
        <f t="shared" ref="BH2:BH33" si="46">(1.7883*K2)^1.143</f>
        <v>796.03351790723593</v>
      </c>
      <c r="BI2" s="34">
        <f t="shared" ref="BI2:BI33" si="47">BH2-G2</f>
        <v>-28.966482092764068</v>
      </c>
      <c r="BJ2" s="34">
        <f t="shared" ref="BJ2:BJ33" si="48">ABS(BI2)</f>
        <v>28.966482092764068</v>
      </c>
      <c r="BK2" s="113">
        <f t="shared" ref="BK2:BK33" si="49">BI2/G2*100</f>
        <v>-3.5110887385168565</v>
      </c>
      <c r="BL2" s="113">
        <f t="shared" ref="BL2:BL33" si="50">ABS(BK2)</f>
        <v>3.5110887385168565</v>
      </c>
      <c r="BM2" s="113">
        <f t="shared" ref="BM2:BM33" si="51">LOG10(BJ2+1)</f>
        <v>1.4766357620522448</v>
      </c>
      <c r="BN2" s="34">
        <f t="shared" ref="BN2:BN33" si="52">K2/0.23</f>
        <v>839.13043478260863</v>
      </c>
      <c r="BO2" s="34">
        <f t="shared" ref="BO2:BO33" si="53">BN2-G2</f>
        <v>14.130434782608631</v>
      </c>
      <c r="BP2" s="34">
        <f t="shared" ref="BP2:BP33" si="54">ABS(BO2)</f>
        <v>14.130434782608631</v>
      </c>
      <c r="BQ2" s="113">
        <f t="shared" ref="BQ2:BQ33" si="55">BO2/G2*100</f>
        <v>1.7127799736495313</v>
      </c>
      <c r="BR2" s="113">
        <f t="shared" ref="BR2:BR33" si="56">ABS(BQ2)</f>
        <v>1.7127799736495313</v>
      </c>
      <c r="BS2" s="113">
        <f t="shared" ref="BS2:BS33" si="57">LOG10(BP2+1)</f>
        <v>1.1798514079289861</v>
      </c>
      <c r="BT2" s="34">
        <f t="shared" ref="BT2:BT33" si="58">4.6131*K2 - 87.584</f>
        <v>802.74430000000007</v>
      </c>
      <c r="BU2" s="34">
        <f t="shared" ref="BU2:BU33" si="59">BT2-G2</f>
        <v>-22.255699999999933</v>
      </c>
      <c r="BV2" s="34">
        <f t="shared" ref="BV2:BV33" si="60">ABS(BU2)</f>
        <v>22.255699999999933</v>
      </c>
      <c r="BW2" s="34">
        <f t="shared" ref="BW2:BW33" si="61">3.2309*K2^1.0495</f>
        <v>809.12554420404263</v>
      </c>
      <c r="BX2" s="34">
        <f t="shared" ref="BX2:BX33" si="62">BW2-G2</f>
        <v>-15.874455795957374</v>
      </c>
      <c r="BY2" s="34">
        <f t="shared" ref="BY2:BY33" si="63">ABS(BX2)</f>
        <v>15.874455795957374</v>
      </c>
    </row>
    <row r="3" spans="1:77" ht="15" x14ac:dyDescent="0.2">
      <c r="A3" s="206" t="s">
        <v>465</v>
      </c>
      <c r="B3" s="28" t="s">
        <v>282</v>
      </c>
      <c r="C3" s="207" t="s">
        <v>403</v>
      </c>
      <c r="D3" s="35" t="s">
        <v>96</v>
      </c>
      <c r="E3" s="35" t="s">
        <v>494</v>
      </c>
      <c r="F3" s="35" t="s">
        <v>580</v>
      </c>
      <c r="G3" s="141">
        <v>872.2</v>
      </c>
      <c r="H3" s="141">
        <v>800</v>
      </c>
      <c r="I3" s="35" t="s">
        <v>626</v>
      </c>
      <c r="J3" s="141">
        <v>213.9</v>
      </c>
      <c r="K3" s="141">
        <v>205</v>
      </c>
      <c r="L3" s="28">
        <v>272.2</v>
      </c>
      <c r="M3" s="35" t="s">
        <v>37</v>
      </c>
      <c r="N3" s="33">
        <f t="shared" si="0"/>
        <v>977.81726000000003</v>
      </c>
      <c r="O3" s="33">
        <f t="shared" si="1"/>
        <v>805.11710000000005</v>
      </c>
      <c r="P3" s="33">
        <f t="shared" si="2"/>
        <v>911.54582234535405</v>
      </c>
      <c r="Q3" s="33">
        <f t="shared" si="3"/>
        <v>842.73933</v>
      </c>
      <c r="R3" s="33">
        <f t="shared" si="4"/>
        <v>797.24678308777095</v>
      </c>
      <c r="S3" s="33">
        <f t="shared" si="5"/>
        <v>860.73794527110567</v>
      </c>
      <c r="T3" s="33">
        <f t="shared" si="6"/>
        <v>844.38781743026686</v>
      </c>
      <c r="U3" s="33">
        <f t="shared" si="7"/>
        <v>891.25</v>
      </c>
      <c r="V3" s="33">
        <f t="shared" si="8"/>
        <v>854.56289000000015</v>
      </c>
      <c r="W3" s="33">
        <f t="shared" si="9"/>
        <v>860.14853128068353</v>
      </c>
      <c r="X3" s="34">
        <f t="shared" si="10"/>
        <v>974.24899999999991</v>
      </c>
      <c r="Y3" s="34">
        <f t="shared" si="11"/>
        <v>102.04899999999986</v>
      </c>
      <c r="Z3" s="34">
        <f t="shared" si="12"/>
        <v>102.04899999999986</v>
      </c>
      <c r="AA3" s="113">
        <f t="shared" si="13"/>
        <v>11.700183444164166</v>
      </c>
      <c r="AB3" s="113">
        <f t="shared" si="14"/>
        <v>11.700183444164166</v>
      </c>
      <c r="AC3" s="113">
        <f t="shared" si="15"/>
        <v>2.0130437816893298</v>
      </c>
      <c r="AD3" s="34">
        <f t="shared" si="16"/>
        <v>829.90950000000009</v>
      </c>
      <c r="AE3" s="34">
        <f t="shared" si="17"/>
        <v>-42.290499999999952</v>
      </c>
      <c r="AF3" s="34">
        <f t="shared" si="18"/>
        <v>42.290499999999952</v>
      </c>
      <c r="AG3" s="113">
        <f t="shared" si="19"/>
        <v>-4.8487158908507171</v>
      </c>
      <c r="AH3" s="113">
        <f t="shared" si="20"/>
        <v>4.8487158908507171</v>
      </c>
      <c r="AI3" s="113">
        <f t="shared" si="21"/>
        <v>1.6363926018904704</v>
      </c>
      <c r="AJ3" s="34">
        <f t="shared" si="22"/>
        <v>779.66491710397077</v>
      </c>
      <c r="AK3" s="34">
        <f t="shared" si="23"/>
        <v>-92.53508289602928</v>
      </c>
      <c r="AL3" s="34">
        <f t="shared" si="24"/>
        <v>92.53508289602928</v>
      </c>
      <c r="AM3" s="113">
        <f t="shared" si="25"/>
        <v>-10.609388087139335</v>
      </c>
      <c r="AN3" s="113">
        <f t="shared" si="26"/>
        <v>10.609388087139335</v>
      </c>
      <c r="AO3" s="113">
        <f t="shared" si="27"/>
        <v>1.9709745354757255</v>
      </c>
      <c r="AP3" s="34">
        <f t="shared" si="28"/>
        <v>897.16150000000005</v>
      </c>
      <c r="AQ3" s="34">
        <f t="shared" si="29"/>
        <v>24.961500000000001</v>
      </c>
      <c r="AR3" s="34">
        <f t="shared" si="30"/>
        <v>24.961500000000001</v>
      </c>
      <c r="AS3" s="113">
        <f t="shared" si="31"/>
        <v>2.8619009401513416</v>
      </c>
      <c r="AT3" s="113">
        <f t="shared" si="32"/>
        <v>2.8619009401513416</v>
      </c>
      <c r="AU3" s="113">
        <f t="shared" si="33"/>
        <v>1.414329781460498</v>
      </c>
      <c r="AV3" s="34">
        <f t="shared" si="34"/>
        <v>807.30744570655736</v>
      </c>
      <c r="AW3" s="34">
        <f t="shared" si="35"/>
        <v>-64.892554293442686</v>
      </c>
      <c r="AX3" s="34">
        <f t="shared" si="36"/>
        <v>64.892554293442686</v>
      </c>
      <c r="AY3" s="113">
        <f t="shared" si="37"/>
        <v>-7.4401002400186513</v>
      </c>
      <c r="AZ3" s="113">
        <f t="shared" si="38"/>
        <v>7.4401002400186513</v>
      </c>
      <c r="BA3" s="113">
        <f t="shared" si="39"/>
        <v>1.8188363430923231</v>
      </c>
      <c r="BB3" s="34">
        <f t="shared" si="40"/>
        <v>869.09092075164517</v>
      </c>
      <c r="BC3" s="34">
        <f t="shared" si="41"/>
        <v>-3.1090792483548739</v>
      </c>
      <c r="BD3" s="34">
        <f t="shared" si="42"/>
        <v>3.1090792483548739</v>
      </c>
      <c r="BE3" s="113">
        <f t="shared" si="43"/>
        <v>-0.35646402755731182</v>
      </c>
      <c r="BF3" s="113">
        <f t="shared" si="44"/>
        <v>0.35646402755731182</v>
      </c>
      <c r="BG3" s="113">
        <f t="shared" si="45"/>
        <v>0.61374451721498213</v>
      </c>
      <c r="BH3" s="34">
        <f t="shared" si="46"/>
        <v>852.85267030445266</v>
      </c>
      <c r="BI3" s="34">
        <f t="shared" si="47"/>
        <v>-19.347329695547387</v>
      </c>
      <c r="BJ3" s="34">
        <f t="shared" si="48"/>
        <v>19.347329695547387</v>
      </c>
      <c r="BK3" s="113">
        <f t="shared" si="49"/>
        <v>-2.2182217032271709</v>
      </c>
      <c r="BL3" s="113">
        <f t="shared" si="50"/>
        <v>2.2182217032271709</v>
      </c>
      <c r="BM3" s="113">
        <f t="shared" si="51"/>
        <v>1.3085074221812583</v>
      </c>
      <c r="BN3" s="34">
        <f t="shared" si="52"/>
        <v>891.30434782608688</v>
      </c>
      <c r="BO3" s="34">
        <f t="shared" si="53"/>
        <v>19.104347826086837</v>
      </c>
      <c r="BP3" s="34">
        <f t="shared" si="54"/>
        <v>19.104347826086837</v>
      </c>
      <c r="BQ3" s="113">
        <f t="shared" si="55"/>
        <v>2.1903631995054842</v>
      </c>
      <c r="BR3" s="113">
        <f t="shared" si="56"/>
        <v>2.1903631995054842</v>
      </c>
      <c r="BS3" s="113">
        <f t="shared" si="57"/>
        <v>1.3032899893948773</v>
      </c>
      <c r="BT3" s="34">
        <f t="shared" si="58"/>
        <v>858.10149999999999</v>
      </c>
      <c r="BU3" s="34">
        <f t="shared" si="59"/>
        <v>-14.098500000000058</v>
      </c>
      <c r="BV3" s="34">
        <f t="shared" si="60"/>
        <v>14.098500000000058</v>
      </c>
      <c r="BW3" s="34">
        <f t="shared" si="61"/>
        <v>862.00382611206476</v>
      </c>
      <c r="BX3" s="34">
        <f t="shared" si="62"/>
        <v>-10.196173887935288</v>
      </c>
      <c r="BY3" s="34">
        <f t="shared" si="63"/>
        <v>10.196173887935288</v>
      </c>
    </row>
    <row r="4" spans="1:77" ht="15" x14ac:dyDescent="0.2">
      <c r="A4" s="206" t="s">
        <v>465</v>
      </c>
      <c r="B4" t="s">
        <v>898</v>
      </c>
      <c r="C4" s="224" t="s">
        <v>824</v>
      </c>
      <c r="D4" s="35" t="s">
        <v>148</v>
      </c>
      <c r="E4" s="225" t="s">
        <v>494</v>
      </c>
      <c r="F4" s="35" t="s">
        <v>580</v>
      </c>
      <c r="G4">
        <v>874</v>
      </c>
      <c r="H4">
        <v>874</v>
      </c>
      <c r="I4" s="35" t="s">
        <v>626</v>
      </c>
      <c r="J4">
        <v>228</v>
      </c>
      <c r="K4">
        <v>217</v>
      </c>
      <c r="L4" s="28"/>
      <c r="M4" s="35" t="s">
        <v>488</v>
      </c>
      <c r="N4" s="33">
        <f t="shared" si="0"/>
        <v>1034.2652</v>
      </c>
      <c r="O4" s="33">
        <f t="shared" si="1"/>
        <v>883.92200000000014</v>
      </c>
      <c r="P4" s="33">
        <f t="shared" si="2"/>
        <v>983.9614181860843</v>
      </c>
      <c r="Q4" s="33">
        <f t="shared" si="3"/>
        <v>910.20359999999994</v>
      </c>
      <c r="R4" s="33">
        <f t="shared" si="4"/>
        <v>861.3048876352027</v>
      </c>
      <c r="S4" s="33">
        <f t="shared" si="5"/>
        <v>923.17544742347354</v>
      </c>
      <c r="T4" s="33">
        <f t="shared" si="6"/>
        <v>908.30261007754825</v>
      </c>
      <c r="U4" s="33">
        <f t="shared" si="7"/>
        <v>950</v>
      </c>
      <c r="V4" s="33">
        <f t="shared" si="8"/>
        <v>916.39280000000008</v>
      </c>
      <c r="W4" s="33">
        <f t="shared" si="9"/>
        <v>919.34508713596824</v>
      </c>
      <c r="X4" s="34">
        <f t="shared" si="10"/>
        <v>1024.1665999999998</v>
      </c>
      <c r="Y4" s="34">
        <f t="shared" si="11"/>
        <v>150.16659999999979</v>
      </c>
      <c r="Z4" s="34">
        <f t="shared" si="12"/>
        <v>150.16659999999979</v>
      </c>
      <c r="AA4" s="113">
        <f t="shared" si="13"/>
        <v>17.181533180778008</v>
      </c>
      <c r="AB4" s="113">
        <f t="shared" si="14"/>
        <v>17.181533180778008</v>
      </c>
      <c r="AC4" s="113">
        <f t="shared" si="15"/>
        <v>2.1794558451463177</v>
      </c>
      <c r="AD4" s="34">
        <f t="shared" si="16"/>
        <v>895.42830000000015</v>
      </c>
      <c r="AE4" s="34">
        <f t="shared" si="17"/>
        <v>21.428300000000149</v>
      </c>
      <c r="AF4" s="34">
        <f t="shared" si="18"/>
        <v>21.428300000000149</v>
      </c>
      <c r="AG4" s="113">
        <f t="shared" si="19"/>
        <v>2.4517505720823967</v>
      </c>
      <c r="AH4" s="113">
        <f t="shared" si="20"/>
        <v>2.4517505720823967</v>
      </c>
      <c r="AI4" s="113">
        <f t="shared" si="21"/>
        <v>1.3507963565700838</v>
      </c>
      <c r="AJ4" s="34">
        <f t="shared" si="22"/>
        <v>837.24886755917248</v>
      </c>
      <c r="AK4" s="34">
        <f t="shared" si="23"/>
        <v>-36.751132440827519</v>
      </c>
      <c r="AL4" s="34">
        <f t="shared" si="24"/>
        <v>36.751132440827519</v>
      </c>
      <c r="AM4" s="113">
        <f t="shared" si="25"/>
        <v>-4.2049350618795787</v>
      </c>
      <c r="AN4" s="113">
        <f t="shared" si="26"/>
        <v>4.2049350618795787</v>
      </c>
      <c r="AO4" s="113">
        <f t="shared" si="27"/>
        <v>1.5769299839235067</v>
      </c>
      <c r="AP4" s="34">
        <f t="shared" si="28"/>
        <v>960.25630000000012</v>
      </c>
      <c r="AQ4" s="34">
        <f t="shared" si="29"/>
        <v>86.256300000000124</v>
      </c>
      <c r="AR4" s="34">
        <f t="shared" si="30"/>
        <v>86.256300000000124</v>
      </c>
      <c r="AS4" s="113">
        <f t="shared" si="31"/>
        <v>9.8691418764302199</v>
      </c>
      <c r="AT4" s="113">
        <f t="shared" si="32"/>
        <v>9.8691418764302199</v>
      </c>
      <c r="AU4" s="113">
        <f t="shared" si="33"/>
        <v>1.9407967932983874</v>
      </c>
      <c r="AV4" s="34">
        <f t="shared" si="34"/>
        <v>864.88381477646294</v>
      </c>
      <c r="AW4" s="34">
        <f t="shared" si="35"/>
        <v>-9.1161852235370588</v>
      </c>
      <c r="AX4" s="34">
        <f t="shared" si="36"/>
        <v>9.1161852235370588</v>
      </c>
      <c r="AY4" s="113">
        <f t="shared" si="37"/>
        <v>-1.0430417875900524</v>
      </c>
      <c r="AZ4" s="113">
        <f t="shared" si="38"/>
        <v>1.0430417875900524</v>
      </c>
      <c r="BA4" s="113">
        <f t="shared" si="39"/>
        <v>1.0050167725133745</v>
      </c>
      <c r="BB4" s="34">
        <f t="shared" si="40"/>
        <v>925.0550010906868</v>
      </c>
      <c r="BC4" s="34">
        <f t="shared" si="41"/>
        <v>51.055001090686801</v>
      </c>
      <c r="BD4" s="34">
        <f t="shared" si="42"/>
        <v>51.055001090686801</v>
      </c>
      <c r="BE4" s="113">
        <f t="shared" si="43"/>
        <v>5.8415333055705725</v>
      </c>
      <c r="BF4" s="113">
        <f t="shared" si="44"/>
        <v>5.8415333055705725</v>
      </c>
      <c r="BG4" s="113">
        <f t="shared" si="45"/>
        <v>1.7164624599128859</v>
      </c>
      <c r="BH4" s="34">
        <f t="shared" si="46"/>
        <v>910.14969143015594</v>
      </c>
      <c r="BI4" s="34">
        <f t="shared" si="47"/>
        <v>36.14969143015594</v>
      </c>
      <c r="BJ4" s="34">
        <f t="shared" si="48"/>
        <v>36.14969143015594</v>
      </c>
      <c r="BK4" s="113">
        <f t="shared" si="49"/>
        <v>4.1361203009331735</v>
      </c>
      <c r="BL4" s="113">
        <f t="shared" si="50"/>
        <v>4.1361203009331735</v>
      </c>
      <c r="BM4" s="113">
        <f t="shared" si="51"/>
        <v>1.5699552108089196</v>
      </c>
      <c r="BN4" s="34">
        <f t="shared" si="52"/>
        <v>943.47826086956513</v>
      </c>
      <c r="BO4" s="34">
        <f t="shared" si="53"/>
        <v>69.478260869565133</v>
      </c>
      <c r="BP4" s="34">
        <f t="shared" si="54"/>
        <v>69.478260869565133</v>
      </c>
      <c r="BQ4" s="113">
        <f t="shared" si="55"/>
        <v>7.9494577653964686</v>
      </c>
      <c r="BR4" s="113">
        <f t="shared" si="56"/>
        <v>7.9494577653964686</v>
      </c>
      <c r="BS4" s="113">
        <f t="shared" si="57"/>
        <v>1.8480551788309216</v>
      </c>
      <c r="BT4" s="34">
        <f t="shared" si="58"/>
        <v>913.45870000000014</v>
      </c>
      <c r="BU4" s="34">
        <f t="shared" si="59"/>
        <v>39.458700000000135</v>
      </c>
      <c r="BV4" s="34">
        <f t="shared" si="60"/>
        <v>39.458700000000135</v>
      </c>
      <c r="BW4" s="34">
        <f t="shared" si="61"/>
        <v>915.0356339582504</v>
      </c>
      <c r="BX4" s="34">
        <f t="shared" si="62"/>
        <v>41.035633958250401</v>
      </c>
      <c r="BY4" s="34">
        <f t="shared" si="63"/>
        <v>41.035633958250401</v>
      </c>
    </row>
    <row r="5" spans="1:77" ht="15" x14ac:dyDescent="0.2">
      <c r="A5" s="206" t="s">
        <v>465</v>
      </c>
      <c r="B5" s="28" t="s">
        <v>289</v>
      </c>
      <c r="C5" s="207" t="s">
        <v>403</v>
      </c>
      <c r="D5" s="35" t="s">
        <v>148</v>
      </c>
      <c r="E5" s="35" t="s">
        <v>494</v>
      </c>
      <c r="F5" s="35" t="s">
        <v>580</v>
      </c>
      <c r="G5" s="141">
        <v>899.05</v>
      </c>
      <c r="H5" s="141">
        <v>1000</v>
      </c>
      <c r="I5" s="35" t="s">
        <v>626</v>
      </c>
      <c r="J5" s="141">
        <v>228.37</v>
      </c>
      <c r="K5" s="141">
        <v>219.7</v>
      </c>
      <c r="L5" s="28">
        <v>291.58</v>
      </c>
      <c r="M5" s="35" t="s">
        <v>37</v>
      </c>
      <c r="N5" s="33">
        <f t="shared" si="0"/>
        <v>1035.7464580000001</v>
      </c>
      <c r="O5" s="33">
        <f t="shared" si="1"/>
        <v>885.98993000000007</v>
      </c>
      <c r="P5" s="33">
        <f t="shared" si="2"/>
        <v>985.87386792291613</v>
      </c>
      <c r="Q5" s="33">
        <f t="shared" si="3"/>
        <v>911.97393900000009</v>
      </c>
      <c r="R5" s="33">
        <f t="shared" si="4"/>
        <v>862.9973405208541</v>
      </c>
      <c r="S5" s="33">
        <f t="shared" si="5"/>
        <v>924.8190314574889</v>
      </c>
      <c r="T5" s="33">
        <f t="shared" si="6"/>
        <v>909.9875873016025</v>
      </c>
      <c r="U5" s="33">
        <f t="shared" si="7"/>
        <v>951.54166666666674</v>
      </c>
      <c r="V5" s="33">
        <f t="shared" si="8"/>
        <v>918.01528700000017</v>
      </c>
      <c r="W5" s="33">
        <f t="shared" si="9"/>
        <v>920.90061631080152</v>
      </c>
      <c r="X5" s="34">
        <f t="shared" si="10"/>
        <v>1035.3980599999998</v>
      </c>
      <c r="Y5" s="34">
        <f t="shared" si="11"/>
        <v>136.3480599999998</v>
      </c>
      <c r="Z5" s="34">
        <f t="shared" si="12"/>
        <v>136.3480599999998</v>
      </c>
      <c r="AA5" s="113">
        <f t="shared" si="13"/>
        <v>15.165792781269097</v>
      </c>
      <c r="AB5" s="113">
        <f t="shared" si="14"/>
        <v>15.165792781269097</v>
      </c>
      <c r="AC5" s="113">
        <f t="shared" si="15"/>
        <v>2.137822529521086</v>
      </c>
      <c r="AD5" s="34">
        <f t="shared" si="16"/>
        <v>910.17002999999988</v>
      </c>
      <c r="AE5" s="34">
        <f t="shared" si="17"/>
        <v>11.120029999999929</v>
      </c>
      <c r="AF5" s="34">
        <f t="shared" si="18"/>
        <v>11.120029999999929</v>
      </c>
      <c r="AG5" s="113">
        <f t="shared" si="19"/>
        <v>1.2368644680496002</v>
      </c>
      <c r="AH5" s="113">
        <f t="shared" si="20"/>
        <v>1.2368644680496002</v>
      </c>
      <c r="AI5" s="113">
        <f t="shared" si="21"/>
        <v>1.0835036948152759</v>
      </c>
      <c r="AJ5" s="34">
        <f t="shared" si="22"/>
        <v>850.31812318938046</v>
      </c>
      <c r="AK5" s="34">
        <f t="shared" si="23"/>
        <v>-48.731876810619497</v>
      </c>
      <c r="AL5" s="34">
        <f t="shared" si="24"/>
        <v>48.731876810619497</v>
      </c>
      <c r="AM5" s="113">
        <f t="shared" si="25"/>
        <v>-5.4203744853589342</v>
      </c>
      <c r="AN5" s="113">
        <f t="shared" si="26"/>
        <v>5.4203744853589342</v>
      </c>
      <c r="AO5" s="113">
        <f t="shared" si="27"/>
        <v>1.6966348492003587</v>
      </c>
      <c r="AP5" s="34">
        <f t="shared" si="28"/>
        <v>974.45263000000011</v>
      </c>
      <c r="AQ5" s="34">
        <f t="shared" si="29"/>
        <v>75.402630000000158</v>
      </c>
      <c r="AR5" s="34">
        <f t="shared" si="30"/>
        <v>75.402630000000158</v>
      </c>
      <c r="AS5" s="113">
        <f t="shared" si="31"/>
        <v>8.3869228630220967</v>
      </c>
      <c r="AT5" s="113">
        <f t="shared" si="32"/>
        <v>8.3869228630220967</v>
      </c>
      <c r="AU5" s="113">
        <f t="shared" si="33"/>
        <v>1.8831083085079992</v>
      </c>
      <c r="AV5" s="34">
        <f t="shared" si="34"/>
        <v>877.9327117825236</v>
      </c>
      <c r="AW5" s="34">
        <f t="shared" si="35"/>
        <v>-21.117288217476357</v>
      </c>
      <c r="AX5" s="34">
        <f t="shared" si="36"/>
        <v>21.117288217476357</v>
      </c>
      <c r="AY5" s="113">
        <f t="shared" si="37"/>
        <v>-2.3488446935628007</v>
      </c>
      <c r="AZ5" s="113">
        <f t="shared" si="38"/>
        <v>2.3488446935628007</v>
      </c>
      <c r="BA5" s="113">
        <f t="shared" si="39"/>
        <v>1.3447318774074188</v>
      </c>
      <c r="BB5" s="34">
        <f t="shared" si="40"/>
        <v>937.68895350454216</v>
      </c>
      <c r="BC5" s="34">
        <f t="shared" si="41"/>
        <v>38.638953504542201</v>
      </c>
      <c r="BD5" s="34">
        <f t="shared" si="42"/>
        <v>38.638953504542201</v>
      </c>
      <c r="BE5" s="113">
        <f t="shared" si="43"/>
        <v>4.297753573721395</v>
      </c>
      <c r="BF5" s="113">
        <f t="shared" si="44"/>
        <v>4.297753573721395</v>
      </c>
      <c r="BG5" s="113">
        <f t="shared" si="45"/>
        <v>1.5981221802935104</v>
      </c>
      <c r="BH5" s="34">
        <f t="shared" si="46"/>
        <v>923.10500451765211</v>
      </c>
      <c r="BI5" s="34">
        <f t="shared" si="47"/>
        <v>24.055004517652151</v>
      </c>
      <c r="BJ5" s="34">
        <f t="shared" si="48"/>
        <v>24.055004517652151</v>
      </c>
      <c r="BK5" s="113">
        <f t="shared" si="49"/>
        <v>2.6756025268508039</v>
      </c>
      <c r="BL5" s="113">
        <f t="shared" si="50"/>
        <v>2.6756025268508039</v>
      </c>
      <c r="BM5" s="113">
        <f t="shared" si="51"/>
        <v>1.3988944853858682</v>
      </c>
      <c r="BN5" s="34">
        <f t="shared" si="52"/>
        <v>955.21739130434776</v>
      </c>
      <c r="BO5" s="34">
        <f t="shared" si="53"/>
        <v>56.167391304347802</v>
      </c>
      <c r="BP5" s="34">
        <f t="shared" si="54"/>
        <v>56.167391304347802</v>
      </c>
      <c r="BQ5" s="113">
        <f t="shared" si="55"/>
        <v>6.2474157504418892</v>
      </c>
      <c r="BR5" s="113">
        <f t="shared" si="56"/>
        <v>6.2474157504418892</v>
      </c>
      <c r="BS5" s="113">
        <f t="shared" si="57"/>
        <v>1.7571483746880201</v>
      </c>
      <c r="BT5" s="34">
        <f t="shared" si="58"/>
        <v>925.91407000000004</v>
      </c>
      <c r="BU5" s="34">
        <f t="shared" si="59"/>
        <v>26.864070000000083</v>
      </c>
      <c r="BV5" s="34">
        <f t="shared" si="60"/>
        <v>26.864070000000083</v>
      </c>
      <c r="BW5" s="34">
        <f t="shared" si="61"/>
        <v>926.98810434670509</v>
      </c>
      <c r="BX5" s="34">
        <f t="shared" si="62"/>
        <v>27.938104346705131</v>
      </c>
      <c r="BY5" s="34">
        <f t="shared" si="63"/>
        <v>27.938104346705131</v>
      </c>
    </row>
    <row r="6" spans="1:77" ht="15" x14ac:dyDescent="0.2">
      <c r="A6" s="207" t="s">
        <v>19</v>
      </c>
      <c r="B6" s="28" t="s">
        <v>360</v>
      </c>
      <c r="C6" s="207" t="s">
        <v>403</v>
      </c>
      <c r="D6" s="35" t="s">
        <v>82</v>
      </c>
      <c r="E6" s="35" t="s">
        <v>494</v>
      </c>
      <c r="F6" s="35" t="s">
        <v>580</v>
      </c>
      <c r="G6" s="141">
        <v>906.8</v>
      </c>
      <c r="H6" s="141"/>
      <c r="I6" s="35" t="s">
        <v>626</v>
      </c>
      <c r="J6" s="141">
        <v>260.02999999999997</v>
      </c>
      <c r="K6" s="141">
        <v>252</v>
      </c>
      <c r="L6" s="28">
        <v>319.86</v>
      </c>
      <c r="M6" s="35" t="s">
        <v>37</v>
      </c>
      <c r="N6" s="33">
        <f t="shared" si="0"/>
        <v>1162.4941019999999</v>
      </c>
      <c r="O6" s="33">
        <f t="shared" si="1"/>
        <v>1062.9376699999998</v>
      </c>
      <c r="P6" s="33">
        <f t="shared" si="2"/>
        <v>1151.7061316928889</v>
      </c>
      <c r="Q6" s="33">
        <f t="shared" si="3"/>
        <v>1063.4575409999998</v>
      </c>
      <c r="R6" s="33">
        <f t="shared" si="4"/>
        <v>1009.8834061529571</v>
      </c>
      <c r="S6" s="33">
        <f t="shared" si="5"/>
        <v>1066.3762145750468</v>
      </c>
      <c r="T6" s="33">
        <f t="shared" si="6"/>
        <v>1055.5598001641042</v>
      </c>
      <c r="U6" s="33">
        <f t="shared" si="7"/>
        <v>1083.4583333333333</v>
      </c>
      <c r="V6" s="33">
        <f t="shared" si="8"/>
        <v>1056.8475529999998</v>
      </c>
      <c r="W6" s="33">
        <f t="shared" si="9"/>
        <v>1054.3848165397339</v>
      </c>
      <c r="X6" s="34">
        <f t="shared" si="10"/>
        <v>1169.7595999999999</v>
      </c>
      <c r="Y6" s="34">
        <f t="shared" si="11"/>
        <v>262.95959999999991</v>
      </c>
      <c r="Z6" s="34">
        <f t="shared" si="12"/>
        <v>262.95959999999991</v>
      </c>
      <c r="AA6" s="113">
        <f t="shared" si="13"/>
        <v>28.998632554036163</v>
      </c>
      <c r="AB6" s="113">
        <f t="shared" si="14"/>
        <v>28.998632554036163</v>
      </c>
      <c r="AC6" s="113">
        <f t="shared" si="15"/>
        <v>2.4215374615679286</v>
      </c>
      <c r="AD6" s="34">
        <f t="shared" si="16"/>
        <v>1086.5248000000001</v>
      </c>
      <c r="AE6" s="34">
        <f t="shared" si="17"/>
        <v>179.72480000000019</v>
      </c>
      <c r="AF6" s="34">
        <f t="shared" si="18"/>
        <v>179.72480000000019</v>
      </c>
      <c r="AG6" s="113">
        <f t="shared" si="19"/>
        <v>19.819673577415109</v>
      </c>
      <c r="AH6" s="113">
        <f t="shared" si="20"/>
        <v>19.819673577415109</v>
      </c>
      <c r="AI6" s="113">
        <f t="shared" si="21"/>
        <v>2.2570177528051221</v>
      </c>
      <c r="AJ6" s="34">
        <f t="shared" si="22"/>
        <v>1009.7164310456532</v>
      </c>
      <c r="AK6" s="34">
        <f t="shared" si="23"/>
        <v>102.91643104565321</v>
      </c>
      <c r="AL6" s="34">
        <f t="shared" si="24"/>
        <v>102.91643104565321</v>
      </c>
      <c r="AM6" s="113">
        <f t="shared" si="25"/>
        <v>11.349407922987783</v>
      </c>
      <c r="AN6" s="113">
        <f t="shared" si="26"/>
        <v>11.349407922987783</v>
      </c>
      <c r="AO6" s="113">
        <f t="shared" si="27"/>
        <v>2.0166842227089741</v>
      </c>
      <c r="AP6" s="34">
        <f t="shared" si="28"/>
        <v>1144.2828</v>
      </c>
      <c r="AQ6" s="34">
        <f t="shared" si="29"/>
        <v>237.4828</v>
      </c>
      <c r="AR6" s="34">
        <f t="shared" si="30"/>
        <v>237.4828</v>
      </c>
      <c r="AS6" s="113">
        <f t="shared" si="31"/>
        <v>26.189104543449492</v>
      </c>
      <c r="AT6" s="113">
        <f t="shared" si="32"/>
        <v>26.189104543449492</v>
      </c>
      <c r="AU6" s="113">
        <f t="shared" si="33"/>
        <v>2.3774570620576618</v>
      </c>
      <c r="AV6" s="34">
        <f t="shared" si="34"/>
        <v>1036.5758514570718</v>
      </c>
      <c r="AW6" s="34">
        <f t="shared" si="35"/>
        <v>129.77585145707189</v>
      </c>
      <c r="AX6" s="34">
        <f t="shared" si="36"/>
        <v>129.77585145707189</v>
      </c>
      <c r="AY6" s="113">
        <f t="shared" si="37"/>
        <v>14.311408409469772</v>
      </c>
      <c r="AZ6" s="113">
        <f t="shared" si="38"/>
        <v>14.311408409469772</v>
      </c>
      <c r="BA6" s="113">
        <f t="shared" si="39"/>
        <v>2.1165275563186983</v>
      </c>
      <c r="BB6" s="34">
        <f t="shared" si="40"/>
        <v>1089.9526223552932</v>
      </c>
      <c r="BC6" s="34">
        <f t="shared" si="41"/>
        <v>183.15262235529326</v>
      </c>
      <c r="BD6" s="34">
        <f t="shared" si="42"/>
        <v>183.15262235529326</v>
      </c>
      <c r="BE6" s="113">
        <f t="shared" si="43"/>
        <v>20.197686629388318</v>
      </c>
      <c r="BF6" s="113">
        <f t="shared" si="44"/>
        <v>20.197686629388318</v>
      </c>
      <c r="BG6" s="113">
        <f t="shared" si="45"/>
        <v>2.2651779076401555</v>
      </c>
      <c r="BH6" s="34">
        <f t="shared" si="46"/>
        <v>1079.7921565822337</v>
      </c>
      <c r="BI6" s="34">
        <f t="shared" si="47"/>
        <v>172.99215658223375</v>
      </c>
      <c r="BJ6" s="34">
        <f t="shared" si="48"/>
        <v>172.99215658223375</v>
      </c>
      <c r="BK6" s="113">
        <f t="shared" si="49"/>
        <v>19.077211797776108</v>
      </c>
      <c r="BL6" s="113">
        <f t="shared" si="50"/>
        <v>19.077211797776108</v>
      </c>
      <c r="BM6" s="113">
        <f t="shared" si="51"/>
        <v>2.2405296710996585</v>
      </c>
      <c r="BN6" s="34">
        <f t="shared" si="52"/>
        <v>1095.6521739130435</v>
      </c>
      <c r="BO6" s="34">
        <f t="shared" si="53"/>
        <v>188.85217391304354</v>
      </c>
      <c r="BP6" s="34">
        <f t="shared" si="54"/>
        <v>188.85217391304354</v>
      </c>
      <c r="BQ6" s="113">
        <f t="shared" si="55"/>
        <v>20.826221207878646</v>
      </c>
      <c r="BR6" s="113">
        <f t="shared" si="56"/>
        <v>20.826221207878646</v>
      </c>
      <c r="BS6" s="113">
        <f t="shared" si="57"/>
        <v>2.2784155744177892</v>
      </c>
      <c r="BT6" s="34">
        <f t="shared" si="58"/>
        <v>1074.9172000000001</v>
      </c>
      <c r="BU6" s="34">
        <f t="shared" si="59"/>
        <v>168.11720000000014</v>
      </c>
      <c r="BV6" s="34">
        <f t="shared" si="60"/>
        <v>168.11720000000014</v>
      </c>
      <c r="BW6" s="34">
        <f t="shared" si="61"/>
        <v>1070.5165452477484</v>
      </c>
      <c r="BX6" s="34">
        <f t="shared" si="62"/>
        <v>163.7165452477484</v>
      </c>
      <c r="BY6" s="34">
        <f t="shared" si="63"/>
        <v>163.7165452477484</v>
      </c>
    </row>
    <row r="7" spans="1:77" ht="16" x14ac:dyDescent="0.2">
      <c r="A7" s="206" t="s">
        <v>465</v>
      </c>
      <c r="B7" t="s">
        <v>855</v>
      </c>
      <c r="C7" s="224" t="s">
        <v>824</v>
      </c>
      <c r="D7" s="35" t="s">
        <v>148</v>
      </c>
      <c r="E7" s="225" t="s">
        <v>494</v>
      </c>
      <c r="F7" s="35" t="s">
        <v>580</v>
      </c>
      <c r="G7" s="147">
        <v>980</v>
      </c>
      <c r="H7" s="147">
        <v>980</v>
      </c>
      <c r="I7" s="35" t="s">
        <v>626</v>
      </c>
      <c r="J7" s="147">
        <v>243</v>
      </c>
      <c r="K7" s="147">
        <v>232</v>
      </c>
      <c r="L7" s="28"/>
      <c r="M7" s="35" t="s">
        <v>488</v>
      </c>
      <c r="N7" s="33">
        <f t="shared" si="0"/>
        <v>1094.3162</v>
      </c>
      <c r="O7" s="33">
        <f t="shared" si="1"/>
        <v>967.75700000000018</v>
      </c>
      <c r="P7" s="33">
        <f t="shared" si="2"/>
        <v>1061.9757580542462</v>
      </c>
      <c r="Q7" s="33">
        <f t="shared" si="3"/>
        <v>981.97410000000002</v>
      </c>
      <c r="R7" s="33">
        <f t="shared" si="4"/>
        <v>930.37348395905929</v>
      </c>
      <c r="S7" s="33">
        <f t="shared" si="5"/>
        <v>990.01049957447628</v>
      </c>
      <c r="T7" s="33">
        <f t="shared" si="6"/>
        <v>976.92000445357928</v>
      </c>
      <c r="U7" s="33">
        <f t="shared" si="7"/>
        <v>1012.5</v>
      </c>
      <c r="V7" s="33">
        <f t="shared" si="8"/>
        <v>982.16930000000013</v>
      </c>
      <c r="W7" s="33">
        <f t="shared" si="9"/>
        <v>982.49147102915936</v>
      </c>
      <c r="X7" s="34">
        <f t="shared" si="10"/>
        <v>1086.5636</v>
      </c>
      <c r="Y7" s="34">
        <f t="shared" si="11"/>
        <v>106.56359999999995</v>
      </c>
      <c r="Z7" s="34">
        <f t="shared" si="12"/>
        <v>106.56359999999995</v>
      </c>
      <c r="AA7" s="113">
        <f t="shared" si="13"/>
        <v>10.873836734693873</v>
      </c>
      <c r="AB7" s="113">
        <f t="shared" si="14"/>
        <v>10.873836734693873</v>
      </c>
      <c r="AC7" s="113">
        <f t="shared" si="15"/>
        <v>2.0316653290102744</v>
      </c>
      <c r="AD7" s="34">
        <f t="shared" si="16"/>
        <v>977.32679999999993</v>
      </c>
      <c r="AE7" s="34">
        <f t="shared" si="17"/>
        <v>-2.6732000000000653</v>
      </c>
      <c r="AF7" s="34">
        <f t="shared" si="18"/>
        <v>2.6732000000000653</v>
      </c>
      <c r="AG7" s="113">
        <f t="shared" si="19"/>
        <v>-0.2727755102040883</v>
      </c>
      <c r="AH7" s="113">
        <f t="shared" si="20"/>
        <v>0.2727755102040883</v>
      </c>
      <c r="AI7" s="113">
        <f t="shared" si="21"/>
        <v>0.56504457564496724</v>
      </c>
      <c r="AJ7" s="34">
        <f t="shared" si="22"/>
        <v>910.36458834451139</v>
      </c>
      <c r="AK7" s="34">
        <f t="shared" si="23"/>
        <v>-69.63541165548861</v>
      </c>
      <c r="AL7" s="34">
        <f t="shared" si="24"/>
        <v>69.63541165548861</v>
      </c>
      <c r="AM7" s="113">
        <f t="shared" si="25"/>
        <v>-7.1056542505600619</v>
      </c>
      <c r="AN7" s="113">
        <f t="shared" si="26"/>
        <v>7.1056542505600619</v>
      </c>
      <c r="AO7" s="113">
        <f t="shared" si="27"/>
        <v>1.8490224805267352</v>
      </c>
      <c r="AP7" s="34">
        <f t="shared" si="28"/>
        <v>1039.1248000000001</v>
      </c>
      <c r="AQ7" s="34">
        <f t="shared" si="29"/>
        <v>59.12480000000005</v>
      </c>
      <c r="AR7" s="34">
        <f t="shared" si="30"/>
        <v>59.12480000000005</v>
      </c>
      <c r="AS7" s="113">
        <f t="shared" si="31"/>
        <v>6.0331428571428622</v>
      </c>
      <c r="AT7" s="113">
        <f t="shared" si="32"/>
        <v>6.0331428571428622</v>
      </c>
      <c r="AU7" s="113">
        <f t="shared" si="33"/>
        <v>1.7790536447408765</v>
      </c>
      <c r="AV7" s="34">
        <f t="shared" si="34"/>
        <v>937.80162711048672</v>
      </c>
      <c r="AW7" s="34">
        <f t="shared" si="35"/>
        <v>-42.19837288951328</v>
      </c>
      <c r="AX7" s="34">
        <f t="shared" si="36"/>
        <v>42.19837288951328</v>
      </c>
      <c r="AY7" s="113">
        <f t="shared" si="37"/>
        <v>-4.3059564172972733</v>
      </c>
      <c r="AZ7" s="113">
        <f t="shared" si="38"/>
        <v>4.3059564172972733</v>
      </c>
      <c r="BA7" s="113">
        <f t="shared" si="39"/>
        <v>1.6354673889812568</v>
      </c>
      <c r="BB7" s="34">
        <f t="shared" si="40"/>
        <v>995.43188301621899</v>
      </c>
      <c r="BC7" s="34">
        <f t="shared" si="41"/>
        <v>15.43188301621899</v>
      </c>
      <c r="BD7" s="34">
        <f t="shared" si="42"/>
        <v>15.43188301621899</v>
      </c>
      <c r="BE7" s="113">
        <f t="shared" si="43"/>
        <v>1.5746819404305092</v>
      </c>
      <c r="BF7" s="113">
        <f t="shared" si="44"/>
        <v>1.5746819404305092</v>
      </c>
      <c r="BG7" s="113">
        <f t="shared" si="45"/>
        <v>1.2156873343842025</v>
      </c>
      <c r="BH7" s="34">
        <f t="shared" si="46"/>
        <v>982.40851291107163</v>
      </c>
      <c r="BI7" s="34">
        <f t="shared" si="47"/>
        <v>2.4085129110716252</v>
      </c>
      <c r="BJ7" s="34">
        <f t="shared" si="48"/>
        <v>2.4085129110716252</v>
      </c>
      <c r="BK7" s="113">
        <f t="shared" si="49"/>
        <v>0.24576662357873724</v>
      </c>
      <c r="BL7" s="113">
        <f t="shared" si="50"/>
        <v>0.24576662357873724</v>
      </c>
      <c r="BM7" s="113">
        <f t="shared" si="51"/>
        <v>0.53256494339727178</v>
      </c>
      <c r="BN7" s="34">
        <f t="shared" si="52"/>
        <v>1008.695652173913</v>
      </c>
      <c r="BO7" s="34">
        <f t="shared" si="53"/>
        <v>28.695652173913004</v>
      </c>
      <c r="BP7" s="34">
        <f t="shared" si="54"/>
        <v>28.695652173913004</v>
      </c>
      <c r="BQ7" s="113">
        <f t="shared" si="55"/>
        <v>2.9281277728482658</v>
      </c>
      <c r="BR7" s="113">
        <f t="shared" si="56"/>
        <v>2.9281277728482658</v>
      </c>
      <c r="BS7" s="113">
        <f t="shared" si="57"/>
        <v>1.472692867663939</v>
      </c>
      <c r="BT7" s="34">
        <f t="shared" si="58"/>
        <v>982.65519999999992</v>
      </c>
      <c r="BU7" s="34">
        <f t="shared" si="59"/>
        <v>2.6551999999999225</v>
      </c>
      <c r="BV7" s="34">
        <f t="shared" si="60"/>
        <v>2.6551999999999225</v>
      </c>
      <c r="BW7" s="34">
        <f t="shared" si="61"/>
        <v>981.5290469805044</v>
      </c>
      <c r="BX7" s="34">
        <f t="shared" si="62"/>
        <v>1.529046980504404</v>
      </c>
      <c r="BY7" s="34">
        <f t="shared" si="63"/>
        <v>1.529046980504404</v>
      </c>
    </row>
    <row r="8" spans="1:77" ht="15" x14ac:dyDescent="0.2">
      <c r="A8" s="206" t="s">
        <v>465</v>
      </c>
      <c r="B8" s="28" t="s">
        <v>365</v>
      </c>
      <c r="C8" s="207" t="s">
        <v>403</v>
      </c>
      <c r="D8" s="35" t="s">
        <v>148</v>
      </c>
      <c r="E8" s="35" t="s">
        <v>494</v>
      </c>
      <c r="F8" s="35" t="s">
        <v>580</v>
      </c>
      <c r="G8" s="141">
        <v>992.24</v>
      </c>
      <c r="H8" s="141">
        <v>1000</v>
      </c>
      <c r="I8" s="35" t="s">
        <v>626</v>
      </c>
      <c r="J8" s="141">
        <v>241.81</v>
      </c>
      <c r="K8" s="141">
        <v>225.16</v>
      </c>
      <c r="L8" s="28">
        <v>298.48</v>
      </c>
      <c r="M8" s="35" t="s">
        <v>37</v>
      </c>
      <c r="N8" s="33">
        <f t="shared" si="0"/>
        <v>1089.552154</v>
      </c>
      <c r="O8" s="33">
        <f t="shared" si="1"/>
        <v>961.10609000000011</v>
      </c>
      <c r="P8" s="33">
        <f t="shared" si="2"/>
        <v>1055.7510288117053</v>
      </c>
      <c r="Q8" s="33">
        <f t="shared" si="3"/>
        <v>976.28030700000011</v>
      </c>
      <c r="R8" s="33">
        <f t="shared" si="4"/>
        <v>924.86042969846176</v>
      </c>
      <c r="S8" s="33">
        <f t="shared" si="5"/>
        <v>984.69328970962317</v>
      </c>
      <c r="T8" s="33">
        <f t="shared" si="6"/>
        <v>971.45370253316821</v>
      </c>
      <c r="U8" s="33">
        <f t="shared" si="7"/>
        <v>1007.5416666666667</v>
      </c>
      <c r="V8" s="33">
        <f t="shared" si="8"/>
        <v>976.95103100000017</v>
      </c>
      <c r="W8" s="33">
        <f t="shared" si="9"/>
        <v>977.47565240887889</v>
      </c>
      <c r="X8" s="34">
        <f t="shared" si="10"/>
        <v>1058.1105679999998</v>
      </c>
      <c r="Y8" s="34">
        <f t="shared" si="11"/>
        <v>65.870567999999821</v>
      </c>
      <c r="Z8" s="34">
        <f t="shared" si="12"/>
        <v>65.870567999999821</v>
      </c>
      <c r="AA8" s="113">
        <f t="shared" si="13"/>
        <v>6.6385721196484546</v>
      </c>
      <c r="AB8" s="113">
        <f t="shared" si="14"/>
        <v>6.6385721196484546</v>
      </c>
      <c r="AC8" s="113">
        <f t="shared" si="15"/>
        <v>1.8252350121219578</v>
      </c>
      <c r="AD8" s="34">
        <f t="shared" si="16"/>
        <v>939.98108400000012</v>
      </c>
      <c r="AE8" s="34">
        <f t="shared" si="17"/>
        <v>-52.258915999999886</v>
      </c>
      <c r="AF8" s="34">
        <f t="shared" si="18"/>
        <v>52.258915999999886</v>
      </c>
      <c r="AG8" s="113">
        <f t="shared" si="19"/>
        <v>-5.2667616705635618</v>
      </c>
      <c r="AH8" s="113">
        <f t="shared" si="20"/>
        <v>5.2667616705635618</v>
      </c>
      <c r="AI8" s="113">
        <f t="shared" si="21"/>
        <v>1.7263923228237386</v>
      </c>
      <c r="AJ8" s="34">
        <f t="shared" si="22"/>
        <v>876.87085083226361</v>
      </c>
      <c r="AK8" s="34">
        <f t="shared" si="23"/>
        <v>-115.3691491677364</v>
      </c>
      <c r="AL8" s="34">
        <f t="shared" si="24"/>
        <v>115.3691491677364</v>
      </c>
      <c r="AM8" s="113">
        <f t="shared" si="25"/>
        <v>-11.627141535085906</v>
      </c>
      <c r="AN8" s="113">
        <f t="shared" si="26"/>
        <v>11.627141535085906</v>
      </c>
      <c r="AO8" s="113">
        <f t="shared" si="27"/>
        <v>2.0658378589900983</v>
      </c>
      <c r="AP8" s="34">
        <f t="shared" si="28"/>
        <v>1003.1607640000001</v>
      </c>
      <c r="AQ8" s="34">
        <f t="shared" si="29"/>
        <v>10.920764000000077</v>
      </c>
      <c r="AR8" s="34">
        <f t="shared" si="30"/>
        <v>10.920764000000077</v>
      </c>
      <c r="AS8" s="113">
        <f t="shared" si="31"/>
        <v>1.1006171893896717</v>
      </c>
      <c r="AT8" s="113">
        <f t="shared" si="32"/>
        <v>1.1006171893896717</v>
      </c>
      <c r="AU8" s="113">
        <f t="shared" si="33"/>
        <v>1.0763040901652448</v>
      </c>
      <c r="AV8" s="34">
        <f t="shared" si="34"/>
        <v>904.42367820116442</v>
      </c>
      <c r="AW8" s="34">
        <f t="shared" si="35"/>
        <v>-87.816321798835588</v>
      </c>
      <c r="AX8" s="34">
        <f t="shared" si="36"/>
        <v>87.816321798835588</v>
      </c>
      <c r="AY8" s="113">
        <f t="shared" si="37"/>
        <v>-8.8503105900624437</v>
      </c>
      <c r="AZ8" s="113">
        <f t="shared" si="38"/>
        <v>8.8503105900624437</v>
      </c>
      <c r="BA8" s="113">
        <f t="shared" si="39"/>
        <v>1.9484927835241459</v>
      </c>
      <c r="BB8" s="34">
        <f t="shared" si="40"/>
        <v>963.28349174130301</v>
      </c>
      <c r="BC8" s="34">
        <f t="shared" si="41"/>
        <v>-28.956508258696999</v>
      </c>
      <c r="BD8" s="34">
        <f t="shared" si="42"/>
        <v>28.956508258696999</v>
      </c>
      <c r="BE8" s="113">
        <f t="shared" si="43"/>
        <v>-2.918296809108381</v>
      </c>
      <c r="BF8" s="113">
        <f t="shared" si="44"/>
        <v>2.918296809108381</v>
      </c>
      <c r="BG8" s="113">
        <f t="shared" si="45"/>
        <v>1.4764911904574916</v>
      </c>
      <c r="BH8" s="34">
        <f t="shared" si="46"/>
        <v>949.37291562501969</v>
      </c>
      <c r="BI8" s="34">
        <f t="shared" si="47"/>
        <v>-42.867084374980323</v>
      </c>
      <c r="BJ8" s="34">
        <f t="shared" si="48"/>
        <v>42.867084374980323</v>
      </c>
      <c r="BK8" s="113">
        <f t="shared" si="49"/>
        <v>-4.3202334490627585</v>
      </c>
      <c r="BL8" s="113">
        <f t="shared" si="50"/>
        <v>4.3202334490627585</v>
      </c>
      <c r="BM8" s="113">
        <f t="shared" si="51"/>
        <v>1.6421387699887902</v>
      </c>
      <c r="BN8" s="34">
        <f t="shared" si="52"/>
        <v>978.95652173913038</v>
      </c>
      <c r="BO8" s="34">
        <f t="shared" si="53"/>
        <v>-13.283478260869629</v>
      </c>
      <c r="BP8" s="34">
        <f t="shared" si="54"/>
        <v>13.283478260869629</v>
      </c>
      <c r="BQ8" s="113">
        <f t="shared" si="55"/>
        <v>-1.3387364207116856</v>
      </c>
      <c r="BR8" s="113">
        <f t="shared" si="56"/>
        <v>1.3387364207116856</v>
      </c>
      <c r="BS8" s="113">
        <f t="shared" si="57"/>
        <v>1.1548339781376855</v>
      </c>
      <c r="BT8" s="34">
        <f t="shared" si="58"/>
        <v>951.10159599999997</v>
      </c>
      <c r="BU8" s="34">
        <f t="shared" si="59"/>
        <v>-41.138404000000037</v>
      </c>
      <c r="BV8" s="34">
        <f t="shared" si="60"/>
        <v>41.138404000000037</v>
      </c>
      <c r="BW8" s="34">
        <f t="shared" si="61"/>
        <v>951.18079433578839</v>
      </c>
      <c r="BX8" s="34">
        <f t="shared" si="62"/>
        <v>-41.059205664211618</v>
      </c>
      <c r="BY8" s="34">
        <f t="shared" si="63"/>
        <v>41.059205664211618</v>
      </c>
    </row>
    <row r="9" spans="1:77" ht="16" x14ac:dyDescent="0.2">
      <c r="A9" s="206" t="s">
        <v>465</v>
      </c>
      <c r="B9" t="s">
        <v>857</v>
      </c>
      <c r="C9" s="224" t="s">
        <v>824</v>
      </c>
      <c r="D9" s="35" t="s">
        <v>148</v>
      </c>
      <c r="E9" s="225" t="s">
        <v>494</v>
      </c>
      <c r="F9" s="35" t="s">
        <v>580</v>
      </c>
      <c r="G9" s="147">
        <v>1022</v>
      </c>
      <c r="H9" s="147">
        <v>1022</v>
      </c>
      <c r="I9" s="35" t="s">
        <v>626</v>
      </c>
      <c r="J9" s="147">
        <v>247</v>
      </c>
      <c r="K9" s="147">
        <v>237</v>
      </c>
      <c r="L9" s="28"/>
      <c r="M9" s="35" t="s">
        <v>488</v>
      </c>
      <c r="N9" s="33">
        <f t="shared" si="0"/>
        <v>1110.3298</v>
      </c>
      <c r="O9" s="33">
        <f t="shared" si="1"/>
        <v>990.11300000000017</v>
      </c>
      <c r="P9" s="33">
        <f t="shared" si="2"/>
        <v>1082.943233401508</v>
      </c>
      <c r="Q9" s="33">
        <f t="shared" si="3"/>
        <v>1001.1129</v>
      </c>
      <c r="R9" s="33">
        <f t="shared" si="4"/>
        <v>948.94634119723719</v>
      </c>
      <c r="S9" s="33">
        <f t="shared" si="5"/>
        <v>1007.9019283954028</v>
      </c>
      <c r="T9" s="33">
        <f t="shared" si="6"/>
        <v>995.32210556804591</v>
      </c>
      <c r="U9" s="33">
        <f t="shared" si="7"/>
        <v>1029.1666666666667</v>
      </c>
      <c r="V9" s="33">
        <f t="shared" si="8"/>
        <v>999.70970000000023</v>
      </c>
      <c r="W9" s="33">
        <f t="shared" si="9"/>
        <v>999.3590083017308</v>
      </c>
      <c r="X9" s="34">
        <f t="shared" si="10"/>
        <v>1107.3625999999999</v>
      </c>
      <c r="Y9" s="34">
        <f t="shared" si="11"/>
        <v>85.362599999999929</v>
      </c>
      <c r="Z9" s="34">
        <f t="shared" si="12"/>
        <v>85.362599999999929</v>
      </c>
      <c r="AA9" s="113">
        <f t="shared" si="13"/>
        <v>8.3525048923678984</v>
      </c>
      <c r="AB9" s="113">
        <f t="shared" si="14"/>
        <v>8.3525048923678984</v>
      </c>
      <c r="AC9" s="113">
        <f t="shared" si="15"/>
        <v>1.9363257085655701</v>
      </c>
      <c r="AD9" s="34">
        <f t="shared" si="16"/>
        <v>1004.6263</v>
      </c>
      <c r="AE9" s="34">
        <f t="shared" si="17"/>
        <v>-17.373699999999985</v>
      </c>
      <c r="AF9" s="34">
        <f t="shared" si="18"/>
        <v>17.373699999999985</v>
      </c>
      <c r="AG9" s="113">
        <f t="shared" si="19"/>
        <v>-1.6999706457925621</v>
      </c>
      <c r="AH9" s="113">
        <f t="shared" si="20"/>
        <v>1.6999706457925621</v>
      </c>
      <c r="AI9" s="113">
        <f t="shared" si="21"/>
        <v>1.2641966210732904</v>
      </c>
      <c r="AJ9" s="34">
        <f t="shared" si="22"/>
        <v>935.00704763945078</v>
      </c>
      <c r="AK9" s="34">
        <f t="shared" si="23"/>
        <v>-86.992952360549225</v>
      </c>
      <c r="AL9" s="34">
        <f t="shared" si="24"/>
        <v>86.992952360549225</v>
      </c>
      <c r="AM9" s="113">
        <f t="shared" si="25"/>
        <v>-8.5120305636545233</v>
      </c>
      <c r="AN9" s="113">
        <f t="shared" si="26"/>
        <v>8.5120305636545233</v>
      </c>
      <c r="AO9" s="113">
        <f t="shared" si="27"/>
        <v>1.9444478894968351</v>
      </c>
      <c r="AP9" s="34">
        <f t="shared" si="28"/>
        <v>1065.4142999999999</v>
      </c>
      <c r="AQ9" s="34">
        <f t="shared" si="29"/>
        <v>43.414299999999912</v>
      </c>
      <c r="AR9" s="34">
        <f t="shared" si="30"/>
        <v>43.414299999999912</v>
      </c>
      <c r="AS9" s="113">
        <f t="shared" si="31"/>
        <v>4.2479745596868801</v>
      </c>
      <c r="AT9" s="113">
        <f t="shared" si="32"/>
        <v>4.2479745596868801</v>
      </c>
      <c r="AU9" s="113">
        <f t="shared" si="33"/>
        <v>1.6475228217183557</v>
      </c>
      <c r="AV9" s="34">
        <f t="shared" si="34"/>
        <v>962.33277952529465</v>
      </c>
      <c r="AW9" s="34">
        <f t="shared" si="35"/>
        <v>-59.667220474705346</v>
      </c>
      <c r="AX9" s="34">
        <f t="shared" si="36"/>
        <v>59.667220474705346</v>
      </c>
      <c r="AY9" s="113">
        <f t="shared" si="37"/>
        <v>-5.8382798898928909</v>
      </c>
      <c r="AZ9" s="113">
        <f t="shared" si="38"/>
        <v>5.8382798898928909</v>
      </c>
      <c r="BA9" s="113">
        <f t="shared" si="39"/>
        <v>1.7829540977930625</v>
      </c>
      <c r="BB9" s="34">
        <f t="shared" si="40"/>
        <v>1018.9905652774856</v>
      </c>
      <c r="BC9" s="34">
        <f t="shared" si="41"/>
        <v>-3.0094347225143565</v>
      </c>
      <c r="BD9" s="34">
        <f t="shared" si="42"/>
        <v>3.0094347225143565</v>
      </c>
      <c r="BE9" s="113">
        <f t="shared" si="43"/>
        <v>-0.2944652370366298</v>
      </c>
      <c r="BF9" s="113">
        <f t="shared" si="44"/>
        <v>0.2944652370366298</v>
      </c>
      <c r="BG9" s="113">
        <f t="shared" si="45"/>
        <v>0.60308314713443167</v>
      </c>
      <c r="BH9" s="34">
        <f t="shared" si="46"/>
        <v>1006.6458556388822</v>
      </c>
      <c r="BI9" s="34">
        <f t="shared" si="47"/>
        <v>-15.354144361117847</v>
      </c>
      <c r="BJ9" s="34">
        <f t="shared" si="48"/>
        <v>15.354144361117847</v>
      </c>
      <c r="BK9" s="113">
        <f t="shared" si="49"/>
        <v>-1.5023624619489087</v>
      </c>
      <c r="BL9" s="113">
        <f t="shared" si="50"/>
        <v>1.5023624619489087</v>
      </c>
      <c r="BM9" s="113">
        <f t="shared" si="51"/>
        <v>1.213627827032338</v>
      </c>
      <c r="BN9" s="34">
        <f t="shared" si="52"/>
        <v>1030.4347826086955</v>
      </c>
      <c r="BO9" s="34">
        <f t="shared" si="53"/>
        <v>8.4347826086955138</v>
      </c>
      <c r="BP9" s="34">
        <f t="shared" si="54"/>
        <v>8.4347826086955138</v>
      </c>
      <c r="BQ9" s="113">
        <f t="shared" si="55"/>
        <v>0.8253211945886022</v>
      </c>
      <c r="BR9" s="113">
        <f t="shared" si="56"/>
        <v>0.8253211945886022</v>
      </c>
      <c r="BS9" s="113">
        <f t="shared" si="57"/>
        <v>0.97473189783093028</v>
      </c>
      <c r="BT9" s="34">
        <f t="shared" si="58"/>
        <v>1005.7207000000001</v>
      </c>
      <c r="BU9" s="34">
        <f t="shared" si="59"/>
        <v>-16.279299999999921</v>
      </c>
      <c r="BV9" s="34">
        <f t="shared" si="60"/>
        <v>16.279299999999921</v>
      </c>
      <c r="BW9" s="34">
        <f t="shared" si="61"/>
        <v>1003.7415575479736</v>
      </c>
      <c r="BX9" s="34">
        <f t="shared" si="62"/>
        <v>-18.258442452026429</v>
      </c>
      <c r="BY9" s="34">
        <f t="shared" si="63"/>
        <v>18.258442452026429</v>
      </c>
    </row>
    <row r="10" spans="1:77" ht="16" x14ac:dyDescent="0.2">
      <c r="A10" s="206" t="s">
        <v>465</v>
      </c>
      <c r="B10" t="s">
        <v>844</v>
      </c>
      <c r="C10" s="224" t="s">
        <v>824</v>
      </c>
      <c r="D10" s="35" t="s">
        <v>148</v>
      </c>
      <c r="E10" s="225" t="s">
        <v>494</v>
      </c>
      <c r="F10" s="35" t="s">
        <v>580</v>
      </c>
      <c r="G10" s="147">
        <v>1028</v>
      </c>
      <c r="H10" s="147">
        <v>1028</v>
      </c>
      <c r="I10" s="35" t="s">
        <v>626</v>
      </c>
      <c r="J10" s="147">
        <v>248</v>
      </c>
      <c r="K10" s="147">
        <v>237</v>
      </c>
      <c r="L10" s="28"/>
      <c r="M10" s="35" t="s">
        <v>488</v>
      </c>
      <c r="N10" s="33">
        <f t="shared" si="0"/>
        <v>1114.3332</v>
      </c>
      <c r="O10" s="33">
        <f t="shared" si="1"/>
        <v>995.70200000000011</v>
      </c>
      <c r="P10" s="33">
        <f t="shared" si="2"/>
        <v>1088.1956318987384</v>
      </c>
      <c r="Q10" s="33">
        <f t="shared" si="3"/>
        <v>1005.8976000000001</v>
      </c>
      <c r="R10" s="33">
        <f t="shared" si="4"/>
        <v>953.59950416395304</v>
      </c>
      <c r="S10" s="33">
        <f t="shared" si="5"/>
        <v>1012.3791966396165</v>
      </c>
      <c r="T10" s="33">
        <f t="shared" si="6"/>
        <v>999.92932057678115</v>
      </c>
      <c r="U10" s="33">
        <f t="shared" si="7"/>
        <v>1033.3333333333335</v>
      </c>
      <c r="V10" s="33">
        <f t="shared" si="8"/>
        <v>1004.0948000000002</v>
      </c>
      <c r="W10" s="33">
        <f t="shared" si="9"/>
        <v>1003.5777185729238</v>
      </c>
      <c r="X10" s="34">
        <f t="shared" si="10"/>
        <v>1107.3625999999999</v>
      </c>
      <c r="Y10" s="34">
        <f t="shared" si="11"/>
        <v>79.362599999999929</v>
      </c>
      <c r="Z10" s="34">
        <f t="shared" si="12"/>
        <v>79.362599999999929</v>
      </c>
      <c r="AA10" s="113">
        <f t="shared" si="13"/>
        <v>7.7200972762645845</v>
      </c>
      <c r="AB10" s="113">
        <f t="shared" si="14"/>
        <v>7.7200972762645845</v>
      </c>
      <c r="AC10" s="113">
        <f t="shared" si="15"/>
        <v>1.9050539791885381</v>
      </c>
      <c r="AD10" s="34">
        <f t="shared" si="16"/>
        <v>1004.6263</v>
      </c>
      <c r="AE10" s="34">
        <f t="shared" si="17"/>
        <v>-23.373699999999985</v>
      </c>
      <c r="AF10" s="34">
        <f t="shared" si="18"/>
        <v>23.373699999999985</v>
      </c>
      <c r="AG10" s="113">
        <f t="shared" si="19"/>
        <v>-2.2737062256809324</v>
      </c>
      <c r="AH10" s="113">
        <f t="shared" si="20"/>
        <v>2.2737062256809324</v>
      </c>
      <c r="AI10" s="113">
        <f t="shared" si="21"/>
        <v>1.3869214613805207</v>
      </c>
      <c r="AJ10" s="34">
        <f t="shared" si="22"/>
        <v>935.00704763945078</v>
      </c>
      <c r="AK10" s="34">
        <f t="shared" si="23"/>
        <v>-92.992952360549225</v>
      </c>
      <c r="AL10" s="34">
        <f t="shared" si="24"/>
        <v>92.992952360549225</v>
      </c>
      <c r="AM10" s="113">
        <f t="shared" si="25"/>
        <v>-9.046007038963932</v>
      </c>
      <c r="AN10" s="113">
        <f t="shared" si="26"/>
        <v>9.046007038963932</v>
      </c>
      <c r="AO10" s="113">
        <f t="shared" si="27"/>
        <v>1.9730952911989605</v>
      </c>
      <c r="AP10" s="34">
        <f t="shared" si="28"/>
        <v>1065.4142999999999</v>
      </c>
      <c r="AQ10" s="34">
        <f t="shared" si="29"/>
        <v>37.414299999999912</v>
      </c>
      <c r="AR10" s="34">
        <f t="shared" si="30"/>
        <v>37.414299999999912</v>
      </c>
      <c r="AS10" s="113">
        <f t="shared" si="31"/>
        <v>3.6395233463034935</v>
      </c>
      <c r="AT10" s="113">
        <f t="shared" si="32"/>
        <v>3.6395233463034935</v>
      </c>
      <c r="AU10" s="113">
        <f t="shared" si="33"/>
        <v>1.5844929237168166</v>
      </c>
      <c r="AV10" s="34">
        <f t="shared" si="34"/>
        <v>962.33277952529465</v>
      </c>
      <c r="AW10" s="34">
        <f t="shared" si="35"/>
        <v>-65.667220474705346</v>
      </c>
      <c r="AX10" s="34">
        <f t="shared" si="36"/>
        <v>65.667220474705346</v>
      </c>
      <c r="AY10" s="113">
        <f t="shared" si="37"/>
        <v>-6.3878619138818422</v>
      </c>
      <c r="AZ10" s="113">
        <f t="shared" si="38"/>
        <v>6.3878619138818422</v>
      </c>
      <c r="BA10" s="113">
        <f t="shared" si="39"/>
        <v>1.8239123486659623</v>
      </c>
      <c r="BB10" s="34">
        <f t="shared" si="40"/>
        <v>1018.9905652774856</v>
      </c>
      <c r="BC10" s="34">
        <f t="shared" si="41"/>
        <v>-9.0094347225143565</v>
      </c>
      <c r="BD10" s="34">
        <f t="shared" si="42"/>
        <v>9.0094347225143565</v>
      </c>
      <c r="BE10" s="113">
        <f t="shared" si="43"/>
        <v>-0.87640415588661069</v>
      </c>
      <c r="BF10" s="113">
        <f t="shared" si="44"/>
        <v>0.87640415588661069</v>
      </c>
      <c r="BG10" s="113">
        <f t="shared" si="45"/>
        <v>1.0004095516226972</v>
      </c>
      <c r="BH10" s="34">
        <f t="shared" si="46"/>
        <v>1006.6458556388822</v>
      </c>
      <c r="BI10" s="34">
        <f t="shared" si="47"/>
        <v>-21.354144361117847</v>
      </c>
      <c r="BJ10" s="34">
        <f t="shared" si="48"/>
        <v>21.354144361117847</v>
      </c>
      <c r="BK10" s="113">
        <f t="shared" si="49"/>
        <v>-2.0772513969958997</v>
      </c>
      <c r="BL10" s="113">
        <f t="shared" si="50"/>
        <v>2.0772513969958997</v>
      </c>
      <c r="BM10" s="113">
        <f t="shared" si="51"/>
        <v>1.3493580512402084</v>
      </c>
      <c r="BN10" s="34">
        <f t="shared" si="52"/>
        <v>1030.4347826086955</v>
      </c>
      <c r="BO10" s="34">
        <f t="shared" si="53"/>
        <v>2.4347826086955138</v>
      </c>
      <c r="BP10" s="34">
        <f t="shared" si="54"/>
        <v>2.4347826086955138</v>
      </c>
      <c r="BQ10" s="113">
        <f t="shared" si="55"/>
        <v>0.23684655726610054</v>
      </c>
      <c r="BR10" s="113">
        <f t="shared" si="56"/>
        <v>0.23684655726610054</v>
      </c>
      <c r="BS10" s="113">
        <f t="shared" si="57"/>
        <v>0.535899255272831</v>
      </c>
      <c r="BT10" s="34">
        <f t="shared" si="58"/>
        <v>1005.7207000000001</v>
      </c>
      <c r="BU10" s="34">
        <f t="shared" si="59"/>
        <v>-22.279299999999921</v>
      </c>
      <c r="BV10" s="34">
        <f t="shared" si="60"/>
        <v>22.279299999999921</v>
      </c>
      <c r="BW10" s="34">
        <f t="shared" si="61"/>
        <v>1003.7415575479736</v>
      </c>
      <c r="BX10" s="34">
        <f t="shared" si="62"/>
        <v>-24.258442452026429</v>
      </c>
      <c r="BY10" s="34">
        <f t="shared" si="63"/>
        <v>24.258442452026429</v>
      </c>
    </row>
    <row r="11" spans="1:77" ht="16" x14ac:dyDescent="0.2">
      <c r="A11" s="206" t="s">
        <v>465</v>
      </c>
      <c r="B11" t="s">
        <v>860</v>
      </c>
      <c r="C11" s="224" t="s">
        <v>824</v>
      </c>
      <c r="D11" s="35" t="s">
        <v>148</v>
      </c>
      <c r="E11" s="35" t="s">
        <v>494</v>
      </c>
      <c r="F11" s="35" t="s">
        <v>580</v>
      </c>
      <c r="G11" s="147">
        <v>1029</v>
      </c>
      <c r="H11" s="147">
        <v>1029</v>
      </c>
      <c r="I11" s="35" t="s">
        <v>626</v>
      </c>
      <c r="J11" s="147">
        <v>250</v>
      </c>
      <c r="K11" s="147">
        <v>241</v>
      </c>
      <c r="L11" s="28"/>
      <c r="M11" s="35" t="s">
        <v>488</v>
      </c>
      <c r="N11" s="33">
        <f t="shared" si="0"/>
        <v>1122.3399999999999</v>
      </c>
      <c r="O11" s="33">
        <f t="shared" si="1"/>
        <v>1006.88</v>
      </c>
      <c r="P11" s="33">
        <f t="shared" si="2"/>
        <v>1098.7129690031593</v>
      </c>
      <c r="Q11" s="33">
        <f t="shared" si="3"/>
        <v>1015.467</v>
      </c>
      <c r="R11" s="33">
        <f t="shared" si="4"/>
        <v>962.91767974553238</v>
      </c>
      <c r="S11" s="33">
        <f t="shared" si="5"/>
        <v>1021.3389813846983</v>
      </c>
      <c r="T11" s="33">
        <f t="shared" si="6"/>
        <v>1009.1517135026892</v>
      </c>
      <c r="U11" s="33">
        <f t="shared" si="7"/>
        <v>1041.6666666666667</v>
      </c>
      <c r="V11" s="33">
        <f t="shared" si="8"/>
        <v>1012.8650000000001</v>
      </c>
      <c r="W11" s="33">
        <f t="shared" si="9"/>
        <v>1012.0173105176449</v>
      </c>
      <c r="X11" s="34">
        <f t="shared" si="10"/>
        <v>1124.0017999999998</v>
      </c>
      <c r="Y11" s="34">
        <f t="shared" si="11"/>
        <v>95.001799999999776</v>
      </c>
      <c r="Z11" s="34">
        <f t="shared" si="12"/>
        <v>95.001799999999776</v>
      </c>
      <c r="AA11" s="113">
        <f t="shared" si="13"/>
        <v>9.2324392614188309</v>
      </c>
      <c r="AB11" s="113">
        <f t="shared" si="14"/>
        <v>9.2324392614188309</v>
      </c>
      <c r="AC11" s="113">
        <f t="shared" si="15"/>
        <v>1.9822793759847632</v>
      </c>
      <c r="AD11" s="34">
        <f t="shared" si="16"/>
        <v>1026.4659000000001</v>
      </c>
      <c r="AE11" s="34">
        <f t="shared" si="17"/>
        <v>-2.534099999999853</v>
      </c>
      <c r="AF11" s="34">
        <f t="shared" si="18"/>
        <v>2.534099999999853</v>
      </c>
      <c r="AG11" s="113">
        <f t="shared" si="19"/>
        <v>-0.24626822157432973</v>
      </c>
      <c r="AH11" s="113">
        <f t="shared" si="20"/>
        <v>0.24626822157432973</v>
      </c>
      <c r="AI11" s="113">
        <f t="shared" si="21"/>
        <v>0.54827883403143751</v>
      </c>
      <c r="AJ11" s="34">
        <f t="shared" si="22"/>
        <v>954.81592474782713</v>
      </c>
      <c r="AK11" s="34">
        <f t="shared" si="23"/>
        <v>-74.184075252172875</v>
      </c>
      <c r="AL11" s="34">
        <f t="shared" si="24"/>
        <v>74.184075252172875</v>
      </c>
      <c r="AM11" s="113">
        <f t="shared" si="25"/>
        <v>-7.2093367592004745</v>
      </c>
      <c r="AN11" s="113">
        <f t="shared" si="26"/>
        <v>7.2093367592004745</v>
      </c>
      <c r="AO11" s="113">
        <f t="shared" si="27"/>
        <v>1.8761258623669363</v>
      </c>
      <c r="AP11" s="34">
        <f t="shared" si="28"/>
        <v>1086.4458999999999</v>
      </c>
      <c r="AQ11" s="34">
        <f t="shared" si="29"/>
        <v>57.445899999999938</v>
      </c>
      <c r="AR11" s="34">
        <f t="shared" si="30"/>
        <v>57.445899999999938</v>
      </c>
      <c r="AS11" s="113">
        <f t="shared" si="31"/>
        <v>5.5826919339164176</v>
      </c>
      <c r="AT11" s="113">
        <f t="shared" si="32"/>
        <v>5.5826919339164176</v>
      </c>
      <c r="AU11" s="113">
        <f t="shared" si="33"/>
        <v>1.7667540506590311</v>
      </c>
      <c r="AV11" s="34">
        <f t="shared" si="34"/>
        <v>982.03659265130682</v>
      </c>
      <c r="AW11" s="34">
        <f t="shared" si="35"/>
        <v>-46.963407348693181</v>
      </c>
      <c r="AX11" s="34">
        <f t="shared" si="36"/>
        <v>46.963407348693181</v>
      </c>
      <c r="AY11" s="113">
        <f t="shared" si="37"/>
        <v>-4.5639851650819425</v>
      </c>
      <c r="AZ11" s="113">
        <f t="shared" si="38"/>
        <v>4.5639851650819425</v>
      </c>
      <c r="BA11" s="113">
        <f t="shared" si="39"/>
        <v>1.6809100280584093</v>
      </c>
      <c r="BB11" s="34">
        <f t="shared" si="40"/>
        <v>1037.8723046488305</v>
      </c>
      <c r="BC11" s="34">
        <f t="shared" si="41"/>
        <v>8.8723046488305499</v>
      </c>
      <c r="BD11" s="34">
        <f t="shared" si="42"/>
        <v>8.8723046488305499</v>
      </c>
      <c r="BE11" s="113">
        <f t="shared" si="43"/>
        <v>0.8622259133946113</v>
      </c>
      <c r="BF11" s="113">
        <f t="shared" si="44"/>
        <v>0.8622259133946113</v>
      </c>
      <c r="BG11" s="113">
        <f t="shared" si="45"/>
        <v>0.99441854876215807</v>
      </c>
      <c r="BH11" s="34">
        <f t="shared" si="46"/>
        <v>1026.088523212542</v>
      </c>
      <c r="BI11" s="34">
        <f t="shared" si="47"/>
        <v>-2.9114767874580139</v>
      </c>
      <c r="BJ11" s="34">
        <f t="shared" si="48"/>
        <v>2.9114767874580139</v>
      </c>
      <c r="BK11" s="113">
        <f t="shared" si="49"/>
        <v>-0.28294235057901007</v>
      </c>
      <c r="BL11" s="113">
        <f t="shared" si="50"/>
        <v>0.28294235057901007</v>
      </c>
      <c r="BM11" s="113">
        <f t="shared" si="51"/>
        <v>0.59234075728207991</v>
      </c>
      <c r="BN11" s="34">
        <f t="shared" si="52"/>
        <v>1047.8260869565217</v>
      </c>
      <c r="BO11" s="34">
        <f t="shared" si="53"/>
        <v>18.826086956521749</v>
      </c>
      <c r="BP11" s="34">
        <f t="shared" si="54"/>
        <v>18.826086956521749</v>
      </c>
      <c r="BQ11" s="113">
        <f t="shared" si="55"/>
        <v>1.8295516964549805</v>
      </c>
      <c r="BR11" s="113">
        <f t="shared" si="56"/>
        <v>1.8295516964549805</v>
      </c>
      <c r="BS11" s="113">
        <f t="shared" si="57"/>
        <v>1.2972370066468424</v>
      </c>
      <c r="BT11" s="34">
        <f t="shared" si="58"/>
        <v>1024.1731</v>
      </c>
      <c r="BU11" s="34">
        <f t="shared" si="59"/>
        <v>-4.8269000000000233</v>
      </c>
      <c r="BV11" s="34">
        <f t="shared" si="60"/>
        <v>4.8269000000000233</v>
      </c>
      <c r="BW11" s="34">
        <f t="shared" si="61"/>
        <v>1021.5282996540647</v>
      </c>
      <c r="BX11" s="34">
        <f t="shared" si="62"/>
        <v>-7.4717003459353464</v>
      </c>
      <c r="BY11" s="34">
        <f t="shared" si="63"/>
        <v>7.4717003459353464</v>
      </c>
    </row>
    <row r="12" spans="1:77" ht="15" x14ac:dyDescent="0.2">
      <c r="A12" s="206" t="s">
        <v>465</v>
      </c>
      <c r="B12" t="s">
        <v>897</v>
      </c>
      <c r="C12" s="224" t="s">
        <v>824</v>
      </c>
      <c r="D12" s="35" t="s">
        <v>148</v>
      </c>
      <c r="E12" s="35" t="s">
        <v>494</v>
      </c>
      <c r="F12" s="35" t="s">
        <v>580</v>
      </c>
      <c r="G12">
        <v>1031</v>
      </c>
      <c r="H12">
        <v>1031</v>
      </c>
      <c r="I12" s="35" t="s">
        <v>626</v>
      </c>
      <c r="J12">
        <v>244</v>
      </c>
      <c r="K12">
        <v>234</v>
      </c>
      <c r="L12" s="28"/>
      <c r="M12" s="35" t="s">
        <v>488</v>
      </c>
      <c r="N12" s="33">
        <f t="shared" si="0"/>
        <v>1098.3196</v>
      </c>
      <c r="O12" s="33">
        <f t="shared" si="1"/>
        <v>973.34600000000012</v>
      </c>
      <c r="P12" s="33">
        <f t="shared" si="2"/>
        <v>1067.2112815134062</v>
      </c>
      <c r="Q12" s="33">
        <f t="shared" si="3"/>
        <v>986.75879999999995</v>
      </c>
      <c r="R12" s="33">
        <f t="shared" si="4"/>
        <v>935.01070344248296</v>
      </c>
      <c r="S12" s="33">
        <f t="shared" si="5"/>
        <v>994.48069715238523</v>
      </c>
      <c r="T12" s="33">
        <f t="shared" si="6"/>
        <v>981.51649717891257</v>
      </c>
      <c r="U12" s="33">
        <f t="shared" si="7"/>
        <v>1016.6666666666667</v>
      </c>
      <c r="V12" s="33">
        <f t="shared" si="8"/>
        <v>986.5544000000001</v>
      </c>
      <c r="W12" s="33">
        <f t="shared" si="9"/>
        <v>986.70725406755923</v>
      </c>
      <c r="X12" s="34">
        <f t="shared" si="10"/>
        <v>1094.8832</v>
      </c>
      <c r="Y12" s="34">
        <f t="shared" si="11"/>
        <v>63.883199999999988</v>
      </c>
      <c r="Z12" s="34">
        <f t="shared" si="12"/>
        <v>63.883199999999988</v>
      </c>
      <c r="AA12" s="113">
        <f t="shared" si="13"/>
        <v>6.1962366634335586</v>
      </c>
      <c r="AB12" s="113">
        <f t="shared" si="14"/>
        <v>6.1962366634335586</v>
      </c>
      <c r="AC12" s="113">
        <f t="shared" si="15"/>
        <v>1.81213226087127</v>
      </c>
      <c r="AD12" s="34">
        <f t="shared" si="16"/>
        <v>988.24660000000006</v>
      </c>
      <c r="AE12" s="34">
        <f t="shared" si="17"/>
        <v>-42.753399999999942</v>
      </c>
      <c r="AF12" s="34">
        <f t="shared" si="18"/>
        <v>42.753399999999942</v>
      </c>
      <c r="AG12" s="113">
        <f t="shared" si="19"/>
        <v>-4.1467895247332631</v>
      </c>
      <c r="AH12" s="113">
        <f t="shared" si="20"/>
        <v>4.1467895247332631</v>
      </c>
      <c r="AI12" s="113">
        <f t="shared" si="21"/>
        <v>1.6410118069323871</v>
      </c>
      <c r="AJ12" s="34">
        <f t="shared" si="22"/>
        <v>920.20563664016095</v>
      </c>
      <c r="AK12" s="34">
        <f t="shared" si="23"/>
        <v>-110.79436335983905</v>
      </c>
      <c r="AL12" s="34">
        <f t="shared" si="24"/>
        <v>110.79436335983905</v>
      </c>
      <c r="AM12" s="113">
        <f t="shared" si="25"/>
        <v>-10.74630100483405</v>
      </c>
      <c r="AN12" s="113">
        <f t="shared" si="26"/>
        <v>10.74630100483405</v>
      </c>
      <c r="AO12" s="113">
        <f t="shared" si="27"/>
        <v>2.0484199070975415</v>
      </c>
      <c r="AP12" s="34">
        <f t="shared" si="28"/>
        <v>1049.6405999999999</v>
      </c>
      <c r="AQ12" s="34">
        <f t="shared" si="29"/>
        <v>18.640599999999949</v>
      </c>
      <c r="AR12" s="34">
        <f t="shared" si="30"/>
        <v>18.640599999999949</v>
      </c>
      <c r="AS12" s="113">
        <f t="shared" si="31"/>
        <v>1.8080116391852523</v>
      </c>
      <c r="AT12" s="113">
        <f t="shared" si="32"/>
        <v>1.8080116391852523</v>
      </c>
      <c r="AU12" s="113">
        <f t="shared" si="33"/>
        <v>1.2931547509004677</v>
      </c>
      <c r="AV12" s="34">
        <f t="shared" si="34"/>
        <v>947.60083673963652</v>
      </c>
      <c r="AW12" s="34">
        <f t="shared" si="35"/>
        <v>-83.39916326036348</v>
      </c>
      <c r="AX12" s="34">
        <f t="shared" si="36"/>
        <v>83.39916326036348</v>
      </c>
      <c r="AY12" s="113">
        <f t="shared" si="37"/>
        <v>-8.0891525955735677</v>
      </c>
      <c r="AZ12" s="113">
        <f t="shared" si="38"/>
        <v>8.0891525955735677</v>
      </c>
      <c r="BA12" s="113">
        <f t="shared" si="39"/>
        <v>1.926338141018922</v>
      </c>
      <c r="BB12" s="34">
        <f t="shared" si="40"/>
        <v>1004.8495050857928</v>
      </c>
      <c r="BC12" s="34">
        <f t="shared" si="41"/>
        <v>-26.150494914207229</v>
      </c>
      <c r="BD12" s="34">
        <f t="shared" si="42"/>
        <v>26.150494914207229</v>
      </c>
      <c r="BE12" s="113">
        <f t="shared" si="43"/>
        <v>-2.536420457246094</v>
      </c>
      <c r="BF12" s="113">
        <f t="shared" si="44"/>
        <v>2.536420457246094</v>
      </c>
      <c r="BG12" s="113">
        <f t="shared" si="45"/>
        <v>1.4337777505565488</v>
      </c>
      <c r="BH12" s="34">
        <f t="shared" si="46"/>
        <v>992.09457636409627</v>
      </c>
      <c r="BI12" s="34">
        <f t="shared" si="47"/>
        <v>-38.90542363590373</v>
      </c>
      <c r="BJ12" s="34">
        <f t="shared" si="48"/>
        <v>38.90542363590373</v>
      </c>
      <c r="BK12" s="113">
        <f t="shared" si="49"/>
        <v>-3.7735619433466274</v>
      </c>
      <c r="BL12" s="113">
        <f t="shared" si="50"/>
        <v>3.7735619433466274</v>
      </c>
      <c r="BM12" s="113">
        <f t="shared" si="51"/>
        <v>1.6010319256383769</v>
      </c>
      <c r="BN12" s="34">
        <f t="shared" si="52"/>
        <v>1017.391304347826</v>
      </c>
      <c r="BO12" s="34">
        <f t="shared" si="53"/>
        <v>-13.608695652173992</v>
      </c>
      <c r="BP12" s="34">
        <f t="shared" si="54"/>
        <v>13.608695652173992</v>
      </c>
      <c r="BQ12" s="113">
        <f t="shared" si="55"/>
        <v>-1.3199510816851592</v>
      </c>
      <c r="BR12" s="113">
        <f t="shared" si="56"/>
        <v>1.3199510816851592</v>
      </c>
      <c r="BS12" s="113">
        <f t="shared" si="57"/>
        <v>1.1646114413722535</v>
      </c>
      <c r="BT12" s="34">
        <f t="shared" si="58"/>
        <v>991.88139999999999</v>
      </c>
      <c r="BU12" s="34">
        <f t="shared" si="59"/>
        <v>-39.118600000000015</v>
      </c>
      <c r="BV12" s="34">
        <f t="shared" si="60"/>
        <v>39.118600000000015</v>
      </c>
      <c r="BW12" s="34">
        <f t="shared" si="61"/>
        <v>990.41123598410513</v>
      </c>
      <c r="BX12" s="34">
        <f t="shared" si="62"/>
        <v>-40.588764015894867</v>
      </c>
      <c r="BY12" s="34">
        <f t="shared" si="63"/>
        <v>40.588764015894867</v>
      </c>
    </row>
    <row r="13" spans="1:77" ht="16" x14ac:dyDescent="0.2">
      <c r="A13" s="206" t="s">
        <v>465</v>
      </c>
      <c r="B13" t="s">
        <v>861</v>
      </c>
      <c r="C13" s="224" t="s">
        <v>824</v>
      </c>
      <c r="D13" s="35" t="s">
        <v>148</v>
      </c>
      <c r="E13" s="35" t="s">
        <v>494</v>
      </c>
      <c r="F13" s="35" t="s">
        <v>580</v>
      </c>
      <c r="G13" s="147">
        <v>1055</v>
      </c>
      <c r="H13" s="147">
        <v>1055</v>
      </c>
      <c r="I13" s="35" t="s">
        <v>626</v>
      </c>
      <c r="J13" s="147">
        <v>265</v>
      </c>
      <c r="K13" s="147">
        <v>252</v>
      </c>
      <c r="L13" s="28"/>
      <c r="M13" s="35" t="s">
        <v>488</v>
      </c>
      <c r="N13" s="33">
        <f t="shared" si="0"/>
        <v>1182.3910000000001</v>
      </c>
      <c r="O13" s="33">
        <f t="shared" si="1"/>
        <v>1090.7150000000001</v>
      </c>
      <c r="P13" s="33">
        <f t="shared" si="2"/>
        <v>1178.1159195567418</v>
      </c>
      <c r="Q13" s="33">
        <f t="shared" si="3"/>
        <v>1087.2375</v>
      </c>
      <c r="R13" s="33">
        <f t="shared" si="4"/>
        <v>1033.2982799846441</v>
      </c>
      <c r="S13" s="33">
        <f t="shared" si="5"/>
        <v>1088.7557010352145</v>
      </c>
      <c r="T13" s="33">
        <f t="shared" si="6"/>
        <v>1078.6512869165899</v>
      </c>
      <c r="U13" s="33">
        <f t="shared" si="7"/>
        <v>1104.1666666666667</v>
      </c>
      <c r="V13" s="33">
        <f t="shared" si="8"/>
        <v>1078.6415</v>
      </c>
      <c r="W13" s="33">
        <f t="shared" si="9"/>
        <v>1075.404467425406</v>
      </c>
      <c r="X13" s="34">
        <f t="shared" si="10"/>
        <v>1169.7595999999999</v>
      </c>
      <c r="Y13" s="34">
        <f t="shared" si="11"/>
        <v>114.75959999999986</v>
      </c>
      <c r="Z13" s="34">
        <f t="shared" si="12"/>
        <v>114.75959999999986</v>
      </c>
      <c r="AA13" s="113">
        <f t="shared" si="13"/>
        <v>10.877687203791456</v>
      </c>
      <c r="AB13" s="113">
        <f t="shared" si="14"/>
        <v>10.877687203791456</v>
      </c>
      <c r="AC13" s="113">
        <f t="shared" si="15"/>
        <v>2.06355701743637</v>
      </c>
      <c r="AD13" s="34">
        <f t="shared" si="16"/>
        <v>1086.5248000000001</v>
      </c>
      <c r="AE13" s="34">
        <f t="shared" si="17"/>
        <v>31.524800000000141</v>
      </c>
      <c r="AF13" s="34">
        <f t="shared" si="18"/>
        <v>31.524800000000141</v>
      </c>
      <c r="AG13" s="113">
        <f t="shared" si="19"/>
        <v>2.9881327014218142</v>
      </c>
      <c r="AH13" s="113">
        <f t="shared" si="20"/>
        <v>2.9881327014218142</v>
      </c>
      <c r="AI13" s="113">
        <f t="shared" si="21"/>
        <v>1.5122146346982397</v>
      </c>
      <c r="AJ13" s="34">
        <f t="shared" si="22"/>
        <v>1009.7164310456532</v>
      </c>
      <c r="AK13" s="34">
        <f t="shared" si="23"/>
        <v>-45.283568954346833</v>
      </c>
      <c r="AL13" s="34">
        <f t="shared" si="24"/>
        <v>45.283568954346833</v>
      </c>
      <c r="AM13" s="113">
        <f t="shared" si="25"/>
        <v>-4.2922814174736335</v>
      </c>
      <c r="AN13" s="113">
        <f t="shared" si="26"/>
        <v>4.2922814174736335</v>
      </c>
      <c r="AO13" s="113">
        <f t="shared" si="27"/>
        <v>1.6654268402844141</v>
      </c>
      <c r="AP13" s="34">
        <f t="shared" si="28"/>
        <v>1144.2828</v>
      </c>
      <c r="AQ13" s="34">
        <f t="shared" si="29"/>
        <v>89.282799999999952</v>
      </c>
      <c r="AR13" s="34">
        <f t="shared" si="30"/>
        <v>89.282799999999952</v>
      </c>
      <c r="AS13" s="113">
        <f t="shared" si="31"/>
        <v>8.4628246445497588</v>
      </c>
      <c r="AT13" s="113">
        <f t="shared" si="32"/>
        <v>8.4628246445497588</v>
      </c>
      <c r="AU13" s="113">
        <f t="shared" si="33"/>
        <v>1.9556050196756893</v>
      </c>
      <c r="AV13" s="34">
        <f t="shared" si="34"/>
        <v>1036.5758514570718</v>
      </c>
      <c r="AW13" s="34">
        <f t="shared" si="35"/>
        <v>-18.424148542928151</v>
      </c>
      <c r="AX13" s="34">
        <f t="shared" si="36"/>
        <v>18.424148542928151</v>
      </c>
      <c r="AY13" s="113">
        <f t="shared" si="37"/>
        <v>-1.7463647907988771</v>
      </c>
      <c r="AZ13" s="113">
        <f t="shared" si="38"/>
        <v>1.7463647907988771</v>
      </c>
      <c r="BA13" s="113">
        <f t="shared" si="39"/>
        <v>1.2883419906022966</v>
      </c>
      <c r="BB13" s="34">
        <f t="shared" si="40"/>
        <v>1089.9526223552932</v>
      </c>
      <c r="BC13" s="34">
        <f t="shared" si="41"/>
        <v>34.952622355293215</v>
      </c>
      <c r="BD13" s="34">
        <f t="shared" si="42"/>
        <v>34.952622355293215</v>
      </c>
      <c r="BE13" s="113">
        <f t="shared" si="43"/>
        <v>3.313044773013575</v>
      </c>
      <c r="BF13" s="113">
        <f t="shared" si="44"/>
        <v>3.313044773013575</v>
      </c>
      <c r="BG13" s="113">
        <f t="shared" si="45"/>
        <v>1.5557305729636339</v>
      </c>
      <c r="BH13" s="34">
        <f t="shared" si="46"/>
        <v>1079.7921565822337</v>
      </c>
      <c r="BI13" s="34">
        <f t="shared" si="47"/>
        <v>24.792156582233702</v>
      </c>
      <c r="BJ13" s="34">
        <f t="shared" si="48"/>
        <v>24.792156582233702</v>
      </c>
      <c r="BK13" s="113">
        <f t="shared" si="49"/>
        <v>2.3499674485529578</v>
      </c>
      <c r="BL13" s="113">
        <f t="shared" si="50"/>
        <v>2.3499674485529578</v>
      </c>
      <c r="BM13" s="113">
        <f t="shared" si="51"/>
        <v>1.4114876567019834</v>
      </c>
      <c r="BN13" s="34">
        <f t="shared" si="52"/>
        <v>1095.6521739130435</v>
      </c>
      <c r="BO13" s="34">
        <f t="shared" si="53"/>
        <v>40.652173913043498</v>
      </c>
      <c r="BP13" s="34">
        <f t="shared" si="54"/>
        <v>40.652173913043498</v>
      </c>
      <c r="BQ13" s="113">
        <f t="shared" si="55"/>
        <v>3.8532866268287678</v>
      </c>
      <c r="BR13" s="113">
        <f t="shared" si="56"/>
        <v>3.8532866268287678</v>
      </c>
      <c r="BS13" s="113">
        <f t="shared" si="57"/>
        <v>1.6196376730609516</v>
      </c>
      <c r="BT13" s="34">
        <f t="shared" si="58"/>
        <v>1074.9172000000001</v>
      </c>
      <c r="BU13" s="34">
        <f t="shared" si="59"/>
        <v>19.917200000000093</v>
      </c>
      <c r="BV13" s="34">
        <f t="shared" si="60"/>
        <v>19.917200000000093</v>
      </c>
      <c r="BW13" s="34">
        <f t="shared" si="61"/>
        <v>1070.5165452477484</v>
      </c>
      <c r="BX13" s="34">
        <f t="shared" si="62"/>
        <v>15.516545247748354</v>
      </c>
      <c r="BY13" s="34">
        <f t="shared" si="63"/>
        <v>15.516545247748354</v>
      </c>
    </row>
    <row r="14" spans="1:77" ht="15" x14ac:dyDescent="0.2">
      <c r="A14" s="206" t="s">
        <v>465</v>
      </c>
      <c r="B14" t="s">
        <v>887</v>
      </c>
      <c r="C14" s="224" t="s">
        <v>824</v>
      </c>
      <c r="D14" s="35" t="s">
        <v>148</v>
      </c>
      <c r="E14" s="225" t="s">
        <v>494</v>
      </c>
      <c r="F14" s="35" t="s">
        <v>580</v>
      </c>
      <c r="G14">
        <v>1056</v>
      </c>
      <c r="H14">
        <v>1056</v>
      </c>
      <c r="I14" s="35" t="s">
        <v>626</v>
      </c>
      <c r="J14">
        <v>257</v>
      </c>
      <c r="K14">
        <v>244</v>
      </c>
      <c r="L14" s="28"/>
      <c r="M14" s="35" t="s">
        <v>488</v>
      </c>
      <c r="N14" s="33">
        <f t="shared" si="0"/>
        <v>1150.3638000000001</v>
      </c>
      <c r="O14" s="33">
        <f t="shared" si="1"/>
        <v>1046.0030000000002</v>
      </c>
      <c r="P14" s="33">
        <f t="shared" si="2"/>
        <v>1135.6539235579762</v>
      </c>
      <c r="Q14" s="33">
        <f t="shared" si="3"/>
        <v>1048.9598999999998</v>
      </c>
      <c r="R14" s="33">
        <f t="shared" si="4"/>
        <v>995.65441748754699</v>
      </c>
      <c r="S14" s="33">
        <f t="shared" si="5"/>
        <v>1052.7526776168315</v>
      </c>
      <c r="T14" s="33">
        <f t="shared" si="6"/>
        <v>1041.5127527546599</v>
      </c>
      <c r="U14" s="33">
        <f t="shared" si="7"/>
        <v>1070.8333333333335</v>
      </c>
      <c r="V14" s="33">
        <f t="shared" si="8"/>
        <v>1043.5607</v>
      </c>
      <c r="W14" s="33">
        <f t="shared" si="9"/>
        <v>1041.5783939507119</v>
      </c>
      <c r="X14" s="34">
        <f t="shared" si="10"/>
        <v>1136.4811999999999</v>
      </c>
      <c r="Y14" s="34">
        <f t="shared" si="11"/>
        <v>80.481199999999944</v>
      </c>
      <c r="Z14" s="34">
        <f t="shared" si="12"/>
        <v>80.481199999999944</v>
      </c>
      <c r="AA14" s="113">
        <f t="shared" si="13"/>
        <v>7.621325757575752</v>
      </c>
      <c r="AB14" s="113">
        <f t="shared" si="14"/>
        <v>7.621325757575752</v>
      </c>
      <c r="AC14" s="113">
        <f t="shared" si="15"/>
        <v>1.9110574163705989</v>
      </c>
      <c r="AD14" s="34">
        <f t="shared" si="16"/>
        <v>1042.8456000000001</v>
      </c>
      <c r="AE14" s="34">
        <f t="shared" si="17"/>
        <v>-13.154399999999896</v>
      </c>
      <c r="AF14" s="34">
        <f t="shared" si="18"/>
        <v>13.154399999999896</v>
      </c>
      <c r="AG14" s="113">
        <f t="shared" si="19"/>
        <v>-1.2456818181818083</v>
      </c>
      <c r="AH14" s="113">
        <f t="shared" si="20"/>
        <v>1.2456818181818083</v>
      </c>
      <c r="AI14" s="113">
        <f t="shared" si="21"/>
        <v>1.1508914645021118</v>
      </c>
      <c r="AJ14" s="34">
        <f t="shared" si="22"/>
        <v>969.72725646675701</v>
      </c>
      <c r="AK14" s="34">
        <f t="shared" si="23"/>
        <v>-86.272743533242988</v>
      </c>
      <c r="AL14" s="34">
        <f t="shared" si="24"/>
        <v>86.272743533242988</v>
      </c>
      <c r="AM14" s="113">
        <f t="shared" si="25"/>
        <v>-8.1697673800419501</v>
      </c>
      <c r="AN14" s="113">
        <f t="shared" si="26"/>
        <v>8.1697673800419501</v>
      </c>
      <c r="AO14" s="113">
        <f t="shared" si="27"/>
        <v>1.9408786287983928</v>
      </c>
      <c r="AP14" s="34">
        <f t="shared" si="28"/>
        <v>1102.2195999999999</v>
      </c>
      <c r="AQ14" s="34">
        <f t="shared" si="29"/>
        <v>46.2195999999999</v>
      </c>
      <c r="AR14" s="34">
        <f t="shared" si="30"/>
        <v>46.2195999999999</v>
      </c>
      <c r="AS14" s="113">
        <f t="shared" si="31"/>
        <v>4.3768560606060509</v>
      </c>
      <c r="AT14" s="113">
        <f t="shared" si="32"/>
        <v>4.3768560606060509</v>
      </c>
      <c r="AU14" s="113">
        <f t="shared" si="33"/>
        <v>1.6741223038242714</v>
      </c>
      <c r="AV14" s="34">
        <f t="shared" si="34"/>
        <v>996.85986700632316</v>
      </c>
      <c r="AW14" s="34">
        <f t="shared" si="35"/>
        <v>-59.140132993676843</v>
      </c>
      <c r="AX14" s="34">
        <f t="shared" si="36"/>
        <v>59.140132993676843</v>
      </c>
      <c r="AY14" s="113">
        <f t="shared" si="37"/>
        <v>-5.6003913819769737</v>
      </c>
      <c r="AZ14" s="113">
        <f t="shared" si="38"/>
        <v>5.6003913819769737</v>
      </c>
      <c r="BA14" s="113">
        <f t="shared" si="39"/>
        <v>1.779164384162838</v>
      </c>
      <c r="BB14" s="34">
        <f t="shared" si="40"/>
        <v>1052.053600132547</v>
      </c>
      <c r="BC14" s="34">
        <f t="shared" si="41"/>
        <v>-3.9463998674530103</v>
      </c>
      <c r="BD14" s="34">
        <f t="shared" si="42"/>
        <v>3.9463998674530103</v>
      </c>
      <c r="BE14" s="113">
        <f t="shared" si="43"/>
        <v>-0.37371210866032295</v>
      </c>
      <c r="BF14" s="113">
        <f t="shared" si="44"/>
        <v>0.37371210866032295</v>
      </c>
      <c r="BG14" s="113">
        <f t="shared" si="45"/>
        <v>0.69428922185317798</v>
      </c>
      <c r="BH14" s="34">
        <f t="shared" si="46"/>
        <v>1040.7008802552009</v>
      </c>
      <c r="BI14" s="34">
        <f t="shared" si="47"/>
        <v>-15.2991197447991</v>
      </c>
      <c r="BJ14" s="34">
        <f t="shared" si="48"/>
        <v>15.2991197447991</v>
      </c>
      <c r="BK14" s="113">
        <f t="shared" si="49"/>
        <v>-1.4487802788635511</v>
      </c>
      <c r="BL14" s="113">
        <f t="shared" si="50"/>
        <v>1.4487802788635511</v>
      </c>
      <c r="BM14" s="113">
        <f t="shared" si="51"/>
        <v>1.212164150397868</v>
      </c>
      <c r="BN14" s="34">
        <f t="shared" si="52"/>
        <v>1060.8695652173913</v>
      </c>
      <c r="BO14" s="34">
        <f t="shared" si="53"/>
        <v>4.8695652173912549</v>
      </c>
      <c r="BP14" s="34">
        <f t="shared" si="54"/>
        <v>4.8695652173912549</v>
      </c>
      <c r="BQ14" s="113">
        <f t="shared" si="55"/>
        <v>0.46113306982871732</v>
      </c>
      <c r="BR14" s="113">
        <f t="shared" si="56"/>
        <v>0.46113306982871732</v>
      </c>
      <c r="BS14" s="113">
        <f t="shared" si="57"/>
        <v>0.7686059324774096</v>
      </c>
      <c r="BT14" s="34">
        <f t="shared" si="58"/>
        <v>1038.0124000000001</v>
      </c>
      <c r="BU14" s="34">
        <f t="shared" si="59"/>
        <v>-17.987599999999929</v>
      </c>
      <c r="BV14" s="34">
        <f t="shared" si="60"/>
        <v>17.987599999999929</v>
      </c>
      <c r="BW14" s="34">
        <f t="shared" si="61"/>
        <v>1034.8779630370389</v>
      </c>
      <c r="BX14" s="34">
        <f t="shared" si="62"/>
        <v>-21.122036962961147</v>
      </c>
      <c r="BY14" s="34">
        <f t="shared" si="63"/>
        <v>21.122036962961147</v>
      </c>
    </row>
    <row r="15" spans="1:77" ht="16" x14ac:dyDescent="0.2">
      <c r="A15" s="206" t="s">
        <v>465</v>
      </c>
      <c r="B15" t="s">
        <v>845</v>
      </c>
      <c r="C15" s="224" t="s">
        <v>824</v>
      </c>
      <c r="D15" s="35" t="s">
        <v>148</v>
      </c>
      <c r="E15" s="225" t="s">
        <v>494</v>
      </c>
      <c r="F15" s="35" t="s">
        <v>580</v>
      </c>
      <c r="G15" s="147">
        <v>1059</v>
      </c>
      <c r="H15" s="147">
        <v>1059</v>
      </c>
      <c r="I15" s="35" t="s">
        <v>626</v>
      </c>
      <c r="J15" s="147">
        <v>255</v>
      </c>
      <c r="K15" s="147">
        <v>247</v>
      </c>
      <c r="L15" s="28"/>
      <c r="M15" s="35" t="s">
        <v>488</v>
      </c>
      <c r="N15" s="33">
        <f t="shared" si="0"/>
        <v>1142.357</v>
      </c>
      <c r="O15" s="33">
        <f t="shared" si="1"/>
        <v>1034.8250000000003</v>
      </c>
      <c r="P15" s="33">
        <f t="shared" si="2"/>
        <v>1125.078839543567</v>
      </c>
      <c r="Q15" s="33">
        <f t="shared" si="3"/>
        <v>1039.3905</v>
      </c>
      <c r="R15" s="33">
        <f t="shared" si="4"/>
        <v>986.28166267386018</v>
      </c>
      <c r="S15" s="33">
        <f t="shared" si="5"/>
        <v>1043.7687649486713</v>
      </c>
      <c r="T15" s="33">
        <f t="shared" si="6"/>
        <v>1032.2537238943391</v>
      </c>
      <c r="U15" s="33">
        <f t="shared" si="7"/>
        <v>1062.5</v>
      </c>
      <c r="V15" s="33">
        <f t="shared" si="8"/>
        <v>1034.7905000000001</v>
      </c>
      <c r="W15" s="33">
        <f t="shared" si="9"/>
        <v>1033.1288283544895</v>
      </c>
      <c r="X15" s="34">
        <f t="shared" si="10"/>
        <v>1148.9605999999999</v>
      </c>
      <c r="Y15" s="34">
        <f t="shared" si="11"/>
        <v>89.960599999999886</v>
      </c>
      <c r="Z15" s="34">
        <f t="shared" si="12"/>
        <v>89.960599999999886</v>
      </c>
      <c r="AA15" s="113">
        <f t="shared" si="13"/>
        <v>8.4948630783758148</v>
      </c>
      <c r="AB15" s="113">
        <f t="shared" si="14"/>
        <v>8.4948630783758148</v>
      </c>
      <c r="AC15" s="113">
        <f t="shared" si="15"/>
        <v>1.9588533164095561</v>
      </c>
      <c r="AD15" s="34">
        <f t="shared" si="16"/>
        <v>1059.2253000000001</v>
      </c>
      <c r="AE15" s="34">
        <f t="shared" si="17"/>
        <v>0.22530000000006112</v>
      </c>
      <c r="AF15" s="34">
        <f t="shared" si="18"/>
        <v>0.22530000000006112</v>
      </c>
      <c r="AG15" s="113">
        <f t="shared" si="19"/>
        <v>2.1274787535416537E-2</v>
      </c>
      <c r="AH15" s="113">
        <f t="shared" si="20"/>
        <v>2.1274787535416537E-2</v>
      </c>
      <c r="AI15" s="113">
        <f t="shared" si="21"/>
        <v>8.824243351159361E-2</v>
      </c>
      <c r="AJ15" s="34">
        <f t="shared" si="22"/>
        <v>984.68497188241361</v>
      </c>
      <c r="AK15" s="34">
        <f t="shared" si="23"/>
        <v>-74.315028117586394</v>
      </c>
      <c r="AL15" s="34">
        <f t="shared" si="24"/>
        <v>74.315028117586394</v>
      </c>
      <c r="AM15" s="113">
        <f t="shared" si="25"/>
        <v>-7.0174719657777525</v>
      </c>
      <c r="AN15" s="113">
        <f t="shared" si="26"/>
        <v>7.0174719657777525</v>
      </c>
      <c r="AO15" s="113">
        <f t="shared" si="27"/>
        <v>1.876881642566526</v>
      </c>
      <c r="AP15" s="34">
        <f t="shared" si="28"/>
        <v>1117.9932999999999</v>
      </c>
      <c r="AQ15" s="34">
        <f t="shared" si="29"/>
        <v>58.993299999999863</v>
      </c>
      <c r="AR15" s="34">
        <f t="shared" si="30"/>
        <v>58.993299999999863</v>
      </c>
      <c r="AS15" s="113">
        <f t="shared" si="31"/>
        <v>5.5706610009442743</v>
      </c>
      <c r="AT15" s="113">
        <f t="shared" si="32"/>
        <v>5.5706610009442743</v>
      </c>
      <c r="AU15" s="113">
        <f t="shared" si="33"/>
        <v>1.7781027514585896</v>
      </c>
      <c r="AV15" s="34">
        <f t="shared" si="34"/>
        <v>1011.7216476169904</v>
      </c>
      <c r="AW15" s="34">
        <f t="shared" si="35"/>
        <v>-47.278352383009633</v>
      </c>
      <c r="AX15" s="34">
        <f t="shared" si="36"/>
        <v>47.278352383009633</v>
      </c>
      <c r="AY15" s="113">
        <f t="shared" si="37"/>
        <v>-4.464433652786556</v>
      </c>
      <c r="AZ15" s="113">
        <f t="shared" si="38"/>
        <v>4.464433652786556</v>
      </c>
      <c r="BA15" s="113">
        <f t="shared" si="39"/>
        <v>1.6837524403155968</v>
      </c>
      <c r="BB15" s="34">
        <f t="shared" si="40"/>
        <v>1066.2518190500787</v>
      </c>
      <c r="BC15" s="34">
        <f t="shared" si="41"/>
        <v>7.2518190500786659</v>
      </c>
      <c r="BD15" s="34">
        <f t="shared" si="42"/>
        <v>7.2518190500786659</v>
      </c>
      <c r="BE15" s="113">
        <f t="shared" si="43"/>
        <v>0.68477989141441598</v>
      </c>
      <c r="BF15" s="113">
        <f t="shared" si="44"/>
        <v>0.68477989141441598</v>
      </c>
      <c r="BG15" s="113">
        <f t="shared" si="45"/>
        <v>0.91654969598386227</v>
      </c>
      <c r="BH15" s="34">
        <f t="shared" si="46"/>
        <v>1055.3389518967106</v>
      </c>
      <c r="BI15" s="34">
        <f t="shared" si="47"/>
        <v>-3.6610481032894313</v>
      </c>
      <c r="BJ15" s="34">
        <f t="shared" si="48"/>
        <v>3.6610481032894313</v>
      </c>
      <c r="BK15" s="113">
        <f t="shared" si="49"/>
        <v>-0.34570803619352514</v>
      </c>
      <c r="BL15" s="113">
        <f t="shared" si="50"/>
        <v>0.34570803619352514</v>
      </c>
      <c r="BM15" s="113">
        <f t="shared" si="51"/>
        <v>0.66848358499337956</v>
      </c>
      <c r="BN15" s="34">
        <f t="shared" si="52"/>
        <v>1073.9130434782608</v>
      </c>
      <c r="BO15" s="34">
        <f t="shared" si="53"/>
        <v>14.913043478260761</v>
      </c>
      <c r="BP15" s="34">
        <f t="shared" si="54"/>
        <v>14.913043478260761</v>
      </c>
      <c r="BQ15" s="113">
        <f t="shared" si="55"/>
        <v>1.408219403046342</v>
      </c>
      <c r="BR15" s="113">
        <f t="shared" si="56"/>
        <v>1.408219403046342</v>
      </c>
      <c r="BS15" s="113">
        <f t="shared" si="57"/>
        <v>1.2017532493768148</v>
      </c>
      <c r="BT15" s="34">
        <f t="shared" si="58"/>
        <v>1051.8516999999999</v>
      </c>
      <c r="BU15" s="34">
        <f t="shared" si="59"/>
        <v>-7.1483000000000629</v>
      </c>
      <c r="BV15" s="34">
        <f t="shared" si="60"/>
        <v>7.1483000000000629</v>
      </c>
      <c r="BW15" s="34">
        <f t="shared" si="61"/>
        <v>1048.2357537853268</v>
      </c>
      <c r="BX15" s="34">
        <f t="shared" si="62"/>
        <v>-10.764246214673221</v>
      </c>
      <c r="BY15" s="34">
        <f t="shared" si="63"/>
        <v>10.764246214673221</v>
      </c>
    </row>
    <row r="16" spans="1:77" ht="16" x14ac:dyDescent="0.2">
      <c r="A16" s="206" t="s">
        <v>465</v>
      </c>
      <c r="B16" t="s">
        <v>858</v>
      </c>
      <c r="C16" s="224" t="s">
        <v>824</v>
      </c>
      <c r="D16" s="35" t="s">
        <v>148</v>
      </c>
      <c r="E16" s="225" t="s">
        <v>494</v>
      </c>
      <c r="F16" s="35" t="s">
        <v>580</v>
      </c>
      <c r="G16" s="147">
        <v>1062</v>
      </c>
      <c r="H16" s="147">
        <v>1062</v>
      </c>
      <c r="I16" s="35" t="s">
        <v>626</v>
      </c>
      <c r="J16" s="147">
        <v>275</v>
      </c>
      <c r="K16" s="147">
        <v>266</v>
      </c>
      <c r="L16" s="28"/>
      <c r="M16" s="35" t="s">
        <v>488</v>
      </c>
      <c r="N16" s="33">
        <f t="shared" si="0"/>
        <v>1222.425</v>
      </c>
      <c r="O16" s="33">
        <f t="shared" si="1"/>
        <v>1146.605</v>
      </c>
      <c r="P16" s="33">
        <f t="shared" si="2"/>
        <v>1231.5498377756001</v>
      </c>
      <c r="Q16" s="33">
        <f t="shared" si="3"/>
        <v>1135.0844999999999</v>
      </c>
      <c r="R16" s="33">
        <f t="shared" si="4"/>
        <v>1080.6902044552403</v>
      </c>
      <c r="S16" s="33">
        <f t="shared" si="5"/>
        <v>1133.9076453703744</v>
      </c>
      <c r="T16" s="33">
        <f t="shared" si="6"/>
        <v>1125.2999539430198</v>
      </c>
      <c r="U16" s="33">
        <f t="shared" si="7"/>
        <v>1145.8333333333335</v>
      </c>
      <c r="V16" s="33">
        <f t="shared" si="8"/>
        <v>1122.4925000000001</v>
      </c>
      <c r="W16" s="33">
        <f t="shared" si="9"/>
        <v>1117.7481370538951</v>
      </c>
      <c r="X16" s="34">
        <f t="shared" si="10"/>
        <v>1227.9967999999999</v>
      </c>
      <c r="Y16" s="34">
        <f t="shared" si="11"/>
        <v>165.99679999999989</v>
      </c>
      <c r="Z16" s="34">
        <f t="shared" si="12"/>
        <v>165.99679999999989</v>
      </c>
      <c r="AA16" s="113">
        <f t="shared" si="13"/>
        <v>15.630583804143116</v>
      </c>
      <c r="AB16" s="113">
        <f t="shared" si="14"/>
        <v>15.630583804143116</v>
      </c>
      <c r="AC16" s="113">
        <f t="shared" si="15"/>
        <v>2.2227081492574206</v>
      </c>
      <c r="AD16" s="34">
        <f t="shared" si="16"/>
        <v>1162.9634000000001</v>
      </c>
      <c r="AE16" s="34">
        <f t="shared" si="17"/>
        <v>100.96340000000009</v>
      </c>
      <c r="AF16" s="34">
        <f t="shared" si="18"/>
        <v>100.96340000000009</v>
      </c>
      <c r="AG16" s="113">
        <f t="shared" si="19"/>
        <v>9.5069114877589538</v>
      </c>
      <c r="AH16" s="113">
        <f t="shared" si="20"/>
        <v>9.5069114877589538</v>
      </c>
      <c r="AI16" s="113">
        <f t="shared" si="21"/>
        <v>2.008444308717781</v>
      </c>
      <c r="AJ16" s="34">
        <f t="shared" si="22"/>
        <v>1080.4678388448021</v>
      </c>
      <c r="AK16" s="34">
        <f t="shared" si="23"/>
        <v>18.467838844802145</v>
      </c>
      <c r="AL16" s="34">
        <f t="shared" si="24"/>
        <v>18.467838844802145</v>
      </c>
      <c r="AM16" s="113">
        <f t="shared" si="25"/>
        <v>1.738967876158394</v>
      </c>
      <c r="AN16" s="113">
        <f t="shared" si="26"/>
        <v>1.738967876158394</v>
      </c>
      <c r="AO16" s="113">
        <f t="shared" si="27"/>
        <v>1.2893177424870821</v>
      </c>
      <c r="AP16" s="34">
        <f t="shared" si="28"/>
        <v>1217.8933999999999</v>
      </c>
      <c r="AQ16" s="34">
        <f t="shared" si="29"/>
        <v>155.89339999999993</v>
      </c>
      <c r="AR16" s="34">
        <f t="shared" si="30"/>
        <v>155.89339999999993</v>
      </c>
      <c r="AS16" s="113">
        <f t="shared" si="31"/>
        <v>14.679227871939728</v>
      </c>
      <c r="AT16" s="113">
        <f t="shared" si="32"/>
        <v>14.679227871939728</v>
      </c>
      <c r="AU16" s="113">
        <f t="shared" si="33"/>
        <v>2.1956046746011579</v>
      </c>
      <c r="AV16" s="34">
        <f t="shared" si="34"/>
        <v>1106.7172881826846</v>
      </c>
      <c r="AW16" s="34">
        <f t="shared" si="35"/>
        <v>44.71728818268457</v>
      </c>
      <c r="AX16" s="34">
        <f t="shared" si="36"/>
        <v>44.71728818268457</v>
      </c>
      <c r="AY16" s="113">
        <f t="shared" si="37"/>
        <v>4.2106674371642718</v>
      </c>
      <c r="AZ16" s="113">
        <f t="shared" si="38"/>
        <v>4.2106674371642718</v>
      </c>
      <c r="BA16" s="113">
        <f t="shared" si="39"/>
        <v>1.660080461394613</v>
      </c>
      <c r="BB16" s="34">
        <f t="shared" si="40"/>
        <v>1156.555245718622</v>
      </c>
      <c r="BC16" s="34">
        <f t="shared" si="41"/>
        <v>94.555245718622018</v>
      </c>
      <c r="BD16" s="34">
        <f t="shared" si="42"/>
        <v>94.555245718622018</v>
      </c>
      <c r="BE16" s="113">
        <f t="shared" si="43"/>
        <v>8.9035071298137503</v>
      </c>
      <c r="BF16" s="113">
        <f t="shared" si="44"/>
        <v>8.9035071298137503</v>
      </c>
      <c r="BG16" s="113">
        <f t="shared" si="45"/>
        <v>1.9802545336109891</v>
      </c>
      <c r="BH16" s="34">
        <f t="shared" si="46"/>
        <v>1148.6271066717065</v>
      </c>
      <c r="BI16" s="34">
        <f t="shared" si="47"/>
        <v>86.627106671706542</v>
      </c>
      <c r="BJ16" s="34">
        <f t="shared" si="48"/>
        <v>86.627106671706542</v>
      </c>
      <c r="BK16" s="113">
        <f t="shared" si="49"/>
        <v>8.1569780293508991</v>
      </c>
      <c r="BL16" s="113">
        <f t="shared" si="50"/>
        <v>8.1569780293508991</v>
      </c>
      <c r="BM16" s="113">
        <f t="shared" si="51"/>
        <v>1.9426384721147933</v>
      </c>
      <c r="BN16" s="34">
        <f t="shared" si="52"/>
        <v>1156.5217391304348</v>
      </c>
      <c r="BO16" s="34">
        <f t="shared" si="53"/>
        <v>94.521739130434753</v>
      </c>
      <c r="BP16" s="34">
        <f t="shared" si="54"/>
        <v>94.521739130434753</v>
      </c>
      <c r="BQ16" s="113">
        <f t="shared" si="55"/>
        <v>8.90035208384508</v>
      </c>
      <c r="BR16" s="113">
        <f t="shared" si="56"/>
        <v>8.90035208384508</v>
      </c>
      <c r="BS16" s="113">
        <f t="shared" si="57"/>
        <v>1.9801022209029173</v>
      </c>
      <c r="BT16" s="34">
        <f t="shared" si="58"/>
        <v>1139.5006000000001</v>
      </c>
      <c r="BU16" s="34">
        <f t="shared" si="59"/>
        <v>77.500600000000077</v>
      </c>
      <c r="BV16" s="34">
        <f t="shared" si="60"/>
        <v>77.500600000000077</v>
      </c>
      <c r="BW16" s="34">
        <f t="shared" si="61"/>
        <v>1133.0179595876932</v>
      </c>
      <c r="BX16" s="34">
        <f t="shared" si="62"/>
        <v>71.017959587693213</v>
      </c>
      <c r="BY16" s="34">
        <f t="shared" si="63"/>
        <v>71.017959587693213</v>
      </c>
    </row>
    <row r="17" spans="1:77" ht="15" x14ac:dyDescent="0.2">
      <c r="A17" s="206" t="s">
        <v>465</v>
      </c>
      <c r="B17" s="28" t="s">
        <v>422</v>
      </c>
      <c r="C17" s="28" t="s">
        <v>458</v>
      </c>
      <c r="D17" s="35" t="s">
        <v>82</v>
      </c>
      <c r="E17" s="35" t="s">
        <v>494</v>
      </c>
      <c r="F17" s="35" t="s">
        <v>580</v>
      </c>
      <c r="G17" s="141">
        <v>1070</v>
      </c>
      <c r="H17" s="141">
        <v>1070</v>
      </c>
      <c r="I17" s="35" t="s">
        <v>626</v>
      </c>
      <c r="J17" s="141">
        <v>265</v>
      </c>
      <c r="K17" s="73">
        <v>257</v>
      </c>
      <c r="L17" s="207">
        <v>344</v>
      </c>
      <c r="M17" s="35" t="s">
        <v>37</v>
      </c>
      <c r="N17" s="33">
        <f t="shared" si="0"/>
        <v>1182.3910000000001</v>
      </c>
      <c r="O17" s="33">
        <f t="shared" si="1"/>
        <v>1090.7150000000001</v>
      </c>
      <c r="P17" s="33">
        <f t="shared" si="2"/>
        <v>1178.1159195567418</v>
      </c>
      <c r="Q17" s="33">
        <f t="shared" si="3"/>
        <v>1087.2375</v>
      </c>
      <c r="R17" s="33">
        <f t="shared" si="4"/>
        <v>1033.2982799846441</v>
      </c>
      <c r="S17" s="33">
        <f t="shared" si="5"/>
        <v>1088.7557010352145</v>
      </c>
      <c r="T17" s="33">
        <f t="shared" si="6"/>
        <v>1078.6512869165899</v>
      </c>
      <c r="U17" s="33">
        <f t="shared" si="7"/>
        <v>1104.1666666666667</v>
      </c>
      <c r="V17" s="33">
        <f t="shared" si="8"/>
        <v>1078.6415</v>
      </c>
      <c r="W17" s="33">
        <f t="shared" si="9"/>
        <v>1075.404467425406</v>
      </c>
      <c r="X17" s="34">
        <f t="shared" si="10"/>
        <v>1190.5585999999998</v>
      </c>
      <c r="Y17" s="34">
        <f t="shared" si="11"/>
        <v>120.55859999999984</v>
      </c>
      <c r="Z17" s="34">
        <f t="shared" si="12"/>
        <v>120.55859999999984</v>
      </c>
      <c r="AA17" s="113">
        <f t="shared" si="13"/>
        <v>11.267158878504659</v>
      </c>
      <c r="AB17" s="113">
        <f t="shared" si="14"/>
        <v>11.267158878504659</v>
      </c>
      <c r="AC17" s="113">
        <f t="shared" si="15"/>
        <v>2.0847856896328478</v>
      </c>
      <c r="AD17" s="34">
        <f t="shared" si="16"/>
        <v>1113.8243000000002</v>
      </c>
      <c r="AE17" s="34">
        <f t="shared" si="17"/>
        <v>43.824300000000221</v>
      </c>
      <c r="AF17" s="34">
        <f t="shared" si="18"/>
        <v>43.824300000000221</v>
      </c>
      <c r="AG17" s="113">
        <f t="shared" si="19"/>
        <v>4.0957289719626377</v>
      </c>
      <c r="AH17" s="113">
        <f t="shared" si="20"/>
        <v>4.0957289719626377</v>
      </c>
      <c r="AI17" s="113">
        <f t="shared" si="21"/>
        <v>1.6515135161146224</v>
      </c>
      <c r="AJ17" s="34">
        <f t="shared" si="22"/>
        <v>1034.8736676381002</v>
      </c>
      <c r="AK17" s="34">
        <f t="shared" si="23"/>
        <v>-35.126332361899813</v>
      </c>
      <c r="AL17" s="34">
        <f t="shared" si="24"/>
        <v>35.126332361899813</v>
      </c>
      <c r="AM17" s="113">
        <f t="shared" si="25"/>
        <v>-3.2828348001775525</v>
      </c>
      <c r="AN17" s="113">
        <f t="shared" si="26"/>
        <v>3.2828348001775525</v>
      </c>
      <c r="AO17" s="113">
        <f t="shared" si="27"/>
        <v>1.5578238731141019</v>
      </c>
      <c r="AP17" s="34">
        <f t="shared" si="28"/>
        <v>1170.5723</v>
      </c>
      <c r="AQ17" s="34">
        <f t="shared" si="29"/>
        <v>100.57230000000004</v>
      </c>
      <c r="AR17" s="34">
        <f t="shared" si="30"/>
        <v>100.57230000000004</v>
      </c>
      <c r="AS17" s="113">
        <f t="shared" si="31"/>
        <v>9.3992803738317789</v>
      </c>
      <c r="AT17" s="113">
        <f t="shared" si="32"/>
        <v>9.3992803738317789</v>
      </c>
      <c r="AU17" s="113">
        <f t="shared" si="33"/>
        <v>2.0067752867140687</v>
      </c>
      <c r="AV17" s="34">
        <f t="shared" si="34"/>
        <v>1061.5343318643738</v>
      </c>
      <c r="AW17" s="34">
        <f t="shared" si="35"/>
        <v>-8.4656681356261743</v>
      </c>
      <c r="AX17" s="34">
        <f t="shared" si="36"/>
        <v>8.4656681356261743</v>
      </c>
      <c r="AY17" s="113">
        <f t="shared" si="37"/>
        <v>-0.79118393790898833</v>
      </c>
      <c r="AZ17" s="113">
        <f t="shared" si="38"/>
        <v>0.79118393790898833</v>
      </c>
      <c r="BA17" s="113">
        <f t="shared" si="39"/>
        <v>0.97615127412386271</v>
      </c>
      <c r="BB17" s="34">
        <f t="shared" si="40"/>
        <v>1113.6990870786656</v>
      </c>
      <c r="BC17" s="34">
        <f t="shared" si="41"/>
        <v>43.699087078665571</v>
      </c>
      <c r="BD17" s="34">
        <f t="shared" si="42"/>
        <v>43.699087078665571</v>
      </c>
      <c r="BE17" s="113">
        <f t="shared" si="43"/>
        <v>4.0840268297818287</v>
      </c>
      <c r="BF17" s="113">
        <f t="shared" si="44"/>
        <v>4.0840268297818287</v>
      </c>
      <c r="BG17" s="113">
        <f t="shared" si="45"/>
        <v>1.6502986533165742</v>
      </c>
      <c r="BH17" s="34">
        <f t="shared" si="46"/>
        <v>1104.314845144386</v>
      </c>
      <c r="BI17" s="34">
        <f t="shared" si="47"/>
        <v>34.314845144386027</v>
      </c>
      <c r="BJ17" s="34">
        <f t="shared" si="48"/>
        <v>34.314845144386027</v>
      </c>
      <c r="BK17" s="113">
        <f t="shared" si="49"/>
        <v>3.2069948733071056</v>
      </c>
      <c r="BL17" s="113">
        <f t="shared" si="50"/>
        <v>3.2069948733071056</v>
      </c>
      <c r="BM17" s="113">
        <f t="shared" si="51"/>
        <v>1.5479573062098368</v>
      </c>
      <c r="BN17" s="34">
        <f t="shared" si="52"/>
        <v>1117.391304347826</v>
      </c>
      <c r="BO17" s="34">
        <f t="shared" si="53"/>
        <v>47.391304347826008</v>
      </c>
      <c r="BP17" s="34">
        <f t="shared" si="54"/>
        <v>47.391304347826008</v>
      </c>
      <c r="BQ17" s="113">
        <f t="shared" si="55"/>
        <v>4.4290938642828044</v>
      </c>
      <c r="BR17" s="113">
        <f t="shared" si="56"/>
        <v>4.4290938642828044</v>
      </c>
      <c r="BS17" s="113">
        <f t="shared" si="57"/>
        <v>1.6847673283171147</v>
      </c>
      <c r="BT17" s="34">
        <f t="shared" si="58"/>
        <v>1097.9827</v>
      </c>
      <c r="BU17" s="34">
        <f t="shared" si="59"/>
        <v>27.982700000000023</v>
      </c>
      <c r="BV17" s="34">
        <f t="shared" si="60"/>
        <v>27.982700000000023</v>
      </c>
      <c r="BW17" s="34">
        <f t="shared" si="61"/>
        <v>1092.8192317818059</v>
      </c>
      <c r="BX17" s="34">
        <f t="shared" si="62"/>
        <v>22.819231781805911</v>
      </c>
      <c r="BY17" s="34">
        <f t="shared" si="63"/>
        <v>22.819231781805911</v>
      </c>
    </row>
    <row r="18" spans="1:77" ht="15" x14ac:dyDescent="0.2">
      <c r="A18" s="206" t="s">
        <v>465</v>
      </c>
      <c r="B18" t="s">
        <v>892</v>
      </c>
      <c r="C18" s="224" t="s">
        <v>824</v>
      </c>
      <c r="D18" s="35" t="s">
        <v>148</v>
      </c>
      <c r="E18" s="35" t="s">
        <v>494</v>
      </c>
      <c r="F18" s="35" t="s">
        <v>580</v>
      </c>
      <c r="G18">
        <v>1090</v>
      </c>
      <c r="H18">
        <v>1090</v>
      </c>
      <c r="I18" s="35" t="s">
        <v>626</v>
      </c>
      <c r="J18">
        <v>257</v>
      </c>
      <c r="K18">
        <v>248</v>
      </c>
      <c r="L18" s="28"/>
      <c r="M18" s="35" t="s">
        <v>488</v>
      </c>
      <c r="N18" s="33">
        <f t="shared" si="0"/>
        <v>1150.3638000000001</v>
      </c>
      <c r="O18" s="33">
        <f t="shared" si="1"/>
        <v>1046.0030000000002</v>
      </c>
      <c r="P18" s="33">
        <f t="shared" si="2"/>
        <v>1135.6539235579762</v>
      </c>
      <c r="Q18" s="33">
        <f t="shared" si="3"/>
        <v>1048.9598999999998</v>
      </c>
      <c r="R18" s="33">
        <f t="shared" si="4"/>
        <v>995.65441748754699</v>
      </c>
      <c r="S18" s="33">
        <f t="shared" si="5"/>
        <v>1052.7526776168315</v>
      </c>
      <c r="T18" s="33">
        <f t="shared" si="6"/>
        <v>1041.5127527546599</v>
      </c>
      <c r="U18" s="33">
        <f t="shared" si="7"/>
        <v>1070.8333333333335</v>
      </c>
      <c r="V18" s="33">
        <f t="shared" si="8"/>
        <v>1043.5607</v>
      </c>
      <c r="W18" s="33">
        <f t="shared" si="9"/>
        <v>1041.5783939507119</v>
      </c>
      <c r="X18" s="34">
        <f t="shared" si="10"/>
        <v>1153.1204</v>
      </c>
      <c r="Y18" s="34">
        <f t="shared" si="11"/>
        <v>63.120400000000018</v>
      </c>
      <c r="Z18" s="34">
        <f t="shared" si="12"/>
        <v>63.120400000000018</v>
      </c>
      <c r="AA18" s="113">
        <f t="shared" si="13"/>
        <v>5.7908623853211028</v>
      </c>
      <c r="AB18" s="113">
        <f t="shared" si="14"/>
        <v>5.7908623853211028</v>
      </c>
      <c r="AC18" s="113">
        <f t="shared" si="15"/>
        <v>1.8069962229343051</v>
      </c>
      <c r="AD18" s="34">
        <f t="shared" si="16"/>
        <v>1064.6851999999999</v>
      </c>
      <c r="AE18" s="34">
        <f t="shared" si="17"/>
        <v>-25.314800000000105</v>
      </c>
      <c r="AF18" s="34">
        <f t="shared" si="18"/>
        <v>25.314800000000105</v>
      </c>
      <c r="AG18" s="113">
        <f t="shared" si="19"/>
        <v>-2.3224587155963401</v>
      </c>
      <c r="AH18" s="113">
        <f t="shared" si="20"/>
        <v>2.3224587155963401</v>
      </c>
      <c r="AI18" s="113">
        <f t="shared" si="21"/>
        <v>1.4202000736036702</v>
      </c>
      <c r="AJ18" s="34">
        <f t="shared" si="22"/>
        <v>989.68111136019184</v>
      </c>
      <c r="AK18" s="34">
        <f t="shared" si="23"/>
        <v>-100.31888863980816</v>
      </c>
      <c r="AL18" s="34">
        <f t="shared" si="24"/>
        <v>100.31888863980816</v>
      </c>
      <c r="AM18" s="113">
        <f t="shared" si="25"/>
        <v>-9.203567765120015</v>
      </c>
      <c r="AN18" s="113">
        <f t="shared" si="26"/>
        <v>9.203567765120015</v>
      </c>
      <c r="AO18" s="113">
        <f t="shared" si="27"/>
        <v>2.0056904173971737</v>
      </c>
      <c r="AP18" s="34">
        <f t="shared" si="28"/>
        <v>1123.2511999999999</v>
      </c>
      <c r="AQ18" s="34">
        <f t="shared" si="29"/>
        <v>33.251199999999926</v>
      </c>
      <c r="AR18" s="34">
        <f t="shared" si="30"/>
        <v>33.251199999999926</v>
      </c>
      <c r="AS18" s="113">
        <f t="shared" si="31"/>
        <v>3.050568807339443</v>
      </c>
      <c r="AT18" s="113">
        <f t="shared" si="32"/>
        <v>3.050568807339443</v>
      </c>
      <c r="AU18" s="113">
        <f t="shared" si="33"/>
        <v>1.5346757917189195</v>
      </c>
      <c r="AV18" s="34">
        <f t="shared" si="34"/>
        <v>1016.6840673378739</v>
      </c>
      <c r="AW18" s="34">
        <f t="shared" si="35"/>
        <v>-73.315932662126102</v>
      </c>
      <c r="AX18" s="34">
        <f t="shared" si="36"/>
        <v>73.315932662126102</v>
      </c>
      <c r="AY18" s="113">
        <f t="shared" si="37"/>
        <v>-6.7262323543234954</v>
      </c>
      <c r="AZ18" s="113">
        <f t="shared" si="38"/>
        <v>6.7262323543234954</v>
      </c>
      <c r="BA18" s="113">
        <f t="shared" si="39"/>
        <v>1.8710819325419328</v>
      </c>
      <c r="BB18" s="34">
        <f t="shared" si="40"/>
        <v>1070.9882872274618</v>
      </c>
      <c r="BC18" s="34">
        <f t="shared" si="41"/>
        <v>-19.011712772538203</v>
      </c>
      <c r="BD18" s="34">
        <f t="shared" si="42"/>
        <v>19.011712772538203</v>
      </c>
      <c r="BE18" s="113">
        <f t="shared" si="43"/>
        <v>-1.7441938323429544</v>
      </c>
      <c r="BF18" s="113">
        <f t="shared" si="44"/>
        <v>1.7441938323429544</v>
      </c>
      <c r="BG18" s="113">
        <f t="shared" si="45"/>
        <v>1.301284260841548</v>
      </c>
      <c r="BH18" s="34">
        <f t="shared" si="46"/>
        <v>1060.2239769868622</v>
      </c>
      <c r="BI18" s="34">
        <f t="shared" si="47"/>
        <v>-29.776023013137774</v>
      </c>
      <c r="BJ18" s="34">
        <f t="shared" si="48"/>
        <v>29.776023013137774</v>
      </c>
      <c r="BK18" s="113">
        <f t="shared" si="49"/>
        <v>-2.7317452305630985</v>
      </c>
      <c r="BL18" s="113">
        <f t="shared" si="50"/>
        <v>2.7317452305630985</v>
      </c>
      <c r="BM18" s="113">
        <f t="shared" si="51"/>
        <v>1.488212498047752</v>
      </c>
      <c r="BN18" s="34">
        <f t="shared" si="52"/>
        <v>1078.2608695652173</v>
      </c>
      <c r="BO18" s="34">
        <f t="shared" si="53"/>
        <v>-11.739130434782737</v>
      </c>
      <c r="BP18" s="34">
        <f t="shared" si="54"/>
        <v>11.739130434782737</v>
      </c>
      <c r="BQ18" s="113">
        <f t="shared" si="55"/>
        <v>-1.0769844435580493</v>
      </c>
      <c r="BR18" s="113">
        <f t="shared" si="56"/>
        <v>1.0769844435580493</v>
      </c>
      <c r="BS18" s="113">
        <f t="shared" si="57"/>
        <v>1.1051397843365209</v>
      </c>
      <c r="BT18" s="34">
        <f t="shared" si="58"/>
        <v>1056.4648</v>
      </c>
      <c r="BU18" s="34">
        <f t="shared" si="59"/>
        <v>-33.535200000000032</v>
      </c>
      <c r="BV18" s="34">
        <f t="shared" si="60"/>
        <v>33.535200000000032</v>
      </c>
      <c r="BW18" s="34">
        <f t="shared" si="61"/>
        <v>1052.6901404959103</v>
      </c>
      <c r="BX18" s="34">
        <f t="shared" si="62"/>
        <v>-37.309859504089673</v>
      </c>
      <c r="BY18" s="34">
        <f t="shared" si="63"/>
        <v>37.309859504089673</v>
      </c>
    </row>
    <row r="19" spans="1:77" ht="16" x14ac:dyDescent="0.2">
      <c r="A19" s="206" t="s">
        <v>465</v>
      </c>
      <c r="B19" t="s">
        <v>856</v>
      </c>
      <c r="C19" s="224" t="s">
        <v>824</v>
      </c>
      <c r="D19" s="35" t="s">
        <v>148</v>
      </c>
      <c r="E19" s="225" t="s">
        <v>494</v>
      </c>
      <c r="F19" s="35" t="s">
        <v>580</v>
      </c>
      <c r="G19" s="147">
        <v>1098</v>
      </c>
      <c r="H19" s="147">
        <v>1098</v>
      </c>
      <c r="I19" s="35" t="s">
        <v>626</v>
      </c>
      <c r="J19" s="147">
        <v>273</v>
      </c>
      <c r="K19" s="147">
        <v>259</v>
      </c>
      <c r="L19" s="28"/>
      <c r="M19" s="35" t="s">
        <v>488</v>
      </c>
      <c r="N19" s="33">
        <f t="shared" si="0"/>
        <v>1214.4182000000001</v>
      </c>
      <c r="O19" s="33">
        <f t="shared" si="1"/>
        <v>1135.4270000000001</v>
      </c>
      <c r="P19" s="33">
        <f t="shared" si="2"/>
        <v>1220.8318763024647</v>
      </c>
      <c r="Q19" s="33">
        <f t="shared" si="3"/>
        <v>1125.5150999999998</v>
      </c>
      <c r="R19" s="33">
        <f t="shared" si="4"/>
        <v>1071.1823245614171</v>
      </c>
      <c r="S19" s="33">
        <f t="shared" si="5"/>
        <v>1124.8643219749504</v>
      </c>
      <c r="T19" s="33">
        <f t="shared" si="6"/>
        <v>1115.950516708014</v>
      </c>
      <c r="U19" s="33">
        <f t="shared" si="7"/>
        <v>1137.5</v>
      </c>
      <c r="V19" s="33">
        <f t="shared" si="8"/>
        <v>1113.7223000000001</v>
      </c>
      <c r="W19" s="33">
        <f t="shared" si="9"/>
        <v>1109.2740769688726</v>
      </c>
      <c r="X19" s="34">
        <f t="shared" si="10"/>
        <v>1198.8781999999999</v>
      </c>
      <c r="Y19" s="34">
        <f t="shared" si="11"/>
        <v>100.87819999999988</v>
      </c>
      <c r="Z19" s="34">
        <f t="shared" si="12"/>
        <v>100.87819999999988</v>
      </c>
      <c r="AA19" s="113">
        <f t="shared" si="13"/>
        <v>9.1874499089253074</v>
      </c>
      <c r="AB19" s="113">
        <f t="shared" si="14"/>
        <v>9.1874499089253074</v>
      </c>
      <c r="AC19" s="113">
        <f t="shared" si="15"/>
        <v>2.0080812631764098</v>
      </c>
      <c r="AD19" s="34">
        <f t="shared" si="16"/>
        <v>1124.7440999999999</v>
      </c>
      <c r="AE19" s="34">
        <f t="shared" si="17"/>
        <v>26.744099999999889</v>
      </c>
      <c r="AF19" s="34">
        <f t="shared" si="18"/>
        <v>26.744099999999889</v>
      </c>
      <c r="AG19" s="113">
        <f t="shared" si="19"/>
        <v>2.4357103825136512</v>
      </c>
      <c r="AH19" s="113">
        <f t="shared" si="20"/>
        <v>2.4357103825136512</v>
      </c>
      <c r="AI19" s="113">
        <f t="shared" si="21"/>
        <v>1.4431706411569105</v>
      </c>
      <c r="AJ19" s="34">
        <f t="shared" si="22"/>
        <v>1044.971367123338</v>
      </c>
      <c r="AK19" s="34">
        <f t="shared" si="23"/>
        <v>-53.028632876661959</v>
      </c>
      <c r="AL19" s="34">
        <f t="shared" si="24"/>
        <v>53.028632876661959</v>
      </c>
      <c r="AM19" s="113">
        <f t="shared" si="25"/>
        <v>-4.8295658357615627</v>
      </c>
      <c r="AN19" s="113">
        <f t="shared" si="26"/>
        <v>4.8295658357615627</v>
      </c>
      <c r="AO19" s="113">
        <f t="shared" si="27"/>
        <v>1.7326239784288209</v>
      </c>
      <c r="AP19" s="34">
        <f t="shared" si="28"/>
        <v>1181.0880999999999</v>
      </c>
      <c r="AQ19" s="34">
        <f t="shared" si="29"/>
        <v>83.08809999999994</v>
      </c>
      <c r="AR19" s="34">
        <f t="shared" si="30"/>
        <v>83.08809999999994</v>
      </c>
      <c r="AS19" s="113">
        <f t="shared" si="31"/>
        <v>7.5672222222222167</v>
      </c>
      <c r="AT19" s="113">
        <f t="shared" si="32"/>
        <v>7.5672222222222167</v>
      </c>
      <c r="AU19" s="113">
        <f t="shared" si="33"/>
        <v>1.9247345395552493</v>
      </c>
      <c r="AV19" s="34">
        <f t="shared" si="34"/>
        <v>1071.5465602580607</v>
      </c>
      <c r="AW19" s="34">
        <f t="shared" si="35"/>
        <v>-26.453439741939292</v>
      </c>
      <c r="AX19" s="34">
        <f t="shared" si="36"/>
        <v>26.453439741939292</v>
      </c>
      <c r="AY19" s="113">
        <f t="shared" si="37"/>
        <v>-2.4092385921620485</v>
      </c>
      <c r="AZ19" s="113">
        <f t="shared" si="38"/>
        <v>2.4092385921620485</v>
      </c>
      <c r="BA19" s="113">
        <f t="shared" si="39"/>
        <v>1.4385967665403492</v>
      </c>
      <c r="BB19" s="34">
        <f t="shared" si="40"/>
        <v>1123.2102772846224</v>
      </c>
      <c r="BC19" s="34">
        <f t="shared" si="41"/>
        <v>25.210277284622407</v>
      </c>
      <c r="BD19" s="34">
        <f t="shared" si="42"/>
        <v>25.210277284622407</v>
      </c>
      <c r="BE19" s="113">
        <f t="shared" si="43"/>
        <v>2.296017967634099</v>
      </c>
      <c r="BF19" s="113">
        <f t="shared" si="44"/>
        <v>2.296017967634099</v>
      </c>
      <c r="BG19" s="113">
        <f t="shared" si="45"/>
        <v>1.4184716154732862</v>
      </c>
      <c r="BH19" s="34">
        <f t="shared" si="46"/>
        <v>1114.1431147445649</v>
      </c>
      <c r="BI19" s="34">
        <f t="shared" si="47"/>
        <v>16.143114744564855</v>
      </c>
      <c r="BJ19" s="34">
        <f t="shared" si="48"/>
        <v>16.143114744564855</v>
      </c>
      <c r="BK19" s="113">
        <f t="shared" si="49"/>
        <v>1.4702290295596407</v>
      </c>
      <c r="BL19" s="113">
        <f t="shared" si="50"/>
        <v>1.4702290295596407</v>
      </c>
      <c r="BM19" s="113">
        <f t="shared" si="51"/>
        <v>1.2340897320260136</v>
      </c>
      <c r="BN19" s="34">
        <f t="shared" si="52"/>
        <v>1126.086956521739</v>
      </c>
      <c r="BO19" s="34">
        <f t="shared" si="53"/>
        <v>28.086956521739012</v>
      </c>
      <c r="BP19" s="34">
        <f t="shared" si="54"/>
        <v>28.086956521739012</v>
      </c>
      <c r="BQ19" s="113">
        <f t="shared" si="55"/>
        <v>2.558010612180238</v>
      </c>
      <c r="BR19" s="113">
        <f t="shared" si="56"/>
        <v>2.558010612180238</v>
      </c>
      <c r="BS19" s="113">
        <f t="shared" si="57"/>
        <v>1.4636982817502284</v>
      </c>
      <c r="BT19" s="34">
        <f t="shared" si="58"/>
        <v>1107.2089000000001</v>
      </c>
      <c r="BU19" s="34">
        <f t="shared" si="59"/>
        <v>9.2089000000000851</v>
      </c>
      <c r="BV19" s="34">
        <f t="shared" si="60"/>
        <v>9.2089000000000851</v>
      </c>
      <c r="BW19" s="34">
        <f t="shared" si="61"/>
        <v>1101.7463457489146</v>
      </c>
      <c r="BX19" s="34">
        <f t="shared" si="62"/>
        <v>3.746345748914564</v>
      </c>
      <c r="BY19" s="34">
        <f t="shared" si="63"/>
        <v>3.746345748914564</v>
      </c>
    </row>
    <row r="20" spans="1:77" ht="15" x14ac:dyDescent="0.2">
      <c r="A20" s="206" t="s">
        <v>465</v>
      </c>
      <c r="B20" s="28" t="s">
        <v>306</v>
      </c>
      <c r="C20" s="207" t="s">
        <v>403</v>
      </c>
      <c r="D20" s="35" t="s">
        <v>148</v>
      </c>
      <c r="E20" s="35" t="s">
        <v>494</v>
      </c>
      <c r="F20" s="35" t="s">
        <v>580</v>
      </c>
      <c r="G20" s="141">
        <v>1098.0999999999999</v>
      </c>
      <c r="H20" s="141">
        <v>1000</v>
      </c>
      <c r="I20" s="35" t="s">
        <v>626</v>
      </c>
      <c r="J20" s="141">
        <v>312.52</v>
      </c>
      <c r="K20" s="141">
        <v>299.73</v>
      </c>
      <c r="L20" s="28">
        <v>392.11</v>
      </c>
      <c r="M20" s="35" t="s">
        <v>37</v>
      </c>
      <c r="N20" s="33">
        <f t="shared" si="0"/>
        <v>1372.632568</v>
      </c>
      <c r="O20" s="33">
        <f t="shared" si="1"/>
        <v>1356.3042799999998</v>
      </c>
      <c r="P20" s="33">
        <f t="shared" si="2"/>
        <v>1435.3812693587888</v>
      </c>
      <c r="Q20" s="33">
        <f t="shared" si="3"/>
        <v>1314.6064439999998</v>
      </c>
      <c r="R20" s="33">
        <f t="shared" si="4"/>
        <v>1261.6733122985354</v>
      </c>
      <c r="S20" s="33">
        <f t="shared" si="5"/>
        <v>1304.7000593989587</v>
      </c>
      <c r="T20" s="33">
        <f t="shared" si="6"/>
        <v>1302.4359504793742</v>
      </c>
      <c r="U20" s="33">
        <f t="shared" si="7"/>
        <v>1302.1666666666667</v>
      </c>
      <c r="V20" s="33">
        <f t="shared" si="8"/>
        <v>1287.021452</v>
      </c>
      <c r="W20" s="33">
        <f t="shared" si="9"/>
        <v>1277.1893801007648</v>
      </c>
      <c r="X20" s="34">
        <f t="shared" si="10"/>
        <v>1368.3068539999999</v>
      </c>
      <c r="Y20" s="34">
        <f t="shared" si="11"/>
        <v>270.20685400000002</v>
      </c>
      <c r="Z20" s="34">
        <f t="shared" si="12"/>
        <v>270.20685400000002</v>
      </c>
      <c r="AA20" s="113">
        <f t="shared" si="13"/>
        <v>24.606762043529738</v>
      </c>
      <c r="AB20" s="113">
        <f t="shared" si="14"/>
        <v>24.606762043529738</v>
      </c>
      <c r="AC20" s="113">
        <f t="shared" si="15"/>
        <v>2.4333006609205614</v>
      </c>
      <c r="AD20" s="34">
        <f t="shared" si="16"/>
        <v>1347.1258270000003</v>
      </c>
      <c r="AE20" s="34">
        <f t="shared" si="17"/>
        <v>249.02582700000039</v>
      </c>
      <c r="AF20" s="34">
        <f t="shared" si="18"/>
        <v>249.02582700000039</v>
      </c>
      <c r="AG20" s="113">
        <f t="shared" si="19"/>
        <v>22.67788243329391</v>
      </c>
      <c r="AH20" s="113">
        <f t="shared" si="20"/>
        <v>22.67788243329391</v>
      </c>
      <c r="AI20" s="113">
        <f t="shared" si="21"/>
        <v>2.3979848724490211</v>
      </c>
      <c r="AJ20" s="34">
        <f t="shared" si="22"/>
        <v>1254.7504839175699</v>
      </c>
      <c r="AK20" s="34">
        <f t="shared" si="23"/>
        <v>156.65048391757</v>
      </c>
      <c r="AL20" s="34">
        <f t="shared" si="24"/>
        <v>156.65048391757</v>
      </c>
      <c r="AM20" s="113">
        <f t="shared" si="25"/>
        <v>14.265593654272838</v>
      </c>
      <c r="AN20" s="113">
        <f t="shared" si="26"/>
        <v>14.265593654272838</v>
      </c>
      <c r="AO20" s="113">
        <f t="shared" si="27"/>
        <v>2.1976953081788033</v>
      </c>
      <c r="AP20" s="34">
        <f t="shared" si="28"/>
        <v>1395.2423670000001</v>
      </c>
      <c r="AQ20" s="34">
        <f t="shared" si="29"/>
        <v>297.14236700000015</v>
      </c>
      <c r="AR20" s="34">
        <f t="shared" si="30"/>
        <v>297.14236700000015</v>
      </c>
      <c r="AS20" s="113">
        <f t="shared" si="31"/>
        <v>27.059681905108839</v>
      </c>
      <c r="AT20" s="113">
        <f t="shared" si="32"/>
        <v>27.059681905108839</v>
      </c>
      <c r="AU20" s="113">
        <f t="shared" si="33"/>
        <v>2.4744236950763088</v>
      </c>
      <c r="AV20" s="34">
        <f t="shared" si="34"/>
        <v>1278.8668234818808</v>
      </c>
      <c r="AW20" s="34">
        <f t="shared" si="35"/>
        <v>180.76682348188092</v>
      </c>
      <c r="AX20" s="34">
        <f t="shared" si="36"/>
        <v>180.76682348188092</v>
      </c>
      <c r="AY20" s="113">
        <f t="shared" si="37"/>
        <v>16.461781575619792</v>
      </c>
      <c r="AZ20" s="113">
        <f t="shared" si="38"/>
        <v>16.461781575619792</v>
      </c>
      <c r="BA20" s="113">
        <f t="shared" si="39"/>
        <v>2.2595146176450585</v>
      </c>
      <c r="BB20" s="34">
        <f t="shared" si="40"/>
        <v>1318.391127910186</v>
      </c>
      <c r="BC20" s="34">
        <f t="shared" si="41"/>
        <v>220.29112791018611</v>
      </c>
      <c r="BD20" s="34">
        <f t="shared" si="42"/>
        <v>220.29112791018611</v>
      </c>
      <c r="BE20" s="113">
        <f t="shared" si="43"/>
        <v>20.061117194261556</v>
      </c>
      <c r="BF20" s="113">
        <f t="shared" si="44"/>
        <v>20.061117194261556</v>
      </c>
      <c r="BG20" s="113">
        <f t="shared" si="45"/>
        <v>2.3449640023733127</v>
      </c>
      <c r="BH20" s="34">
        <f t="shared" si="46"/>
        <v>1316.5640273832407</v>
      </c>
      <c r="BI20" s="34">
        <f t="shared" si="47"/>
        <v>218.46402738324082</v>
      </c>
      <c r="BJ20" s="34">
        <f t="shared" si="48"/>
        <v>218.46402738324082</v>
      </c>
      <c r="BK20" s="113">
        <f t="shared" si="49"/>
        <v>19.894729749862567</v>
      </c>
      <c r="BL20" s="113">
        <f t="shared" si="50"/>
        <v>19.894729749862567</v>
      </c>
      <c r="BM20" s="113">
        <f t="shared" si="51"/>
        <v>2.3413633446726418</v>
      </c>
      <c r="BN20" s="34">
        <f t="shared" si="52"/>
        <v>1303.1739130434783</v>
      </c>
      <c r="BO20" s="34">
        <f t="shared" si="53"/>
        <v>205.07391304347834</v>
      </c>
      <c r="BP20" s="34">
        <f t="shared" si="54"/>
        <v>205.07391304347834</v>
      </c>
      <c r="BQ20" s="113">
        <f t="shared" si="55"/>
        <v>18.675340410115503</v>
      </c>
      <c r="BR20" s="113">
        <f t="shared" si="56"/>
        <v>18.675340410115503</v>
      </c>
      <c r="BS20" s="113">
        <f t="shared" si="57"/>
        <v>2.3140230177940886</v>
      </c>
      <c r="BT20" s="34">
        <f t="shared" si="58"/>
        <v>1295.100463</v>
      </c>
      <c r="BU20" s="34">
        <f t="shared" si="59"/>
        <v>197.00046300000008</v>
      </c>
      <c r="BV20" s="34">
        <f t="shared" si="60"/>
        <v>197.00046300000008</v>
      </c>
      <c r="BW20" s="34">
        <f t="shared" si="61"/>
        <v>1284.2568048667929</v>
      </c>
      <c r="BX20" s="34">
        <f t="shared" si="62"/>
        <v>186.15680486679298</v>
      </c>
      <c r="BY20" s="34">
        <f t="shared" si="63"/>
        <v>186.15680486679298</v>
      </c>
    </row>
    <row r="21" spans="1:77" ht="16" x14ac:dyDescent="0.2">
      <c r="A21" s="206" t="s">
        <v>465</v>
      </c>
      <c r="B21" t="s">
        <v>863</v>
      </c>
      <c r="C21" s="224" t="s">
        <v>824</v>
      </c>
      <c r="D21" s="35" t="s">
        <v>148</v>
      </c>
      <c r="E21" s="225" t="s">
        <v>494</v>
      </c>
      <c r="F21" s="35" t="s">
        <v>580</v>
      </c>
      <c r="G21" s="147">
        <v>1110</v>
      </c>
      <c r="H21" s="147">
        <v>1110</v>
      </c>
      <c r="I21" s="35" t="s">
        <v>626</v>
      </c>
      <c r="J21" s="147">
        <v>265</v>
      </c>
      <c r="K21" s="147">
        <v>255</v>
      </c>
      <c r="L21" s="28"/>
      <c r="M21" s="35" t="s">
        <v>488</v>
      </c>
      <c r="N21" s="33">
        <f t="shared" si="0"/>
        <v>1182.3910000000001</v>
      </c>
      <c r="O21" s="33">
        <f t="shared" si="1"/>
        <v>1090.7150000000001</v>
      </c>
      <c r="P21" s="33">
        <f t="shared" si="2"/>
        <v>1178.1159195567418</v>
      </c>
      <c r="Q21" s="33">
        <f t="shared" si="3"/>
        <v>1087.2375</v>
      </c>
      <c r="R21" s="33">
        <f t="shared" si="4"/>
        <v>1033.2982799846441</v>
      </c>
      <c r="S21" s="33">
        <f t="shared" si="5"/>
        <v>1088.7557010352145</v>
      </c>
      <c r="T21" s="33">
        <f t="shared" si="6"/>
        <v>1078.6512869165899</v>
      </c>
      <c r="U21" s="33">
        <f t="shared" si="7"/>
        <v>1104.1666666666667</v>
      </c>
      <c r="V21" s="33">
        <f t="shared" si="8"/>
        <v>1078.6415</v>
      </c>
      <c r="W21" s="33">
        <f t="shared" si="9"/>
        <v>1075.404467425406</v>
      </c>
      <c r="X21" s="34">
        <f t="shared" si="10"/>
        <v>1182.239</v>
      </c>
      <c r="Y21" s="34">
        <f t="shared" si="11"/>
        <v>72.239000000000033</v>
      </c>
      <c r="Z21" s="34">
        <f t="shared" si="12"/>
        <v>72.239000000000033</v>
      </c>
      <c r="AA21" s="113">
        <f t="shared" si="13"/>
        <v>6.5080180180180207</v>
      </c>
      <c r="AB21" s="113">
        <f t="shared" si="14"/>
        <v>6.5080180180180207</v>
      </c>
      <c r="AC21" s="113">
        <f t="shared" si="15"/>
        <v>1.864742405844749</v>
      </c>
      <c r="AD21" s="34">
        <f t="shared" si="16"/>
        <v>1102.9045000000001</v>
      </c>
      <c r="AE21" s="34">
        <f t="shared" si="17"/>
        <v>-7.0954999999999018</v>
      </c>
      <c r="AF21" s="34">
        <f t="shared" si="18"/>
        <v>7.0954999999999018</v>
      </c>
      <c r="AG21" s="113">
        <f t="shared" si="19"/>
        <v>-0.63923423423422543</v>
      </c>
      <c r="AH21" s="113">
        <f t="shared" si="20"/>
        <v>0.63923423423422543</v>
      </c>
      <c r="AI21" s="113">
        <f t="shared" si="21"/>
        <v>0.90824367712088983</v>
      </c>
      <c r="AJ21" s="34">
        <f t="shared" si="22"/>
        <v>1024.79579847171</v>
      </c>
      <c r="AK21" s="34">
        <f t="shared" si="23"/>
        <v>-85.204201528290014</v>
      </c>
      <c r="AL21" s="34">
        <f t="shared" si="24"/>
        <v>85.204201528290014</v>
      </c>
      <c r="AM21" s="113">
        <f t="shared" si="25"/>
        <v>-7.6760541917378395</v>
      </c>
      <c r="AN21" s="113">
        <f t="shared" si="26"/>
        <v>7.6760541917378395</v>
      </c>
      <c r="AO21" s="113">
        <f t="shared" si="27"/>
        <v>1.9355284335287026</v>
      </c>
      <c r="AP21" s="34">
        <f t="shared" si="28"/>
        <v>1160.0564999999999</v>
      </c>
      <c r="AQ21" s="34">
        <f t="shared" si="29"/>
        <v>50.056499999999915</v>
      </c>
      <c r="AR21" s="34">
        <f t="shared" si="30"/>
        <v>50.056499999999915</v>
      </c>
      <c r="AS21" s="113">
        <f t="shared" si="31"/>
        <v>4.5095945945945868</v>
      </c>
      <c r="AT21" s="113">
        <f t="shared" si="32"/>
        <v>4.5095945945945868</v>
      </c>
      <c r="AU21" s="113">
        <f t="shared" si="33"/>
        <v>1.7080510399475557</v>
      </c>
      <c r="AV21" s="34">
        <f t="shared" si="34"/>
        <v>1051.538530441346</v>
      </c>
      <c r="AW21" s="34">
        <f t="shared" si="35"/>
        <v>-58.461469558654017</v>
      </c>
      <c r="AX21" s="34">
        <f t="shared" si="36"/>
        <v>58.461469558654017</v>
      </c>
      <c r="AY21" s="113">
        <f t="shared" si="37"/>
        <v>-5.266799059338199</v>
      </c>
      <c r="AZ21" s="113">
        <f t="shared" si="38"/>
        <v>5.266799059338199</v>
      </c>
      <c r="BA21" s="113">
        <f t="shared" si="39"/>
        <v>1.7742356383591233</v>
      </c>
      <c r="BB21" s="34">
        <f t="shared" si="40"/>
        <v>1104.1950738857709</v>
      </c>
      <c r="BC21" s="34">
        <f t="shared" si="41"/>
        <v>-5.8049261142291471</v>
      </c>
      <c r="BD21" s="34">
        <f t="shared" si="42"/>
        <v>5.8049261142291471</v>
      </c>
      <c r="BE21" s="113">
        <f t="shared" si="43"/>
        <v>-0.52296631659722048</v>
      </c>
      <c r="BF21" s="113">
        <f t="shared" si="44"/>
        <v>0.52296631659722048</v>
      </c>
      <c r="BG21" s="113">
        <f t="shared" si="45"/>
        <v>0.83282341413056971</v>
      </c>
      <c r="BH21" s="34">
        <f t="shared" si="46"/>
        <v>1094.4975068592519</v>
      </c>
      <c r="BI21" s="34">
        <f t="shared" si="47"/>
        <v>-15.502493140748129</v>
      </c>
      <c r="BJ21" s="34">
        <f t="shared" si="48"/>
        <v>15.502493140748129</v>
      </c>
      <c r="BK21" s="113">
        <f t="shared" si="49"/>
        <v>-1.3966210036710025</v>
      </c>
      <c r="BL21" s="113">
        <f t="shared" si="50"/>
        <v>1.3966210036710025</v>
      </c>
      <c r="BM21" s="113">
        <f t="shared" si="51"/>
        <v>1.2175495609094065</v>
      </c>
      <c r="BN21" s="34">
        <f t="shared" si="52"/>
        <v>1108.695652173913</v>
      </c>
      <c r="BO21" s="34">
        <f t="shared" si="53"/>
        <v>-1.3043478260869961</v>
      </c>
      <c r="BP21" s="34">
        <f t="shared" si="54"/>
        <v>1.3043478260869961</v>
      </c>
      <c r="BQ21" s="113">
        <f t="shared" si="55"/>
        <v>-0.11750881316099063</v>
      </c>
      <c r="BR21" s="113">
        <f t="shared" si="56"/>
        <v>0.11750881316099063</v>
      </c>
      <c r="BS21" s="113">
        <f t="shared" si="57"/>
        <v>0.36254803358320364</v>
      </c>
      <c r="BT21" s="34">
        <f t="shared" si="58"/>
        <v>1088.7565</v>
      </c>
      <c r="BU21" s="34">
        <f t="shared" si="59"/>
        <v>-21.24350000000004</v>
      </c>
      <c r="BV21" s="34">
        <f t="shared" si="60"/>
        <v>21.24350000000004</v>
      </c>
      <c r="BW21" s="34">
        <f t="shared" si="61"/>
        <v>1083.8955560356208</v>
      </c>
      <c r="BX21" s="34">
        <f t="shared" si="62"/>
        <v>-26.104443964379243</v>
      </c>
      <c r="BY21" s="34">
        <f t="shared" si="63"/>
        <v>26.104443964379243</v>
      </c>
    </row>
    <row r="22" spans="1:77" ht="15" x14ac:dyDescent="0.2">
      <c r="A22" s="206" t="s">
        <v>465</v>
      </c>
      <c r="B22" t="s">
        <v>894</v>
      </c>
      <c r="C22" s="224" t="s">
        <v>824</v>
      </c>
      <c r="D22" s="35" t="s">
        <v>148</v>
      </c>
      <c r="E22" s="35" t="s">
        <v>494</v>
      </c>
      <c r="F22" s="35" t="s">
        <v>580</v>
      </c>
      <c r="G22">
        <v>1111</v>
      </c>
      <c r="H22">
        <v>1111</v>
      </c>
      <c r="I22" s="35" t="s">
        <v>626</v>
      </c>
      <c r="J22">
        <v>264</v>
      </c>
      <c r="K22">
        <v>254</v>
      </c>
      <c r="L22" s="28"/>
      <c r="M22" s="35" t="s">
        <v>488</v>
      </c>
      <c r="N22" s="33">
        <f t="shared" si="0"/>
        <v>1178.3876</v>
      </c>
      <c r="O22" s="33">
        <f t="shared" si="1"/>
        <v>1085.1260000000002</v>
      </c>
      <c r="P22" s="33">
        <f t="shared" si="2"/>
        <v>1172.7941551727849</v>
      </c>
      <c r="Q22" s="33">
        <f t="shared" si="3"/>
        <v>1082.4527999999998</v>
      </c>
      <c r="R22" s="33">
        <f t="shared" si="4"/>
        <v>1028.5795446278428</v>
      </c>
      <c r="S22" s="33">
        <f t="shared" si="5"/>
        <v>1084.2494890956987</v>
      </c>
      <c r="T22" s="33">
        <f t="shared" si="6"/>
        <v>1074.0000966834873</v>
      </c>
      <c r="U22" s="33">
        <f t="shared" si="7"/>
        <v>1100</v>
      </c>
      <c r="V22" s="33">
        <f t="shared" si="8"/>
        <v>1074.2564</v>
      </c>
      <c r="W22" s="33">
        <f t="shared" si="9"/>
        <v>1071.1738015062726</v>
      </c>
      <c r="X22" s="34">
        <f t="shared" si="10"/>
        <v>1178.0791999999999</v>
      </c>
      <c r="Y22" s="34">
        <f t="shared" si="11"/>
        <v>67.079199999999901</v>
      </c>
      <c r="Z22" s="34">
        <f t="shared" si="12"/>
        <v>67.079199999999901</v>
      </c>
      <c r="AA22" s="113">
        <f t="shared" si="13"/>
        <v>6.0377317731773088</v>
      </c>
      <c r="AB22" s="113">
        <f t="shared" si="14"/>
        <v>6.0377317731773088</v>
      </c>
      <c r="AC22" s="113">
        <f t="shared" si="15"/>
        <v>1.8330144437036331</v>
      </c>
      <c r="AD22" s="34">
        <f t="shared" si="16"/>
        <v>1097.4446000000003</v>
      </c>
      <c r="AE22" s="34">
        <f t="shared" si="17"/>
        <v>-13.555399999999736</v>
      </c>
      <c r="AF22" s="34">
        <f t="shared" si="18"/>
        <v>13.555399999999736</v>
      </c>
      <c r="AG22" s="113">
        <f t="shared" si="19"/>
        <v>-1.2201080108010565</v>
      </c>
      <c r="AH22" s="113">
        <f t="shared" si="20"/>
        <v>1.2201080108010565</v>
      </c>
      <c r="AI22" s="113">
        <f t="shared" si="21"/>
        <v>1.1630241448765566</v>
      </c>
      <c r="AJ22" s="34">
        <f t="shared" si="22"/>
        <v>1019.7643364870888</v>
      </c>
      <c r="AK22" s="34">
        <f t="shared" si="23"/>
        <v>-91.235663512911174</v>
      </c>
      <c r="AL22" s="34">
        <f t="shared" si="24"/>
        <v>91.235663512911174</v>
      </c>
      <c r="AM22" s="113">
        <f t="shared" si="25"/>
        <v>-8.2120309192539303</v>
      </c>
      <c r="AN22" s="113">
        <f t="shared" si="26"/>
        <v>8.2120309192539303</v>
      </c>
      <c r="AO22" s="113">
        <f t="shared" si="27"/>
        <v>1.9648988762826847</v>
      </c>
      <c r="AP22" s="34">
        <f t="shared" si="28"/>
        <v>1154.7986000000001</v>
      </c>
      <c r="AQ22" s="34">
        <f t="shared" si="29"/>
        <v>43.798600000000079</v>
      </c>
      <c r="AR22" s="34">
        <f t="shared" si="30"/>
        <v>43.798600000000079</v>
      </c>
      <c r="AS22" s="113">
        <f t="shared" si="31"/>
        <v>3.9422682268226894</v>
      </c>
      <c r="AT22" s="113">
        <f t="shared" si="32"/>
        <v>3.9422682268226894</v>
      </c>
      <c r="AU22" s="113">
        <f t="shared" si="33"/>
        <v>1.651264442083523</v>
      </c>
      <c r="AV22" s="34">
        <f t="shared" si="34"/>
        <v>1046.5468215293724</v>
      </c>
      <c r="AW22" s="34">
        <f t="shared" si="35"/>
        <v>-64.453178470627563</v>
      </c>
      <c r="AX22" s="34">
        <f t="shared" si="36"/>
        <v>64.453178470627563</v>
      </c>
      <c r="AY22" s="113">
        <f t="shared" si="37"/>
        <v>-5.8013661989763783</v>
      </c>
      <c r="AZ22" s="113">
        <f t="shared" si="38"/>
        <v>5.8013661989763783</v>
      </c>
      <c r="BA22" s="113">
        <f t="shared" si="39"/>
        <v>1.8159307411654193</v>
      </c>
      <c r="BB22" s="34">
        <f t="shared" si="40"/>
        <v>1099.4457745182804</v>
      </c>
      <c r="BC22" s="34">
        <f t="shared" si="41"/>
        <v>-11.554225481719641</v>
      </c>
      <c r="BD22" s="34">
        <f t="shared" si="42"/>
        <v>11.554225481719641</v>
      </c>
      <c r="BE22" s="113">
        <f t="shared" si="43"/>
        <v>-1.0399842917839459</v>
      </c>
      <c r="BF22" s="113">
        <f t="shared" si="44"/>
        <v>1.0399842917839459</v>
      </c>
      <c r="BG22" s="113">
        <f t="shared" si="45"/>
        <v>1.0987899245845025</v>
      </c>
      <c r="BH22" s="34">
        <f t="shared" si="46"/>
        <v>1089.592959866741</v>
      </c>
      <c r="BI22" s="34">
        <f t="shared" si="47"/>
        <v>-21.407040133258988</v>
      </c>
      <c r="BJ22" s="34">
        <f t="shared" si="48"/>
        <v>21.407040133258988</v>
      </c>
      <c r="BK22" s="113">
        <f t="shared" si="49"/>
        <v>-1.9268262946227712</v>
      </c>
      <c r="BL22" s="113">
        <f t="shared" si="50"/>
        <v>1.9268262946227712</v>
      </c>
      <c r="BM22" s="113">
        <f t="shared" si="51"/>
        <v>1.3503844920241146</v>
      </c>
      <c r="BN22" s="34">
        <f t="shared" si="52"/>
        <v>1104.3478260869565</v>
      </c>
      <c r="BO22" s="34">
        <f t="shared" si="53"/>
        <v>-6.652173913043498</v>
      </c>
      <c r="BP22" s="34">
        <f t="shared" si="54"/>
        <v>6.652173913043498</v>
      </c>
      <c r="BQ22" s="113">
        <f t="shared" si="55"/>
        <v>-0.5987555277266875</v>
      </c>
      <c r="BR22" s="113">
        <f t="shared" si="56"/>
        <v>0.5987555277266875</v>
      </c>
      <c r="BS22" s="113">
        <f t="shared" si="57"/>
        <v>0.88378483179655809</v>
      </c>
      <c r="BT22" s="34">
        <f t="shared" si="58"/>
        <v>1084.1433999999999</v>
      </c>
      <c r="BU22" s="34">
        <f t="shared" si="59"/>
        <v>-26.856600000000071</v>
      </c>
      <c r="BV22" s="34">
        <f t="shared" si="60"/>
        <v>26.856600000000071</v>
      </c>
      <c r="BW22" s="34">
        <f t="shared" si="61"/>
        <v>1079.4350154885356</v>
      </c>
      <c r="BX22" s="34">
        <f t="shared" si="62"/>
        <v>-31.564984511464445</v>
      </c>
      <c r="BY22" s="34">
        <f t="shared" si="63"/>
        <v>31.564984511464445</v>
      </c>
    </row>
    <row r="23" spans="1:77" ht="16" x14ac:dyDescent="0.2">
      <c r="A23" s="206" t="s">
        <v>465</v>
      </c>
      <c r="B23" t="s">
        <v>843</v>
      </c>
      <c r="C23" s="224" t="s">
        <v>824</v>
      </c>
      <c r="D23" s="35" t="s">
        <v>148</v>
      </c>
      <c r="E23" s="35" t="s">
        <v>494</v>
      </c>
      <c r="F23" s="35" t="s">
        <v>580</v>
      </c>
      <c r="G23" s="147">
        <v>1126</v>
      </c>
      <c r="H23" s="147">
        <v>1126</v>
      </c>
      <c r="I23" s="35" t="s">
        <v>626</v>
      </c>
      <c r="J23" s="147">
        <v>272</v>
      </c>
      <c r="K23" s="147">
        <v>257</v>
      </c>
      <c r="L23" s="28"/>
      <c r="M23" s="35" t="s">
        <v>488</v>
      </c>
      <c r="N23" s="33">
        <f t="shared" si="0"/>
        <v>1210.4148</v>
      </c>
      <c r="O23" s="33">
        <f t="shared" si="1"/>
        <v>1129.8380000000002</v>
      </c>
      <c r="P23" s="33">
        <f t="shared" si="2"/>
        <v>1215.4787010814919</v>
      </c>
      <c r="Q23" s="33">
        <f t="shared" si="3"/>
        <v>1120.7303999999999</v>
      </c>
      <c r="R23" s="33">
        <f t="shared" si="4"/>
        <v>1066.4338774009157</v>
      </c>
      <c r="S23" s="33">
        <f t="shared" si="5"/>
        <v>1120.3450666774934</v>
      </c>
      <c r="T23" s="33">
        <f t="shared" si="6"/>
        <v>1111.2794653429034</v>
      </c>
      <c r="U23" s="33">
        <f t="shared" si="7"/>
        <v>1133.3333333333335</v>
      </c>
      <c r="V23" s="33">
        <f t="shared" si="8"/>
        <v>1109.3371999999999</v>
      </c>
      <c r="W23" s="33">
        <f t="shared" si="9"/>
        <v>1105.0380373634405</v>
      </c>
      <c r="X23" s="34">
        <f t="shared" si="10"/>
        <v>1190.5585999999998</v>
      </c>
      <c r="Y23" s="34">
        <f t="shared" si="11"/>
        <v>64.558599999999842</v>
      </c>
      <c r="Z23" s="34">
        <f t="shared" si="12"/>
        <v>64.558599999999842</v>
      </c>
      <c r="AA23" s="113">
        <f t="shared" si="13"/>
        <v>5.733445825932491</v>
      </c>
      <c r="AB23" s="113">
        <f t="shared" si="14"/>
        <v>5.733445825932491</v>
      </c>
      <c r="AC23" s="113">
        <f t="shared" si="15"/>
        <v>1.8166296706646798</v>
      </c>
      <c r="AD23" s="34">
        <f t="shared" si="16"/>
        <v>1113.8243000000002</v>
      </c>
      <c r="AE23" s="34">
        <f t="shared" si="17"/>
        <v>-12.175699999999779</v>
      </c>
      <c r="AF23" s="34">
        <f t="shared" si="18"/>
        <v>12.175699999999779</v>
      </c>
      <c r="AG23" s="113">
        <f t="shared" si="19"/>
        <v>-1.0813232682060194</v>
      </c>
      <c r="AH23" s="113">
        <f t="shared" si="20"/>
        <v>1.0813232682060194</v>
      </c>
      <c r="AI23" s="113">
        <f t="shared" si="21"/>
        <v>1.1197736977412414</v>
      </c>
      <c r="AJ23" s="34">
        <f t="shared" si="22"/>
        <v>1034.8736676381002</v>
      </c>
      <c r="AK23" s="34">
        <f t="shared" si="23"/>
        <v>-91.126332361899813</v>
      </c>
      <c r="AL23" s="34">
        <f t="shared" si="24"/>
        <v>91.126332361899813</v>
      </c>
      <c r="AM23" s="113">
        <f t="shared" si="25"/>
        <v>-8.09292472130549</v>
      </c>
      <c r="AN23" s="113">
        <f t="shared" si="26"/>
        <v>8.09292472130549</v>
      </c>
      <c r="AO23" s="113">
        <f t="shared" si="27"/>
        <v>1.9643837818249015</v>
      </c>
      <c r="AP23" s="34">
        <f t="shared" si="28"/>
        <v>1170.5723</v>
      </c>
      <c r="AQ23" s="34">
        <f t="shared" si="29"/>
        <v>44.572300000000041</v>
      </c>
      <c r="AR23" s="34">
        <f t="shared" si="30"/>
        <v>44.572300000000041</v>
      </c>
      <c r="AS23" s="113">
        <f t="shared" si="31"/>
        <v>3.9584635879218508</v>
      </c>
      <c r="AT23" s="113">
        <f t="shared" si="32"/>
        <v>3.9584635879218508</v>
      </c>
      <c r="AU23" s="113">
        <f t="shared" si="33"/>
        <v>1.6587009476542434</v>
      </c>
      <c r="AV23" s="34">
        <f t="shared" si="34"/>
        <v>1061.5343318643738</v>
      </c>
      <c r="AW23" s="34">
        <f t="shared" si="35"/>
        <v>-64.465668135626174</v>
      </c>
      <c r="AX23" s="34">
        <f t="shared" si="36"/>
        <v>64.465668135626174</v>
      </c>
      <c r="AY23" s="113">
        <f t="shared" si="37"/>
        <v>-5.72519255200943</v>
      </c>
      <c r="AZ23" s="113">
        <f t="shared" si="38"/>
        <v>5.72519255200943</v>
      </c>
      <c r="BA23" s="113">
        <f t="shared" si="39"/>
        <v>1.8160136045994746</v>
      </c>
      <c r="BB23" s="34">
        <f t="shared" si="40"/>
        <v>1113.6990870786656</v>
      </c>
      <c r="BC23" s="34">
        <f t="shared" si="41"/>
        <v>-12.300912921334429</v>
      </c>
      <c r="BD23" s="34">
        <f t="shared" si="42"/>
        <v>12.300912921334429</v>
      </c>
      <c r="BE23" s="113">
        <f t="shared" si="43"/>
        <v>-1.0924434210776581</v>
      </c>
      <c r="BF23" s="113">
        <f t="shared" si="44"/>
        <v>1.0924434210776581</v>
      </c>
      <c r="BG23" s="113">
        <f t="shared" si="45"/>
        <v>1.1238814502220751</v>
      </c>
      <c r="BH23" s="34">
        <f t="shared" si="46"/>
        <v>1104.314845144386</v>
      </c>
      <c r="BI23" s="34">
        <f t="shared" si="47"/>
        <v>-21.685154855613973</v>
      </c>
      <c r="BJ23" s="34">
        <f t="shared" si="48"/>
        <v>21.685154855613973</v>
      </c>
      <c r="BK23" s="113">
        <f t="shared" si="49"/>
        <v>-1.9258574472126084</v>
      </c>
      <c r="BL23" s="113">
        <f t="shared" si="50"/>
        <v>1.9258574472126084</v>
      </c>
      <c r="BM23" s="113">
        <f t="shared" si="51"/>
        <v>1.3557417482354539</v>
      </c>
      <c r="BN23" s="34">
        <f t="shared" si="52"/>
        <v>1117.391304347826</v>
      </c>
      <c r="BO23" s="34">
        <f t="shared" si="53"/>
        <v>-8.6086956521739921</v>
      </c>
      <c r="BP23" s="34">
        <f t="shared" si="54"/>
        <v>8.6086956521739921</v>
      </c>
      <c r="BQ23" s="113">
        <f t="shared" si="55"/>
        <v>-0.76453780214689093</v>
      </c>
      <c r="BR23" s="113">
        <f t="shared" si="56"/>
        <v>0.76453780214689093</v>
      </c>
      <c r="BS23" s="113">
        <f t="shared" si="57"/>
        <v>0.98266443766752143</v>
      </c>
      <c r="BT23" s="34">
        <f t="shared" si="58"/>
        <v>1097.9827</v>
      </c>
      <c r="BU23" s="34">
        <f t="shared" si="59"/>
        <v>-28.017299999999977</v>
      </c>
      <c r="BV23" s="34">
        <f t="shared" si="60"/>
        <v>28.017299999999977</v>
      </c>
      <c r="BW23" s="34">
        <f t="shared" si="61"/>
        <v>1092.8192317818059</v>
      </c>
      <c r="BX23" s="34">
        <f t="shared" si="62"/>
        <v>-33.180768218194089</v>
      </c>
      <c r="BY23" s="34">
        <f t="shared" si="63"/>
        <v>33.180768218194089</v>
      </c>
    </row>
    <row r="24" spans="1:77" ht="16" x14ac:dyDescent="0.2">
      <c r="A24" s="206" t="s">
        <v>465</v>
      </c>
      <c r="B24" t="s">
        <v>859</v>
      </c>
      <c r="C24" s="224" t="s">
        <v>824</v>
      </c>
      <c r="D24" s="35" t="s">
        <v>148</v>
      </c>
      <c r="E24" s="35" t="s">
        <v>494</v>
      </c>
      <c r="F24" s="35" t="s">
        <v>580</v>
      </c>
      <c r="G24" s="147">
        <v>1135</v>
      </c>
      <c r="H24" s="147">
        <v>1135</v>
      </c>
      <c r="I24" s="35" t="s">
        <v>626</v>
      </c>
      <c r="J24" s="147">
        <v>275</v>
      </c>
      <c r="K24" s="147">
        <v>255</v>
      </c>
      <c r="L24" s="28"/>
      <c r="M24" s="35" t="s">
        <v>488</v>
      </c>
      <c r="N24" s="33">
        <f t="shared" si="0"/>
        <v>1222.425</v>
      </c>
      <c r="O24" s="33">
        <f t="shared" si="1"/>
        <v>1146.605</v>
      </c>
      <c r="P24" s="33">
        <f t="shared" si="2"/>
        <v>1231.5498377756001</v>
      </c>
      <c r="Q24" s="33">
        <f t="shared" si="3"/>
        <v>1135.0844999999999</v>
      </c>
      <c r="R24" s="33">
        <f t="shared" si="4"/>
        <v>1080.6902044552403</v>
      </c>
      <c r="S24" s="33">
        <f t="shared" si="5"/>
        <v>1133.9076453703744</v>
      </c>
      <c r="T24" s="33">
        <f t="shared" si="6"/>
        <v>1125.2999539430198</v>
      </c>
      <c r="U24" s="33">
        <f t="shared" si="7"/>
        <v>1145.8333333333335</v>
      </c>
      <c r="V24" s="33">
        <f t="shared" si="8"/>
        <v>1122.4925000000001</v>
      </c>
      <c r="W24" s="33">
        <f t="shared" si="9"/>
        <v>1117.7481370538951</v>
      </c>
      <c r="X24" s="34">
        <f t="shared" si="10"/>
        <v>1182.239</v>
      </c>
      <c r="Y24" s="34">
        <f t="shared" si="11"/>
        <v>47.239000000000033</v>
      </c>
      <c r="Z24" s="34">
        <f t="shared" si="12"/>
        <v>47.239000000000033</v>
      </c>
      <c r="AA24" s="113">
        <f t="shared" si="13"/>
        <v>4.1620264317180649</v>
      </c>
      <c r="AB24" s="113">
        <f t="shared" si="14"/>
        <v>4.1620264317180649</v>
      </c>
      <c r="AC24" s="113">
        <f t="shared" si="15"/>
        <v>1.6833982962510139</v>
      </c>
      <c r="AD24" s="34">
        <f t="shared" si="16"/>
        <v>1102.9045000000001</v>
      </c>
      <c r="AE24" s="34">
        <f t="shared" si="17"/>
        <v>-32.095499999999902</v>
      </c>
      <c r="AF24" s="34">
        <f t="shared" si="18"/>
        <v>32.095499999999902</v>
      </c>
      <c r="AG24" s="113">
        <f t="shared" si="19"/>
        <v>-2.8277973568281856</v>
      </c>
      <c r="AH24" s="113">
        <f t="shared" si="20"/>
        <v>2.8277973568281856</v>
      </c>
      <c r="AI24" s="113">
        <f t="shared" si="21"/>
        <v>1.5197689467054007</v>
      </c>
      <c r="AJ24" s="34">
        <f t="shared" si="22"/>
        <v>1024.79579847171</v>
      </c>
      <c r="AK24" s="34">
        <f t="shared" si="23"/>
        <v>-110.20420152829001</v>
      </c>
      <c r="AL24" s="34">
        <f t="shared" si="24"/>
        <v>110.20420152829001</v>
      </c>
      <c r="AM24" s="113">
        <f t="shared" si="25"/>
        <v>-9.7096212800255515</v>
      </c>
      <c r="AN24" s="113">
        <f t="shared" si="26"/>
        <v>9.7096212800255515</v>
      </c>
      <c r="AO24" s="113">
        <f t="shared" si="27"/>
        <v>2.0461211961136732</v>
      </c>
      <c r="AP24" s="34">
        <f t="shared" si="28"/>
        <v>1160.0564999999999</v>
      </c>
      <c r="AQ24" s="34">
        <f t="shared" si="29"/>
        <v>25.056499999999915</v>
      </c>
      <c r="AR24" s="34">
        <f t="shared" si="30"/>
        <v>25.056499999999915</v>
      </c>
      <c r="AS24" s="113">
        <f t="shared" si="31"/>
        <v>2.2076211453744419</v>
      </c>
      <c r="AT24" s="113">
        <f t="shared" si="32"/>
        <v>2.2076211453744419</v>
      </c>
      <c r="AU24" s="113">
        <f t="shared" si="33"/>
        <v>1.4159160793439474</v>
      </c>
      <c r="AV24" s="34">
        <f t="shared" si="34"/>
        <v>1051.538530441346</v>
      </c>
      <c r="AW24" s="34">
        <f t="shared" si="35"/>
        <v>-83.461469558654017</v>
      </c>
      <c r="AX24" s="34">
        <f t="shared" si="36"/>
        <v>83.461469558654017</v>
      </c>
      <c r="AY24" s="113">
        <f t="shared" si="37"/>
        <v>-7.3534334412911031</v>
      </c>
      <c r="AZ24" s="113">
        <f t="shared" si="38"/>
        <v>7.3534334412911031</v>
      </c>
      <c r="BA24" s="113">
        <f t="shared" si="39"/>
        <v>1.9266586335139657</v>
      </c>
      <c r="BB24" s="34">
        <f t="shared" si="40"/>
        <v>1104.1950738857709</v>
      </c>
      <c r="BC24" s="34">
        <f t="shared" si="41"/>
        <v>-30.804926114229147</v>
      </c>
      <c r="BD24" s="34">
        <f t="shared" si="42"/>
        <v>30.804926114229147</v>
      </c>
      <c r="BE24" s="113">
        <f t="shared" si="43"/>
        <v>-2.7140904065400129</v>
      </c>
      <c r="BF24" s="113">
        <f t="shared" si="44"/>
        <v>2.7140904065400129</v>
      </c>
      <c r="BG24" s="113">
        <f t="shared" si="45"/>
        <v>1.5024943910076669</v>
      </c>
      <c r="BH24" s="34">
        <f t="shared" si="46"/>
        <v>1094.4975068592519</v>
      </c>
      <c r="BI24" s="34">
        <f t="shared" si="47"/>
        <v>-40.502493140748129</v>
      </c>
      <c r="BJ24" s="34">
        <f t="shared" si="48"/>
        <v>40.502493140748129</v>
      </c>
      <c r="BK24" s="113">
        <f t="shared" si="49"/>
        <v>-3.5685015983037998</v>
      </c>
      <c r="BL24" s="113">
        <f t="shared" si="50"/>
        <v>3.5685015983037998</v>
      </c>
      <c r="BM24" s="113">
        <f t="shared" si="51"/>
        <v>1.6180741864650356</v>
      </c>
      <c r="BN24" s="34">
        <f t="shared" si="52"/>
        <v>1108.695652173913</v>
      </c>
      <c r="BO24" s="34">
        <f t="shared" si="53"/>
        <v>-26.304347826086996</v>
      </c>
      <c r="BP24" s="34">
        <f t="shared" si="54"/>
        <v>26.304347826086996</v>
      </c>
      <c r="BQ24" s="113">
        <f t="shared" si="55"/>
        <v>-2.317563685117797</v>
      </c>
      <c r="BR24" s="113">
        <f t="shared" si="56"/>
        <v>2.317563685117797</v>
      </c>
      <c r="BS24" s="113">
        <f t="shared" si="57"/>
        <v>1.4362318077196039</v>
      </c>
      <c r="BT24" s="34">
        <f t="shared" si="58"/>
        <v>1088.7565</v>
      </c>
      <c r="BU24" s="34">
        <f t="shared" si="59"/>
        <v>-46.24350000000004</v>
      </c>
      <c r="BV24" s="34">
        <f t="shared" si="60"/>
        <v>46.24350000000004</v>
      </c>
      <c r="BW24" s="34">
        <f t="shared" si="61"/>
        <v>1083.8955560356208</v>
      </c>
      <c r="BX24" s="34">
        <f t="shared" si="62"/>
        <v>-51.104443964379243</v>
      </c>
      <c r="BY24" s="34">
        <f t="shared" si="63"/>
        <v>51.104443964379243</v>
      </c>
    </row>
    <row r="25" spans="1:77" ht="15" x14ac:dyDescent="0.2">
      <c r="A25" s="206" t="s">
        <v>465</v>
      </c>
      <c r="B25" s="28" t="s">
        <v>423</v>
      </c>
      <c r="C25" s="28" t="s">
        <v>458</v>
      </c>
      <c r="D25" s="208" t="s">
        <v>82</v>
      </c>
      <c r="E25" s="35" t="s">
        <v>494</v>
      </c>
      <c r="F25" s="35" t="s">
        <v>580</v>
      </c>
      <c r="G25" s="141">
        <v>1150</v>
      </c>
      <c r="H25" s="141">
        <v>1150</v>
      </c>
      <c r="I25" s="35" t="s">
        <v>626</v>
      </c>
      <c r="J25" s="141">
        <v>275</v>
      </c>
      <c r="K25" s="141">
        <v>268</v>
      </c>
      <c r="L25" s="28"/>
      <c r="M25" s="35" t="s">
        <v>37</v>
      </c>
      <c r="N25" s="33">
        <f t="shared" si="0"/>
        <v>1222.425</v>
      </c>
      <c r="O25" s="33">
        <f t="shared" si="1"/>
        <v>1146.605</v>
      </c>
      <c r="P25" s="33">
        <f t="shared" si="2"/>
        <v>1231.5498377756001</v>
      </c>
      <c r="Q25" s="33">
        <f t="shared" si="3"/>
        <v>1135.0844999999999</v>
      </c>
      <c r="R25" s="33">
        <f t="shared" si="4"/>
        <v>1080.6902044552403</v>
      </c>
      <c r="S25" s="33">
        <f t="shared" si="5"/>
        <v>1133.9076453703744</v>
      </c>
      <c r="T25" s="33">
        <f t="shared" si="6"/>
        <v>1125.2999539430198</v>
      </c>
      <c r="U25" s="33">
        <f t="shared" si="7"/>
        <v>1145.8333333333335</v>
      </c>
      <c r="V25" s="33">
        <f t="shared" si="8"/>
        <v>1122.4925000000001</v>
      </c>
      <c r="W25" s="33">
        <f t="shared" si="9"/>
        <v>1117.7481370538951</v>
      </c>
      <c r="X25" s="34">
        <f t="shared" si="10"/>
        <v>1236.3163999999999</v>
      </c>
      <c r="Y25" s="34">
        <f t="shared" si="11"/>
        <v>86.316399999999931</v>
      </c>
      <c r="Z25" s="34">
        <f t="shared" si="12"/>
        <v>86.316399999999931</v>
      </c>
      <c r="AA25" s="113">
        <f t="shared" si="13"/>
        <v>7.5057739130434715</v>
      </c>
      <c r="AB25" s="113">
        <f t="shared" si="14"/>
        <v>7.5057739130434715</v>
      </c>
      <c r="AC25" s="113">
        <f t="shared" si="15"/>
        <v>1.941095821719137</v>
      </c>
      <c r="AD25" s="34">
        <f t="shared" si="16"/>
        <v>1173.8832000000002</v>
      </c>
      <c r="AE25" s="34">
        <f t="shared" si="17"/>
        <v>23.883200000000215</v>
      </c>
      <c r="AF25" s="34">
        <f t="shared" si="18"/>
        <v>23.883200000000215</v>
      </c>
      <c r="AG25" s="113">
        <f t="shared" si="19"/>
        <v>2.0768000000000186</v>
      </c>
      <c r="AH25" s="113">
        <f t="shared" si="20"/>
        <v>2.0768000000000186</v>
      </c>
      <c r="AI25" s="113">
        <f t="shared" si="21"/>
        <v>1.395906230238128</v>
      </c>
      <c r="AJ25" s="34">
        <f t="shared" si="22"/>
        <v>1090.6533789266634</v>
      </c>
      <c r="AK25" s="34">
        <f t="shared" si="23"/>
        <v>-59.346621073336564</v>
      </c>
      <c r="AL25" s="34">
        <f t="shared" si="24"/>
        <v>59.346621073336564</v>
      </c>
      <c r="AM25" s="113">
        <f t="shared" si="25"/>
        <v>-5.1605757455075274</v>
      </c>
      <c r="AN25" s="113">
        <f t="shared" si="26"/>
        <v>5.1605757455075274</v>
      </c>
      <c r="AO25" s="113">
        <f t="shared" si="27"/>
        <v>1.7806529581071606</v>
      </c>
      <c r="AP25" s="34">
        <f t="shared" si="28"/>
        <v>1228.4092000000001</v>
      </c>
      <c r="AQ25" s="34">
        <f t="shared" si="29"/>
        <v>78.409200000000055</v>
      </c>
      <c r="AR25" s="34">
        <f t="shared" si="30"/>
        <v>78.409200000000055</v>
      </c>
      <c r="AS25" s="113">
        <f t="shared" si="31"/>
        <v>6.818191304347831</v>
      </c>
      <c r="AT25" s="113">
        <f t="shared" si="32"/>
        <v>6.818191304347831</v>
      </c>
      <c r="AU25" s="113">
        <f t="shared" si="33"/>
        <v>1.8998708207869646</v>
      </c>
      <c r="AV25" s="34">
        <f t="shared" si="34"/>
        <v>1116.8022179512875</v>
      </c>
      <c r="AW25" s="34">
        <f t="shared" si="35"/>
        <v>-33.197782048712497</v>
      </c>
      <c r="AX25" s="34">
        <f t="shared" si="36"/>
        <v>33.197782048712497</v>
      </c>
      <c r="AY25" s="113">
        <f t="shared" si="37"/>
        <v>-2.8867636564097823</v>
      </c>
      <c r="AZ25" s="113">
        <f t="shared" si="38"/>
        <v>2.8867636564097823</v>
      </c>
      <c r="BA25" s="113">
        <f t="shared" si="39"/>
        <v>1.5339979401134165</v>
      </c>
      <c r="BB25" s="34">
        <f t="shared" si="40"/>
        <v>1166.0981233309301</v>
      </c>
      <c r="BC25" s="34">
        <f t="shared" si="41"/>
        <v>16.098123330930093</v>
      </c>
      <c r="BD25" s="34">
        <f t="shared" si="42"/>
        <v>16.098123330930093</v>
      </c>
      <c r="BE25" s="113">
        <f t="shared" si="43"/>
        <v>1.3998368113852255</v>
      </c>
      <c r="BF25" s="113">
        <f t="shared" si="44"/>
        <v>1.3998368113852255</v>
      </c>
      <c r="BG25" s="113">
        <f t="shared" si="45"/>
        <v>1.2329484453776529</v>
      </c>
      <c r="BH25" s="34">
        <f t="shared" si="46"/>
        <v>1158.5036861382248</v>
      </c>
      <c r="BI25" s="34">
        <f t="shared" si="47"/>
        <v>8.5036861382247935</v>
      </c>
      <c r="BJ25" s="34">
        <f t="shared" si="48"/>
        <v>8.5036861382247935</v>
      </c>
      <c r="BK25" s="113">
        <f t="shared" si="49"/>
        <v>0.73945096854128645</v>
      </c>
      <c r="BL25" s="113">
        <f t="shared" si="50"/>
        <v>0.73945096854128645</v>
      </c>
      <c r="BM25" s="113">
        <f t="shared" si="51"/>
        <v>0.97789208518258985</v>
      </c>
      <c r="BN25" s="34">
        <f t="shared" si="52"/>
        <v>1165.2173913043478</v>
      </c>
      <c r="BO25" s="34">
        <f t="shared" si="53"/>
        <v>15.217391304347757</v>
      </c>
      <c r="BP25" s="34">
        <f t="shared" si="54"/>
        <v>15.217391304347757</v>
      </c>
      <c r="BQ25" s="113">
        <f t="shared" si="55"/>
        <v>1.3232514177693702</v>
      </c>
      <c r="BR25" s="113">
        <f t="shared" si="56"/>
        <v>1.3232514177693702</v>
      </c>
      <c r="BS25" s="113">
        <f t="shared" si="57"/>
        <v>1.209980995791093</v>
      </c>
      <c r="BT25" s="34">
        <f t="shared" si="58"/>
        <v>1148.7267999999999</v>
      </c>
      <c r="BU25" s="34">
        <f t="shared" si="59"/>
        <v>-1.273200000000088</v>
      </c>
      <c r="BV25" s="34">
        <f t="shared" si="60"/>
        <v>1.273200000000088</v>
      </c>
      <c r="BW25" s="34">
        <f t="shared" si="61"/>
        <v>1141.9602385628855</v>
      </c>
      <c r="BX25" s="34">
        <f t="shared" si="62"/>
        <v>-8.039761437114521</v>
      </c>
      <c r="BY25" s="34">
        <f t="shared" si="63"/>
        <v>8.039761437114521</v>
      </c>
    </row>
    <row r="26" spans="1:77" ht="15" x14ac:dyDescent="0.2">
      <c r="A26" s="206" t="s">
        <v>465</v>
      </c>
      <c r="B26" s="28" t="s">
        <v>435</v>
      </c>
      <c r="C26" s="28" t="s">
        <v>458</v>
      </c>
      <c r="D26" s="208" t="s">
        <v>82</v>
      </c>
      <c r="E26" s="35" t="s">
        <v>494</v>
      </c>
      <c r="F26" s="35" t="s">
        <v>580</v>
      </c>
      <c r="G26" s="141">
        <v>1150</v>
      </c>
      <c r="H26" s="141">
        <v>1150</v>
      </c>
      <c r="I26" s="35" t="s">
        <v>626</v>
      </c>
      <c r="J26" s="141">
        <v>270</v>
      </c>
      <c r="K26" s="141">
        <v>258</v>
      </c>
      <c r="L26" s="141">
        <v>340</v>
      </c>
      <c r="M26" s="35" t="s">
        <v>37</v>
      </c>
      <c r="N26" s="33">
        <f t="shared" si="0"/>
        <v>1202.4080000000001</v>
      </c>
      <c r="O26" s="33">
        <f t="shared" si="1"/>
        <v>1118.6600000000003</v>
      </c>
      <c r="P26" s="33">
        <f t="shared" si="2"/>
        <v>1204.7840188015202</v>
      </c>
      <c r="Q26" s="33">
        <f t="shared" si="3"/>
        <v>1111.1609999999998</v>
      </c>
      <c r="R26" s="33">
        <f t="shared" si="4"/>
        <v>1056.9480218181468</v>
      </c>
      <c r="S26" s="33">
        <f t="shared" si="5"/>
        <v>1111.3113955377892</v>
      </c>
      <c r="T26" s="33">
        <f t="shared" si="6"/>
        <v>1101.9447356633996</v>
      </c>
      <c r="U26" s="33">
        <f t="shared" si="7"/>
        <v>1125</v>
      </c>
      <c r="V26" s="33">
        <f t="shared" si="8"/>
        <v>1100.567</v>
      </c>
      <c r="W26" s="33">
        <f t="shared" si="9"/>
        <v>1096.5679506602514</v>
      </c>
      <c r="X26" s="34">
        <f t="shared" si="10"/>
        <v>1194.7184</v>
      </c>
      <c r="Y26" s="34">
        <f t="shared" si="11"/>
        <v>44.718399999999974</v>
      </c>
      <c r="Z26" s="34">
        <f t="shared" si="12"/>
        <v>44.718399999999974</v>
      </c>
      <c r="AA26" s="113">
        <f t="shared" si="13"/>
        <v>3.8885565217391282</v>
      </c>
      <c r="AB26" s="113">
        <f t="shared" si="14"/>
        <v>3.8885565217391282</v>
      </c>
      <c r="AC26" s="113">
        <f t="shared" si="15"/>
        <v>1.660091023050233</v>
      </c>
      <c r="AD26" s="34">
        <f t="shared" si="16"/>
        <v>1119.2842000000001</v>
      </c>
      <c r="AE26" s="34">
        <f t="shared" si="17"/>
        <v>-30.715799999999945</v>
      </c>
      <c r="AF26" s="34">
        <f t="shared" si="18"/>
        <v>30.715799999999945</v>
      </c>
      <c r="AG26" s="113">
        <f t="shared" si="19"/>
        <v>-2.6709391304347778</v>
      </c>
      <c r="AH26" s="113">
        <f t="shared" si="20"/>
        <v>2.6709391304347778</v>
      </c>
      <c r="AI26" s="113">
        <f t="shared" si="21"/>
        <v>1.5012756705247043</v>
      </c>
      <c r="AJ26" s="34">
        <f t="shared" si="22"/>
        <v>1039.9200457874383</v>
      </c>
      <c r="AK26" s="34">
        <f t="shared" si="23"/>
        <v>-110.07995421256169</v>
      </c>
      <c r="AL26" s="34">
        <f t="shared" si="24"/>
        <v>110.07995421256169</v>
      </c>
      <c r="AM26" s="113">
        <f t="shared" si="25"/>
        <v>-9.5721699315271032</v>
      </c>
      <c r="AN26" s="113">
        <f t="shared" si="26"/>
        <v>9.5721699315271032</v>
      </c>
      <c r="AO26" s="113">
        <f t="shared" si="27"/>
        <v>2.045635692060972</v>
      </c>
      <c r="AP26" s="34">
        <f t="shared" si="28"/>
        <v>1175.8301999999999</v>
      </c>
      <c r="AQ26" s="34">
        <f t="shared" si="29"/>
        <v>25.830199999999877</v>
      </c>
      <c r="AR26" s="34">
        <f t="shared" si="30"/>
        <v>25.830199999999877</v>
      </c>
      <c r="AS26" s="113">
        <f t="shared" si="31"/>
        <v>2.2461043478260763</v>
      </c>
      <c r="AT26" s="113">
        <f t="shared" si="32"/>
        <v>2.2461043478260763</v>
      </c>
      <c r="AU26" s="113">
        <f t="shared" si="33"/>
        <v>1.4286239100395346</v>
      </c>
      <c r="AV26" s="34">
        <f t="shared" si="34"/>
        <v>1066.5383989829174</v>
      </c>
      <c r="AW26" s="34">
        <f t="shared" si="35"/>
        <v>-83.461601017082558</v>
      </c>
      <c r="AX26" s="34">
        <f t="shared" si="36"/>
        <v>83.461601017082558</v>
      </c>
      <c r="AY26" s="113">
        <f t="shared" si="37"/>
        <v>-7.2575305232245704</v>
      </c>
      <c r="AZ26" s="113">
        <f t="shared" si="38"/>
        <v>7.2575305232245704</v>
      </c>
      <c r="BA26" s="113">
        <f t="shared" si="39"/>
        <v>1.9266593094627265</v>
      </c>
      <c r="BB26" s="34">
        <f t="shared" si="40"/>
        <v>1118.4537882013749</v>
      </c>
      <c r="BC26" s="34">
        <f t="shared" si="41"/>
        <v>-31.546211798625109</v>
      </c>
      <c r="BD26" s="34">
        <f t="shared" si="42"/>
        <v>31.546211798625109</v>
      </c>
      <c r="BE26" s="113">
        <f t="shared" si="43"/>
        <v>-2.7431488520543574</v>
      </c>
      <c r="BF26" s="113">
        <f t="shared" si="44"/>
        <v>2.7431488520543574</v>
      </c>
      <c r="BG26" s="113">
        <f t="shared" si="45"/>
        <v>1.5125004463390619</v>
      </c>
      <c r="BH26" s="34">
        <f t="shared" si="46"/>
        <v>1109.2276180784049</v>
      </c>
      <c r="BI26" s="34">
        <f t="shared" si="47"/>
        <v>-40.77238192159507</v>
      </c>
      <c r="BJ26" s="34">
        <f t="shared" si="48"/>
        <v>40.77238192159507</v>
      </c>
      <c r="BK26" s="113">
        <f t="shared" si="49"/>
        <v>-3.5454245149213102</v>
      </c>
      <c r="BL26" s="113">
        <f t="shared" si="50"/>
        <v>3.5454245149213102</v>
      </c>
      <c r="BM26" s="113">
        <f t="shared" si="51"/>
        <v>1.6208892400702788</v>
      </c>
      <c r="BN26" s="34">
        <f t="shared" si="52"/>
        <v>1121.7391304347825</v>
      </c>
      <c r="BO26" s="34">
        <f t="shared" si="53"/>
        <v>-28.26086956521749</v>
      </c>
      <c r="BP26" s="34">
        <f t="shared" si="54"/>
        <v>28.26086956521749</v>
      </c>
      <c r="BQ26" s="113">
        <f t="shared" si="55"/>
        <v>-2.4574669187145641</v>
      </c>
      <c r="BR26" s="113">
        <f t="shared" si="56"/>
        <v>2.4574669187145641</v>
      </c>
      <c r="BS26" s="113">
        <f t="shared" si="57"/>
        <v>1.4662872282063855</v>
      </c>
      <c r="BT26" s="34">
        <f t="shared" si="58"/>
        <v>1102.5958000000001</v>
      </c>
      <c r="BU26" s="34">
        <f t="shared" si="59"/>
        <v>-47.404199999999946</v>
      </c>
      <c r="BV26" s="34">
        <f t="shared" si="60"/>
        <v>47.404199999999946</v>
      </c>
      <c r="BW26" s="34">
        <f t="shared" si="61"/>
        <v>1097.2823605742565</v>
      </c>
      <c r="BX26" s="34">
        <f t="shared" si="62"/>
        <v>-52.717639425743528</v>
      </c>
      <c r="BY26" s="34">
        <f t="shared" si="63"/>
        <v>52.717639425743528</v>
      </c>
    </row>
    <row r="27" spans="1:77" ht="16" x14ac:dyDescent="0.2">
      <c r="A27" s="206" t="s">
        <v>465</v>
      </c>
      <c r="B27" t="s">
        <v>847</v>
      </c>
      <c r="C27" s="224" t="s">
        <v>824</v>
      </c>
      <c r="D27" s="35" t="s">
        <v>148</v>
      </c>
      <c r="E27" s="35" t="s">
        <v>494</v>
      </c>
      <c r="F27" s="35" t="s">
        <v>580</v>
      </c>
      <c r="G27" s="147">
        <v>1170</v>
      </c>
      <c r="H27" s="147">
        <v>1170</v>
      </c>
      <c r="I27" s="35" t="s">
        <v>626</v>
      </c>
      <c r="J27" s="147">
        <v>288</v>
      </c>
      <c r="K27" s="147">
        <v>276</v>
      </c>
      <c r="L27" s="28"/>
      <c r="M27" s="35" t="s">
        <v>488</v>
      </c>
      <c r="N27" s="33">
        <f t="shared" si="0"/>
        <v>1274.4692</v>
      </c>
      <c r="O27" s="33">
        <f t="shared" si="1"/>
        <v>1219.2620000000002</v>
      </c>
      <c r="P27" s="33">
        <f t="shared" si="2"/>
        <v>1301.5881756790452</v>
      </c>
      <c r="Q27" s="33">
        <f t="shared" si="3"/>
        <v>1197.2855999999999</v>
      </c>
      <c r="R27" s="33">
        <f t="shared" si="4"/>
        <v>1142.8430840566896</v>
      </c>
      <c r="S27" s="33">
        <f t="shared" si="5"/>
        <v>1192.8429757087717</v>
      </c>
      <c r="T27" s="33">
        <f t="shared" si="6"/>
        <v>1186.3057776779654</v>
      </c>
      <c r="U27" s="33">
        <f t="shared" si="7"/>
        <v>1200</v>
      </c>
      <c r="V27" s="33">
        <f t="shared" si="8"/>
        <v>1179.4988000000001</v>
      </c>
      <c r="W27" s="33">
        <f t="shared" si="9"/>
        <v>1172.8927339712905</v>
      </c>
      <c r="X27" s="34">
        <f t="shared" si="10"/>
        <v>1269.5947999999999</v>
      </c>
      <c r="Y27" s="34">
        <f t="shared" si="11"/>
        <v>99.59479999999985</v>
      </c>
      <c r="Z27" s="34">
        <f t="shared" si="12"/>
        <v>99.59479999999985</v>
      </c>
      <c r="AA27" s="113">
        <f t="shared" si="13"/>
        <v>8.5123760683760548</v>
      </c>
      <c r="AB27" s="113">
        <f t="shared" si="14"/>
        <v>8.5123760683760548</v>
      </c>
      <c r="AC27" s="113">
        <f t="shared" si="15"/>
        <v>2.002575531518374</v>
      </c>
      <c r="AD27" s="34">
        <f t="shared" si="16"/>
        <v>1217.5624000000003</v>
      </c>
      <c r="AE27" s="34">
        <f t="shared" si="17"/>
        <v>47.562400000000252</v>
      </c>
      <c r="AF27" s="34">
        <f t="shared" si="18"/>
        <v>47.562400000000252</v>
      </c>
      <c r="AG27" s="113">
        <f t="shared" si="19"/>
        <v>4.0651623931624155</v>
      </c>
      <c r="AH27" s="113">
        <f t="shared" si="20"/>
        <v>4.0651623931624155</v>
      </c>
      <c r="AI27" s="113">
        <f t="shared" si="21"/>
        <v>1.6863001418439796</v>
      </c>
      <c r="AJ27" s="34">
        <f t="shared" si="22"/>
        <v>1131.5866687290327</v>
      </c>
      <c r="AK27" s="34">
        <f t="shared" si="23"/>
        <v>-38.413331270967319</v>
      </c>
      <c r="AL27" s="34">
        <f t="shared" si="24"/>
        <v>38.413331270967319</v>
      </c>
      <c r="AM27" s="113">
        <f t="shared" si="25"/>
        <v>-3.2831907069202839</v>
      </c>
      <c r="AN27" s="113">
        <f t="shared" si="26"/>
        <v>3.2831907069202839</v>
      </c>
      <c r="AO27" s="113">
        <f t="shared" si="27"/>
        <v>1.5956431436059306</v>
      </c>
      <c r="AP27" s="34">
        <f t="shared" si="28"/>
        <v>1270.4723999999999</v>
      </c>
      <c r="AQ27" s="34">
        <f t="shared" si="29"/>
        <v>100.47239999999988</v>
      </c>
      <c r="AR27" s="34">
        <f t="shared" si="30"/>
        <v>100.47239999999988</v>
      </c>
      <c r="AS27" s="113">
        <f t="shared" si="31"/>
        <v>8.5873846153846056</v>
      </c>
      <c r="AT27" s="113">
        <f t="shared" si="32"/>
        <v>8.5873846153846056</v>
      </c>
      <c r="AU27" s="113">
        <f t="shared" si="33"/>
        <v>2.006347932321237</v>
      </c>
      <c r="AV27" s="34">
        <f t="shared" si="34"/>
        <v>1157.2999399648631</v>
      </c>
      <c r="AW27" s="34">
        <f t="shared" si="35"/>
        <v>-12.700060035136858</v>
      </c>
      <c r="AX27" s="34">
        <f t="shared" si="36"/>
        <v>12.700060035136858</v>
      </c>
      <c r="AY27" s="113">
        <f t="shared" si="37"/>
        <v>-1.0854752166783639</v>
      </c>
      <c r="AZ27" s="113">
        <f t="shared" si="38"/>
        <v>1.0854752166783639</v>
      </c>
      <c r="BA27" s="113">
        <f t="shared" si="39"/>
        <v>1.1367224702857155</v>
      </c>
      <c r="BB27" s="34">
        <f t="shared" si="40"/>
        <v>1204.3382792533635</v>
      </c>
      <c r="BC27" s="34">
        <f t="shared" si="41"/>
        <v>34.338279253363453</v>
      </c>
      <c r="BD27" s="34">
        <f t="shared" si="42"/>
        <v>34.338279253363453</v>
      </c>
      <c r="BE27" s="113">
        <f t="shared" si="43"/>
        <v>2.9348956626806371</v>
      </c>
      <c r="BF27" s="113">
        <f t="shared" si="44"/>
        <v>2.9348956626806371</v>
      </c>
      <c r="BG27" s="113">
        <f t="shared" si="45"/>
        <v>1.5482453983409965</v>
      </c>
      <c r="BH27" s="34">
        <f t="shared" si="46"/>
        <v>1198.1147952270878</v>
      </c>
      <c r="BI27" s="34">
        <f t="shared" si="47"/>
        <v>28.114795227087825</v>
      </c>
      <c r="BJ27" s="34">
        <f t="shared" si="48"/>
        <v>28.114795227087825</v>
      </c>
      <c r="BK27" s="113">
        <f t="shared" si="49"/>
        <v>2.4029739510331471</v>
      </c>
      <c r="BL27" s="113">
        <f t="shared" si="50"/>
        <v>2.4029739510331471</v>
      </c>
      <c r="BM27" s="113">
        <f t="shared" si="51"/>
        <v>1.4641137399340478</v>
      </c>
      <c r="BN27" s="34">
        <f t="shared" si="52"/>
        <v>1200</v>
      </c>
      <c r="BO27" s="34">
        <f t="shared" si="53"/>
        <v>30</v>
      </c>
      <c r="BP27" s="34">
        <f t="shared" si="54"/>
        <v>30</v>
      </c>
      <c r="BQ27" s="113">
        <f t="shared" si="55"/>
        <v>2.5641025641025639</v>
      </c>
      <c r="BR27" s="113">
        <f t="shared" si="56"/>
        <v>2.5641025641025639</v>
      </c>
      <c r="BS27" s="113">
        <f t="shared" si="57"/>
        <v>1.4913616938342726</v>
      </c>
      <c r="BT27" s="34">
        <f t="shared" si="58"/>
        <v>1185.6315999999999</v>
      </c>
      <c r="BU27" s="34">
        <f t="shared" si="59"/>
        <v>15.631599999999935</v>
      </c>
      <c r="BV27" s="34">
        <f t="shared" si="60"/>
        <v>15.631599999999935</v>
      </c>
      <c r="BW27" s="34">
        <f t="shared" si="61"/>
        <v>1177.7621629027794</v>
      </c>
      <c r="BX27" s="34">
        <f t="shared" si="62"/>
        <v>7.762162902779437</v>
      </c>
      <c r="BY27" s="34">
        <f t="shared" si="63"/>
        <v>7.762162902779437</v>
      </c>
    </row>
    <row r="28" spans="1:77" ht="15" x14ac:dyDescent="0.2">
      <c r="A28" s="206" t="s">
        <v>465</v>
      </c>
      <c r="B28" t="s">
        <v>895</v>
      </c>
      <c r="C28" s="224" t="s">
        <v>824</v>
      </c>
      <c r="D28" s="35" t="s">
        <v>148</v>
      </c>
      <c r="E28" s="35" t="s">
        <v>494</v>
      </c>
      <c r="F28" s="35" t="s">
        <v>580</v>
      </c>
      <c r="G28">
        <v>1185</v>
      </c>
      <c r="H28">
        <v>1185</v>
      </c>
      <c r="I28" s="35" t="s">
        <v>626</v>
      </c>
      <c r="J28">
        <v>285</v>
      </c>
      <c r="K28">
        <v>273</v>
      </c>
      <c r="L28" s="28"/>
      <c r="M28" s="35" t="s">
        <v>488</v>
      </c>
      <c r="N28" s="33">
        <f t="shared" si="0"/>
        <v>1262.4590000000001</v>
      </c>
      <c r="O28" s="33">
        <f t="shared" si="1"/>
        <v>1202.4949999999999</v>
      </c>
      <c r="P28" s="33">
        <f t="shared" si="2"/>
        <v>1285.3689668141506</v>
      </c>
      <c r="Q28" s="33">
        <f t="shared" si="3"/>
        <v>1182.9314999999999</v>
      </c>
      <c r="R28" s="33">
        <f t="shared" si="4"/>
        <v>1128.4466171623942</v>
      </c>
      <c r="S28" s="33">
        <f t="shared" si="5"/>
        <v>1179.2191676723578</v>
      </c>
      <c r="T28" s="33">
        <f t="shared" si="6"/>
        <v>1172.1918757434262</v>
      </c>
      <c r="U28" s="33">
        <f t="shared" si="7"/>
        <v>1187.5</v>
      </c>
      <c r="V28" s="33">
        <f t="shared" si="8"/>
        <v>1166.3434999999999</v>
      </c>
      <c r="W28" s="33">
        <f t="shared" si="9"/>
        <v>1160.1574658853995</v>
      </c>
      <c r="X28" s="34">
        <f t="shared" si="10"/>
        <v>1257.1153999999999</v>
      </c>
      <c r="Y28" s="34">
        <f t="shared" si="11"/>
        <v>72.115399999999909</v>
      </c>
      <c r="Z28" s="34">
        <f t="shared" si="12"/>
        <v>72.115399999999909</v>
      </c>
      <c r="AA28" s="113">
        <f t="shared" si="13"/>
        <v>6.0856877637130724</v>
      </c>
      <c r="AB28" s="113">
        <f t="shared" si="14"/>
        <v>6.0856877637130724</v>
      </c>
      <c r="AC28" s="113">
        <f t="shared" si="15"/>
        <v>1.8640088602769362</v>
      </c>
      <c r="AD28" s="34">
        <f t="shared" si="16"/>
        <v>1201.1826999999998</v>
      </c>
      <c r="AE28" s="34">
        <f t="shared" si="17"/>
        <v>16.182699999999841</v>
      </c>
      <c r="AF28" s="34">
        <f t="shared" si="18"/>
        <v>16.182699999999841</v>
      </c>
      <c r="AG28" s="113">
        <f t="shared" si="19"/>
        <v>1.3656286919831091</v>
      </c>
      <c r="AH28" s="113">
        <f t="shared" si="20"/>
        <v>1.3656286919831091</v>
      </c>
      <c r="AI28" s="113">
        <f t="shared" si="21"/>
        <v>1.2350914076307591</v>
      </c>
      <c r="AJ28" s="34">
        <f t="shared" si="22"/>
        <v>1116.2010786415763</v>
      </c>
      <c r="AK28" s="34">
        <f t="shared" si="23"/>
        <v>-68.79892135842374</v>
      </c>
      <c r="AL28" s="34">
        <f t="shared" si="24"/>
        <v>68.79892135842374</v>
      </c>
      <c r="AM28" s="113">
        <f t="shared" si="25"/>
        <v>-5.8058161483901891</v>
      </c>
      <c r="AN28" s="113">
        <f t="shared" si="26"/>
        <v>5.8058161483901891</v>
      </c>
      <c r="AO28" s="113">
        <f t="shared" si="27"/>
        <v>1.8438487112806956</v>
      </c>
      <c r="AP28" s="34">
        <f t="shared" si="28"/>
        <v>1254.6986999999999</v>
      </c>
      <c r="AQ28" s="34">
        <f t="shared" si="29"/>
        <v>69.698699999999917</v>
      </c>
      <c r="AR28" s="34">
        <f t="shared" si="30"/>
        <v>69.698699999999917</v>
      </c>
      <c r="AS28" s="113">
        <f t="shared" si="31"/>
        <v>5.8817468354430309</v>
      </c>
      <c r="AT28" s="113">
        <f t="shared" si="32"/>
        <v>5.8817468354430309</v>
      </c>
      <c r="AU28" s="113">
        <f t="shared" si="33"/>
        <v>1.8494114281106586</v>
      </c>
      <c r="AV28" s="34">
        <f t="shared" si="34"/>
        <v>1142.0838696734827</v>
      </c>
      <c r="AW28" s="34">
        <f t="shared" si="35"/>
        <v>-42.916130326517305</v>
      </c>
      <c r="AX28" s="34">
        <f t="shared" si="36"/>
        <v>42.916130326517305</v>
      </c>
      <c r="AY28" s="113">
        <f t="shared" si="37"/>
        <v>-3.6216143735457638</v>
      </c>
      <c r="AZ28" s="113">
        <f t="shared" si="38"/>
        <v>3.6216143735457638</v>
      </c>
      <c r="BA28" s="113">
        <f t="shared" si="39"/>
        <v>1.6426240652334687</v>
      </c>
      <c r="BB28" s="34">
        <f t="shared" si="40"/>
        <v>1189.9854496754178</v>
      </c>
      <c r="BC28" s="34">
        <f t="shared" si="41"/>
        <v>4.9854496754178399</v>
      </c>
      <c r="BD28" s="34">
        <f t="shared" si="42"/>
        <v>4.9854496754178399</v>
      </c>
      <c r="BE28" s="113">
        <f t="shared" si="43"/>
        <v>0.42071305277787674</v>
      </c>
      <c r="BF28" s="113">
        <f t="shared" si="44"/>
        <v>0.42071305277787674</v>
      </c>
      <c r="BG28" s="113">
        <f t="shared" si="45"/>
        <v>0.77709678368419899</v>
      </c>
      <c r="BH28" s="34">
        <f t="shared" si="46"/>
        <v>1183.241125745011</v>
      </c>
      <c r="BI28" s="34">
        <f t="shared" si="47"/>
        <v>-1.7588742549889957</v>
      </c>
      <c r="BJ28" s="34">
        <f t="shared" si="48"/>
        <v>1.7588742549889957</v>
      </c>
      <c r="BK28" s="113">
        <f t="shared" si="49"/>
        <v>-0.14842820717206714</v>
      </c>
      <c r="BL28" s="113">
        <f t="shared" si="50"/>
        <v>0.14842820717206714</v>
      </c>
      <c r="BM28" s="113">
        <f t="shared" si="51"/>
        <v>0.44073190649262767</v>
      </c>
      <c r="BN28" s="34">
        <f t="shared" si="52"/>
        <v>1186.9565217391305</v>
      </c>
      <c r="BO28" s="34">
        <f t="shared" si="53"/>
        <v>1.9565217391304941</v>
      </c>
      <c r="BP28" s="34">
        <f t="shared" si="54"/>
        <v>1.9565217391304941</v>
      </c>
      <c r="BQ28" s="113">
        <f t="shared" si="55"/>
        <v>0.16510731975784759</v>
      </c>
      <c r="BR28" s="113">
        <f t="shared" si="56"/>
        <v>0.16510731975784759</v>
      </c>
      <c r="BS28" s="113">
        <f t="shared" si="57"/>
        <v>0.47078107668865216</v>
      </c>
      <c r="BT28" s="34">
        <f t="shared" si="58"/>
        <v>1171.7923000000001</v>
      </c>
      <c r="BU28" s="34">
        <f t="shared" si="59"/>
        <v>-13.207699999999932</v>
      </c>
      <c r="BV28" s="34">
        <f t="shared" si="60"/>
        <v>13.207699999999932</v>
      </c>
      <c r="BW28" s="34">
        <f t="shared" si="61"/>
        <v>1164.3303399538518</v>
      </c>
      <c r="BX28" s="34">
        <f t="shared" si="62"/>
        <v>-20.669660046148238</v>
      </c>
      <c r="BY28" s="34">
        <f t="shared" si="63"/>
        <v>20.669660046148238</v>
      </c>
    </row>
    <row r="29" spans="1:77" ht="16" x14ac:dyDescent="0.2">
      <c r="A29" s="206" t="s">
        <v>465</v>
      </c>
      <c r="B29" t="s">
        <v>852</v>
      </c>
      <c r="C29" s="224" t="s">
        <v>824</v>
      </c>
      <c r="D29" s="35" t="s">
        <v>148</v>
      </c>
      <c r="E29" s="35" t="s">
        <v>374</v>
      </c>
      <c r="F29" s="35" t="s">
        <v>580</v>
      </c>
      <c r="G29" s="147">
        <v>1210</v>
      </c>
      <c r="H29" s="147">
        <v>1210</v>
      </c>
      <c r="I29" s="35" t="s">
        <v>626</v>
      </c>
      <c r="J29" s="147">
        <v>275</v>
      </c>
      <c r="K29" s="147">
        <v>262</v>
      </c>
      <c r="L29" s="28"/>
      <c r="M29" s="35" t="s">
        <v>488</v>
      </c>
      <c r="N29" s="33">
        <f t="shared" si="0"/>
        <v>1222.425</v>
      </c>
      <c r="O29" s="33">
        <f t="shared" si="1"/>
        <v>1146.605</v>
      </c>
      <c r="P29" s="33">
        <f t="shared" si="2"/>
        <v>1231.5498377756001</v>
      </c>
      <c r="Q29" s="33">
        <f t="shared" si="3"/>
        <v>1135.0844999999999</v>
      </c>
      <c r="R29" s="33">
        <f t="shared" si="4"/>
        <v>1080.6902044552403</v>
      </c>
      <c r="S29" s="33">
        <f t="shared" si="5"/>
        <v>1133.9076453703744</v>
      </c>
      <c r="T29" s="33">
        <f t="shared" si="6"/>
        <v>1125.2999539430198</v>
      </c>
      <c r="U29" s="33">
        <f t="shared" si="7"/>
        <v>1145.8333333333335</v>
      </c>
      <c r="V29" s="33">
        <f t="shared" si="8"/>
        <v>1122.4925000000001</v>
      </c>
      <c r="W29" s="33">
        <f t="shared" si="9"/>
        <v>1117.7481370538951</v>
      </c>
      <c r="X29" s="34">
        <f t="shared" si="10"/>
        <v>1211.3576</v>
      </c>
      <c r="Y29" s="34">
        <f t="shared" si="11"/>
        <v>1.3576000000000477</v>
      </c>
      <c r="Z29" s="34">
        <f t="shared" si="12"/>
        <v>1.3576000000000477</v>
      </c>
      <c r="AA29" s="113">
        <f t="shared" si="13"/>
        <v>0.11219834710744195</v>
      </c>
      <c r="AB29" s="113">
        <f t="shared" si="14"/>
        <v>0.11219834710744195</v>
      </c>
      <c r="AC29" s="113">
        <f t="shared" si="15"/>
        <v>0.37247012284187753</v>
      </c>
      <c r="AD29" s="34">
        <f t="shared" si="16"/>
        <v>1141.1237999999998</v>
      </c>
      <c r="AE29" s="34">
        <f t="shared" si="17"/>
        <v>-68.876200000000154</v>
      </c>
      <c r="AF29" s="34">
        <f t="shared" si="18"/>
        <v>68.876200000000154</v>
      </c>
      <c r="AG29" s="113">
        <f t="shared" si="19"/>
        <v>-5.6922479338843104</v>
      </c>
      <c r="AH29" s="113">
        <f t="shared" si="20"/>
        <v>5.6922479338843104</v>
      </c>
      <c r="AI29" s="113">
        <f t="shared" si="21"/>
        <v>1.8443292791972115</v>
      </c>
      <c r="AJ29" s="34">
        <f t="shared" si="22"/>
        <v>1060.1548480126878</v>
      </c>
      <c r="AK29" s="34">
        <f t="shared" si="23"/>
        <v>-149.84515198731219</v>
      </c>
      <c r="AL29" s="34">
        <f t="shared" si="24"/>
        <v>149.84515198731219</v>
      </c>
      <c r="AM29" s="113">
        <f t="shared" si="25"/>
        <v>-12.383896858455554</v>
      </c>
      <c r="AN29" s="113">
        <f t="shared" si="26"/>
        <v>12.383896858455554</v>
      </c>
      <c r="AO29" s="113">
        <f t="shared" si="27"/>
        <v>2.1785313569439411</v>
      </c>
      <c r="AP29" s="34">
        <f t="shared" si="28"/>
        <v>1196.8617999999999</v>
      </c>
      <c r="AQ29" s="34">
        <f t="shared" si="29"/>
        <v>-13.138200000000097</v>
      </c>
      <c r="AR29" s="34">
        <f t="shared" si="30"/>
        <v>13.138200000000097</v>
      </c>
      <c r="AS29" s="113">
        <f t="shared" si="31"/>
        <v>-1.08580165289257</v>
      </c>
      <c r="AT29" s="113">
        <f t="shared" si="32"/>
        <v>1.08580165289257</v>
      </c>
      <c r="AU29" s="113">
        <f t="shared" si="33"/>
        <v>1.1503941209298965</v>
      </c>
      <c r="AV29" s="34">
        <f t="shared" si="34"/>
        <v>1086.5954846785642</v>
      </c>
      <c r="AW29" s="34">
        <f t="shared" si="35"/>
        <v>-123.40451532143584</v>
      </c>
      <c r="AX29" s="34">
        <f t="shared" si="36"/>
        <v>123.40451532143584</v>
      </c>
      <c r="AY29" s="113">
        <f t="shared" si="37"/>
        <v>-10.198720274498829</v>
      </c>
      <c r="AZ29" s="113">
        <f t="shared" si="38"/>
        <v>10.198720274498829</v>
      </c>
      <c r="BA29" s="113">
        <f t="shared" si="39"/>
        <v>2.0948361435669849</v>
      </c>
      <c r="BB29" s="34">
        <f t="shared" si="40"/>
        <v>1137.4904101763043</v>
      </c>
      <c r="BC29" s="34">
        <f t="shared" si="41"/>
        <v>-72.509589823695705</v>
      </c>
      <c r="BD29" s="34">
        <f t="shared" si="42"/>
        <v>72.509589823695705</v>
      </c>
      <c r="BE29" s="113">
        <f t="shared" si="43"/>
        <v>-5.9925280846029505</v>
      </c>
      <c r="BF29" s="113">
        <f t="shared" si="44"/>
        <v>5.9925280846029505</v>
      </c>
      <c r="BG29" s="113">
        <f t="shared" si="45"/>
        <v>1.866343999435732</v>
      </c>
      <c r="BH29" s="34">
        <f t="shared" si="46"/>
        <v>1128.9058573068405</v>
      </c>
      <c r="BI29" s="34">
        <f t="shared" si="47"/>
        <v>-81.094142693159483</v>
      </c>
      <c r="BJ29" s="34">
        <f t="shared" si="48"/>
        <v>81.094142693159483</v>
      </c>
      <c r="BK29" s="113">
        <f t="shared" si="49"/>
        <v>-6.7019952638974782</v>
      </c>
      <c r="BL29" s="113">
        <f t="shared" si="50"/>
        <v>6.7019952638974782</v>
      </c>
      <c r="BM29" s="113">
        <f t="shared" si="51"/>
        <v>1.914312171896716</v>
      </c>
      <c r="BN29" s="34">
        <f t="shared" si="52"/>
        <v>1139.1304347826087</v>
      </c>
      <c r="BO29" s="34">
        <f t="shared" si="53"/>
        <v>-70.869565217391255</v>
      </c>
      <c r="BP29" s="34">
        <f t="shared" si="54"/>
        <v>70.869565217391255</v>
      </c>
      <c r="BQ29" s="113">
        <f t="shared" si="55"/>
        <v>-5.856988860941426</v>
      </c>
      <c r="BR29" s="113">
        <f t="shared" si="56"/>
        <v>5.856988860941426</v>
      </c>
      <c r="BS29" s="113">
        <f t="shared" si="57"/>
        <v>1.8565450175538543</v>
      </c>
      <c r="BT29" s="34">
        <f t="shared" si="58"/>
        <v>1121.0482</v>
      </c>
      <c r="BU29" s="34">
        <f t="shared" si="59"/>
        <v>-88.951800000000048</v>
      </c>
      <c r="BV29" s="34">
        <f t="shared" si="60"/>
        <v>88.951800000000048</v>
      </c>
      <c r="BW29" s="34">
        <f t="shared" si="61"/>
        <v>1115.1434082523842</v>
      </c>
      <c r="BX29" s="34">
        <f t="shared" si="62"/>
        <v>-94.856591747615767</v>
      </c>
      <c r="BY29" s="34">
        <f t="shared" si="63"/>
        <v>94.856591747615767</v>
      </c>
    </row>
    <row r="30" spans="1:77" ht="15" x14ac:dyDescent="0.2">
      <c r="A30" s="206" t="s">
        <v>465</v>
      </c>
      <c r="B30" s="28" t="s">
        <v>327</v>
      </c>
      <c r="C30" s="207" t="s">
        <v>403</v>
      </c>
      <c r="D30" s="35" t="s">
        <v>82</v>
      </c>
      <c r="E30" s="35" t="s">
        <v>374</v>
      </c>
      <c r="F30" s="35" t="s">
        <v>580</v>
      </c>
      <c r="G30" s="141">
        <v>1217.5999999999999</v>
      </c>
      <c r="H30" s="141">
        <v>1200</v>
      </c>
      <c r="I30" s="35" t="s">
        <v>626</v>
      </c>
      <c r="J30" s="141">
        <v>293.7</v>
      </c>
      <c r="K30" s="141">
        <v>278.2</v>
      </c>
      <c r="L30" s="28">
        <v>410.15</v>
      </c>
      <c r="M30" s="35" t="s">
        <v>37</v>
      </c>
      <c r="N30" s="33">
        <f t="shared" si="0"/>
        <v>1297.2885799999999</v>
      </c>
      <c r="O30" s="33">
        <f t="shared" si="1"/>
        <v>1251.1192999999998</v>
      </c>
      <c r="P30" s="33">
        <f t="shared" si="2"/>
        <v>1332.4964677605224</v>
      </c>
      <c r="Q30" s="33">
        <f t="shared" si="3"/>
        <v>1224.5583899999999</v>
      </c>
      <c r="R30" s="33">
        <f t="shared" si="4"/>
        <v>1170.2832848364271</v>
      </c>
      <c r="S30" s="33">
        <f t="shared" si="5"/>
        <v>1218.7660492844673</v>
      </c>
      <c r="T30" s="33">
        <f t="shared" si="6"/>
        <v>1213.1800023193341</v>
      </c>
      <c r="U30" s="33">
        <f t="shared" si="7"/>
        <v>1223.75</v>
      </c>
      <c r="V30" s="33">
        <f t="shared" si="8"/>
        <v>1204.49387</v>
      </c>
      <c r="W30" s="33">
        <f t="shared" si="9"/>
        <v>1197.1052701812573</v>
      </c>
      <c r="X30" s="34">
        <f t="shared" si="10"/>
        <v>1278.7463599999999</v>
      </c>
      <c r="Y30" s="34">
        <f t="shared" si="11"/>
        <v>61.146359999999959</v>
      </c>
      <c r="Z30" s="34">
        <f t="shared" si="12"/>
        <v>61.146359999999959</v>
      </c>
      <c r="AA30" s="113">
        <f t="shared" si="13"/>
        <v>5.0218758212877761</v>
      </c>
      <c r="AB30" s="113">
        <f t="shared" si="14"/>
        <v>5.0218758212877761</v>
      </c>
      <c r="AC30" s="113">
        <f t="shared" si="15"/>
        <v>1.7934156964819432</v>
      </c>
      <c r="AD30" s="34">
        <f t="shared" si="16"/>
        <v>1229.5741800000001</v>
      </c>
      <c r="AE30" s="34">
        <f t="shared" si="17"/>
        <v>11.97418000000016</v>
      </c>
      <c r="AF30" s="34">
        <f t="shared" si="18"/>
        <v>11.97418000000016</v>
      </c>
      <c r="AG30" s="113">
        <f t="shared" si="19"/>
        <v>0.98342477003943507</v>
      </c>
      <c r="AH30" s="113">
        <f t="shared" si="20"/>
        <v>0.98342477003943507</v>
      </c>
      <c r="AI30" s="113">
        <f t="shared" si="21"/>
        <v>1.1130799189113449</v>
      </c>
      <c r="AJ30" s="34">
        <f t="shared" si="22"/>
        <v>1142.8963395731864</v>
      </c>
      <c r="AK30" s="34">
        <f t="shared" si="23"/>
        <v>-74.703660426813485</v>
      </c>
      <c r="AL30" s="34">
        <f t="shared" si="24"/>
        <v>74.703660426813485</v>
      </c>
      <c r="AM30" s="113">
        <f t="shared" si="25"/>
        <v>-6.1353203372875731</v>
      </c>
      <c r="AN30" s="113">
        <f t="shared" si="26"/>
        <v>6.1353203372875731</v>
      </c>
      <c r="AO30" s="113">
        <f t="shared" si="27"/>
        <v>1.8791168790341968</v>
      </c>
      <c r="AP30" s="34">
        <f t="shared" si="28"/>
        <v>1282.0397799999998</v>
      </c>
      <c r="AQ30" s="34">
        <f t="shared" si="29"/>
        <v>64.439779999999928</v>
      </c>
      <c r="AR30" s="34">
        <f t="shared" si="30"/>
        <v>64.439779999999928</v>
      </c>
      <c r="AS30" s="113">
        <f t="shared" si="31"/>
        <v>5.2923603810775237</v>
      </c>
      <c r="AT30" s="113">
        <f t="shared" si="32"/>
        <v>5.2923603810775237</v>
      </c>
      <c r="AU30" s="113">
        <f t="shared" si="33"/>
        <v>1.8158418306243507</v>
      </c>
      <c r="AV30" s="34">
        <f t="shared" si="34"/>
        <v>1168.4806136685445</v>
      </c>
      <c r="AW30" s="34">
        <f t="shared" si="35"/>
        <v>-49.119386331455416</v>
      </c>
      <c r="AX30" s="34">
        <f t="shared" si="36"/>
        <v>49.119386331455416</v>
      </c>
      <c r="AY30" s="113">
        <f t="shared" si="37"/>
        <v>-4.0341151717686774</v>
      </c>
      <c r="AZ30" s="113">
        <f t="shared" si="38"/>
        <v>4.0341151717686774</v>
      </c>
      <c r="BA30" s="113">
        <f t="shared" si="39"/>
        <v>1.7000057447942944</v>
      </c>
      <c r="BB30" s="34">
        <f t="shared" si="40"/>
        <v>1214.8733190097039</v>
      </c>
      <c r="BC30" s="34">
        <f t="shared" si="41"/>
        <v>-2.7266809902960176</v>
      </c>
      <c r="BD30" s="34">
        <f t="shared" si="42"/>
        <v>2.7266809902960176</v>
      </c>
      <c r="BE30" s="113">
        <f t="shared" si="43"/>
        <v>-0.22393897752102646</v>
      </c>
      <c r="BF30" s="113">
        <f t="shared" si="44"/>
        <v>0.22393897752102646</v>
      </c>
      <c r="BG30" s="113">
        <f t="shared" si="45"/>
        <v>0.57132221806005334</v>
      </c>
      <c r="BH30" s="34">
        <f t="shared" si="46"/>
        <v>1209.0368699901596</v>
      </c>
      <c r="BI30" s="34">
        <f t="shared" si="47"/>
        <v>-8.5631300098402789</v>
      </c>
      <c r="BJ30" s="34">
        <f t="shared" si="48"/>
        <v>8.5631300098402789</v>
      </c>
      <c r="BK30" s="113">
        <f t="shared" si="49"/>
        <v>-0.70327940291066682</v>
      </c>
      <c r="BL30" s="113">
        <f t="shared" si="50"/>
        <v>0.70327940291066682</v>
      </c>
      <c r="BM30" s="113">
        <f t="shared" si="51"/>
        <v>0.98060006000840916</v>
      </c>
      <c r="BN30" s="34">
        <f t="shared" si="52"/>
        <v>1209.5652173913043</v>
      </c>
      <c r="BO30" s="34">
        <f t="shared" si="53"/>
        <v>-8.0347826086956502</v>
      </c>
      <c r="BP30" s="34">
        <f t="shared" si="54"/>
        <v>8.0347826086956502</v>
      </c>
      <c r="BQ30" s="113">
        <f t="shared" si="55"/>
        <v>-0.65988687653545097</v>
      </c>
      <c r="BR30" s="113">
        <f t="shared" si="56"/>
        <v>0.65988687653545097</v>
      </c>
      <c r="BS30" s="113">
        <f t="shared" si="57"/>
        <v>0.95591770720356561</v>
      </c>
      <c r="BT30" s="34">
        <f t="shared" si="58"/>
        <v>1195.78042</v>
      </c>
      <c r="BU30" s="34">
        <f t="shared" si="59"/>
        <v>-21.81957999999986</v>
      </c>
      <c r="BV30" s="34">
        <f t="shared" si="60"/>
        <v>21.81957999999986</v>
      </c>
      <c r="BW30" s="34">
        <f t="shared" si="61"/>
        <v>1187.6167650253058</v>
      </c>
      <c r="BX30" s="34">
        <f t="shared" si="62"/>
        <v>-29.983234974694142</v>
      </c>
      <c r="BY30" s="34">
        <f t="shared" si="63"/>
        <v>29.983234974694142</v>
      </c>
    </row>
    <row r="31" spans="1:77" ht="16" x14ac:dyDescent="0.2">
      <c r="A31" s="206" t="s">
        <v>465</v>
      </c>
      <c r="B31" t="s">
        <v>850</v>
      </c>
      <c r="C31" s="224" t="s">
        <v>824</v>
      </c>
      <c r="D31" s="35" t="s">
        <v>148</v>
      </c>
      <c r="E31" s="35" t="s">
        <v>374</v>
      </c>
      <c r="F31" s="35" t="s">
        <v>580</v>
      </c>
      <c r="G31" s="147">
        <v>1240</v>
      </c>
      <c r="H31" s="147">
        <v>1240</v>
      </c>
      <c r="I31" s="35" t="s">
        <v>626</v>
      </c>
      <c r="J31" s="147">
        <v>285</v>
      </c>
      <c r="K31" s="147">
        <v>274</v>
      </c>
      <c r="L31" s="28"/>
      <c r="M31" s="35" t="s">
        <v>488</v>
      </c>
      <c r="N31" s="33">
        <f t="shared" si="0"/>
        <v>1262.4590000000001</v>
      </c>
      <c r="O31" s="33">
        <f t="shared" si="1"/>
        <v>1202.4949999999999</v>
      </c>
      <c r="P31" s="33">
        <f t="shared" si="2"/>
        <v>1285.3689668141506</v>
      </c>
      <c r="Q31" s="33">
        <f t="shared" si="3"/>
        <v>1182.9314999999999</v>
      </c>
      <c r="R31" s="33">
        <f t="shared" si="4"/>
        <v>1128.4466171623942</v>
      </c>
      <c r="S31" s="33">
        <f t="shared" si="5"/>
        <v>1179.2191676723578</v>
      </c>
      <c r="T31" s="33">
        <f t="shared" si="6"/>
        <v>1172.1918757434262</v>
      </c>
      <c r="U31" s="33">
        <f t="shared" si="7"/>
        <v>1187.5</v>
      </c>
      <c r="V31" s="33">
        <f t="shared" si="8"/>
        <v>1166.3434999999999</v>
      </c>
      <c r="W31" s="33">
        <f t="shared" si="9"/>
        <v>1160.1574658853995</v>
      </c>
      <c r="X31" s="34">
        <f t="shared" si="10"/>
        <v>1261.2752</v>
      </c>
      <c r="Y31" s="34">
        <f t="shared" si="11"/>
        <v>21.275200000000041</v>
      </c>
      <c r="Z31" s="34">
        <f t="shared" si="12"/>
        <v>21.275200000000041</v>
      </c>
      <c r="AA31" s="113">
        <f t="shared" si="13"/>
        <v>1.7157419354838741</v>
      </c>
      <c r="AB31" s="113">
        <f t="shared" si="14"/>
        <v>1.7157419354838741</v>
      </c>
      <c r="AC31" s="113">
        <f t="shared" si="15"/>
        <v>1.3478216120806952</v>
      </c>
      <c r="AD31" s="34">
        <f t="shared" si="16"/>
        <v>1206.6426000000001</v>
      </c>
      <c r="AE31" s="34">
        <f t="shared" si="17"/>
        <v>-33.35739999999987</v>
      </c>
      <c r="AF31" s="34">
        <f t="shared" si="18"/>
        <v>33.35739999999987</v>
      </c>
      <c r="AG31" s="113">
        <f t="shared" si="19"/>
        <v>-2.690112903225796</v>
      </c>
      <c r="AH31" s="113">
        <f t="shared" si="20"/>
        <v>2.690112903225796</v>
      </c>
      <c r="AI31" s="113">
        <f t="shared" si="21"/>
        <v>1.5360202911202991</v>
      </c>
      <c r="AJ31" s="34">
        <f t="shared" si="22"/>
        <v>1121.3248871389919</v>
      </c>
      <c r="AK31" s="34">
        <f t="shared" si="23"/>
        <v>-118.67511286100807</v>
      </c>
      <c r="AL31" s="34">
        <f t="shared" si="24"/>
        <v>118.67511286100807</v>
      </c>
      <c r="AM31" s="113">
        <f t="shared" si="25"/>
        <v>-9.5705736178232321</v>
      </c>
      <c r="AN31" s="113">
        <f t="shared" si="26"/>
        <v>9.5705736178232321</v>
      </c>
      <c r="AO31" s="113">
        <f t="shared" si="27"/>
        <v>2.0780038457206453</v>
      </c>
      <c r="AP31" s="34">
        <f t="shared" si="28"/>
        <v>1259.9566</v>
      </c>
      <c r="AQ31" s="34">
        <f t="shared" si="29"/>
        <v>19.95659999999998</v>
      </c>
      <c r="AR31" s="34">
        <f t="shared" si="30"/>
        <v>19.95659999999998</v>
      </c>
      <c r="AS31" s="113">
        <f t="shared" si="31"/>
        <v>1.6094032258064501</v>
      </c>
      <c r="AT31" s="113">
        <f t="shared" si="32"/>
        <v>1.6094032258064501</v>
      </c>
      <c r="AU31" s="113">
        <f t="shared" si="33"/>
        <v>1.3213208240648409</v>
      </c>
      <c r="AV31" s="34">
        <f t="shared" si="34"/>
        <v>1147.1519925039697</v>
      </c>
      <c r="AW31" s="34">
        <f t="shared" si="35"/>
        <v>-92.848007496030277</v>
      </c>
      <c r="AX31" s="34">
        <f t="shared" si="36"/>
        <v>92.848007496030277</v>
      </c>
      <c r="AY31" s="113">
        <f t="shared" si="37"/>
        <v>-7.4877425400024418</v>
      </c>
      <c r="AZ31" s="113">
        <f t="shared" si="38"/>
        <v>7.4877425400024418</v>
      </c>
      <c r="BA31" s="113">
        <f t="shared" si="39"/>
        <v>1.9724250564707888</v>
      </c>
      <c r="BB31" s="34">
        <f t="shared" si="40"/>
        <v>1194.768034647044</v>
      </c>
      <c r="BC31" s="34">
        <f t="shared" si="41"/>
        <v>-45.231965352955967</v>
      </c>
      <c r="BD31" s="34">
        <f t="shared" si="42"/>
        <v>45.231965352955967</v>
      </c>
      <c r="BE31" s="113">
        <f t="shared" si="43"/>
        <v>-3.6477391413674169</v>
      </c>
      <c r="BF31" s="113">
        <f t="shared" si="44"/>
        <v>3.6477391413674169</v>
      </c>
      <c r="BG31" s="113">
        <f t="shared" si="45"/>
        <v>1.6649423559905625</v>
      </c>
      <c r="BH31" s="34">
        <f t="shared" si="46"/>
        <v>1188.1964314167765</v>
      </c>
      <c r="BI31" s="34">
        <f t="shared" si="47"/>
        <v>-51.803568583223523</v>
      </c>
      <c r="BJ31" s="34">
        <f t="shared" si="48"/>
        <v>51.803568583223523</v>
      </c>
      <c r="BK31" s="113">
        <f t="shared" si="49"/>
        <v>-4.1777071438083482</v>
      </c>
      <c r="BL31" s="113">
        <f t="shared" si="50"/>
        <v>4.1777071438083482</v>
      </c>
      <c r="BM31" s="113">
        <f t="shared" si="51"/>
        <v>1.7226632741177326</v>
      </c>
      <c r="BN31" s="34">
        <f t="shared" si="52"/>
        <v>1191.304347826087</v>
      </c>
      <c r="BO31" s="34">
        <f t="shared" si="53"/>
        <v>-48.695652173913004</v>
      </c>
      <c r="BP31" s="34">
        <f t="shared" si="54"/>
        <v>48.695652173913004</v>
      </c>
      <c r="BQ31" s="113">
        <f t="shared" si="55"/>
        <v>-3.927068723702662</v>
      </c>
      <c r="BR31" s="113">
        <f t="shared" si="56"/>
        <v>3.927068723702662</v>
      </c>
      <c r="BS31" s="113">
        <f t="shared" si="57"/>
        <v>1.6963183943776885</v>
      </c>
      <c r="BT31" s="34">
        <f t="shared" si="58"/>
        <v>1176.4054000000001</v>
      </c>
      <c r="BU31" s="34">
        <f t="shared" si="59"/>
        <v>-63.5945999999999</v>
      </c>
      <c r="BV31" s="34">
        <f t="shared" si="60"/>
        <v>63.5945999999999</v>
      </c>
      <c r="BW31" s="34">
        <f t="shared" si="61"/>
        <v>1168.8068064225483</v>
      </c>
      <c r="BX31" s="34">
        <f t="shared" si="62"/>
        <v>-71.193193577451666</v>
      </c>
      <c r="BY31" s="34">
        <f t="shared" si="63"/>
        <v>71.193193577451666</v>
      </c>
    </row>
    <row r="32" spans="1:77" ht="16" x14ac:dyDescent="0.2">
      <c r="A32" s="206" t="s">
        <v>465</v>
      </c>
      <c r="B32" t="s">
        <v>848</v>
      </c>
      <c r="C32" s="224" t="s">
        <v>824</v>
      </c>
      <c r="D32" s="35" t="s">
        <v>148</v>
      </c>
      <c r="E32" s="35" t="s">
        <v>374</v>
      </c>
      <c r="F32" s="35" t="s">
        <v>580</v>
      </c>
      <c r="G32" s="147">
        <v>1244</v>
      </c>
      <c r="H32" s="147">
        <v>1244</v>
      </c>
      <c r="I32" s="35" t="s">
        <v>626</v>
      </c>
      <c r="J32" s="147">
        <v>302</v>
      </c>
      <c r="K32" s="147">
        <v>290</v>
      </c>
      <c r="L32" s="28"/>
      <c r="M32" s="35" t="s">
        <v>488</v>
      </c>
      <c r="N32" s="33">
        <f t="shared" si="0"/>
        <v>1330.5168000000001</v>
      </c>
      <c r="O32" s="33">
        <f t="shared" si="1"/>
        <v>1297.5080000000003</v>
      </c>
      <c r="P32" s="33">
        <f t="shared" si="2"/>
        <v>1377.7150565605041</v>
      </c>
      <c r="Q32" s="33">
        <f t="shared" si="3"/>
        <v>1264.2713999999999</v>
      </c>
      <c r="R32" s="33">
        <f t="shared" si="4"/>
        <v>1210.440634917293</v>
      </c>
      <c r="S32" s="33">
        <f t="shared" si="5"/>
        <v>1256.600808559509</v>
      </c>
      <c r="T32" s="33">
        <f t="shared" si="6"/>
        <v>1252.4458782582117</v>
      </c>
      <c r="U32" s="33">
        <f t="shared" si="7"/>
        <v>1258.3333333333335</v>
      </c>
      <c r="V32" s="33">
        <f t="shared" si="8"/>
        <v>1240.8902</v>
      </c>
      <c r="W32" s="33">
        <f t="shared" si="9"/>
        <v>1232.397835396124</v>
      </c>
      <c r="X32" s="34">
        <f t="shared" si="10"/>
        <v>1327.8319999999999</v>
      </c>
      <c r="Y32" s="34">
        <f t="shared" si="11"/>
        <v>83.83199999999988</v>
      </c>
      <c r="Z32" s="34">
        <f t="shared" si="12"/>
        <v>83.83199999999988</v>
      </c>
      <c r="AA32" s="113">
        <f t="shared" si="13"/>
        <v>6.738906752411566</v>
      </c>
      <c r="AB32" s="113">
        <f t="shared" si="14"/>
        <v>6.738906752411566</v>
      </c>
      <c r="AC32" s="113">
        <f t="shared" si="15"/>
        <v>1.9285597060529989</v>
      </c>
      <c r="AD32" s="34">
        <f t="shared" si="16"/>
        <v>1294.0010000000002</v>
      </c>
      <c r="AE32" s="34">
        <f t="shared" si="17"/>
        <v>50.001000000000204</v>
      </c>
      <c r="AF32" s="34">
        <f t="shared" si="18"/>
        <v>50.001000000000204</v>
      </c>
      <c r="AG32" s="113">
        <f t="shared" si="19"/>
        <v>4.0193729903537134</v>
      </c>
      <c r="AH32" s="113">
        <f t="shared" si="20"/>
        <v>4.0193729903537134</v>
      </c>
      <c r="AI32" s="113">
        <f t="shared" si="21"/>
        <v>1.7075786915925297</v>
      </c>
      <c r="AJ32" s="34">
        <f t="shared" si="22"/>
        <v>1203.9399848810897</v>
      </c>
      <c r="AK32" s="34">
        <f t="shared" si="23"/>
        <v>-40.060015118910314</v>
      </c>
      <c r="AL32" s="34">
        <f t="shared" si="24"/>
        <v>40.060015118910314</v>
      </c>
      <c r="AM32" s="113">
        <f t="shared" si="25"/>
        <v>-3.2202584500731759</v>
      </c>
      <c r="AN32" s="113">
        <f t="shared" si="26"/>
        <v>3.2202584500731759</v>
      </c>
      <c r="AO32" s="113">
        <f t="shared" si="27"/>
        <v>1.6134191049483118</v>
      </c>
      <c r="AP32" s="34">
        <f t="shared" si="28"/>
        <v>1344.0830000000001</v>
      </c>
      <c r="AQ32" s="34">
        <f t="shared" si="29"/>
        <v>100.08300000000008</v>
      </c>
      <c r="AR32" s="34">
        <f t="shared" si="30"/>
        <v>100.08300000000008</v>
      </c>
      <c r="AS32" s="113">
        <f t="shared" si="31"/>
        <v>8.0452572347266944</v>
      </c>
      <c r="AT32" s="113">
        <f t="shared" si="32"/>
        <v>8.0452572347266944</v>
      </c>
      <c r="AU32" s="113">
        <f t="shared" si="33"/>
        <v>2.0046781226830936</v>
      </c>
      <c r="AV32" s="34">
        <f t="shared" si="34"/>
        <v>1228.7654956961364</v>
      </c>
      <c r="AW32" s="34">
        <f t="shared" si="35"/>
        <v>-15.234504303863559</v>
      </c>
      <c r="AX32" s="34">
        <f t="shared" si="36"/>
        <v>15.234504303863559</v>
      </c>
      <c r="AY32" s="113">
        <f t="shared" si="37"/>
        <v>-1.2246386096353343</v>
      </c>
      <c r="AZ32" s="113">
        <f t="shared" si="38"/>
        <v>1.2246386096353343</v>
      </c>
      <c r="BA32" s="113">
        <f t="shared" si="39"/>
        <v>1.2104390326365926</v>
      </c>
      <c r="BB32" s="34">
        <f t="shared" si="40"/>
        <v>1271.5160047215384</v>
      </c>
      <c r="BC32" s="34">
        <f t="shared" si="41"/>
        <v>27.516004721538366</v>
      </c>
      <c r="BD32" s="34">
        <f t="shared" si="42"/>
        <v>27.516004721538366</v>
      </c>
      <c r="BE32" s="113">
        <f t="shared" si="43"/>
        <v>2.2118974856542093</v>
      </c>
      <c r="BF32" s="113">
        <f t="shared" si="44"/>
        <v>2.2118974856542093</v>
      </c>
      <c r="BG32" s="113">
        <f t="shared" si="45"/>
        <v>1.4550886779492804</v>
      </c>
      <c r="BH32" s="34">
        <f t="shared" si="46"/>
        <v>1267.8277753679693</v>
      </c>
      <c r="BI32" s="34">
        <f t="shared" si="47"/>
        <v>23.827775367969252</v>
      </c>
      <c r="BJ32" s="34">
        <f t="shared" si="48"/>
        <v>23.827775367969252</v>
      </c>
      <c r="BK32" s="113">
        <f t="shared" si="49"/>
        <v>1.9154160263640876</v>
      </c>
      <c r="BL32" s="113">
        <f t="shared" si="50"/>
        <v>1.9154160263640876</v>
      </c>
      <c r="BM32" s="113">
        <f t="shared" si="51"/>
        <v>1.3949378074040015</v>
      </c>
      <c r="BN32" s="34">
        <f t="shared" si="52"/>
        <v>1260.8695652173913</v>
      </c>
      <c r="BO32" s="34">
        <f t="shared" si="53"/>
        <v>16.869565217391255</v>
      </c>
      <c r="BP32" s="34">
        <f t="shared" si="54"/>
        <v>16.869565217391255</v>
      </c>
      <c r="BQ32" s="113">
        <f t="shared" si="55"/>
        <v>1.3560743743883645</v>
      </c>
      <c r="BR32" s="113">
        <f t="shared" si="56"/>
        <v>1.3560743743883645</v>
      </c>
      <c r="BS32" s="113">
        <f t="shared" si="57"/>
        <v>1.2521139858584751</v>
      </c>
      <c r="BT32" s="34">
        <f t="shared" si="58"/>
        <v>1250.2149999999999</v>
      </c>
      <c r="BU32" s="34">
        <f t="shared" si="59"/>
        <v>6.2149999999999181</v>
      </c>
      <c r="BV32" s="34">
        <f t="shared" si="60"/>
        <v>6.2149999999999181</v>
      </c>
      <c r="BW32" s="34">
        <f t="shared" si="61"/>
        <v>1240.5384086198776</v>
      </c>
      <c r="BX32" s="34">
        <f t="shared" si="62"/>
        <v>-3.4615913801223996</v>
      </c>
      <c r="BY32" s="34">
        <f t="shared" si="63"/>
        <v>3.4615913801223996</v>
      </c>
    </row>
    <row r="33" spans="1:77" ht="15" x14ac:dyDescent="0.2">
      <c r="A33" s="206" t="s">
        <v>465</v>
      </c>
      <c r="B33" s="28" t="s">
        <v>416</v>
      </c>
      <c r="C33" s="28" t="s">
        <v>458</v>
      </c>
      <c r="D33" s="35" t="s">
        <v>82</v>
      </c>
      <c r="E33" s="35" t="s">
        <v>374</v>
      </c>
      <c r="F33" s="35" t="s">
        <v>580</v>
      </c>
      <c r="G33" s="141">
        <v>1250</v>
      </c>
      <c r="H33" s="141">
        <v>1250</v>
      </c>
      <c r="I33" s="35" t="s">
        <v>626</v>
      </c>
      <c r="J33" s="141">
        <v>305</v>
      </c>
      <c r="K33" s="141">
        <v>297</v>
      </c>
      <c r="L33" s="207">
        <v>384</v>
      </c>
      <c r="M33" s="35" t="s">
        <v>37</v>
      </c>
      <c r="N33" s="33">
        <f t="shared" si="0"/>
        <v>1342.527</v>
      </c>
      <c r="O33" s="33">
        <f t="shared" si="1"/>
        <v>1314.2750000000001</v>
      </c>
      <c r="P33" s="33">
        <f t="shared" si="2"/>
        <v>1394.1199694802149</v>
      </c>
      <c r="Q33" s="33">
        <f t="shared" si="3"/>
        <v>1278.6254999999999</v>
      </c>
      <c r="R33" s="33">
        <f t="shared" si="4"/>
        <v>1225.0129779330625</v>
      </c>
      <c r="S33" s="33">
        <f t="shared" si="5"/>
        <v>1270.3010064178213</v>
      </c>
      <c r="T33" s="33">
        <f t="shared" si="6"/>
        <v>1266.6766021987301</v>
      </c>
      <c r="U33" s="33">
        <f t="shared" si="7"/>
        <v>1270.8333333333335</v>
      </c>
      <c r="V33" s="33">
        <f t="shared" si="8"/>
        <v>1254.0454999999999</v>
      </c>
      <c r="W33" s="33">
        <f t="shared" si="9"/>
        <v>1245.1644148292028</v>
      </c>
      <c r="X33" s="34">
        <f t="shared" si="10"/>
        <v>1356.9505999999999</v>
      </c>
      <c r="Y33" s="34">
        <f t="shared" si="11"/>
        <v>106.95059999999989</v>
      </c>
      <c r="Z33" s="34">
        <f t="shared" si="12"/>
        <v>106.95059999999989</v>
      </c>
      <c r="AA33" s="113">
        <f t="shared" si="13"/>
        <v>8.5560479999999917</v>
      </c>
      <c r="AB33" s="113">
        <f t="shared" si="14"/>
        <v>8.5560479999999917</v>
      </c>
      <c r="AC33" s="113">
        <f t="shared" si="15"/>
        <v>2.0332250605281925</v>
      </c>
      <c r="AD33" s="34">
        <f t="shared" si="16"/>
        <v>1332.2203</v>
      </c>
      <c r="AE33" s="34">
        <f t="shared" si="17"/>
        <v>82.220299999999952</v>
      </c>
      <c r="AF33" s="34">
        <f t="shared" si="18"/>
        <v>82.220299999999952</v>
      </c>
      <c r="AG33" s="113">
        <f t="shared" si="19"/>
        <v>6.5776239999999957</v>
      </c>
      <c r="AH33" s="113">
        <f t="shared" si="20"/>
        <v>6.5776239999999957</v>
      </c>
      <c r="AI33" s="113">
        <f t="shared" si="21"/>
        <v>1.9202292770434426</v>
      </c>
      <c r="AJ33" s="34">
        <f t="shared" si="22"/>
        <v>1240.4516313535059</v>
      </c>
      <c r="AK33" s="34">
        <f t="shared" si="23"/>
        <v>-9.5483686464940547</v>
      </c>
      <c r="AL33" s="34">
        <f t="shared" si="24"/>
        <v>9.5483686464940547</v>
      </c>
      <c r="AM33" s="113">
        <f t="shared" si="25"/>
        <v>-0.76386949171952434</v>
      </c>
      <c r="AN33" s="113">
        <f t="shared" si="26"/>
        <v>0.76386949171952434</v>
      </c>
      <c r="AO33" s="113">
        <f t="shared" si="27"/>
        <v>1.0231852991969073</v>
      </c>
      <c r="AP33" s="34">
        <f t="shared" si="28"/>
        <v>1380.8883000000001</v>
      </c>
      <c r="AQ33" s="34">
        <f t="shared" si="29"/>
        <v>130.88830000000007</v>
      </c>
      <c r="AR33" s="34">
        <f t="shared" si="30"/>
        <v>130.88830000000007</v>
      </c>
      <c r="AS33" s="113">
        <f t="shared" si="31"/>
        <v>10.471064000000005</v>
      </c>
      <c r="AT33" s="113">
        <f t="shared" si="32"/>
        <v>10.471064000000005</v>
      </c>
      <c r="AU33" s="113">
        <f t="shared" si="33"/>
        <v>2.1202062703696112</v>
      </c>
      <c r="AV33" s="34">
        <f t="shared" si="34"/>
        <v>1264.7744750634038</v>
      </c>
      <c r="AW33" s="34">
        <f t="shared" si="35"/>
        <v>14.77447506340377</v>
      </c>
      <c r="AX33" s="34">
        <f t="shared" si="36"/>
        <v>14.77447506340377</v>
      </c>
      <c r="AY33" s="113">
        <f t="shared" si="37"/>
        <v>1.1819580050723015</v>
      </c>
      <c r="AZ33" s="113">
        <f t="shared" si="38"/>
        <v>1.1819580050723015</v>
      </c>
      <c r="BA33" s="113">
        <f t="shared" si="39"/>
        <v>1.1979549158806528</v>
      </c>
      <c r="BB33" s="34">
        <f t="shared" si="40"/>
        <v>1305.22400428028</v>
      </c>
      <c r="BC33" s="34">
        <f t="shared" si="41"/>
        <v>55.224004280280042</v>
      </c>
      <c r="BD33" s="34">
        <f t="shared" si="42"/>
        <v>55.224004280280042</v>
      </c>
      <c r="BE33" s="113">
        <f t="shared" si="43"/>
        <v>4.4179203424224029</v>
      </c>
      <c r="BF33" s="113">
        <f t="shared" si="44"/>
        <v>4.4179203424224029</v>
      </c>
      <c r="BG33" s="113">
        <f t="shared" si="45"/>
        <v>1.7499217728776286</v>
      </c>
      <c r="BH33" s="34">
        <f t="shared" si="46"/>
        <v>1302.866663652964</v>
      </c>
      <c r="BI33" s="34">
        <f t="shared" si="47"/>
        <v>52.866663652964007</v>
      </c>
      <c r="BJ33" s="34">
        <f t="shared" si="48"/>
        <v>52.866663652964007</v>
      </c>
      <c r="BK33" s="113">
        <f t="shared" si="49"/>
        <v>4.2293330922371206</v>
      </c>
      <c r="BL33" s="113">
        <f t="shared" si="50"/>
        <v>4.2293330922371206</v>
      </c>
      <c r="BM33" s="113">
        <f t="shared" si="51"/>
        <v>1.7313200774212352</v>
      </c>
      <c r="BN33" s="34">
        <f t="shared" si="52"/>
        <v>1291.304347826087</v>
      </c>
      <c r="BO33" s="34">
        <f t="shared" si="53"/>
        <v>41.304347826086996</v>
      </c>
      <c r="BP33" s="34">
        <f t="shared" si="54"/>
        <v>41.304347826086996</v>
      </c>
      <c r="BQ33" s="113">
        <f t="shared" si="55"/>
        <v>3.3043478260869596</v>
      </c>
      <c r="BR33" s="113">
        <f t="shared" si="56"/>
        <v>3.3043478260869596</v>
      </c>
      <c r="BS33" s="113">
        <f t="shared" si="57"/>
        <v>1.6263850042507595</v>
      </c>
      <c r="BT33" s="34">
        <f t="shared" si="58"/>
        <v>1282.5066999999999</v>
      </c>
      <c r="BU33" s="34">
        <f t="shared" si="59"/>
        <v>32.50669999999991</v>
      </c>
      <c r="BV33" s="34">
        <f t="shared" si="60"/>
        <v>32.50669999999991</v>
      </c>
      <c r="BW33" s="34">
        <f t="shared" si="61"/>
        <v>1271.9833012510444</v>
      </c>
      <c r="BX33" s="34">
        <f t="shared" si="62"/>
        <v>21.983301251044395</v>
      </c>
      <c r="BY33" s="34">
        <f t="shared" si="63"/>
        <v>21.983301251044395</v>
      </c>
    </row>
    <row r="34" spans="1:77" ht="15" x14ac:dyDescent="0.2">
      <c r="A34" s="206" t="s">
        <v>465</v>
      </c>
      <c r="B34" t="s">
        <v>893</v>
      </c>
      <c r="C34" s="224" t="s">
        <v>824</v>
      </c>
      <c r="D34" s="35" t="s">
        <v>148</v>
      </c>
      <c r="E34" s="35" t="s">
        <v>374</v>
      </c>
      <c r="F34" s="35" t="s">
        <v>580</v>
      </c>
      <c r="G34">
        <v>1274</v>
      </c>
      <c r="H34">
        <v>1274</v>
      </c>
      <c r="I34" s="35" t="s">
        <v>626</v>
      </c>
      <c r="J34">
        <v>287</v>
      </c>
      <c r="K34">
        <v>277</v>
      </c>
      <c r="L34" s="28"/>
      <c r="M34" s="35" t="s">
        <v>488</v>
      </c>
      <c r="N34" s="33">
        <f t="shared" ref="N34:N65" si="64">4.0034*J34+121.49</f>
        <v>1270.4657999999999</v>
      </c>
      <c r="O34" s="33">
        <f t="shared" ref="O34:O65" si="65">5.589*J34-390.37</f>
        <v>1213.6730000000002</v>
      </c>
      <c r="P34" s="33">
        <f t="shared" ref="P34:P65" si="66">1.4769*(J34^1.1975)</f>
        <v>1296.1780475206035</v>
      </c>
      <c r="Q34" s="33">
        <f t="shared" ref="Q34:Q65" si="67">J34*4.7847-180.708</f>
        <v>1192.5009</v>
      </c>
      <c r="R34" s="33">
        <f t="shared" ref="R34:R65" si="68">(1.1655*J34)^1.21065</f>
        <v>1138.0407350147127</v>
      </c>
      <c r="S34" s="33">
        <f t="shared" ref="S34:S65" si="69">(2.21386*J34)^1.097</f>
        <v>1188.3001696309327</v>
      </c>
      <c r="T34" s="33">
        <f t="shared" ref="T34:T65" si="70">(1.699*J34)^1.143</f>
        <v>1181.5987966479629</v>
      </c>
      <c r="U34" s="33">
        <f t="shared" ref="U34:U65" si="71">J34/0.24</f>
        <v>1195.8333333333335</v>
      </c>
      <c r="V34" s="33">
        <f t="shared" ref="V34:V65" si="72">4.3851*J34-83.41</f>
        <v>1175.1137000000001</v>
      </c>
      <c r="W34" s="33">
        <f t="shared" ref="W34:W65" si="73">3.1996*J34^1.0426</f>
        <v>1168.6470137507574</v>
      </c>
      <c r="X34" s="34">
        <f t="shared" ref="X34:X65" si="74">4.1598*K34 + 121.49</f>
        <v>1273.7546</v>
      </c>
      <c r="Y34" s="34">
        <f t="shared" ref="Y34:Y65" si="75">X34-G34</f>
        <v>-0.24540000000001783</v>
      </c>
      <c r="Z34" s="34">
        <f t="shared" ref="Z34:Z65" si="76">ABS(Y34)</f>
        <v>0.24540000000001783</v>
      </c>
      <c r="AA34" s="113">
        <f t="shared" ref="AA34:AA65" si="77">Y34/G34*100</f>
        <v>-1.9262166405024945E-2</v>
      </c>
      <c r="AB34" s="113">
        <f t="shared" ref="AB34:AB65" si="78">ABS(AA34)</f>
        <v>1.9262166405024945E-2</v>
      </c>
      <c r="AC34" s="113">
        <f t="shared" ref="AC34:AC65" si="79">LOG10(Z34+1)</f>
        <v>9.5308861385387397E-2</v>
      </c>
      <c r="AD34" s="34">
        <f t="shared" ref="AD34:AD65" si="80">5.4599*K34-289.37</f>
        <v>1223.0223000000001</v>
      </c>
      <c r="AE34" s="34">
        <f t="shared" ref="AE34:AE65" si="81">AD34-G34</f>
        <v>-50.977699999999913</v>
      </c>
      <c r="AF34" s="34">
        <f t="shared" ref="AF34:AF65" si="82">ABS(AE34)</f>
        <v>50.977699999999913</v>
      </c>
      <c r="AG34" s="113">
        <f t="shared" ref="AG34:AG65" si="83">AE34/G34*100</f>
        <v>-4.0013893249607468</v>
      </c>
      <c r="AH34" s="113">
        <f t="shared" ref="AH34:AH65" si="84">ABS(AG34)</f>
        <v>4.0013893249607468</v>
      </c>
      <c r="AI34" s="113">
        <f t="shared" ref="AI34:AI65" si="85">LOG10(AF34+1)</f>
        <v>1.7158170581698395</v>
      </c>
      <c r="AJ34" s="34">
        <f t="shared" ref="AJ34:AJ65" si="86">0.9913*K34^1.2526</f>
        <v>1136.7246162033243</v>
      </c>
      <c r="AK34" s="34">
        <f t="shared" ref="AK34:AK65" si="87">AJ34-G34</f>
        <v>-137.27538379667567</v>
      </c>
      <c r="AL34" s="34">
        <f t="shared" ref="AL34:AL65" si="88">ABS(AK34)</f>
        <v>137.27538379667567</v>
      </c>
      <c r="AM34" s="113">
        <f t="shared" ref="AM34:AM65" si="89">AK34/G34*100</f>
        <v>-10.775147864731215</v>
      </c>
      <c r="AN34" s="113">
        <f t="shared" ref="AN34:AN65" si="90">ABS(AM34)</f>
        <v>10.775147864731215</v>
      </c>
      <c r="AO34" s="113">
        <f t="shared" ref="AO34:AO65" si="91">LOG10(AL34+1)</f>
        <v>2.1407448725691336</v>
      </c>
      <c r="AP34" s="34">
        <f t="shared" ref="AP34:AP65" si="92">5.2579*K34-180.708</f>
        <v>1275.7302999999999</v>
      </c>
      <c r="AQ34" s="34">
        <f t="shared" ref="AQ34:AQ65" si="93">AP34-G34</f>
        <v>1.7302999999999429</v>
      </c>
      <c r="AR34" s="34">
        <f t="shared" ref="AR34:AR65" si="94">ABS(AQ34)</f>
        <v>1.7302999999999429</v>
      </c>
      <c r="AS34" s="113">
        <f t="shared" ref="AS34:AS65" si="95">AQ34/G34*100</f>
        <v>0.13581632653060777</v>
      </c>
      <c r="AT34" s="113">
        <f t="shared" ref="AT34:AT65" si="96">ABS(AS34)</f>
        <v>0.13581632653060777</v>
      </c>
      <c r="AU34" s="113">
        <f t="shared" ref="AU34:AU65" si="97">LOG10(AR34+1)</f>
        <v>0.43621036908704552</v>
      </c>
      <c r="AV34" s="34">
        <f t="shared" ref="AV34:AV65" si="98">(1.2268*K34)^1.211</f>
        <v>1162.3797422554528</v>
      </c>
      <c r="AW34" s="34">
        <f t="shared" ref="AW34:AW65" si="99">AV34-G34</f>
        <v>-111.62025774454719</v>
      </c>
      <c r="AX34" s="34">
        <f t="shared" ref="AX34:AX65" si="100">ABS(AW34)</f>
        <v>111.62025774454719</v>
      </c>
      <c r="AY34" s="113">
        <f t="shared" ref="AY34:AY65" si="101">AW34/G34*100</f>
        <v>-8.7614017067933432</v>
      </c>
      <c r="AZ34" s="113">
        <f t="shared" ref="AZ34:AZ65" si="102">ABS(AY34)</f>
        <v>8.7614017067933432</v>
      </c>
      <c r="BA34" s="113">
        <f t="shared" ref="BA34:BA65" si="103">LOG10(AX34+1)</f>
        <v>2.0516165169395175</v>
      </c>
      <c r="BB34" s="34">
        <f t="shared" ref="BB34:BB65" si="104">(2.3304*K34)^1.097</f>
        <v>1209.1259278033285</v>
      </c>
      <c r="BC34" s="34">
        <f t="shared" ref="BC34:BC65" si="105">BB34-G34</f>
        <v>-64.874072196671477</v>
      </c>
      <c r="BD34" s="34">
        <f t="shared" ref="BD34:BD65" si="106">ABS(BC34)</f>
        <v>64.874072196671477</v>
      </c>
      <c r="BE34" s="113">
        <f t="shared" ref="BE34:BE65" si="107">BC34/G34*100</f>
        <v>-5.0921563733651078</v>
      </c>
      <c r="BF34" s="113">
        <f t="shared" ref="BF34:BF65" si="108">ABS(BE34)</f>
        <v>5.0921563733651078</v>
      </c>
      <c r="BG34" s="113">
        <f t="shared" ref="BG34:BG65" si="109">LOG10(BD34+1)</f>
        <v>1.818714511443321</v>
      </c>
      <c r="BH34" s="34">
        <f t="shared" ref="BH34:BH65" si="110">(1.7883*K34)^1.143</f>
        <v>1203.0778372925508</v>
      </c>
      <c r="BI34" s="34">
        <f t="shared" ref="BI34:BI65" si="111">BH34-G34</f>
        <v>-70.922162707449161</v>
      </c>
      <c r="BJ34" s="34">
        <f t="shared" ref="BJ34:BJ65" si="112">ABS(BI34)</f>
        <v>70.922162707449161</v>
      </c>
      <c r="BK34" s="113">
        <f t="shared" ref="BK34:BK65" si="113">BI34/G34*100</f>
        <v>-5.5668887525470296</v>
      </c>
      <c r="BL34" s="113">
        <f t="shared" ref="BL34:BL65" si="114">ABS(BK34)</f>
        <v>5.5668887525470296</v>
      </c>
      <c r="BM34" s="113">
        <f t="shared" ref="BM34:BM65" si="115">LOG10(BJ34+1)</f>
        <v>1.8568627382050014</v>
      </c>
      <c r="BN34" s="34">
        <f t="shared" ref="BN34:BN65" si="116">K34/0.23</f>
        <v>1204.3478260869565</v>
      </c>
      <c r="BO34" s="34">
        <f t="shared" ref="BO34:BO65" si="117">BN34-G34</f>
        <v>-69.652173913043498</v>
      </c>
      <c r="BP34" s="34">
        <f t="shared" ref="BP34:BP65" si="118">ABS(BO34)</f>
        <v>69.652173913043498</v>
      </c>
      <c r="BQ34" s="113">
        <f t="shared" ref="BQ34:BQ65" si="119">BO34/G34*100</f>
        <v>-5.4672036038495682</v>
      </c>
      <c r="BR34" s="113">
        <f t="shared" ref="BR34:BR65" si="120">ABS(BQ34)</f>
        <v>5.4672036038495682</v>
      </c>
      <c r="BS34" s="113">
        <f t="shared" ref="BS34:BS65" si="121">LOG10(BP34+1)</f>
        <v>1.8491255292973003</v>
      </c>
      <c r="BT34" s="34">
        <f t="shared" ref="BT34:BT65" si="122">4.6131*K34 - 87.584</f>
        <v>1190.2447</v>
      </c>
      <c r="BU34" s="34">
        <f t="shared" ref="BU34:BU65" si="123">BT34-G34</f>
        <v>-83.755300000000034</v>
      </c>
      <c r="BV34" s="34">
        <f t="shared" ref="BV34:BV65" si="124">ABS(BU34)</f>
        <v>83.755300000000034</v>
      </c>
      <c r="BW34" s="34">
        <f t="shared" ref="BW34:BW65" si="125">3.2309*K34^1.0495</f>
        <v>1182.2410473426751</v>
      </c>
      <c r="BX34" s="34">
        <f t="shared" ref="BX34:BX65" si="126">BW34-G34</f>
        <v>-91.758952657324926</v>
      </c>
      <c r="BY34" s="34">
        <f t="shared" ref="BY34:BY65" si="127">ABS(BX34)</f>
        <v>91.758952657324926</v>
      </c>
    </row>
    <row r="35" spans="1:77" ht="16" x14ac:dyDescent="0.2">
      <c r="A35" s="206" t="s">
        <v>465</v>
      </c>
      <c r="B35" t="s">
        <v>853</v>
      </c>
      <c r="C35" s="224" t="s">
        <v>824</v>
      </c>
      <c r="D35" s="35" t="s">
        <v>148</v>
      </c>
      <c r="E35" s="35" t="s">
        <v>374</v>
      </c>
      <c r="F35" s="35" t="s">
        <v>580</v>
      </c>
      <c r="G35" s="147">
        <v>1274</v>
      </c>
      <c r="H35" s="147">
        <v>1274</v>
      </c>
      <c r="I35" s="35" t="s">
        <v>626</v>
      </c>
      <c r="J35" s="147">
        <v>296</v>
      </c>
      <c r="K35" s="147">
        <v>284</v>
      </c>
      <c r="L35" s="28"/>
      <c r="M35" s="35" t="s">
        <v>488</v>
      </c>
      <c r="N35" s="33">
        <f t="shared" si="64"/>
        <v>1306.4964</v>
      </c>
      <c r="O35" s="33">
        <f t="shared" si="65"/>
        <v>1263.9740000000002</v>
      </c>
      <c r="P35" s="33">
        <f t="shared" si="66"/>
        <v>1345.0019515523677</v>
      </c>
      <c r="Q35" s="33">
        <f t="shared" si="67"/>
        <v>1235.5631999999998</v>
      </c>
      <c r="R35" s="33">
        <f t="shared" si="68"/>
        <v>1181.3875756457653</v>
      </c>
      <c r="S35" s="33">
        <f t="shared" si="69"/>
        <v>1229.2401174352347</v>
      </c>
      <c r="T35" s="33">
        <f t="shared" si="70"/>
        <v>1224.0452073342542</v>
      </c>
      <c r="U35" s="33">
        <f t="shared" si="71"/>
        <v>1233.3333333333335</v>
      </c>
      <c r="V35" s="33">
        <f t="shared" si="72"/>
        <v>1214.5796</v>
      </c>
      <c r="W35" s="33">
        <f t="shared" si="73"/>
        <v>1206.8809328769321</v>
      </c>
      <c r="X35" s="34">
        <f t="shared" si="74"/>
        <v>1302.8732</v>
      </c>
      <c r="Y35" s="34">
        <f t="shared" si="75"/>
        <v>28.873199999999997</v>
      </c>
      <c r="Z35" s="34">
        <f t="shared" si="76"/>
        <v>28.873199999999997</v>
      </c>
      <c r="AA35" s="113">
        <f t="shared" si="77"/>
        <v>2.2663422291993718</v>
      </c>
      <c r="AB35" s="113">
        <f t="shared" si="78"/>
        <v>2.2663422291993718</v>
      </c>
      <c r="AC35" s="113">
        <f t="shared" si="79"/>
        <v>1.4752817464710595</v>
      </c>
      <c r="AD35" s="34">
        <f t="shared" si="80"/>
        <v>1261.2415999999998</v>
      </c>
      <c r="AE35" s="34">
        <f t="shared" si="81"/>
        <v>-12.758400000000165</v>
      </c>
      <c r="AF35" s="34">
        <f t="shared" si="82"/>
        <v>12.758400000000165</v>
      </c>
      <c r="AG35" s="113">
        <f t="shared" si="83"/>
        <v>-1.0014442700157116</v>
      </c>
      <c r="AH35" s="113">
        <f t="shared" si="84"/>
        <v>1.0014442700157116</v>
      </c>
      <c r="AI35" s="113">
        <f t="shared" si="85"/>
        <v>1.1385679316049</v>
      </c>
      <c r="AJ35" s="34">
        <f t="shared" si="86"/>
        <v>1172.820798203333</v>
      </c>
      <c r="AK35" s="34">
        <f t="shared" si="87"/>
        <v>-101.17920179666703</v>
      </c>
      <c r="AL35" s="34">
        <f t="shared" si="88"/>
        <v>101.17920179666703</v>
      </c>
      <c r="AM35" s="113">
        <f t="shared" si="89"/>
        <v>-7.9418525743066741</v>
      </c>
      <c r="AN35" s="113">
        <f t="shared" si="90"/>
        <v>7.9418525743066741</v>
      </c>
      <c r="AO35" s="113">
        <f t="shared" si="91"/>
        <v>2.0093625057385234</v>
      </c>
      <c r="AP35" s="34">
        <f t="shared" si="92"/>
        <v>1312.5355999999999</v>
      </c>
      <c r="AQ35" s="34">
        <f t="shared" si="93"/>
        <v>38.535599999999931</v>
      </c>
      <c r="AR35" s="34">
        <f t="shared" si="94"/>
        <v>38.535599999999931</v>
      </c>
      <c r="AS35" s="113">
        <f t="shared" si="95"/>
        <v>3.0247723704866512</v>
      </c>
      <c r="AT35" s="113">
        <f t="shared" si="96"/>
        <v>3.0247723704866512</v>
      </c>
      <c r="AU35" s="113">
        <f t="shared" si="97"/>
        <v>1.5969883341215518</v>
      </c>
      <c r="AV35" s="34">
        <f t="shared" si="98"/>
        <v>1198.0461338714558</v>
      </c>
      <c r="AW35" s="34">
        <f t="shared" si="99"/>
        <v>-75.953866128544178</v>
      </c>
      <c r="AX35" s="34">
        <f t="shared" si="100"/>
        <v>75.953866128544178</v>
      </c>
      <c r="AY35" s="113">
        <f t="shared" si="101"/>
        <v>-5.9618419253174393</v>
      </c>
      <c r="AZ35" s="113">
        <f t="shared" si="102"/>
        <v>5.9618419253174393</v>
      </c>
      <c r="BA35" s="113">
        <f t="shared" si="103"/>
        <v>1.8862304434802368</v>
      </c>
      <c r="BB35" s="34">
        <f t="shared" si="104"/>
        <v>1242.6861166335275</v>
      </c>
      <c r="BC35" s="34">
        <f t="shared" si="105"/>
        <v>-31.31388336647251</v>
      </c>
      <c r="BD35" s="34">
        <f t="shared" si="106"/>
        <v>31.31388336647251</v>
      </c>
      <c r="BE35" s="113">
        <f t="shared" si="107"/>
        <v>-2.4579186315912485</v>
      </c>
      <c r="BF35" s="113">
        <f t="shared" si="108"/>
        <v>2.4579186315912485</v>
      </c>
      <c r="BG35" s="113">
        <f t="shared" si="109"/>
        <v>1.5093891531054162</v>
      </c>
      <c r="BH35" s="34">
        <f t="shared" si="110"/>
        <v>1237.8904516731147</v>
      </c>
      <c r="BI35" s="34">
        <f t="shared" si="111"/>
        <v>-36.10954832688526</v>
      </c>
      <c r="BJ35" s="34">
        <f t="shared" si="112"/>
        <v>36.10954832688526</v>
      </c>
      <c r="BK35" s="113">
        <f t="shared" si="113"/>
        <v>-2.8343444526597534</v>
      </c>
      <c r="BL35" s="113">
        <f t="shared" si="114"/>
        <v>2.8343444526597534</v>
      </c>
      <c r="BM35" s="113">
        <f t="shared" si="115"/>
        <v>1.5694856684329892</v>
      </c>
      <c r="BN35" s="34">
        <f t="shared" si="116"/>
        <v>1234.782608695652</v>
      </c>
      <c r="BO35" s="34">
        <f t="shared" si="117"/>
        <v>-39.217391304347984</v>
      </c>
      <c r="BP35" s="34">
        <f t="shared" si="118"/>
        <v>39.217391304347984</v>
      </c>
      <c r="BQ35" s="113">
        <f t="shared" si="119"/>
        <v>-3.0782881714558856</v>
      </c>
      <c r="BR35" s="113">
        <f t="shared" si="120"/>
        <v>3.0782881714558856</v>
      </c>
      <c r="BS35" s="113">
        <f t="shared" si="121"/>
        <v>1.6044138967214414</v>
      </c>
      <c r="BT35" s="34">
        <f t="shared" si="122"/>
        <v>1222.5364</v>
      </c>
      <c r="BU35" s="34">
        <f t="shared" si="123"/>
        <v>-51.463600000000042</v>
      </c>
      <c r="BV35" s="34">
        <f t="shared" si="124"/>
        <v>51.463600000000042</v>
      </c>
      <c r="BW35" s="34">
        <f t="shared" si="125"/>
        <v>1213.6154991168928</v>
      </c>
      <c r="BX35" s="34">
        <f t="shared" si="126"/>
        <v>-60.384500883107194</v>
      </c>
      <c r="BY35" s="34">
        <f t="shared" si="127"/>
        <v>60.384500883107194</v>
      </c>
    </row>
    <row r="36" spans="1:77" ht="16" x14ac:dyDescent="0.2">
      <c r="A36" s="206" t="s">
        <v>465</v>
      </c>
      <c r="B36" t="s">
        <v>862</v>
      </c>
      <c r="C36" s="224" t="s">
        <v>824</v>
      </c>
      <c r="D36" s="35" t="s">
        <v>148</v>
      </c>
      <c r="E36" s="35" t="s">
        <v>374</v>
      </c>
      <c r="F36" s="35" t="s">
        <v>580</v>
      </c>
      <c r="G36" s="147">
        <v>1280</v>
      </c>
      <c r="H36" s="147">
        <v>1280</v>
      </c>
      <c r="I36" s="35" t="s">
        <v>626</v>
      </c>
      <c r="J36" s="147">
        <v>290</v>
      </c>
      <c r="K36" s="147">
        <v>285</v>
      </c>
      <c r="L36" s="28"/>
      <c r="M36" s="35" t="s">
        <v>488</v>
      </c>
      <c r="N36" s="33">
        <f t="shared" si="64"/>
        <v>1282.4760000000001</v>
      </c>
      <c r="O36" s="33">
        <f t="shared" si="65"/>
        <v>1230.44</v>
      </c>
      <c r="P36" s="33">
        <f t="shared" si="66"/>
        <v>1312.4195557355961</v>
      </c>
      <c r="Q36" s="33">
        <f t="shared" si="67"/>
        <v>1206.8549999999998</v>
      </c>
      <c r="R36" s="33">
        <f t="shared" si="68"/>
        <v>1152.4583140677748</v>
      </c>
      <c r="S36" s="33">
        <f t="shared" si="69"/>
        <v>1201.9331739909244</v>
      </c>
      <c r="T36" s="33">
        <f t="shared" si="70"/>
        <v>1195.7267459984785</v>
      </c>
      <c r="U36" s="33">
        <f t="shared" si="71"/>
        <v>1208.3333333333335</v>
      </c>
      <c r="V36" s="33">
        <f t="shared" si="72"/>
        <v>1188.269</v>
      </c>
      <c r="W36" s="33">
        <f t="shared" si="73"/>
        <v>1181.3860565129551</v>
      </c>
      <c r="X36" s="34">
        <f t="shared" si="74"/>
        <v>1307.0329999999999</v>
      </c>
      <c r="Y36" s="34">
        <f t="shared" si="75"/>
        <v>27.032999999999902</v>
      </c>
      <c r="Z36" s="34">
        <f t="shared" si="76"/>
        <v>27.032999999999902</v>
      </c>
      <c r="AA36" s="113">
        <f t="shared" si="77"/>
        <v>2.1119531249999923</v>
      </c>
      <c r="AB36" s="113">
        <f t="shared" si="78"/>
        <v>2.1119531249999923</v>
      </c>
      <c r="AC36" s="113">
        <f t="shared" si="79"/>
        <v>1.4476695770227912</v>
      </c>
      <c r="AD36" s="34">
        <f t="shared" si="80"/>
        <v>1266.7015000000001</v>
      </c>
      <c r="AE36" s="34">
        <f t="shared" si="81"/>
        <v>-13.298499999999876</v>
      </c>
      <c r="AF36" s="34">
        <f t="shared" si="82"/>
        <v>13.298499999999876</v>
      </c>
      <c r="AG36" s="113">
        <f t="shared" si="83"/>
        <v>-1.0389453124999903</v>
      </c>
      <c r="AH36" s="113">
        <f t="shared" si="84"/>
        <v>1.0389453124999903</v>
      </c>
      <c r="AI36" s="113">
        <f t="shared" si="85"/>
        <v>1.1552904797103889</v>
      </c>
      <c r="AJ36" s="34">
        <f t="shared" si="86"/>
        <v>1177.995897091685</v>
      </c>
      <c r="AK36" s="34">
        <f t="shared" si="87"/>
        <v>-102.00410290831496</v>
      </c>
      <c r="AL36" s="34">
        <f t="shared" si="88"/>
        <v>102.00410290831496</v>
      </c>
      <c r="AM36" s="113">
        <f t="shared" si="89"/>
        <v>-7.9690705397121055</v>
      </c>
      <c r="AN36" s="113">
        <f t="shared" si="90"/>
        <v>7.9690705397121055</v>
      </c>
      <c r="AO36" s="113">
        <f t="shared" si="91"/>
        <v>2.0128545240736413</v>
      </c>
      <c r="AP36" s="34">
        <f t="shared" si="92"/>
        <v>1317.7935</v>
      </c>
      <c r="AQ36" s="34">
        <f t="shared" si="93"/>
        <v>37.793499999999995</v>
      </c>
      <c r="AR36" s="34">
        <f t="shared" si="94"/>
        <v>37.793499999999995</v>
      </c>
      <c r="AS36" s="113">
        <f t="shared" si="95"/>
        <v>2.9526171874999996</v>
      </c>
      <c r="AT36" s="113">
        <f t="shared" si="96"/>
        <v>2.9526171874999996</v>
      </c>
      <c r="AU36" s="113">
        <f t="shared" si="97"/>
        <v>1.5887589639804387</v>
      </c>
      <c r="AV36" s="34">
        <f t="shared" si="98"/>
        <v>1203.1565998007916</v>
      </c>
      <c r="AW36" s="34">
        <f t="shared" si="99"/>
        <v>-76.843400199208418</v>
      </c>
      <c r="AX36" s="34">
        <f t="shared" si="100"/>
        <v>76.843400199208418</v>
      </c>
      <c r="AY36" s="113">
        <f t="shared" si="101"/>
        <v>-6.0033906405631576</v>
      </c>
      <c r="AZ36" s="113">
        <f t="shared" si="102"/>
        <v>6.0033906405631576</v>
      </c>
      <c r="BA36" s="113">
        <f t="shared" si="103"/>
        <v>1.8912217976547234</v>
      </c>
      <c r="BB36" s="34">
        <f t="shared" si="104"/>
        <v>1247.4870294087882</v>
      </c>
      <c r="BC36" s="34">
        <f t="shared" si="105"/>
        <v>-32.512970591211797</v>
      </c>
      <c r="BD36" s="34">
        <f t="shared" si="106"/>
        <v>32.512970591211797</v>
      </c>
      <c r="BE36" s="113">
        <f t="shared" si="107"/>
        <v>-2.5400758274384216</v>
      </c>
      <c r="BF36" s="113">
        <f t="shared" si="108"/>
        <v>2.5400758274384216</v>
      </c>
      <c r="BG36" s="113">
        <f t="shared" si="109"/>
        <v>1.5252129254238069</v>
      </c>
      <c r="BH36" s="34">
        <f t="shared" si="110"/>
        <v>1242.8737778941406</v>
      </c>
      <c r="BI36" s="34">
        <f t="shared" si="111"/>
        <v>-37.12622210585937</v>
      </c>
      <c r="BJ36" s="34">
        <f t="shared" si="112"/>
        <v>37.12622210585937</v>
      </c>
      <c r="BK36" s="113">
        <f t="shared" si="113"/>
        <v>-2.9004861020202632</v>
      </c>
      <c r="BL36" s="113">
        <f t="shared" si="114"/>
        <v>2.9004861020202632</v>
      </c>
      <c r="BM36" s="113">
        <f t="shared" si="115"/>
        <v>1.5812237735436814</v>
      </c>
      <c r="BN36" s="34">
        <f t="shared" si="116"/>
        <v>1239.1304347826087</v>
      </c>
      <c r="BO36" s="34">
        <f t="shared" si="117"/>
        <v>-40.869565217391255</v>
      </c>
      <c r="BP36" s="34">
        <f t="shared" si="118"/>
        <v>40.869565217391255</v>
      </c>
      <c r="BQ36" s="113">
        <f t="shared" si="119"/>
        <v>-3.1929347826086918</v>
      </c>
      <c r="BR36" s="113">
        <f t="shared" si="120"/>
        <v>3.1929347826086918</v>
      </c>
      <c r="BS36" s="113">
        <f t="shared" si="121"/>
        <v>1.6218984511069412</v>
      </c>
      <c r="BT36" s="34">
        <f t="shared" si="122"/>
        <v>1227.1495</v>
      </c>
      <c r="BU36" s="34">
        <f t="shared" si="123"/>
        <v>-52.850500000000011</v>
      </c>
      <c r="BV36" s="34">
        <f t="shared" si="124"/>
        <v>52.850500000000011</v>
      </c>
      <c r="BW36" s="34">
        <f t="shared" si="125"/>
        <v>1218.1007115888981</v>
      </c>
      <c r="BX36" s="34">
        <f t="shared" si="126"/>
        <v>-61.899288411101907</v>
      </c>
      <c r="BY36" s="34">
        <f t="shared" si="127"/>
        <v>61.899288411101907</v>
      </c>
    </row>
    <row r="37" spans="1:77" ht="15" x14ac:dyDescent="0.2">
      <c r="A37" s="207" t="s">
        <v>19</v>
      </c>
      <c r="B37" s="206" t="s">
        <v>593</v>
      </c>
      <c r="C37" s="28" t="s">
        <v>403</v>
      </c>
      <c r="D37" s="35" t="s">
        <v>82</v>
      </c>
      <c r="E37" s="35" t="s">
        <v>374</v>
      </c>
      <c r="F37" s="35" t="s">
        <v>580</v>
      </c>
      <c r="G37" s="141">
        <v>1284.8</v>
      </c>
      <c r="H37" s="141"/>
      <c r="I37" s="35" t="s">
        <v>626</v>
      </c>
      <c r="J37" s="141">
        <v>305.86</v>
      </c>
      <c r="K37" s="141">
        <v>292.95999999999998</v>
      </c>
      <c r="L37" s="28">
        <v>398.86</v>
      </c>
      <c r="M37" s="35" t="s">
        <v>37</v>
      </c>
      <c r="N37" s="33">
        <f t="shared" si="64"/>
        <v>1345.969924</v>
      </c>
      <c r="O37" s="33">
        <f t="shared" si="65"/>
        <v>1319.0815400000001</v>
      </c>
      <c r="P37" s="33">
        <f t="shared" si="66"/>
        <v>1398.8286052804997</v>
      </c>
      <c r="Q37" s="33">
        <f t="shared" si="67"/>
        <v>1282.7403420000001</v>
      </c>
      <c r="R37" s="33">
        <f t="shared" si="68"/>
        <v>1229.1959673990098</v>
      </c>
      <c r="S37" s="33">
        <f t="shared" si="69"/>
        <v>1274.2308133896881</v>
      </c>
      <c r="T37" s="33">
        <f t="shared" si="70"/>
        <v>1270.7597778984134</v>
      </c>
      <c r="U37" s="33">
        <f t="shared" si="71"/>
        <v>1274.4166666666667</v>
      </c>
      <c r="V37" s="33">
        <f t="shared" si="72"/>
        <v>1257.8166860000001</v>
      </c>
      <c r="W37" s="33">
        <f t="shared" si="73"/>
        <v>1248.8251565781984</v>
      </c>
      <c r="X37" s="34">
        <f t="shared" si="74"/>
        <v>1340.1450079999997</v>
      </c>
      <c r="Y37" s="34">
        <f t="shared" si="75"/>
        <v>55.34500799999978</v>
      </c>
      <c r="Z37" s="34">
        <f t="shared" si="76"/>
        <v>55.34500799999978</v>
      </c>
      <c r="AA37" s="113">
        <f t="shared" si="77"/>
        <v>4.3076749688667331</v>
      </c>
      <c r="AB37" s="113">
        <f t="shared" si="78"/>
        <v>4.3076749688667331</v>
      </c>
      <c r="AC37" s="113">
        <f t="shared" si="79"/>
        <v>1.7508554448880702</v>
      </c>
      <c r="AD37" s="34">
        <f t="shared" si="80"/>
        <v>1310.1623039999999</v>
      </c>
      <c r="AE37" s="34">
        <f t="shared" si="81"/>
        <v>25.362303999999995</v>
      </c>
      <c r="AF37" s="34">
        <f t="shared" si="82"/>
        <v>25.362303999999995</v>
      </c>
      <c r="AG37" s="113">
        <f t="shared" si="83"/>
        <v>1.9740273972602738</v>
      </c>
      <c r="AH37" s="113">
        <f t="shared" si="84"/>
        <v>1.9740273972602738</v>
      </c>
      <c r="AI37" s="113">
        <f t="shared" si="85"/>
        <v>1.4209833638415252</v>
      </c>
      <c r="AJ37" s="34">
        <f t="shared" si="86"/>
        <v>1219.3523413544428</v>
      </c>
      <c r="AK37" s="34">
        <f t="shared" si="87"/>
        <v>-65.447658645557112</v>
      </c>
      <c r="AL37" s="34">
        <f t="shared" si="88"/>
        <v>65.447658645557112</v>
      </c>
      <c r="AM37" s="113">
        <f t="shared" si="89"/>
        <v>-5.0939958472569362</v>
      </c>
      <c r="AN37" s="113">
        <f t="shared" si="90"/>
        <v>5.0939958472569362</v>
      </c>
      <c r="AO37" s="113">
        <f t="shared" si="91"/>
        <v>1.8224796827169871</v>
      </c>
      <c r="AP37" s="34">
        <f t="shared" si="92"/>
        <v>1359.6463839999999</v>
      </c>
      <c r="AQ37" s="34">
        <f t="shared" si="93"/>
        <v>74.846383999999944</v>
      </c>
      <c r="AR37" s="34">
        <f t="shared" si="94"/>
        <v>74.846383999999944</v>
      </c>
      <c r="AS37" s="113">
        <f t="shared" si="95"/>
        <v>5.8255280199252759</v>
      </c>
      <c r="AT37" s="113">
        <f t="shared" si="96"/>
        <v>5.8255280199252759</v>
      </c>
      <c r="AU37" s="113">
        <f t="shared" si="97"/>
        <v>1.8799348804914922</v>
      </c>
      <c r="AV37" s="34">
        <f t="shared" si="98"/>
        <v>1243.9700265516806</v>
      </c>
      <c r="AW37" s="34">
        <f t="shared" si="99"/>
        <v>-40.829973448319379</v>
      </c>
      <c r="AX37" s="34">
        <f t="shared" si="100"/>
        <v>40.829973448319379</v>
      </c>
      <c r="AY37" s="113">
        <f t="shared" si="101"/>
        <v>-3.1779244589289677</v>
      </c>
      <c r="AZ37" s="113">
        <f t="shared" si="102"/>
        <v>3.1779244589289677</v>
      </c>
      <c r="BA37" s="113">
        <f t="shared" si="103"/>
        <v>1.6214875889112055</v>
      </c>
      <c r="BB37" s="34">
        <f t="shared" si="104"/>
        <v>1285.7601518983245</v>
      </c>
      <c r="BC37" s="34">
        <f t="shared" si="105"/>
        <v>0.96015189832451142</v>
      </c>
      <c r="BD37" s="34">
        <f t="shared" si="106"/>
        <v>0.96015189832451142</v>
      </c>
      <c r="BE37" s="113">
        <f t="shared" si="107"/>
        <v>7.4731623468595229E-2</v>
      </c>
      <c r="BF37" s="113">
        <f t="shared" si="108"/>
        <v>7.4731623468595229E-2</v>
      </c>
      <c r="BG37" s="113">
        <f t="shared" si="109"/>
        <v>0.2922897275034263</v>
      </c>
      <c r="BH37" s="34">
        <f t="shared" si="110"/>
        <v>1282.6296293605014</v>
      </c>
      <c r="BI37" s="34">
        <f t="shared" si="111"/>
        <v>-2.1703706394985147</v>
      </c>
      <c r="BJ37" s="34">
        <f t="shared" si="112"/>
        <v>2.1703706394985147</v>
      </c>
      <c r="BK37" s="113">
        <f t="shared" si="113"/>
        <v>-0.16892673096968513</v>
      </c>
      <c r="BL37" s="113">
        <f t="shared" si="114"/>
        <v>0.16892673096968513</v>
      </c>
      <c r="BM37" s="113">
        <f t="shared" si="115"/>
        <v>0.50111003738479332</v>
      </c>
      <c r="BN37" s="34">
        <f t="shared" si="116"/>
        <v>1273.7391304347825</v>
      </c>
      <c r="BO37" s="34">
        <f t="shared" si="117"/>
        <v>-11.060869565217445</v>
      </c>
      <c r="BP37" s="34">
        <f t="shared" si="118"/>
        <v>11.060869565217445</v>
      </c>
      <c r="BQ37" s="113">
        <f t="shared" si="119"/>
        <v>-0.86090205208728554</v>
      </c>
      <c r="BR37" s="113">
        <f t="shared" si="120"/>
        <v>0.86090205208728554</v>
      </c>
      <c r="BS37" s="113">
        <f t="shared" si="121"/>
        <v>1.0813786207196752</v>
      </c>
      <c r="BT37" s="34">
        <f t="shared" si="122"/>
        <v>1263.869776</v>
      </c>
      <c r="BU37" s="34">
        <f t="shared" si="123"/>
        <v>-20.930223999999953</v>
      </c>
      <c r="BV37" s="34">
        <f t="shared" si="124"/>
        <v>20.930223999999953</v>
      </c>
      <c r="BW37" s="34">
        <f t="shared" si="125"/>
        <v>1253.8305733897232</v>
      </c>
      <c r="BX37" s="34">
        <f t="shared" si="126"/>
        <v>-30.969426610276741</v>
      </c>
      <c r="BY37" s="34">
        <f t="shared" si="127"/>
        <v>30.969426610276741</v>
      </c>
    </row>
    <row r="38" spans="1:77" ht="15" x14ac:dyDescent="0.2">
      <c r="A38" s="206" t="s">
        <v>465</v>
      </c>
      <c r="B38" s="28" t="s">
        <v>301</v>
      </c>
      <c r="C38" s="207" t="s">
        <v>403</v>
      </c>
      <c r="D38" s="35" t="s">
        <v>82</v>
      </c>
      <c r="E38" s="35" t="s">
        <v>374</v>
      </c>
      <c r="F38" s="35" t="s">
        <v>580</v>
      </c>
      <c r="G38" s="141">
        <v>1300</v>
      </c>
      <c r="H38" s="141">
        <v>1300</v>
      </c>
      <c r="I38" s="35" t="s">
        <v>626</v>
      </c>
      <c r="J38" s="141">
        <v>300</v>
      </c>
      <c r="K38" s="141">
        <v>285</v>
      </c>
      <c r="L38" s="28">
        <v>363.4</v>
      </c>
      <c r="M38" s="35" t="s">
        <v>37</v>
      </c>
      <c r="N38" s="33">
        <f t="shared" si="64"/>
        <v>1322.51</v>
      </c>
      <c r="O38" s="33">
        <f t="shared" si="65"/>
        <v>1286.33</v>
      </c>
      <c r="P38" s="33">
        <f t="shared" si="66"/>
        <v>1366.7962954436839</v>
      </c>
      <c r="Q38" s="33">
        <f t="shared" si="67"/>
        <v>1254.702</v>
      </c>
      <c r="R38" s="33">
        <f t="shared" si="68"/>
        <v>1200.7426480723445</v>
      </c>
      <c r="S38" s="33">
        <f t="shared" si="69"/>
        <v>1247.4746665646248</v>
      </c>
      <c r="T38" s="33">
        <f t="shared" si="70"/>
        <v>1242.969941162647</v>
      </c>
      <c r="U38" s="33">
        <f t="shared" si="71"/>
        <v>1250</v>
      </c>
      <c r="V38" s="33">
        <f t="shared" si="72"/>
        <v>1232.1200000000001</v>
      </c>
      <c r="W38" s="33">
        <f t="shared" si="73"/>
        <v>1223.8897800869913</v>
      </c>
      <c r="X38" s="34">
        <f t="shared" si="74"/>
        <v>1307.0329999999999</v>
      </c>
      <c r="Y38" s="34">
        <f t="shared" si="75"/>
        <v>7.0329999999999018</v>
      </c>
      <c r="Z38" s="34">
        <f t="shared" si="76"/>
        <v>7.0329999999999018</v>
      </c>
      <c r="AA38" s="113">
        <f t="shared" si="77"/>
        <v>0.54099999999999249</v>
      </c>
      <c r="AB38" s="113">
        <f t="shared" si="78"/>
        <v>0.54099999999999249</v>
      </c>
      <c r="AC38" s="113">
        <f t="shared" si="79"/>
        <v>0.90487776696339928</v>
      </c>
      <c r="AD38" s="34">
        <f t="shared" si="80"/>
        <v>1266.7015000000001</v>
      </c>
      <c r="AE38" s="34">
        <f t="shared" si="81"/>
        <v>-33.298499999999876</v>
      </c>
      <c r="AF38" s="34">
        <f t="shared" si="82"/>
        <v>33.298499999999876</v>
      </c>
      <c r="AG38" s="113">
        <f t="shared" si="83"/>
        <v>-2.5614230769230675</v>
      </c>
      <c r="AH38" s="113">
        <f t="shared" si="84"/>
        <v>2.5614230769230675</v>
      </c>
      <c r="AI38" s="113">
        <f t="shared" si="85"/>
        <v>1.5352751271574154</v>
      </c>
      <c r="AJ38" s="34">
        <f t="shared" si="86"/>
        <v>1177.995897091685</v>
      </c>
      <c r="AK38" s="34">
        <f t="shared" si="87"/>
        <v>-122.00410290831496</v>
      </c>
      <c r="AL38" s="34">
        <f t="shared" si="88"/>
        <v>122.00410290831496</v>
      </c>
      <c r="AM38" s="113">
        <f t="shared" si="89"/>
        <v>-9.3849309929473037</v>
      </c>
      <c r="AN38" s="113">
        <f t="shared" si="90"/>
        <v>9.3849309929473037</v>
      </c>
      <c r="AO38" s="113">
        <f t="shared" si="91"/>
        <v>2.0899195979493386</v>
      </c>
      <c r="AP38" s="34">
        <f t="shared" si="92"/>
        <v>1317.7935</v>
      </c>
      <c r="AQ38" s="34">
        <f t="shared" si="93"/>
        <v>17.793499999999995</v>
      </c>
      <c r="AR38" s="34">
        <f t="shared" si="94"/>
        <v>17.793499999999995</v>
      </c>
      <c r="AS38" s="113">
        <f t="shared" si="95"/>
        <v>1.3687307692307689</v>
      </c>
      <c r="AT38" s="113">
        <f t="shared" si="96"/>
        <v>1.3687307692307689</v>
      </c>
      <c r="AU38" s="113">
        <f t="shared" si="97"/>
        <v>1.2740076682930066</v>
      </c>
      <c r="AV38" s="34">
        <f t="shared" si="98"/>
        <v>1203.1565998007916</v>
      </c>
      <c r="AW38" s="34">
        <f t="shared" si="99"/>
        <v>-96.843400199208418</v>
      </c>
      <c r="AX38" s="34">
        <f t="shared" si="100"/>
        <v>96.843400199208418</v>
      </c>
      <c r="AY38" s="113">
        <f t="shared" si="101"/>
        <v>-7.4494923230160328</v>
      </c>
      <c r="AZ38" s="113">
        <f t="shared" si="102"/>
        <v>7.4494923230160328</v>
      </c>
      <c r="BA38" s="113">
        <f t="shared" si="103"/>
        <v>1.9905315366498029</v>
      </c>
      <c r="BB38" s="34">
        <f t="shared" si="104"/>
        <v>1247.4870294087882</v>
      </c>
      <c r="BC38" s="34">
        <f t="shared" si="105"/>
        <v>-52.512970591211797</v>
      </c>
      <c r="BD38" s="34">
        <f t="shared" si="106"/>
        <v>52.512970591211797</v>
      </c>
      <c r="BE38" s="113">
        <f t="shared" si="107"/>
        <v>-4.0394592762470616</v>
      </c>
      <c r="BF38" s="113">
        <f t="shared" si="108"/>
        <v>4.0394592762470616</v>
      </c>
      <c r="BG38" s="113">
        <f t="shared" si="109"/>
        <v>1.7284590600298058</v>
      </c>
      <c r="BH38" s="34">
        <f t="shared" si="110"/>
        <v>1242.8737778941406</v>
      </c>
      <c r="BI38" s="34">
        <f t="shared" si="111"/>
        <v>-57.12622210585937</v>
      </c>
      <c r="BJ38" s="34">
        <f t="shared" si="112"/>
        <v>57.12622210585937</v>
      </c>
      <c r="BK38" s="113">
        <f t="shared" si="113"/>
        <v>-4.3943247773737975</v>
      </c>
      <c r="BL38" s="113">
        <f t="shared" si="114"/>
        <v>4.3943247773737975</v>
      </c>
      <c r="BM38" s="113">
        <f t="shared" si="115"/>
        <v>1.7643720970507231</v>
      </c>
      <c r="BN38" s="34">
        <f t="shared" si="116"/>
        <v>1239.1304347826087</v>
      </c>
      <c r="BO38" s="34">
        <f t="shared" si="117"/>
        <v>-60.869565217391255</v>
      </c>
      <c r="BP38" s="34">
        <f t="shared" si="118"/>
        <v>60.869565217391255</v>
      </c>
      <c r="BQ38" s="113">
        <f t="shared" si="119"/>
        <v>-4.6822742474916348</v>
      </c>
      <c r="BR38" s="113">
        <f t="shared" si="120"/>
        <v>4.6822742474916348</v>
      </c>
      <c r="BS38" s="113">
        <f t="shared" si="121"/>
        <v>1.791477064066691</v>
      </c>
      <c r="BT38" s="34">
        <f t="shared" si="122"/>
        <v>1227.1495</v>
      </c>
      <c r="BU38" s="34">
        <f t="shared" si="123"/>
        <v>-72.850500000000011</v>
      </c>
      <c r="BV38" s="34">
        <f t="shared" si="124"/>
        <v>72.850500000000011</v>
      </c>
      <c r="BW38" s="34">
        <f t="shared" si="125"/>
        <v>1218.1007115888981</v>
      </c>
      <c r="BX38" s="34">
        <f t="shared" si="126"/>
        <v>-81.899288411101907</v>
      </c>
      <c r="BY38" s="34">
        <f t="shared" si="127"/>
        <v>81.899288411101907</v>
      </c>
    </row>
    <row r="39" spans="1:77" ht="16" x14ac:dyDescent="0.2">
      <c r="A39" s="206" t="s">
        <v>465</v>
      </c>
      <c r="B39" t="s">
        <v>846</v>
      </c>
      <c r="C39" s="224" t="s">
        <v>824</v>
      </c>
      <c r="D39" s="35" t="s">
        <v>148</v>
      </c>
      <c r="E39" s="35" t="s">
        <v>374</v>
      </c>
      <c r="F39" s="35" t="s">
        <v>580</v>
      </c>
      <c r="G39" s="147">
        <v>1312</v>
      </c>
      <c r="H39" s="147">
        <v>1312</v>
      </c>
      <c r="I39" s="35" t="s">
        <v>626</v>
      </c>
      <c r="J39" s="147">
        <v>307</v>
      </c>
      <c r="K39" s="147">
        <v>294</v>
      </c>
      <c r="L39" s="28"/>
      <c r="M39" s="35" t="s">
        <v>488</v>
      </c>
      <c r="N39" s="33">
        <f t="shared" si="64"/>
        <v>1350.5337999999999</v>
      </c>
      <c r="O39" s="33">
        <f t="shared" si="65"/>
        <v>1325.453</v>
      </c>
      <c r="P39" s="33">
        <f t="shared" si="66"/>
        <v>1405.0743158125729</v>
      </c>
      <c r="Q39" s="33">
        <f t="shared" si="67"/>
        <v>1288.1949</v>
      </c>
      <c r="R39" s="33">
        <f t="shared" si="68"/>
        <v>1234.7446794733719</v>
      </c>
      <c r="S39" s="33">
        <f t="shared" si="69"/>
        <v>1279.44174423505</v>
      </c>
      <c r="T39" s="33">
        <f t="shared" si="70"/>
        <v>1276.1748900578859</v>
      </c>
      <c r="U39" s="33">
        <f t="shared" si="71"/>
        <v>1279.1666666666667</v>
      </c>
      <c r="V39" s="33">
        <f t="shared" si="72"/>
        <v>1262.8157000000001</v>
      </c>
      <c r="W39" s="33">
        <f t="shared" si="73"/>
        <v>1253.6784434468977</v>
      </c>
      <c r="X39" s="34">
        <f t="shared" si="74"/>
        <v>1344.4712</v>
      </c>
      <c r="Y39" s="34">
        <f t="shared" si="75"/>
        <v>32.471199999999953</v>
      </c>
      <c r="Z39" s="34">
        <f t="shared" si="76"/>
        <v>32.471199999999953</v>
      </c>
      <c r="AA39" s="113">
        <f t="shared" si="77"/>
        <v>2.4749390243902405</v>
      </c>
      <c r="AB39" s="113">
        <f t="shared" si="78"/>
        <v>2.4749390243902405</v>
      </c>
      <c r="AC39" s="113">
        <f t="shared" si="79"/>
        <v>1.5246712828398814</v>
      </c>
      <c r="AD39" s="34">
        <f t="shared" si="80"/>
        <v>1315.8406</v>
      </c>
      <c r="AE39" s="34">
        <f t="shared" si="81"/>
        <v>3.8405999999999949</v>
      </c>
      <c r="AF39" s="34">
        <f t="shared" si="82"/>
        <v>3.8405999999999949</v>
      </c>
      <c r="AG39" s="113">
        <f t="shared" si="83"/>
        <v>0.29272865853658497</v>
      </c>
      <c r="AH39" s="113">
        <f t="shared" si="84"/>
        <v>0.29272865853658497</v>
      </c>
      <c r="AI39" s="113">
        <f t="shared" si="85"/>
        <v>0.68489919646652542</v>
      </c>
      <c r="AJ39" s="34">
        <f t="shared" si="86"/>
        <v>1224.7768591924016</v>
      </c>
      <c r="AK39" s="34">
        <f t="shared" si="87"/>
        <v>-87.223140807598384</v>
      </c>
      <c r="AL39" s="34">
        <f t="shared" si="88"/>
        <v>87.223140807598384</v>
      </c>
      <c r="AM39" s="113">
        <f t="shared" si="89"/>
        <v>-6.6481052444815836</v>
      </c>
      <c r="AN39" s="113">
        <f t="shared" si="90"/>
        <v>6.6481052444815836</v>
      </c>
      <c r="AO39" s="113">
        <f t="shared" si="91"/>
        <v>1.9455825149151622</v>
      </c>
      <c r="AP39" s="34">
        <f t="shared" si="92"/>
        <v>1365.1145999999999</v>
      </c>
      <c r="AQ39" s="34">
        <f t="shared" si="93"/>
        <v>53.114599999999882</v>
      </c>
      <c r="AR39" s="34">
        <f t="shared" si="94"/>
        <v>53.114599999999882</v>
      </c>
      <c r="AS39" s="113">
        <f t="shared" si="95"/>
        <v>4.048368902439015</v>
      </c>
      <c r="AT39" s="113">
        <f t="shared" si="96"/>
        <v>4.048368902439015</v>
      </c>
      <c r="AU39" s="113">
        <f t="shared" si="97"/>
        <v>1.7333144526112907</v>
      </c>
      <c r="AV39" s="34">
        <f t="shared" si="98"/>
        <v>1249.3198757774578</v>
      </c>
      <c r="AW39" s="34">
        <f t="shared" si="99"/>
        <v>-62.68012422254219</v>
      </c>
      <c r="AX39" s="34">
        <f t="shared" si="100"/>
        <v>62.68012422254219</v>
      </c>
      <c r="AY39" s="113">
        <f t="shared" si="101"/>
        <v>-4.7774484925718133</v>
      </c>
      <c r="AZ39" s="113">
        <f t="shared" si="102"/>
        <v>4.7774484925718133</v>
      </c>
      <c r="BA39" s="113">
        <f t="shared" si="103"/>
        <v>1.8040039019204415</v>
      </c>
      <c r="BB39" s="34">
        <f t="shared" si="104"/>
        <v>1290.7681746110088</v>
      </c>
      <c r="BC39" s="34">
        <f t="shared" si="105"/>
        <v>-21.231825388991183</v>
      </c>
      <c r="BD39" s="34">
        <f t="shared" si="106"/>
        <v>21.231825388991183</v>
      </c>
      <c r="BE39" s="113">
        <f t="shared" si="107"/>
        <v>-1.6182793741609132</v>
      </c>
      <c r="BF39" s="113">
        <f t="shared" si="108"/>
        <v>1.6182793741609132</v>
      </c>
      <c r="BG39" s="113">
        <f t="shared" si="109"/>
        <v>1.3469751227898532</v>
      </c>
      <c r="BH39" s="34">
        <f t="shared" si="110"/>
        <v>1287.8353711068967</v>
      </c>
      <c r="BI39" s="34">
        <f t="shared" si="111"/>
        <v>-24.164628893103327</v>
      </c>
      <c r="BJ39" s="34">
        <f t="shared" si="112"/>
        <v>24.164628893103327</v>
      </c>
      <c r="BK39" s="113">
        <f t="shared" si="113"/>
        <v>-1.8418162266084854</v>
      </c>
      <c r="BL39" s="113">
        <f t="shared" si="114"/>
        <v>1.8418162266084854</v>
      </c>
      <c r="BM39" s="113">
        <f t="shared" si="115"/>
        <v>1.4007905301686514</v>
      </c>
      <c r="BN39" s="34">
        <f t="shared" si="116"/>
        <v>1278.2608695652173</v>
      </c>
      <c r="BO39" s="34">
        <f t="shared" si="117"/>
        <v>-33.739130434782737</v>
      </c>
      <c r="BP39" s="34">
        <f t="shared" si="118"/>
        <v>33.739130434782737</v>
      </c>
      <c r="BQ39" s="113">
        <f t="shared" si="119"/>
        <v>-2.5715800636267332</v>
      </c>
      <c r="BR39" s="113">
        <f t="shared" si="120"/>
        <v>2.5715800636267332</v>
      </c>
      <c r="BS39" s="113">
        <f t="shared" si="121"/>
        <v>1.5408189432964001</v>
      </c>
      <c r="BT39" s="34">
        <f t="shared" si="122"/>
        <v>1268.6674</v>
      </c>
      <c r="BU39" s="34">
        <f t="shared" si="123"/>
        <v>-43.332599999999957</v>
      </c>
      <c r="BV39" s="34">
        <f t="shared" si="124"/>
        <v>43.332599999999957</v>
      </c>
      <c r="BW39" s="34">
        <f t="shared" si="125"/>
        <v>1258.5023753451605</v>
      </c>
      <c r="BX39" s="34">
        <f t="shared" si="126"/>
        <v>-53.497624654839456</v>
      </c>
      <c r="BY39" s="34">
        <f t="shared" si="127"/>
        <v>53.497624654839456</v>
      </c>
    </row>
    <row r="40" spans="1:77" ht="15" x14ac:dyDescent="0.2">
      <c r="A40" s="206" t="s">
        <v>465</v>
      </c>
      <c r="B40" t="s">
        <v>890</v>
      </c>
      <c r="C40" s="224" t="s">
        <v>824</v>
      </c>
      <c r="D40" s="35" t="s">
        <v>148</v>
      </c>
      <c r="E40" s="35" t="s">
        <v>374</v>
      </c>
      <c r="F40" s="35" t="s">
        <v>580</v>
      </c>
      <c r="G40">
        <v>1316</v>
      </c>
      <c r="H40">
        <v>1316</v>
      </c>
      <c r="I40" s="35" t="s">
        <v>626</v>
      </c>
      <c r="J40">
        <v>306</v>
      </c>
      <c r="K40">
        <v>292</v>
      </c>
      <c r="L40" s="28"/>
      <c r="M40" s="35" t="s">
        <v>488</v>
      </c>
      <c r="N40" s="33">
        <f t="shared" si="64"/>
        <v>1346.5304000000001</v>
      </c>
      <c r="O40" s="33">
        <f t="shared" si="65"/>
        <v>1319.864</v>
      </c>
      <c r="P40" s="33">
        <f t="shared" si="66"/>
        <v>1399.595375091822</v>
      </c>
      <c r="Q40" s="33">
        <f t="shared" si="67"/>
        <v>1283.4101999999998</v>
      </c>
      <c r="R40" s="33">
        <f t="shared" si="68"/>
        <v>1229.8771538779613</v>
      </c>
      <c r="S40" s="33">
        <f t="shared" si="69"/>
        <v>1274.8706509366782</v>
      </c>
      <c r="T40" s="33">
        <f t="shared" si="70"/>
        <v>1271.4246364409021</v>
      </c>
      <c r="U40" s="33">
        <f t="shared" si="71"/>
        <v>1275</v>
      </c>
      <c r="V40" s="33">
        <f t="shared" si="72"/>
        <v>1258.4306000000001</v>
      </c>
      <c r="W40" s="33">
        <f t="shared" si="73"/>
        <v>1249.4211328159504</v>
      </c>
      <c r="X40" s="34">
        <f t="shared" si="74"/>
        <v>1336.1515999999999</v>
      </c>
      <c r="Y40" s="34">
        <f t="shared" si="75"/>
        <v>20.151599999999917</v>
      </c>
      <c r="Z40" s="34">
        <f t="shared" si="76"/>
        <v>20.151599999999917</v>
      </c>
      <c r="AA40" s="113">
        <f t="shared" si="77"/>
        <v>1.5312765957446746</v>
      </c>
      <c r="AB40" s="113">
        <f t="shared" si="78"/>
        <v>1.5312765957446746</v>
      </c>
      <c r="AC40" s="113">
        <f t="shared" si="79"/>
        <v>1.3253432248972925</v>
      </c>
      <c r="AD40" s="34">
        <f t="shared" si="80"/>
        <v>1304.9207999999999</v>
      </c>
      <c r="AE40" s="34">
        <f t="shared" si="81"/>
        <v>-11.079200000000128</v>
      </c>
      <c r="AF40" s="34">
        <f t="shared" si="82"/>
        <v>11.079200000000128</v>
      </c>
      <c r="AG40" s="113">
        <f t="shared" si="83"/>
        <v>-0.84188449848025293</v>
      </c>
      <c r="AH40" s="113">
        <f t="shared" si="84"/>
        <v>0.84188449848025293</v>
      </c>
      <c r="AI40" s="113">
        <f t="shared" si="85"/>
        <v>1.08203817210875</v>
      </c>
      <c r="AJ40" s="34">
        <f t="shared" si="86"/>
        <v>1214.3494093156928</v>
      </c>
      <c r="AK40" s="34">
        <f t="shared" si="87"/>
        <v>-101.65059068430719</v>
      </c>
      <c r="AL40" s="34">
        <f t="shared" si="88"/>
        <v>101.65059068430719</v>
      </c>
      <c r="AM40" s="113">
        <f t="shared" si="89"/>
        <v>-7.7242090185643768</v>
      </c>
      <c r="AN40" s="113">
        <f t="shared" si="90"/>
        <v>7.7242090185643768</v>
      </c>
      <c r="AO40" s="113">
        <f t="shared" si="91"/>
        <v>2.0113614527830554</v>
      </c>
      <c r="AP40" s="34">
        <f t="shared" si="92"/>
        <v>1354.5988</v>
      </c>
      <c r="AQ40" s="34">
        <f t="shared" si="93"/>
        <v>38.598799999999983</v>
      </c>
      <c r="AR40" s="34">
        <f t="shared" si="94"/>
        <v>38.598799999999983</v>
      </c>
      <c r="AS40" s="113">
        <f t="shared" si="95"/>
        <v>2.93303951367781</v>
      </c>
      <c r="AT40" s="113">
        <f t="shared" si="96"/>
        <v>2.93303951367781</v>
      </c>
      <c r="AU40" s="113">
        <f t="shared" si="97"/>
        <v>1.5976820252872619</v>
      </c>
      <c r="AV40" s="34">
        <f t="shared" si="98"/>
        <v>1239.03525936047</v>
      </c>
      <c r="AW40" s="34">
        <f t="shared" si="99"/>
        <v>-76.964740639529964</v>
      </c>
      <c r="AX40" s="34">
        <f t="shared" si="100"/>
        <v>76.964740639529964</v>
      </c>
      <c r="AY40" s="113">
        <f t="shared" si="101"/>
        <v>-5.848384547076745</v>
      </c>
      <c r="AZ40" s="113">
        <f t="shared" si="102"/>
        <v>5.848384547076745</v>
      </c>
      <c r="BA40" s="113">
        <f t="shared" si="103"/>
        <v>1.8918982384880887</v>
      </c>
      <c r="BB40" s="34">
        <f t="shared" si="104"/>
        <v>1281.1388919363008</v>
      </c>
      <c r="BC40" s="34">
        <f t="shared" si="105"/>
        <v>-34.861108063699248</v>
      </c>
      <c r="BD40" s="34">
        <f t="shared" si="106"/>
        <v>34.861108063699248</v>
      </c>
      <c r="BE40" s="113">
        <f t="shared" si="107"/>
        <v>-2.6490203695820096</v>
      </c>
      <c r="BF40" s="113">
        <f t="shared" si="108"/>
        <v>2.6490203695820096</v>
      </c>
      <c r="BG40" s="113">
        <f t="shared" si="109"/>
        <v>1.554623704593578</v>
      </c>
      <c r="BH40" s="34">
        <f t="shared" si="110"/>
        <v>1277.8266740820682</v>
      </c>
      <c r="BI40" s="34">
        <f t="shared" si="111"/>
        <v>-38.173325917931834</v>
      </c>
      <c r="BJ40" s="34">
        <f t="shared" si="112"/>
        <v>38.173325917931834</v>
      </c>
      <c r="BK40" s="113">
        <f t="shared" si="113"/>
        <v>-2.9007086563777991</v>
      </c>
      <c r="BL40" s="113">
        <f t="shared" si="114"/>
        <v>2.9007086563777991</v>
      </c>
      <c r="BM40" s="113">
        <f t="shared" si="115"/>
        <v>1.5929904458518096</v>
      </c>
      <c r="BN40" s="34">
        <f t="shared" si="116"/>
        <v>1269.5652173913043</v>
      </c>
      <c r="BO40" s="34">
        <f t="shared" si="117"/>
        <v>-46.434782608695741</v>
      </c>
      <c r="BP40" s="34">
        <f t="shared" si="118"/>
        <v>46.434782608695741</v>
      </c>
      <c r="BQ40" s="113">
        <f t="shared" si="119"/>
        <v>-3.5284789216334147</v>
      </c>
      <c r="BR40" s="113">
        <f t="shared" si="120"/>
        <v>3.5284789216334147</v>
      </c>
      <c r="BS40" s="113">
        <f t="shared" si="121"/>
        <v>1.6760969145707498</v>
      </c>
      <c r="BT40" s="34">
        <f t="shared" si="122"/>
        <v>1259.4412</v>
      </c>
      <c r="BU40" s="34">
        <f t="shared" si="123"/>
        <v>-56.558800000000019</v>
      </c>
      <c r="BV40" s="34">
        <f t="shared" si="124"/>
        <v>56.558800000000019</v>
      </c>
      <c r="BW40" s="34">
        <f t="shared" si="125"/>
        <v>1249.5188693401822</v>
      </c>
      <c r="BX40" s="34">
        <f t="shared" si="126"/>
        <v>-66.481130659817836</v>
      </c>
      <c r="BY40" s="34">
        <f t="shared" si="127"/>
        <v>66.481130659817836</v>
      </c>
    </row>
    <row r="41" spans="1:77" ht="16" x14ac:dyDescent="0.2">
      <c r="A41" s="206" t="s">
        <v>465</v>
      </c>
      <c r="B41" t="s">
        <v>841</v>
      </c>
      <c r="C41" s="224" t="s">
        <v>824</v>
      </c>
      <c r="D41" s="35" t="s">
        <v>148</v>
      </c>
      <c r="E41" s="35" t="s">
        <v>374</v>
      </c>
      <c r="F41" s="35" t="s">
        <v>580</v>
      </c>
      <c r="G41" s="147">
        <v>1325</v>
      </c>
      <c r="H41" s="147">
        <v>1325</v>
      </c>
      <c r="I41" s="35" t="s">
        <v>626</v>
      </c>
      <c r="J41" s="147">
        <v>310</v>
      </c>
      <c r="K41" s="147">
        <v>295</v>
      </c>
      <c r="L41" s="28"/>
      <c r="M41" s="35" t="s">
        <v>488</v>
      </c>
      <c r="N41" s="33">
        <f t="shared" si="64"/>
        <v>1362.5440000000001</v>
      </c>
      <c r="O41" s="33">
        <f t="shared" si="65"/>
        <v>1342.2200000000003</v>
      </c>
      <c r="P41" s="33">
        <f t="shared" si="66"/>
        <v>1421.5322564617363</v>
      </c>
      <c r="Q41" s="33">
        <f t="shared" si="67"/>
        <v>1302.549</v>
      </c>
      <c r="R41" s="33">
        <f t="shared" si="68"/>
        <v>1249.367268257412</v>
      </c>
      <c r="S41" s="33">
        <f t="shared" si="69"/>
        <v>1293.163674317866</v>
      </c>
      <c r="T41" s="33">
        <f t="shared" si="70"/>
        <v>1290.4389053750222</v>
      </c>
      <c r="U41" s="33">
        <f t="shared" si="71"/>
        <v>1291.6666666666667</v>
      </c>
      <c r="V41" s="33">
        <f t="shared" si="72"/>
        <v>1275.971</v>
      </c>
      <c r="W41" s="33">
        <f t="shared" si="73"/>
        <v>1266.4539127802141</v>
      </c>
      <c r="X41" s="34">
        <f t="shared" si="74"/>
        <v>1348.6309999999999</v>
      </c>
      <c r="Y41" s="34">
        <f t="shared" si="75"/>
        <v>23.630999999999858</v>
      </c>
      <c r="Z41" s="34">
        <f t="shared" si="76"/>
        <v>23.630999999999858</v>
      </c>
      <c r="AA41" s="113">
        <f t="shared" si="77"/>
        <v>1.7834716981131968</v>
      </c>
      <c r="AB41" s="113">
        <f t="shared" si="78"/>
        <v>1.7834716981131968</v>
      </c>
      <c r="AC41" s="113">
        <f t="shared" si="79"/>
        <v>1.3914820442250435</v>
      </c>
      <c r="AD41" s="34">
        <f t="shared" si="80"/>
        <v>1321.3004999999998</v>
      </c>
      <c r="AE41" s="34">
        <f t="shared" si="81"/>
        <v>-3.699500000000171</v>
      </c>
      <c r="AF41" s="34">
        <f t="shared" si="82"/>
        <v>3.699500000000171</v>
      </c>
      <c r="AG41" s="113">
        <f t="shared" si="83"/>
        <v>-0.27920754716982421</v>
      </c>
      <c r="AH41" s="113">
        <f t="shared" si="84"/>
        <v>0.27920754716982421</v>
      </c>
      <c r="AI41" s="113">
        <f t="shared" si="85"/>
        <v>0.67205165393740218</v>
      </c>
      <c r="AJ41" s="34">
        <f t="shared" si="86"/>
        <v>1229.9973149639875</v>
      </c>
      <c r="AK41" s="34">
        <f t="shared" si="87"/>
        <v>-95.002685036012508</v>
      </c>
      <c r="AL41" s="34">
        <f t="shared" si="88"/>
        <v>95.002685036012508</v>
      </c>
      <c r="AM41" s="113">
        <f t="shared" si="89"/>
        <v>-7.1700139649820764</v>
      </c>
      <c r="AN41" s="113">
        <f t="shared" si="90"/>
        <v>7.1700139649820764</v>
      </c>
      <c r="AO41" s="113">
        <f t="shared" si="91"/>
        <v>1.9822833797064112</v>
      </c>
      <c r="AP41" s="34">
        <f t="shared" si="92"/>
        <v>1370.3724999999999</v>
      </c>
      <c r="AQ41" s="34">
        <f t="shared" si="93"/>
        <v>45.372499999999945</v>
      </c>
      <c r="AR41" s="34">
        <f t="shared" si="94"/>
        <v>45.372499999999945</v>
      </c>
      <c r="AS41" s="113">
        <f t="shared" si="95"/>
        <v>3.4243396226415057</v>
      </c>
      <c r="AT41" s="113">
        <f t="shared" si="96"/>
        <v>3.4243396226415057</v>
      </c>
      <c r="AU41" s="113">
        <f t="shared" si="97"/>
        <v>1.6662605098905749</v>
      </c>
      <c r="AV41" s="34">
        <f t="shared" si="98"/>
        <v>1254.4677287995526</v>
      </c>
      <c r="AW41" s="34">
        <f t="shared" si="99"/>
        <v>-70.53227120044744</v>
      </c>
      <c r="AX41" s="34">
        <f t="shared" si="100"/>
        <v>70.53227120044744</v>
      </c>
      <c r="AY41" s="113">
        <f t="shared" si="101"/>
        <v>-5.3231902792790518</v>
      </c>
      <c r="AZ41" s="113">
        <f t="shared" si="102"/>
        <v>5.3231902792790518</v>
      </c>
      <c r="BA41" s="113">
        <f t="shared" si="103"/>
        <v>1.8545020144217892</v>
      </c>
      <c r="BB41" s="34">
        <f t="shared" si="104"/>
        <v>1295.5852019447393</v>
      </c>
      <c r="BC41" s="34">
        <f t="shared" si="105"/>
        <v>-29.41479805526069</v>
      </c>
      <c r="BD41" s="34">
        <f t="shared" si="106"/>
        <v>29.41479805526069</v>
      </c>
      <c r="BE41" s="113">
        <f t="shared" si="107"/>
        <v>-2.2199847588875992</v>
      </c>
      <c r="BF41" s="113">
        <f t="shared" si="108"/>
        <v>2.2199847588875992</v>
      </c>
      <c r="BG41" s="113">
        <f t="shared" si="109"/>
        <v>1.4830849372290886</v>
      </c>
      <c r="BH41" s="34">
        <f t="shared" si="110"/>
        <v>1292.8433760975963</v>
      </c>
      <c r="BI41" s="34">
        <f t="shared" si="111"/>
        <v>-32.15662390240368</v>
      </c>
      <c r="BJ41" s="34">
        <f t="shared" si="112"/>
        <v>32.15662390240368</v>
      </c>
      <c r="BK41" s="113">
        <f t="shared" si="113"/>
        <v>-2.4269150115021643</v>
      </c>
      <c r="BL41" s="113">
        <f t="shared" si="114"/>
        <v>2.4269150115021643</v>
      </c>
      <c r="BM41" s="113">
        <f t="shared" si="115"/>
        <v>1.5205703030844724</v>
      </c>
      <c r="BN41" s="34">
        <f t="shared" si="116"/>
        <v>1282.6086956521738</v>
      </c>
      <c r="BO41" s="34">
        <f t="shared" si="117"/>
        <v>-42.391304347826235</v>
      </c>
      <c r="BP41" s="34">
        <f t="shared" si="118"/>
        <v>42.391304347826235</v>
      </c>
      <c r="BQ41" s="113">
        <f t="shared" si="119"/>
        <v>-3.199343724364244</v>
      </c>
      <c r="BR41" s="113">
        <f t="shared" si="120"/>
        <v>3.199343724364244</v>
      </c>
      <c r="BS41" s="113">
        <f t="shared" si="121"/>
        <v>1.6374027052697797</v>
      </c>
      <c r="BT41" s="34">
        <f t="shared" si="122"/>
        <v>1273.2805000000001</v>
      </c>
      <c r="BU41" s="34">
        <f t="shared" si="123"/>
        <v>-51.719499999999925</v>
      </c>
      <c r="BV41" s="34">
        <f t="shared" si="124"/>
        <v>51.719499999999925</v>
      </c>
      <c r="BW41" s="34">
        <f t="shared" si="125"/>
        <v>1262.9952641647055</v>
      </c>
      <c r="BX41" s="34">
        <f t="shared" si="126"/>
        <v>-62.004735835294468</v>
      </c>
      <c r="BY41" s="34">
        <f t="shared" si="127"/>
        <v>62.004735835294468</v>
      </c>
    </row>
    <row r="42" spans="1:77" ht="16" x14ac:dyDescent="0.2">
      <c r="A42" s="206" t="s">
        <v>465</v>
      </c>
      <c r="B42" t="s">
        <v>854</v>
      </c>
      <c r="C42" s="224" t="s">
        <v>824</v>
      </c>
      <c r="D42" s="35" t="s">
        <v>148</v>
      </c>
      <c r="E42" s="35" t="s">
        <v>374</v>
      </c>
      <c r="F42" s="35" t="s">
        <v>580</v>
      </c>
      <c r="G42" s="147">
        <v>1340</v>
      </c>
      <c r="H42" s="147">
        <v>1340</v>
      </c>
      <c r="I42" s="35" t="s">
        <v>626</v>
      </c>
      <c r="J42" s="147">
        <v>304</v>
      </c>
      <c r="K42" s="147">
        <v>296</v>
      </c>
      <c r="L42" s="28"/>
      <c r="M42" s="35" t="s">
        <v>488</v>
      </c>
      <c r="N42" s="33">
        <f t="shared" si="64"/>
        <v>1338.5236</v>
      </c>
      <c r="O42" s="33">
        <f t="shared" si="65"/>
        <v>1308.6860000000001</v>
      </c>
      <c r="P42" s="33">
        <f t="shared" si="66"/>
        <v>1388.6481082761675</v>
      </c>
      <c r="Q42" s="33">
        <f t="shared" si="67"/>
        <v>1273.8407999999999</v>
      </c>
      <c r="R42" s="33">
        <f t="shared" si="68"/>
        <v>1220.1521603047181</v>
      </c>
      <c r="S42" s="33">
        <f t="shared" si="69"/>
        <v>1265.7328149671487</v>
      </c>
      <c r="T42" s="33">
        <f t="shared" si="70"/>
        <v>1261.9307935660077</v>
      </c>
      <c r="U42" s="33">
        <f t="shared" si="71"/>
        <v>1266.6666666666667</v>
      </c>
      <c r="V42" s="33">
        <f t="shared" si="72"/>
        <v>1249.6604</v>
      </c>
      <c r="W42" s="33">
        <f t="shared" si="73"/>
        <v>1240.9082913468505</v>
      </c>
      <c r="X42" s="34">
        <f t="shared" si="74"/>
        <v>1352.7908</v>
      </c>
      <c r="Y42" s="34">
        <f t="shared" si="75"/>
        <v>12.79079999999999</v>
      </c>
      <c r="Z42" s="34">
        <f t="shared" si="76"/>
        <v>12.79079999999999</v>
      </c>
      <c r="AA42" s="113">
        <f t="shared" si="77"/>
        <v>0.95453731343283521</v>
      </c>
      <c r="AB42" s="113">
        <f t="shared" si="78"/>
        <v>0.95453731343283521</v>
      </c>
      <c r="AC42" s="113">
        <f t="shared" si="79"/>
        <v>1.1395894601938343</v>
      </c>
      <c r="AD42" s="34">
        <f t="shared" si="80"/>
        <v>1326.7604000000001</v>
      </c>
      <c r="AE42" s="34">
        <f t="shared" si="81"/>
        <v>-13.239599999999882</v>
      </c>
      <c r="AF42" s="34">
        <f t="shared" si="82"/>
        <v>13.239599999999882</v>
      </c>
      <c r="AG42" s="113">
        <f t="shared" si="83"/>
        <v>-0.98802985074625993</v>
      </c>
      <c r="AH42" s="113">
        <f t="shared" si="84"/>
        <v>0.98802985074625993</v>
      </c>
      <c r="AI42" s="113">
        <f t="shared" si="85"/>
        <v>1.153497789846293</v>
      </c>
      <c r="AJ42" s="34">
        <f t="shared" si="86"/>
        <v>1235.2222427832821</v>
      </c>
      <c r="AK42" s="34">
        <f t="shared" si="87"/>
        <v>-104.77775721671787</v>
      </c>
      <c r="AL42" s="34">
        <f t="shared" si="88"/>
        <v>104.77775721671787</v>
      </c>
      <c r="AM42" s="113">
        <f t="shared" si="89"/>
        <v>-7.8192356131879013</v>
      </c>
      <c r="AN42" s="113">
        <f t="shared" si="90"/>
        <v>7.8192356131879013</v>
      </c>
      <c r="AO42" s="113">
        <f t="shared" si="91"/>
        <v>2.0243943545270806</v>
      </c>
      <c r="AP42" s="34">
        <f t="shared" si="92"/>
        <v>1375.6304</v>
      </c>
      <c r="AQ42" s="34">
        <f t="shared" si="93"/>
        <v>35.630400000000009</v>
      </c>
      <c r="AR42" s="34">
        <f t="shared" si="94"/>
        <v>35.630400000000009</v>
      </c>
      <c r="AS42" s="113">
        <f t="shared" si="95"/>
        <v>2.6589850746268664</v>
      </c>
      <c r="AT42" s="113">
        <f t="shared" si="96"/>
        <v>2.6589850746268664</v>
      </c>
      <c r="AU42" s="113">
        <f t="shared" si="97"/>
        <v>1.5638416611391359</v>
      </c>
      <c r="AV42" s="34">
        <f t="shared" si="98"/>
        <v>1259.6192651687486</v>
      </c>
      <c r="AW42" s="34">
        <f t="shared" si="99"/>
        <v>-80.380734831251402</v>
      </c>
      <c r="AX42" s="34">
        <f t="shared" si="100"/>
        <v>80.380734831251402</v>
      </c>
      <c r="AY42" s="113">
        <f t="shared" si="101"/>
        <v>-5.9985623008396569</v>
      </c>
      <c r="AZ42" s="113">
        <f t="shared" si="102"/>
        <v>5.9985623008396569</v>
      </c>
      <c r="BA42" s="113">
        <f t="shared" si="103"/>
        <v>1.9105216070178415</v>
      </c>
      <c r="BB42" s="34">
        <f t="shared" si="104"/>
        <v>1300.4038134456923</v>
      </c>
      <c r="BC42" s="34">
        <f t="shared" si="105"/>
        <v>-39.596186554307678</v>
      </c>
      <c r="BD42" s="34">
        <f t="shared" si="106"/>
        <v>39.596186554307678</v>
      </c>
      <c r="BE42" s="113">
        <f t="shared" si="107"/>
        <v>-2.9549392950975877</v>
      </c>
      <c r="BF42" s="113">
        <f t="shared" si="108"/>
        <v>2.9549392950975877</v>
      </c>
      <c r="BG42" s="113">
        <f t="shared" si="109"/>
        <v>1.6084852395819904</v>
      </c>
      <c r="BH42" s="34">
        <f t="shared" si="110"/>
        <v>1297.853809290292</v>
      </c>
      <c r="BI42" s="34">
        <f t="shared" si="111"/>
        <v>-42.14619070970798</v>
      </c>
      <c r="BJ42" s="34">
        <f t="shared" si="112"/>
        <v>42.14619070970798</v>
      </c>
      <c r="BK42" s="113">
        <f t="shared" si="113"/>
        <v>-3.1452381126647748</v>
      </c>
      <c r="BL42" s="113">
        <f t="shared" si="114"/>
        <v>3.1452381126647748</v>
      </c>
      <c r="BM42" s="113">
        <f t="shared" si="115"/>
        <v>1.6349424587584955</v>
      </c>
      <c r="BN42" s="34">
        <f t="shared" si="116"/>
        <v>1286.9565217391303</v>
      </c>
      <c r="BO42" s="34">
        <f t="shared" si="117"/>
        <v>-53.043478260869733</v>
      </c>
      <c r="BP42" s="34">
        <f t="shared" si="118"/>
        <v>53.043478260869733</v>
      </c>
      <c r="BQ42" s="113">
        <f t="shared" si="119"/>
        <v>-3.9584685269305773</v>
      </c>
      <c r="BR42" s="113">
        <f t="shared" si="120"/>
        <v>3.9584685269305773</v>
      </c>
      <c r="BS42" s="113">
        <f t="shared" si="121"/>
        <v>1.7327432926240531</v>
      </c>
      <c r="BT42" s="34">
        <f t="shared" si="122"/>
        <v>1277.8936000000001</v>
      </c>
      <c r="BU42" s="34">
        <f t="shared" si="123"/>
        <v>-62.106399999999894</v>
      </c>
      <c r="BV42" s="34">
        <f t="shared" si="124"/>
        <v>62.106399999999894</v>
      </c>
      <c r="BW42" s="34">
        <f t="shared" si="125"/>
        <v>1267.4889069404253</v>
      </c>
      <c r="BX42" s="34">
        <f t="shared" si="126"/>
        <v>-72.511093059574705</v>
      </c>
      <c r="BY42" s="34">
        <f t="shared" si="127"/>
        <v>72.511093059574705</v>
      </c>
    </row>
    <row r="43" spans="1:77" ht="15" x14ac:dyDescent="0.2">
      <c r="A43" s="206" t="s">
        <v>465</v>
      </c>
      <c r="B43" s="28" t="s">
        <v>290</v>
      </c>
      <c r="C43" s="207" t="s">
        <v>403</v>
      </c>
      <c r="D43" s="35" t="s">
        <v>82</v>
      </c>
      <c r="E43" s="35" t="s">
        <v>374</v>
      </c>
      <c r="F43" s="35" t="s">
        <v>580</v>
      </c>
      <c r="G43" s="141">
        <v>1369.3</v>
      </c>
      <c r="H43" s="141">
        <v>1100</v>
      </c>
      <c r="I43" s="35" t="s">
        <v>626</v>
      </c>
      <c r="J43" s="141">
        <v>330.03</v>
      </c>
      <c r="K43" s="141">
        <v>319.3</v>
      </c>
      <c r="L43" s="28">
        <v>431.7</v>
      </c>
      <c r="M43" s="35" t="s">
        <v>37</v>
      </c>
      <c r="N43" s="33">
        <f t="shared" si="64"/>
        <v>1442.7321019999999</v>
      </c>
      <c r="O43" s="33">
        <f t="shared" si="65"/>
        <v>1454.1676699999998</v>
      </c>
      <c r="P43" s="33">
        <f t="shared" si="66"/>
        <v>1532.2118267484141</v>
      </c>
      <c r="Q43" s="33">
        <f t="shared" si="67"/>
        <v>1398.3865409999999</v>
      </c>
      <c r="R43" s="33">
        <f t="shared" si="68"/>
        <v>1347.7513837132637</v>
      </c>
      <c r="S43" s="33">
        <f t="shared" si="69"/>
        <v>1385.1053906267257</v>
      </c>
      <c r="T43" s="33">
        <f t="shared" si="70"/>
        <v>1386.1734948992305</v>
      </c>
      <c r="U43" s="33">
        <f t="shared" si="71"/>
        <v>1375.125</v>
      </c>
      <c r="V43" s="33">
        <f t="shared" si="72"/>
        <v>1363.8045529999999</v>
      </c>
      <c r="W43" s="33">
        <f t="shared" si="73"/>
        <v>1351.8841716052461</v>
      </c>
      <c r="X43" s="34">
        <f t="shared" si="74"/>
        <v>1449.71414</v>
      </c>
      <c r="Y43" s="34">
        <f t="shared" si="75"/>
        <v>80.414140000000089</v>
      </c>
      <c r="Z43" s="34">
        <f t="shared" si="76"/>
        <v>80.414140000000089</v>
      </c>
      <c r="AA43" s="113">
        <f t="shared" si="77"/>
        <v>5.8726458774556409</v>
      </c>
      <c r="AB43" s="113">
        <f t="shared" si="78"/>
        <v>5.8726458774556409</v>
      </c>
      <c r="AC43" s="113">
        <f t="shared" si="79"/>
        <v>1.9106998396639645</v>
      </c>
      <c r="AD43" s="34">
        <f t="shared" si="80"/>
        <v>1453.9760700000002</v>
      </c>
      <c r="AE43" s="34">
        <f t="shared" si="81"/>
        <v>84.676070000000209</v>
      </c>
      <c r="AF43" s="34">
        <f t="shared" si="82"/>
        <v>84.676070000000209</v>
      </c>
      <c r="AG43" s="113">
        <f t="shared" si="83"/>
        <v>6.1838946907179002</v>
      </c>
      <c r="AH43" s="113">
        <f t="shared" si="84"/>
        <v>6.1838946907179002</v>
      </c>
      <c r="AI43" s="113">
        <f t="shared" si="85"/>
        <v>1.9328595369967858</v>
      </c>
      <c r="AJ43" s="34">
        <f t="shared" si="86"/>
        <v>1358.2029566514373</v>
      </c>
      <c r="AK43" s="34">
        <f t="shared" si="87"/>
        <v>-11.097043348562693</v>
      </c>
      <c r="AL43" s="34">
        <f t="shared" si="88"/>
        <v>11.097043348562693</v>
      </c>
      <c r="AM43" s="113">
        <f t="shared" si="89"/>
        <v>-0.81041724593315512</v>
      </c>
      <c r="AN43" s="113">
        <f t="shared" si="90"/>
        <v>0.81041724593315512</v>
      </c>
      <c r="AO43" s="113">
        <f t="shared" si="91"/>
        <v>1.0826792369023774</v>
      </c>
      <c r="AP43" s="34">
        <f t="shared" si="92"/>
        <v>1498.1394700000001</v>
      </c>
      <c r="AQ43" s="34">
        <f t="shared" si="93"/>
        <v>128.83947000000012</v>
      </c>
      <c r="AR43" s="34">
        <f t="shared" si="94"/>
        <v>128.83947000000012</v>
      </c>
      <c r="AS43" s="113">
        <f t="shared" si="95"/>
        <v>9.4091484700211883</v>
      </c>
      <c r="AT43" s="113">
        <f t="shared" si="96"/>
        <v>9.4091484700211883</v>
      </c>
      <c r="AU43" s="113">
        <f t="shared" si="97"/>
        <v>2.1134067340474951</v>
      </c>
      <c r="AV43" s="34">
        <f t="shared" si="98"/>
        <v>1380.6701087693018</v>
      </c>
      <c r="AW43" s="34">
        <f t="shared" si="99"/>
        <v>11.370108769301851</v>
      </c>
      <c r="AX43" s="34">
        <f t="shared" si="100"/>
        <v>11.370108769301851</v>
      </c>
      <c r="AY43" s="113">
        <f t="shared" si="101"/>
        <v>0.83035921779754995</v>
      </c>
      <c r="AZ43" s="113">
        <f t="shared" si="102"/>
        <v>0.83035921779754995</v>
      </c>
      <c r="BA43" s="113">
        <f t="shared" si="103"/>
        <v>1.0923735183599141</v>
      </c>
      <c r="BB43" s="34">
        <f t="shared" si="104"/>
        <v>1413.1147872565073</v>
      </c>
      <c r="BC43" s="34">
        <f t="shared" si="105"/>
        <v>43.814787256507316</v>
      </c>
      <c r="BD43" s="34">
        <f t="shared" si="106"/>
        <v>43.814787256507316</v>
      </c>
      <c r="BE43" s="113">
        <f t="shared" si="107"/>
        <v>3.1997945852995926</v>
      </c>
      <c r="BF43" s="113">
        <f t="shared" si="108"/>
        <v>3.1997945852995926</v>
      </c>
      <c r="BG43" s="113">
        <f t="shared" si="109"/>
        <v>1.6514213390934438</v>
      </c>
      <c r="BH43" s="34">
        <f t="shared" si="110"/>
        <v>1415.2680884644537</v>
      </c>
      <c r="BI43" s="34">
        <f t="shared" si="111"/>
        <v>45.968088464453785</v>
      </c>
      <c r="BJ43" s="34">
        <f t="shared" si="112"/>
        <v>45.968088464453785</v>
      </c>
      <c r="BK43" s="113">
        <f t="shared" si="113"/>
        <v>3.3570502055396032</v>
      </c>
      <c r="BL43" s="113">
        <f t="shared" si="114"/>
        <v>3.3570502055396032</v>
      </c>
      <c r="BM43" s="113">
        <f t="shared" si="115"/>
        <v>1.6718028853645812</v>
      </c>
      <c r="BN43" s="34">
        <f t="shared" si="116"/>
        <v>1388.2608695652175</v>
      </c>
      <c r="BO43" s="34">
        <f t="shared" si="117"/>
        <v>18.960869565217536</v>
      </c>
      <c r="BP43" s="34">
        <f t="shared" si="118"/>
        <v>18.960869565217536</v>
      </c>
      <c r="BQ43" s="113">
        <f t="shared" si="119"/>
        <v>1.3847125951374817</v>
      </c>
      <c r="BR43" s="113">
        <f t="shared" si="120"/>
        <v>1.3847125951374817</v>
      </c>
      <c r="BS43" s="113">
        <f t="shared" si="121"/>
        <v>1.3001794567484311</v>
      </c>
      <c r="BT43" s="34">
        <f t="shared" si="122"/>
        <v>1385.3788300000001</v>
      </c>
      <c r="BU43" s="34">
        <f t="shared" si="123"/>
        <v>16.078830000000153</v>
      </c>
      <c r="BV43" s="34">
        <f t="shared" si="124"/>
        <v>16.078830000000153</v>
      </c>
      <c r="BW43" s="34">
        <f t="shared" si="125"/>
        <v>1372.3986473162729</v>
      </c>
      <c r="BX43" s="34">
        <f t="shared" si="126"/>
        <v>3.0986473162729453</v>
      </c>
      <c r="BY43" s="34">
        <f t="shared" si="127"/>
        <v>3.0986473162729453</v>
      </c>
    </row>
    <row r="44" spans="1:77" ht="16" x14ac:dyDescent="0.2">
      <c r="A44" s="206" t="s">
        <v>465</v>
      </c>
      <c r="B44" t="s">
        <v>839</v>
      </c>
      <c r="C44" s="224" t="s">
        <v>824</v>
      </c>
      <c r="D44" s="35" t="s">
        <v>148</v>
      </c>
      <c r="E44" s="35" t="s">
        <v>374</v>
      </c>
      <c r="F44" s="35" t="s">
        <v>580</v>
      </c>
      <c r="G44" s="147">
        <v>1380</v>
      </c>
      <c r="H44" s="147">
        <v>1380</v>
      </c>
      <c r="I44" s="35" t="s">
        <v>626</v>
      </c>
      <c r="J44" s="147">
        <v>317</v>
      </c>
      <c r="K44" s="147">
        <v>300</v>
      </c>
      <c r="L44" s="28"/>
      <c r="M44" s="35" t="s">
        <v>488</v>
      </c>
      <c r="N44" s="33">
        <f t="shared" si="64"/>
        <v>1390.5678</v>
      </c>
      <c r="O44" s="33">
        <f t="shared" si="65"/>
        <v>1381.3430000000003</v>
      </c>
      <c r="P44" s="33">
        <f t="shared" si="66"/>
        <v>1460.0561467896343</v>
      </c>
      <c r="Q44" s="33">
        <f t="shared" si="67"/>
        <v>1336.0418999999999</v>
      </c>
      <c r="R44" s="33">
        <f t="shared" si="68"/>
        <v>1283.6022952236999</v>
      </c>
      <c r="S44" s="33">
        <f t="shared" si="69"/>
        <v>1325.2314352780211</v>
      </c>
      <c r="T44" s="33">
        <f t="shared" si="70"/>
        <v>1323.7981467492684</v>
      </c>
      <c r="U44" s="33">
        <f t="shared" si="71"/>
        <v>1320.8333333333335</v>
      </c>
      <c r="V44" s="33">
        <f t="shared" si="72"/>
        <v>1306.6667</v>
      </c>
      <c r="W44" s="33">
        <f t="shared" si="73"/>
        <v>1296.2837442808307</v>
      </c>
      <c r="X44" s="34">
        <f t="shared" si="74"/>
        <v>1369.4299999999998</v>
      </c>
      <c r="Y44" s="34">
        <f t="shared" si="75"/>
        <v>-10.570000000000164</v>
      </c>
      <c r="Z44" s="34">
        <f t="shared" si="76"/>
        <v>10.570000000000164</v>
      </c>
      <c r="AA44" s="113">
        <f t="shared" si="77"/>
        <v>-0.76594202898551911</v>
      </c>
      <c r="AB44" s="113">
        <f t="shared" si="78"/>
        <v>0.76594202898551911</v>
      </c>
      <c r="AC44" s="113">
        <f t="shared" si="79"/>
        <v>1.0633333589517557</v>
      </c>
      <c r="AD44" s="34">
        <f t="shared" si="80"/>
        <v>1348.6</v>
      </c>
      <c r="AE44" s="34">
        <f t="shared" si="81"/>
        <v>-31.400000000000091</v>
      </c>
      <c r="AF44" s="34">
        <f t="shared" si="82"/>
        <v>31.400000000000091</v>
      </c>
      <c r="AG44" s="113">
        <f t="shared" si="83"/>
        <v>-2.2753623188405863</v>
      </c>
      <c r="AH44" s="113">
        <f t="shared" si="84"/>
        <v>2.2753623188405863</v>
      </c>
      <c r="AI44" s="113">
        <f t="shared" si="85"/>
        <v>1.5105450102066134</v>
      </c>
      <c r="AJ44" s="34">
        <f t="shared" si="86"/>
        <v>1256.1664495956293</v>
      </c>
      <c r="AK44" s="34">
        <f t="shared" si="87"/>
        <v>-123.83355040437073</v>
      </c>
      <c r="AL44" s="34">
        <f t="shared" si="88"/>
        <v>123.83355040437073</v>
      </c>
      <c r="AM44" s="113">
        <f t="shared" si="89"/>
        <v>-8.9734456814761394</v>
      </c>
      <c r="AN44" s="113">
        <f t="shared" si="90"/>
        <v>8.9734456814761394</v>
      </c>
      <c r="AO44" s="113">
        <f t="shared" si="91"/>
        <v>2.0963313225041147</v>
      </c>
      <c r="AP44" s="34">
        <f t="shared" si="92"/>
        <v>1396.662</v>
      </c>
      <c r="AQ44" s="34">
        <f t="shared" si="93"/>
        <v>16.662000000000035</v>
      </c>
      <c r="AR44" s="34">
        <f t="shared" si="94"/>
        <v>16.662000000000035</v>
      </c>
      <c r="AS44" s="113">
        <f t="shared" si="95"/>
        <v>1.2073913043478286</v>
      </c>
      <c r="AT44" s="113">
        <f t="shared" si="96"/>
        <v>1.2073913043478286</v>
      </c>
      <c r="AU44" s="113">
        <f t="shared" si="97"/>
        <v>1.2470398804297469</v>
      </c>
      <c r="AV44" s="34">
        <f t="shared" si="98"/>
        <v>1280.2620485680372</v>
      </c>
      <c r="AW44" s="34">
        <f t="shared" si="99"/>
        <v>-99.737951431962756</v>
      </c>
      <c r="AX44" s="34">
        <f t="shared" si="100"/>
        <v>99.737951431962756</v>
      </c>
      <c r="AY44" s="113">
        <f t="shared" si="101"/>
        <v>-7.2273877849248382</v>
      </c>
      <c r="AZ44" s="113">
        <f t="shared" si="102"/>
        <v>7.2273877849248382</v>
      </c>
      <c r="BA44" s="113">
        <f t="shared" si="103"/>
        <v>2.0031931149667943</v>
      </c>
      <c r="BB44" s="34">
        <f t="shared" si="104"/>
        <v>1319.6940049127575</v>
      </c>
      <c r="BC44" s="34">
        <f t="shared" si="105"/>
        <v>-60.305995087242536</v>
      </c>
      <c r="BD44" s="34">
        <f t="shared" si="106"/>
        <v>60.305995087242536</v>
      </c>
      <c r="BE44" s="113">
        <f t="shared" si="107"/>
        <v>-4.3699996440030819</v>
      </c>
      <c r="BF44" s="113">
        <f t="shared" si="108"/>
        <v>4.3699996440030819</v>
      </c>
      <c r="BG44" s="113">
        <f t="shared" si="109"/>
        <v>1.7875029460681657</v>
      </c>
      <c r="BH44" s="34">
        <f t="shared" si="110"/>
        <v>1317.9196840977086</v>
      </c>
      <c r="BI44" s="34">
        <f t="shared" si="111"/>
        <v>-62.080315902291431</v>
      </c>
      <c r="BJ44" s="34">
        <f t="shared" si="112"/>
        <v>62.080315902291431</v>
      </c>
      <c r="BK44" s="113">
        <f t="shared" si="113"/>
        <v>-4.4985736161080743</v>
      </c>
      <c r="BL44" s="113">
        <f t="shared" si="114"/>
        <v>4.4985736161080743</v>
      </c>
      <c r="BM44" s="113">
        <f t="shared" si="115"/>
        <v>1.7998938595820151</v>
      </c>
      <c r="BN44" s="34">
        <f t="shared" si="116"/>
        <v>1304.3478260869565</v>
      </c>
      <c r="BO44" s="34">
        <f t="shared" si="117"/>
        <v>-75.652173913043498</v>
      </c>
      <c r="BP44" s="34">
        <f t="shared" si="118"/>
        <v>75.652173913043498</v>
      </c>
      <c r="BQ44" s="113">
        <f t="shared" si="119"/>
        <v>-5.482041587901703</v>
      </c>
      <c r="BR44" s="113">
        <f t="shared" si="120"/>
        <v>5.482041587901703</v>
      </c>
      <c r="BS44" s="113">
        <f t="shared" si="121"/>
        <v>1.8845244762817293</v>
      </c>
      <c r="BT44" s="34">
        <f t="shared" si="122"/>
        <v>1296.346</v>
      </c>
      <c r="BU44" s="34">
        <f t="shared" si="123"/>
        <v>-83.653999999999996</v>
      </c>
      <c r="BV44" s="34">
        <f t="shared" si="124"/>
        <v>83.653999999999996</v>
      </c>
      <c r="BW44" s="34">
        <f t="shared" si="125"/>
        <v>1285.4709694171215</v>
      </c>
      <c r="BX44" s="34">
        <f t="shared" si="126"/>
        <v>-94.529030582878477</v>
      </c>
      <c r="BY44" s="34">
        <f t="shared" si="127"/>
        <v>94.529030582878477</v>
      </c>
    </row>
    <row r="45" spans="1:77" ht="16" x14ac:dyDescent="0.2">
      <c r="A45" s="206" t="s">
        <v>465</v>
      </c>
      <c r="B45" t="s">
        <v>849</v>
      </c>
      <c r="C45" s="224" t="s">
        <v>824</v>
      </c>
      <c r="D45" s="35" t="s">
        <v>148</v>
      </c>
      <c r="E45" s="35" t="s">
        <v>374</v>
      </c>
      <c r="F45" s="35" t="s">
        <v>580</v>
      </c>
      <c r="G45" s="147">
        <v>1413</v>
      </c>
      <c r="H45" s="147">
        <v>1413</v>
      </c>
      <c r="I45" s="35" t="s">
        <v>626</v>
      </c>
      <c r="J45" s="147">
        <v>327</v>
      </c>
      <c r="K45" s="147">
        <v>311</v>
      </c>
      <c r="L45" s="28"/>
      <c r="M45" s="35" t="s">
        <v>488</v>
      </c>
      <c r="N45" s="33">
        <f t="shared" si="64"/>
        <v>1430.6018000000001</v>
      </c>
      <c r="O45" s="33">
        <f t="shared" si="65"/>
        <v>1437.2330000000002</v>
      </c>
      <c r="P45" s="33">
        <f t="shared" si="66"/>
        <v>1515.3816510452377</v>
      </c>
      <c r="Q45" s="33">
        <f t="shared" si="67"/>
        <v>1383.8888999999999</v>
      </c>
      <c r="R45" s="33">
        <f t="shared" si="68"/>
        <v>1332.7857048479736</v>
      </c>
      <c r="S45" s="33">
        <f t="shared" si="69"/>
        <v>1371.1614766625828</v>
      </c>
      <c r="T45" s="33">
        <f t="shared" si="70"/>
        <v>1371.63675243378</v>
      </c>
      <c r="U45" s="33">
        <f t="shared" si="71"/>
        <v>1362.5</v>
      </c>
      <c r="V45" s="33">
        <f t="shared" si="72"/>
        <v>1350.5177000000001</v>
      </c>
      <c r="W45" s="33">
        <f t="shared" si="73"/>
        <v>1338.9463479860713</v>
      </c>
      <c r="X45" s="34">
        <f t="shared" si="74"/>
        <v>1415.1877999999999</v>
      </c>
      <c r="Y45" s="34">
        <f t="shared" si="75"/>
        <v>2.1877999999999247</v>
      </c>
      <c r="Z45" s="34">
        <f t="shared" si="76"/>
        <v>2.1877999999999247</v>
      </c>
      <c r="AA45" s="113">
        <f t="shared" si="77"/>
        <v>0.15483368719036977</v>
      </c>
      <c r="AB45" s="113">
        <f t="shared" si="78"/>
        <v>0.15483368719036977</v>
      </c>
      <c r="AC45" s="113">
        <f t="shared" si="79"/>
        <v>0.50349106629337059</v>
      </c>
      <c r="AD45" s="34">
        <f t="shared" si="80"/>
        <v>1408.6588999999999</v>
      </c>
      <c r="AE45" s="34">
        <f t="shared" si="81"/>
        <v>-4.3411000000000968</v>
      </c>
      <c r="AF45" s="34">
        <f t="shared" si="82"/>
        <v>4.3411000000000968</v>
      </c>
      <c r="AG45" s="113">
        <f t="shared" si="83"/>
        <v>-0.30722576079264663</v>
      </c>
      <c r="AH45" s="113">
        <f t="shared" si="84"/>
        <v>0.30722576079264663</v>
      </c>
      <c r="AI45" s="113">
        <f t="shared" si="85"/>
        <v>0.72763070922576911</v>
      </c>
      <c r="AJ45" s="34">
        <f t="shared" si="86"/>
        <v>1314.1252785372701</v>
      </c>
      <c r="AK45" s="34">
        <f t="shared" si="87"/>
        <v>-98.874721462729894</v>
      </c>
      <c r="AL45" s="34">
        <f t="shared" si="88"/>
        <v>98.874721462729894</v>
      </c>
      <c r="AM45" s="113">
        <f t="shared" si="89"/>
        <v>-6.9975032882328296</v>
      </c>
      <c r="AN45" s="113">
        <f t="shared" si="90"/>
        <v>6.9975032882328296</v>
      </c>
      <c r="AO45" s="113">
        <f t="shared" si="91"/>
        <v>1.9994555811343824</v>
      </c>
      <c r="AP45" s="34">
        <f t="shared" si="92"/>
        <v>1454.4989</v>
      </c>
      <c r="AQ45" s="34">
        <f t="shared" si="93"/>
        <v>41.498900000000049</v>
      </c>
      <c r="AR45" s="34">
        <f t="shared" si="94"/>
        <v>41.498900000000049</v>
      </c>
      <c r="AS45" s="113">
        <f t="shared" si="95"/>
        <v>2.9369355980184042</v>
      </c>
      <c r="AT45" s="113">
        <f t="shared" si="96"/>
        <v>2.9369355980184042</v>
      </c>
      <c r="AU45" s="113">
        <f t="shared" si="97"/>
        <v>1.6283776893417823</v>
      </c>
      <c r="AV45" s="34">
        <f t="shared" si="98"/>
        <v>1337.3277711491894</v>
      </c>
      <c r="AW45" s="34">
        <f t="shared" si="99"/>
        <v>-75.672228850810598</v>
      </c>
      <c r="AX45" s="34">
        <f t="shared" si="100"/>
        <v>75.672228850810598</v>
      </c>
      <c r="AY45" s="113">
        <f t="shared" si="101"/>
        <v>-5.3554302088330212</v>
      </c>
      <c r="AZ45" s="113">
        <f t="shared" si="102"/>
        <v>5.3554302088330212</v>
      </c>
      <c r="BA45" s="113">
        <f t="shared" si="103"/>
        <v>1.8846380883186893</v>
      </c>
      <c r="BB45" s="34">
        <f t="shared" si="104"/>
        <v>1372.8698710879501</v>
      </c>
      <c r="BC45" s="34">
        <f t="shared" si="105"/>
        <v>-40.13012891204994</v>
      </c>
      <c r="BD45" s="34">
        <f t="shared" si="106"/>
        <v>40.13012891204994</v>
      </c>
      <c r="BE45" s="113">
        <f t="shared" si="107"/>
        <v>-2.8400657404140084</v>
      </c>
      <c r="BF45" s="113">
        <f t="shared" si="108"/>
        <v>2.8400657404140084</v>
      </c>
      <c r="BG45" s="113">
        <f t="shared" si="109"/>
        <v>1.6141600706981905</v>
      </c>
      <c r="BH45" s="34">
        <f t="shared" si="110"/>
        <v>1373.2970117681998</v>
      </c>
      <c r="BI45" s="34">
        <f t="shared" si="111"/>
        <v>-39.702988231800191</v>
      </c>
      <c r="BJ45" s="34">
        <f t="shared" si="112"/>
        <v>39.702988231800191</v>
      </c>
      <c r="BK45" s="113">
        <f t="shared" si="113"/>
        <v>-2.8098363929087182</v>
      </c>
      <c r="BL45" s="113">
        <f t="shared" si="114"/>
        <v>2.8098363929087182</v>
      </c>
      <c r="BM45" s="113">
        <f t="shared" si="115"/>
        <v>1.6096262943589292</v>
      </c>
      <c r="BN45" s="34">
        <f t="shared" si="116"/>
        <v>1352.1739130434783</v>
      </c>
      <c r="BO45" s="34">
        <f t="shared" si="117"/>
        <v>-60.826086956521749</v>
      </c>
      <c r="BP45" s="34">
        <f t="shared" si="118"/>
        <v>60.826086956521749</v>
      </c>
      <c r="BQ45" s="113">
        <f t="shared" si="119"/>
        <v>-4.3047478383950279</v>
      </c>
      <c r="BR45" s="113">
        <f t="shared" si="120"/>
        <v>4.3047478383950279</v>
      </c>
      <c r="BS45" s="113">
        <f t="shared" si="121"/>
        <v>1.7911717603761548</v>
      </c>
      <c r="BT45" s="34">
        <f t="shared" si="122"/>
        <v>1347.0900999999999</v>
      </c>
      <c r="BU45" s="34">
        <f t="shared" si="123"/>
        <v>-65.909900000000107</v>
      </c>
      <c r="BV45" s="34">
        <f t="shared" si="124"/>
        <v>65.909900000000107</v>
      </c>
      <c r="BW45" s="34">
        <f t="shared" si="125"/>
        <v>1334.9824137482203</v>
      </c>
      <c r="BX45" s="34">
        <f t="shared" si="126"/>
        <v>-78.017586251779676</v>
      </c>
      <c r="BY45" s="34">
        <f t="shared" si="127"/>
        <v>78.017586251779676</v>
      </c>
    </row>
    <row r="46" spans="1:77" ht="15" x14ac:dyDescent="0.2">
      <c r="A46" s="206" t="s">
        <v>465</v>
      </c>
      <c r="B46" s="218" t="s">
        <v>344</v>
      </c>
      <c r="C46" s="207" t="s">
        <v>403</v>
      </c>
      <c r="D46" s="35" t="s">
        <v>82</v>
      </c>
      <c r="E46" s="35" t="s">
        <v>374</v>
      </c>
      <c r="F46" s="35" t="s">
        <v>580</v>
      </c>
      <c r="G46" s="141">
        <v>1427.7</v>
      </c>
      <c r="H46" s="141">
        <v>1800</v>
      </c>
      <c r="I46" s="35" t="s">
        <v>626</v>
      </c>
      <c r="J46" s="141">
        <v>336.5</v>
      </c>
      <c r="K46" s="141">
        <v>320.86</v>
      </c>
      <c r="L46" s="28">
        <v>440.1</v>
      </c>
      <c r="M46" s="35" t="s">
        <v>37</v>
      </c>
      <c r="N46" s="33">
        <f t="shared" si="64"/>
        <v>1468.6341</v>
      </c>
      <c r="O46" s="33">
        <f t="shared" si="65"/>
        <v>1490.3285000000001</v>
      </c>
      <c r="P46" s="33">
        <f t="shared" si="66"/>
        <v>1568.2514945465718</v>
      </c>
      <c r="Q46" s="33">
        <f t="shared" si="67"/>
        <v>1429.3435499999998</v>
      </c>
      <c r="R46" s="33">
        <f t="shared" si="68"/>
        <v>1379.80451730909</v>
      </c>
      <c r="S46" s="33">
        <f t="shared" si="69"/>
        <v>1414.9214765094398</v>
      </c>
      <c r="T46" s="33">
        <f t="shared" si="70"/>
        <v>1417.2777378294782</v>
      </c>
      <c r="U46" s="33">
        <f t="shared" si="71"/>
        <v>1402.0833333333335</v>
      </c>
      <c r="V46" s="33">
        <f t="shared" si="72"/>
        <v>1392.17615</v>
      </c>
      <c r="W46" s="33">
        <f t="shared" si="73"/>
        <v>1379.5273675801375</v>
      </c>
      <c r="X46" s="34">
        <f t="shared" si="74"/>
        <v>1456.203428</v>
      </c>
      <c r="Y46" s="34">
        <f t="shared" si="75"/>
        <v>28.503427999999985</v>
      </c>
      <c r="Z46" s="34">
        <f t="shared" si="76"/>
        <v>28.503427999999985</v>
      </c>
      <c r="AA46" s="113">
        <f t="shared" si="77"/>
        <v>1.9964577992575461</v>
      </c>
      <c r="AB46" s="113">
        <f t="shared" si="78"/>
        <v>1.9964577992575461</v>
      </c>
      <c r="AC46" s="113">
        <f t="shared" si="79"/>
        <v>1.4698724795371831</v>
      </c>
      <c r="AD46" s="34">
        <f t="shared" si="80"/>
        <v>1462.4935140000002</v>
      </c>
      <c r="AE46" s="34">
        <f t="shared" si="81"/>
        <v>34.793514000000187</v>
      </c>
      <c r="AF46" s="34">
        <f t="shared" si="82"/>
        <v>34.793514000000187</v>
      </c>
      <c r="AG46" s="113">
        <f t="shared" si="83"/>
        <v>2.4370325698676325</v>
      </c>
      <c r="AH46" s="113">
        <f t="shared" si="84"/>
        <v>2.4370325698676325</v>
      </c>
      <c r="AI46" s="113">
        <f t="shared" si="85"/>
        <v>1.5538043370011996</v>
      </c>
      <c r="AJ46" s="34">
        <f t="shared" si="86"/>
        <v>1366.5200262843925</v>
      </c>
      <c r="AK46" s="34">
        <f t="shared" si="87"/>
        <v>-61.179973715607503</v>
      </c>
      <c r="AL46" s="34">
        <f t="shared" si="88"/>
        <v>61.179973715607503</v>
      </c>
      <c r="AM46" s="113">
        <f t="shared" si="89"/>
        <v>-4.2852121394976184</v>
      </c>
      <c r="AN46" s="113">
        <f t="shared" si="90"/>
        <v>4.2852121394976184</v>
      </c>
      <c r="AO46" s="113">
        <f t="shared" si="91"/>
        <v>1.7936505341245252</v>
      </c>
      <c r="AP46" s="34">
        <f t="shared" si="92"/>
        <v>1506.3417940000002</v>
      </c>
      <c r="AQ46" s="34">
        <f t="shared" si="93"/>
        <v>78.641794000000118</v>
      </c>
      <c r="AR46" s="34">
        <f t="shared" si="94"/>
        <v>78.641794000000118</v>
      </c>
      <c r="AS46" s="113">
        <f t="shared" si="95"/>
        <v>5.5082856342368922</v>
      </c>
      <c r="AT46" s="113">
        <f t="shared" si="96"/>
        <v>5.5082856342368922</v>
      </c>
      <c r="AU46" s="113">
        <f t="shared" si="97"/>
        <v>1.9011410343227915</v>
      </c>
      <c r="AV46" s="34">
        <f t="shared" si="98"/>
        <v>1388.8431417935403</v>
      </c>
      <c r="AW46" s="34">
        <f t="shared" si="99"/>
        <v>-38.856858206459719</v>
      </c>
      <c r="AX46" s="34">
        <f t="shared" si="100"/>
        <v>38.856858206459719</v>
      </c>
      <c r="AY46" s="113">
        <f t="shared" si="101"/>
        <v>-2.7216402750199422</v>
      </c>
      <c r="AZ46" s="113">
        <f t="shared" si="102"/>
        <v>2.7216402750199422</v>
      </c>
      <c r="BA46" s="113">
        <f t="shared" si="103"/>
        <v>1.6005030616154812</v>
      </c>
      <c r="BB46" s="34">
        <f t="shared" si="104"/>
        <v>1420.6903080373074</v>
      </c>
      <c r="BC46" s="34">
        <f t="shared" si="105"/>
        <v>-7.0096919626926137</v>
      </c>
      <c r="BD46" s="34">
        <f t="shared" si="106"/>
        <v>7.0096919626926137</v>
      </c>
      <c r="BE46" s="113">
        <f t="shared" si="107"/>
        <v>-0.49097793392817912</v>
      </c>
      <c r="BF46" s="113">
        <f t="shared" si="108"/>
        <v>0.49097793392817912</v>
      </c>
      <c r="BG46" s="113">
        <f t="shared" si="109"/>
        <v>0.90361581427709348</v>
      </c>
      <c r="BH46" s="34">
        <f t="shared" si="110"/>
        <v>1423.1741847190051</v>
      </c>
      <c r="BI46" s="34">
        <f t="shared" si="111"/>
        <v>-4.5258152809949479</v>
      </c>
      <c r="BJ46" s="34">
        <f t="shared" si="112"/>
        <v>4.5258152809949479</v>
      </c>
      <c r="BK46" s="113">
        <f t="shared" si="113"/>
        <v>-0.31700043993800853</v>
      </c>
      <c r="BL46" s="113">
        <f t="shared" si="114"/>
        <v>0.31700043993800853</v>
      </c>
      <c r="BM46" s="113">
        <f t="shared" si="115"/>
        <v>0.74239636306593693</v>
      </c>
      <c r="BN46" s="34">
        <f t="shared" si="116"/>
        <v>1395.0434782608695</v>
      </c>
      <c r="BO46" s="34">
        <f t="shared" si="117"/>
        <v>-32.65652173913054</v>
      </c>
      <c r="BP46" s="34">
        <f t="shared" si="118"/>
        <v>32.65652173913054</v>
      </c>
      <c r="BQ46" s="113">
        <f t="shared" si="119"/>
        <v>-2.2873518063410057</v>
      </c>
      <c r="BR46" s="113">
        <f t="shared" si="120"/>
        <v>2.2873518063410057</v>
      </c>
      <c r="BS46" s="113">
        <f t="shared" si="121"/>
        <v>1.5270692314390892</v>
      </c>
      <c r="BT46" s="34">
        <f t="shared" si="122"/>
        <v>1392.5752660000001</v>
      </c>
      <c r="BU46" s="34">
        <f t="shared" si="123"/>
        <v>-35.124733999999989</v>
      </c>
      <c r="BV46" s="34">
        <f t="shared" si="124"/>
        <v>35.124733999999989</v>
      </c>
      <c r="BW46" s="34">
        <f t="shared" si="125"/>
        <v>1379.4365107452918</v>
      </c>
      <c r="BX46" s="34">
        <f t="shared" si="126"/>
        <v>-48.263489254708247</v>
      </c>
      <c r="BY46" s="34">
        <f t="shared" si="127"/>
        <v>48.263489254708247</v>
      </c>
    </row>
    <row r="47" spans="1:77" ht="16" x14ac:dyDescent="0.2">
      <c r="A47" s="206" t="s">
        <v>465</v>
      </c>
      <c r="B47" t="s">
        <v>864</v>
      </c>
      <c r="C47" s="224" t="s">
        <v>824</v>
      </c>
      <c r="D47" s="35" t="s">
        <v>148</v>
      </c>
      <c r="E47" s="35" t="s">
        <v>374</v>
      </c>
      <c r="F47" s="35" t="s">
        <v>580</v>
      </c>
      <c r="G47" s="147">
        <v>1460</v>
      </c>
      <c r="H47" s="147">
        <v>1460</v>
      </c>
      <c r="I47" s="35" t="s">
        <v>626</v>
      </c>
      <c r="J47" s="147">
        <v>331</v>
      </c>
      <c r="K47" s="147">
        <v>316</v>
      </c>
      <c r="L47" s="28"/>
      <c r="M47" s="35" t="s">
        <v>488</v>
      </c>
      <c r="N47" s="33">
        <f t="shared" si="64"/>
        <v>1446.6154000000001</v>
      </c>
      <c r="O47" s="33">
        <f t="shared" si="65"/>
        <v>1459.5889999999999</v>
      </c>
      <c r="P47" s="33">
        <f t="shared" si="66"/>
        <v>1537.6061700139076</v>
      </c>
      <c r="Q47" s="33">
        <f t="shared" si="67"/>
        <v>1403.0276999999999</v>
      </c>
      <c r="R47" s="33">
        <f t="shared" si="68"/>
        <v>1352.5485085983555</v>
      </c>
      <c r="S47" s="33">
        <f t="shared" si="69"/>
        <v>1389.571913994821</v>
      </c>
      <c r="T47" s="33">
        <f t="shared" si="70"/>
        <v>1390.8312142369939</v>
      </c>
      <c r="U47" s="33">
        <f t="shared" si="71"/>
        <v>1379.1666666666667</v>
      </c>
      <c r="V47" s="33">
        <f t="shared" si="72"/>
        <v>1368.0581</v>
      </c>
      <c r="W47" s="33">
        <f t="shared" si="73"/>
        <v>1356.0270547212785</v>
      </c>
      <c r="X47" s="34">
        <f t="shared" si="74"/>
        <v>1435.9867999999999</v>
      </c>
      <c r="Y47" s="34">
        <f t="shared" si="75"/>
        <v>-24.013200000000097</v>
      </c>
      <c r="Z47" s="34">
        <f t="shared" si="76"/>
        <v>24.013200000000097</v>
      </c>
      <c r="AA47" s="113">
        <f t="shared" si="77"/>
        <v>-1.6447397260274037</v>
      </c>
      <c r="AB47" s="113">
        <f t="shared" si="78"/>
        <v>1.6447397260274037</v>
      </c>
      <c r="AC47" s="113">
        <f t="shared" si="79"/>
        <v>1.3981692556426084</v>
      </c>
      <c r="AD47" s="34">
        <f t="shared" si="80"/>
        <v>1435.9584</v>
      </c>
      <c r="AE47" s="34">
        <f t="shared" si="81"/>
        <v>-24.041600000000017</v>
      </c>
      <c r="AF47" s="34">
        <f t="shared" si="82"/>
        <v>24.041600000000017</v>
      </c>
      <c r="AG47" s="113">
        <f t="shared" si="83"/>
        <v>-1.6466849315068504</v>
      </c>
      <c r="AH47" s="113">
        <f t="shared" si="84"/>
        <v>1.6466849315068504</v>
      </c>
      <c r="AI47" s="113">
        <f t="shared" si="85"/>
        <v>1.3986620740979625</v>
      </c>
      <c r="AJ47" s="34">
        <f t="shared" si="86"/>
        <v>1340.6430029440623</v>
      </c>
      <c r="AK47" s="34">
        <f t="shared" si="87"/>
        <v>-119.35699705593765</v>
      </c>
      <c r="AL47" s="34">
        <f t="shared" si="88"/>
        <v>119.35699705593765</v>
      </c>
      <c r="AM47" s="113">
        <f t="shared" si="89"/>
        <v>-8.1751367846532634</v>
      </c>
      <c r="AN47" s="113">
        <f t="shared" si="90"/>
        <v>8.1751367846532634</v>
      </c>
      <c r="AO47" s="113">
        <f t="shared" si="91"/>
        <v>2.080471343422436</v>
      </c>
      <c r="AP47" s="34">
        <f t="shared" si="92"/>
        <v>1480.7883999999999</v>
      </c>
      <c r="AQ47" s="34">
        <f t="shared" si="93"/>
        <v>20.788399999999911</v>
      </c>
      <c r="AR47" s="34">
        <f t="shared" si="94"/>
        <v>20.788399999999911</v>
      </c>
      <c r="AS47" s="113">
        <f t="shared" si="95"/>
        <v>1.4238630136986241</v>
      </c>
      <c r="AT47" s="113">
        <f t="shared" si="96"/>
        <v>1.4238630136986241</v>
      </c>
      <c r="AU47" s="113">
        <f t="shared" si="97"/>
        <v>1.3382253396228552</v>
      </c>
      <c r="AV47" s="34">
        <f t="shared" si="98"/>
        <v>1363.4087889416369</v>
      </c>
      <c r="AW47" s="34">
        <f t="shared" si="99"/>
        <v>-96.591211058363115</v>
      </c>
      <c r="AX47" s="34">
        <f t="shared" si="100"/>
        <v>96.591211058363115</v>
      </c>
      <c r="AY47" s="113">
        <f t="shared" si="101"/>
        <v>-6.6158363738604873</v>
      </c>
      <c r="AZ47" s="113">
        <f t="shared" si="102"/>
        <v>6.6158363738604873</v>
      </c>
      <c r="BA47" s="113">
        <f t="shared" si="103"/>
        <v>1.9894107074133505</v>
      </c>
      <c r="BB47" s="34">
        <f t="shared" si="104"/>
        <v>1397.1014937770574</v>
      </c>
      <c r="BC47" s="34">
        <f t="shared" si="105"/>
        <v>-62.898506222942615</v>
      </c>
      <c r="BD47" s="34">
        <f t="shared" si="106"/>
        <v>62.898506222942615</v>
      </c>
      <c r="BE47" s="113">
        <f t="shared" si="107"/>
        <v>-4.3081168645851102</v>
      </c>
      <c r="BF47" s="113">
        <f t="shared" si="108"/>
        <v>4.3081168645851102</v>
      </c>
      <c r="BG47" s="113">
        <f t="shared" si="109"/>
        <v>1.8054907056276326</v>
      </c>
      <c r="BH47" s="34">
        <f t="shared" si="110"/>
        <v>1398.5618772336802</v>
      </c>
      <c r="BI47" s="34">
        <f t="shared" si="111"/>
        <v>-61.438122766319793</v>
      </c>
      <c r="BJ47" s="34">
        <f t="shared" si="112"/>
        <v>61.438122766319793</v>
      </c>
      <c r="BK47" s="113">
        <f t="shared" si="113"/>
        <v>-4.2080906004328629</v>
      </c>
      <c r="BL47" s="113">
        <f t="shared" si="114"/>
        <v>4.2080906004328629</v>
      </c>
      <c r="BM47" s="113">
        <f t="shared" si="115"/>
        <v>1.7954498373038292</v>
      </c>
      <c r="BN47" s="34">
        <f t="shared" si="116"/>
        <v>1373.9130434782608</v>
      </c>
      <c r="BO47" s="34">
        <f t="shared" si="117"/>
        <v>-86.086956521739239</v>
      </c>
      <c r="BP47" s="34">
        <f t="shared" si="118"/>
        <v>86.086956521739239</v>
      </c>
      <c r="BQ47" s="113">
        <f t="shared" si="119"/>
        <v>-5.8963668850506332</v>
      </c>
      <c r="BR47" s="113">
        <f t="shared" si="120"/>
        <v>5.8963668850506332</v>
      </c>
      <c r="BS47" s="113">
        <f t="shared" si="121"/>
        <v>1.939953113275984</v>
      </c>
      <c r="BT47" s="34">
        <f t="shared" si="122"/>
        <v>1370.1556</v>
      </c>
      <c r="BU47" s="34">
        <f t="shared" si="123"/>
        <v>-89.844399999999951</v>
      </c>
      <c r="BV47" s="34">
        <f t="shared" si="124"/>
        <v>89.844399999999951</v>
      </c>
      <c r="BW47" s="34">
        <f t="shared" si="125"/>
        <v>1357.5164768167115</v>
      </c>
      <c r="BX47" s="34">
        <f t="shared" si="126"/>
        <v>-102.48352318328853</v>
      </c>
      <c r="BY47" s="34">
        <f t="shared" si="127"/>
        <v>102.48352318328853</v>
      </c>
    </row>
    <row r="48" spans="1:77" ht="15" x14ac:dyDescent="0.2">
      <c r="A48" s="206" t="s">
        <v>465</v>
      </c>
      <c r="B48" s="28" t="s">
        <v>310</v>
      </c>
      <c r="C48" s="207" t="s">
        <v>403</v>
      </c>
      <c r="D48" s="35" t="s">
        <v>82</v>
      </c>
      <c r="E48" s="35" t="s">
        <v>374</v>
      </c>
      <c r="F48" s="35" t="s">
        <v>580</v>
      </c>
      <c r="G48" s="142">
        <f>489.03+252.1+310.1+413</f>
        <v>1464.23</v>
      </c>
      <c r="H48" s="141">
        <v>1200</v>
      </c>
      <c r="I48" s="35" t="s">
        <v>626</v>
      </c>
      <c r="J48" s="141">
        <v>413</v>
      </c>
      <c r="K48" s="141">
        <v>392.4</v>
      </c>
      <c r="L48" s="28">
        <v>528</v>
      </c>
      <c r="M48" s="35" t="s">
        <v>37</v>
      </c>
      <c r="N48" s="33">
        <f t="shared" si="64"/>
        <v>1774.8942</v>
      </c>
      <c r="O48" s="33">
        <f t="shared" si="65"/>
        <v>1917.8870000000002</v>
      </c>
      <c r="P48" s="33">
        <f t="shared" si="66"/>
        <v>2004.2471621802322</v>
      </c>
      <c r="Q48" s="33">
        <f t="shared" si="67"/>
        <v>1795.3730999999998</v>
      </c>
      <c r="R48" s="33">
        <f t="shared" si="68"/>
        <v>1768.1659346300371</v>
      </c>
      <c r="S48" s="33">
        <f t="shared" si="69"/>
        <v>1771.4419498373834</v>
      </c>
      <c r="T48" s="33">
        <f t="shared" si="70"/>
        <v>1791.191175969321</v>
      </c>
      <c r="U48" s="33">
        <f t="shared" si="71"/>
        <v>1720.8333333333335</v>
      </c>
      <c r="V48" s="33">
        <f t="shared" si="72"/>
        <v>1727.6363000000001</v>
      </c>
      <c r="W48" s="33">
        <f t="shared" si="73"/>
        <v>1707.9895608472418</v>
      </c>
      <c r="X48" s="34">
        <f t="shared" si="74"/>
        <v>1753.7955199999999</v>
      </c>
      <c r="Y48" s="34">
        <f t="shared" si="75"/>
        <v>289.56551999999988</v>
      </c>
      <c r="Z48" s="34">
        <f t="shared" si="76"/>
        <v>289.56551999999988</v>
      </c>
      <c r="AA48" s="113">
        <f t="shared" si="77"/>
        <v>19.775958695013752</v>
      </c>
      <c r="AB48" s="113">
        <f t="shared" si="78"/>
        <v>19.775958695013752</v>
      </c>
      <c r="AC48" s="113">
        <f t="shared" si="79"/>
        <v>2.4632440774011801</v>
      </c>
      <c r="AD48" s="34">
        <f t="shared" si="80"/>
        <v>1853.09476</v>
      </c>
      <c r="AE48" s="34">
        <f t="shared" si="81"/>
        <v>388.86475999999993</v>
      </c>
      <c r="AF48" s="34">
        <f t="shared" si="82"/>
        <v>388.86475999999993</v>
      </c>
      <c r="AG48" s="113">
        <f t="shared" si="83"/>
        <v>26.557628241464791</v>
      </c>
      <c r="AH48" s="113">
        <f t="shared" si="84"/>
        <v>26.557628241464791</v>
      </c>
      <c r="AI48" s="113">
        <f t="shared" si="85"/>
        <v>2.5909139809453272</v>
      </c>
      <c r="AJ48" s="34">
        <f t="shared" si="86"/>
        <v>1758.3691271865264</v>
      </c>
      <c r="AK48" s="34">
        <f t="shared" si="87"/>
        <v>294.13912718652637</v>
      </c>
      <c r="AL48" s="34">
        <f t="shared" si="88"/>
        <v>294.13912718652637</v>
      </c>
      <c r="AM48" s="113">
        <f t="shared" si="89"/>
        <v>20.088314485191969</v>
      </c>
      <c r="AN48" s="113">
        <f t="shared" si="90"/>
        <v>20.088314485191969</v>
      </c>
      <c r="AO48" s="113">
        <f t="shared" si="91"/>
        <v>2.4700267886079619</v>
      </c>
      <c r="AP48" s="34">
        <f t="shared" si="92"/>
        <v>1882.4919599999998</v>
      </c>
      <c r="AQ48" s="34">
        <f t="shared" si="93"/>
        <v>418.26195999999982</v>
      </c>
      <c r="AR48" s="34">
        <f t="shared" si="94"/>
        <v>418.26195999999982</v>
      </c>
      <c r="AS48" s="113">
        <f t="shared" si="95"/>
        <v>28.565318290159318</v>
      </c>
      <c r="AT48" s="113">
        <f t="shared" si="96"/>
        <v>28.565318290159318</v>
      </c>
      <c r="AU48" s="113">
        <f t="shared" si="97"/>
        <v>2.6224854602773306</v>
      </c>
      <c r="AV48" s="34">
        <f t="shared" si="98"/>
        <v>1772.1923179128714</v>
      </c>
      <c r="AW48" s="34">
        <f t="shared" si="99"/>
        <v>307.96231791287141</v>
      </c>
      <c r="AX48" s="34">
        <f t="shared" si="100"/>
        <v>307.96231791287141</v>
      </c>
      <c r="AY48" s="113">
        <f t="shared" si="101"/>
        <v>21.032373186785641</v>
      </c>
      <c r="AZ48" s="113">
        <f t="shared" si="102"/>
        <v>21.032373186785641</v>
      </c>
      <c r="BA48" s="113">
        <f t="shared" si="103"/>
        <v>2.4899055146337705</v>
      </c>
      <c r="BB48" s="34">
        <f t="shared" si="104"/>
        <v>1771.7071545292999</v>
      </c>
      <c r="BC48" s="34">
        <f t="shared" si="105"/>
        <v>307.47715452929992</v>
      </c>
      <c r="BD48" s="34">
        <f t="shared" si="106"/>
        <v>307.47715452929992</v>
      </c>
      <c r="BE48" s="113">
        <f t="shared" si="107"/>
        <v>20.999238816941322</v>
      </c>
      <c r="BF48" s="113">
        <f t="shared" si="108"/>
        <v>20.999238816941322</v>
      </c>
      <c r="BG48" s="113">
        <f t="shared" si="109"/>
        <v>2.4892230061999054</v>
      </c>
      <c r="BH48" s="34">
        <f t="shared" si="110"/>
        <v>1791.3134876320246</v>
      </c>
      <c r="BI48" s="34">
        <f t="shared" si="111"/>
        <v>327.08348763202457</v>
      </c>
      <c r="BJ48" s="34">
        <f t="shared" si="112"/>
        <v>327.08348763202457</v>
      </c>
      <c r="BK48" s="113">
        <f t="shared" si="113"/>
        <v>22.338258854962987</v>
      </c>
      <c r="BL48" s="113">
        <f t="shared" si="114"/>
        <v>22.338258854962987</v>
      </c>
      <c r="BM48" s="113">
        <f t="shared" si="115"/>
        <v>2.5159843729927069</v>
      </c>
      <c r="BN48" s="34">
        <f t="shared" si="116"/>
        <v>1706.086956521739</v>
      </c>
      <c r="BO48" s="34">
        <f t="shared" si="117"/>
        <v>241.85695652173899</v>
      </c>
      <c r="BP48" s="34">
        <f t="shared" si="118"/>
        <v>241.85695652173899</v>
      </c>
      <c r="BQ48" s="113">
        <f t="shared" si="119"/>
        <v>16.517688923307063</v>
      </c>
      <c r="BR48" s="113">
        <f t="shared" si="120"/>
        <v>16.517688923307063</v>
      </c>
      <c r="BS48" s="113">
        <f t="shared" si="121"/>
        <v>2.3853505481456163</v>
      </c>
      <c r="BT48" s="34">
        <f t="shared" si="122"/>
        <v>1722.5964399999998</v>
      </c>
      <c r="BU48" s="34">
        <f t="shared" si="123"/>
        <v>258.36643999999978</v>
      </c>
      <c r="BV48" s="34">
        <f t="shared" si="124"/>
        <v>258.36643999999978</v>
      </c>
      <c r="BW48" s="34">
        <f t="shared" si="125"/>
        <v>1703.8921436485582</v>
      </c>
      <c r="BX48" s="34">
        <f t="shared" si="126"/>
        <v>239.66214364855819</v>
      </c>
      <c r="BY48" s="34">
        <f t="shared" si="127"/>
        <v>239.66214364855819</v>
      </c>
    </row>
    <row r="49" spans="1:77" ht="16" x14ac:dyDescent="0.2">
      <c r="A49" s="206" t="s">
        <v>465</v>
      </c>
      <c r="B49" t="s">
        <v>875</v>
      </c>
      <c r="C49" s="224" t="s">
        <v>824</v>
      </c>
      <c r="D49" s="35" t="s">
        <v>148</v>
      </c>
      <c r="E49" s="35" t="s">
        <v>374</v>
      </c>
      <c r="F49" s="35" t="s">
        <v>580</v>
      </c>
      <c r="G49" s="147">
        <v>1490</v>
      </c>
      <c r="H49" s="147">
        <v>1490</v>
      </c>
      <c r="I49" s="35" t="s">
        <v>626</v>
      </c>
      <c r="J49" s="147">
        <v>358</v>
      </c>
      <c r="K49" s="147">
        <v>348</v>
      </c>
      <c r="L49" s="28"/>
      <c r="M49" s="35" t="s">
        <v>488</v>
      </c>
      <c r="N49" s="33">
        <f t="shared" si="64"/>
        <v>1554.7072000000001</v>
      </c>
      <c r="O49" s="33">
        <f t="shared" si="65"/>
        <v>1610.4920000000002</v>
      </c>
      <c r="P49" s="33">
        <f t="shared" si="66"/>
        <v>1688.9858645769036</v>
      </c>
      <c r="Q49" s="33">
        <f t="shared" si="67"/>
        <v>1532.2145999999998</v>
      </c>
      <c r="R49" s="33">
        <f t="shared" si="68"/>
        <v>1487.2417736295602</v>
      </c>
      <c r="S49" s="33">
        <f t="shared" si="69"/>
        <v>1514.3958074576315</v>
      </c>
      <c r="T49" s="33">
        <f t="shared" si="70"/>
        <v>1521.2455873906083</v>
      </c>
      <c r="U49" s="33">
        <f t="shared" si="71"/>
        <v>1491.6666666666667</v>
      </c>
      <c r="V49" s="33">
        <f t="shared" si="72"/>
        <v>1486.4558000000002</v>
      </c>
      <c r="W49" s="33">
        <f t="shared" si="73"/>
        <v>1471.5469797711905</v>
      </c>
      <c r="X49" s="34">
        <f t="shared" si="74"/>
        <v>1569.1003999999998</v>
      </c>
      <c r="Y49" s="34">
        <f t="shared" si="75"/>
        <v>79.100399999999809</v>
      </c>
      <c r="Z49" s="34">
        <f t="shared" si="76"/>
        <v>79.100399999999809</v>
      </c>
      <c r="AA49" s="113">
        <f t="shared" si="77"/>
        <v>5.308751677852336</v>
      </c>
      <c r="AB49" s="113">
        <f t="shared" si="78"/>
        <v>5.308751677852336</v>
      </c>
      <c r="AC49" s="113">
        <f t="shared" si="79"/>
        <v>1.9036346848402792</v>
      </c>
      <c r="AD49" s="34">
        <f t="shared" si="80"/>
        <v>1610.6752000000001</v>
      </c>
      <c r="AE49" s="34">
        <f t="shared" si="81"/>
        <v>120.67520000000013</v>
      </c>
      <c r="AF49" s="34">
        <f t="shared" si="82"/>
        <v>120.67520000000013</v>
      </c>
      <c r="AG49" s="113">
        <f t="shared" si="83"/>
        <v>8.0990067114094053</v>
      </c>
      <c r="AH49" s="113">
        <f t="shared" si="84"/>
        <v>8.0990067114094053</v>
      </c>
      <c r="AI49" s="113">
        <f t="shared" si="85"/>
        <v>2.0852020687748007</v>
      </c>
      <c r="AJ49" s="34">
        <f t="shared" si="86"/>
        <v>1512.8200339584514</v>
      </c>
      <c r="AK49" s="34">
        <f t="shared" si="87"/>
        <v>22.820033958451404</v>
      </c>
      <c r="AL49" s="34">
        <f t="shared" si="88"/>
        <v>22.820033958451404</v>
      </c>
      <c r="AM49" s="113">
        <f t="shared" si="89"/>
        <v>1.5315459032517722</v>
      </c>
      <c r="AN49" s="113">
        <f t="shared" si="90"/>
        <v>1.5315459032517722</v>
      </c>
      <c r="AO49" s="113">
        <f t="shared" si="91"/>
        <v>1.3769423762885533</v>
      </c>
      <c r="AP49" s="34">
        <f t="shared" si="92"/>
        <v>1649.0411999999999</v>
      </c>
      <c r="AQ49" s="34">
        <f t="shared" si="93"/>
        <v>159.04119999999989</v>
      </c>
      <c r="AR49" s="34">
        <f t="shared" si="94"/>
        <v>159.04119999999989</v>
      </c>
      <c r="AS49" s="113">
        <f t="shared" si="95"/>
        <v>10.673906040268449</v>
      </c>
      <c r="AT49" s="113">
        <f t="shared" si="96"/>
        <v>10.673906040268449</v>
      </c>
      <c r="AU49" s="113">
        <f t="shared" si="97"/>
        <v>2.2042317990892664</v>
      </c>
      <c r="AV49" s="34">
        <f t="shared" si="98"/>
        <v>1532.3483203378696</v>
      </c>
      <c r="AW49" s="34">
        <f t="shared" si="99"/>
        <v>42.348320337869609</v>
      </c>
      <c r="AX49" s="34">
        <f t="shared" si="100"/>
        <v>42.348320337869609</v>
      </c>
      <c r="AY49" s="113">
        <f t="shared" si="101"/>
        <v>2.8421691501925914</v>
      </c>
      <c r="AZ49" s="113">
        <f t="shared" si="102"/>
        <v>2.8421691501925914</v>
      </c>
      <c r="BA49" s="113">
        <f t="shared" si="103"/>
        <v>1.6369722740814971</v>
      </c>
      <c r="BB49" s="34">
        <f t="shared" si="104"/>
        <v>1553.0436348087781</v>
      </c>
      <c r="BC49" s="34">
        <f t="shared" si="105"/>
        <v>63.043634808778052</v>
      </c>
      <c r="BD49" s="34">
        <f t="shared" si="106"/>
        <v>63.043634808778052</v>
      </c>
      <c r="BE49" s="113">
        <f t="shared" si="107"/>
        <v>4.2311164301193323</v>
      </c>
      <c r="BF49" s="113">
        <f t="shared" si="108"/>
        <v>4.2311164301193323</v>
      </c>
      <c r="BG49" s="113">
        <f t="shared" si="109"/>
        <v>1.806475972413377</v>
      </c>
      <c r="BH49" s="34">
        <f t="shared" si="110"/>
        <v>1561.5806763918238</v>
      </c>
      <c r="BI49" s="34">
        <f t="shared" si="111"/>
        <v>71.580676391823772</v>
      </c>
      <c r="BJ49" s="34">
        <f t="shared" si="112"/>
        <v>71.580676391823772</v>
      </c>
      <c r="BK49" s="113">
        <f t="shared" si="113"/>
        <v>4.8040722410619985</v>
      </c>
      <c r="BL49" s="113">
        <f t="shared" si="114"/>
        <v>4.8040722410619985</v>
      </c>
      <c r="BM49" s="113">
        <f t="shared" si="115"/>
        <v>1.8608210111484713</v>
      </c>
      <c r="BN49" s="34">
        <f t="shared" si="116"/>
        <v>1513.0434782608695</v>
      </c>
      <c r="BO49" s="34">
        <f t="shared" si="117"/>
        <v>23.043478260869506</v>
      </c>
      <c r="BP49" s="34">
        <f t="shared" si="118"/>
        <v>23.043478260869506</v>
      </c>
      <c r="BQ49" s="113">
        <f t="shared" si="119"/>
        <v>1.5465421651590272</v>
      </c>
      <c r="BR49" s="113">
        <f t="shared" si="120"/>
        <v>1.5465421651590272</v>
      </c>
      <c r="BS49" s="113">
        <f t="shared" si="121"/>
        <v>1.3809972952871044</v>
      </c>
      <c r="BT49" s="34">
        <f t="shared" si="122"/>
        <v>1517.7747999999999</v>
      </c>
      <c r="BU49" s="34">
        <f t="shared" si="123"/>
        <v>27.774799999999914</v>
      </c>
      <c r="BV49" s="34">
        <f t="shared" si="124"/>
        <v>27.774799999999914</v>
      </c>
      <c r="BW49" s="34">
        <f t="shared" si="125"/>
        <v>1502.1418050949335</v>
      </c>
      <c r="BX49" s="34">
        <f t="shared" si="126"/>
        <v>12.141805094933488</v>
      </c>
      <c r="BY49" s="34">
        <f t="shared" si="127"/>
        <v>12.141805094933488</v>
      </c>
    </row>
    <row r="50" spans="1:77" ht="15" x14ac:dyDescent="0.2">
      <c r="A50" s="206" t="s">
        <v>465</v>
      </c>
      <c r="B50" s="28" t="s">
        <v>345</v>
      </c>
      <c r="C50" s="207" t="s">
        <v>403</v>
      </c>
      <c r="D50" s="35" t="s">
        <v>82</v>
      </c>
      <c r="E50" s="35" t="s">
        <v>374</v>
      </c>
      <c r="F50" s="35" t="s">
        <v>580</v>
      </c>
      <c r="G50" s="141">
        <v>1499</v>
      </c>
      <c r="H50" s="141">
        <v>1800</v>
      </c>
      <c r="I50" s="35" t="s">
        <v>626</v>
      </c>
      <c r="J50" s="141">
        <v>382</v>
      </c>
      <c r="K50" s="141">
        <v>364</v>
      </c>
      <c r="L50" s="28">
        <v>493.3</v>
      </c>
      <c r="M50" s="35" t="s">
        <v>37</v>
      </c>
      <c r="N50" s="33">
        <f t="shared" si="64"/>
        <v>1650.7888</v>
      </c>
      <c r="O50" s="33">
        <f t="shared" si="65"/>
        <v>1744.6280000000002</v>
      </c>
      <c r="P50" s="33">
        <f t="shared" si="66"/>
        <v>1825.4585144519569</v>
      </c>
      <c r="Q50" s="33">
        <f t="shared" si="67"/>
        <v>1647.0473999999999</v>
      </c>
      <c r="R50" s="33">
        <f t="shared" si="68"/>
        <v>1608.7853377131801</v>
      </c>
      <c r="S50" s="33">
        <f t="shared" si="69"/>
        <v>1626.122382068163</v>
      </c>
      <c r="T50" s="33">
        <f t="shared" si="70"/>
        <v>1638.3604511177209</v>
      </c>
      <c r="U50" s="33">
        <f t="shared" si="71"/>
        <v>1591.6666666666667</v>
      </c>
      <c r="V50" s="33">
        <f t="shared" si="72"/>
        <v>1591.6982</v>
      </c>
      <c r="W50" s="33">
        <f t="shared" si="73"/>
        <v>1574.5445400618273</v>
      </c>
      <c r="X50" s="34">
        <f t="shared" si="74"/>
        <v>1635.6571999999999</v>
      </c>
      <c r="Y50" s="34">
        <f t="shared" si="75"/>
        <v>136.65719999999988</v>
      </c>
      <c r="Z50" s="34">
        <f t="shared" si="76"/>
        <v>136.65719999999988</v>
      </c>
      <c r="AA50" s="113">
        <f t="shared" si="77"/>
        <v>9.1165577051367492</v>
      </c>
      <c r="AB50" s="113">
        <f t="shared" si="78"/>
        <v>9.1165577051367492</v>
      </c>
      <c r="AC50" s="113">
        <f t="shared" si="79"/>
        <v>2.1387989315919955</v>
      </c>
      <c r="AD50" s="34">
        <f t="shared" si="80"/>
        <v>1698.0336000000002</v>
      </c>
      <c r="AE50" s="34">
        <f t="shared" si="81"/>
        <v>199.03360000000021</v>
      </c>
      <c r="AF50" s="34">
        <f t="shared" si="82"/>
        <v>199.03360000000021</v>
      </c>
      <c r="AG50" s="113">
        <f t="shared" si="83"/>
        <v>13.277758505670462</v>
      </c>
      <c r="AH50" s="113">
        <f t="shared" si="84"/>
        <v>13.277758505670462</v>
      </c>
      <c r="AI50" s="113">
        <f t="shared" si="85"/>
        <v>2.3011029510088639</v>
      </c>
      <c r="AJ50" s="34">
        <f t="shared" si="86"/>
        <v>1600.4447985043246</v>
      </c>
      <c r="AK50" s="34">
        <f t="shared" si="87"/>
        <v>101.44479850432458</v>
      </c>
      <c r="AL50" s="34">
        <f t="shared" si="88"/>
        <v>101.44479850432458</v>
      </c>
      <c r="AM50" s="113">
        <f t="shared" si="89"/>
        <v>6.7674982324432671</v>
      </c>
      <c r="AN50" s="113">
        <f t="shared" si="90"/>
        <v>6.7674982324432671</v>
      </c>
      <c r="AO50" s="113">
        <f t="shared" si="91"/>
        <v>2.0104899125838038</v>
      </c>
      <c r="AP50" s="34">
        <f t="shared" si="92"/>
        <v>1733.1676</v>
      </c>
      <c r="AQ50" s="34">
        <f t="shared" si="93"/>
        <v>234.16759999999999</v>
      </c>
      <c r="AR50" s="34">
        <f t="shared" si="94"/>
        <v>234.16759999999999</v>
      </c>
      <c r="AS50" s="113">
        <f t="shared" si="95"/>
        <v>15.6215877251501</v>
      </c>
      <c r="AT50" s="113">
        <f t="shared" si="96"/>
        <v>15.6215877251501</v>
      </c>
      <c r="AU50" s="113">
        <f t="shared" si="97"/>
        <v>2.3713774870023645</v>
      </c>
      <c r="AV50" s="34">
        <f t="shared" si="98"/>
        <v>1618.0755958343334</v>
      </c>
      <c r="AW50" s="34">
        <f t="shared" si="99"/>
        <v>119.0755958343334</v>
      </c>
      <c r="AX50" s="34">
        <f t="shared" si="100"/>
        <v>119.0755958343334</v>
      </c>
      <c r="AY50" s="113">
        <f t="shared" si="101"/>
        <v>7.9436688348454565</v>
      </c>
      <c r="AZ50" s="113">
        <f t="shared" si="102"/>
        <v>7.9436688348454565</v>
      </c>
      <c r="BA50" s="113">
        <f t="shared" si="103"/>
        <v>2.0794547503551062</v>
      </c>
      <c r="BB50" s="34">
        <f t="shared" si="104"/>
        <v>1631.5464597670332</v>
      </c>
      <c r="BC50" s="34">
        <f t="shared" si="105"/>
        <v>132.54645976703318</v>
      </c>
      <c r="BD50" s="34">
        <f t="shared" si="106"/>
        <v>132.54645976703318</v>
      </c>
      <c r="BE50" s="113">
        <f t="shared" si="107"/>
        <v>8.842325534825429</v>
      </c>
      <c r="BF50" s="113">
        <f t="shared" si="108"/>
        <v>8.842325534825429</v>
      </c>
      <c r="BG50" s="113">
        <f t="shared" si="109"/>
        <v>2.1256323796354066</v>
      </c>
      <c r="BH50" s="34">
        <f t="shared" si="110"/>
        <v>1643.9107366033597</v>
      </c>
      <c r="BI50" s="34">
        <f t="shared" si="111"/>
        <v>144.91073660335974</v>
      </c>
      <c r="BJ50" s="34">
        <f t="shared" si="112"/>
        <v>144.91073660335974</v>
      </c>
      <c r="BK50" s="113">
        <f t="shared" si="113"/>
        <v>9.6671605472554862</v>
      </c>
      <c r="BL50" s="113">
        <f t="shared" si="114"/>
        <v>9.6671605472554862</v>
      </c>
      <c r="BM50" s="113">
        <f t="shared" si="115"/>
        <v>2.1640872499197386</v>
      </c>
      <c r="BN50" s="34">
        <f t="shared" si="116"/>
        <v>1582.6086956521738</v>
      </c>
      <c r="BO50" s="34">
        <f t="shared" si="117"/>
        <v>83.608695652173765</v>
      </c>
      <c r="BP50" s="34">
        <f t="shared" si="118"/>
        <v>83.608695652173765</v>
      </c>
      <c r="BQ50" s="113">
        <f t="shared" si="119"/>
        <v>5.5776314644545542</v>
      </c>
      <c r="BR50" s="113">
        <f t="shared" si="120"/>
        <v>5.5776314644545542</v>
      </c>
      <c r="BS50" s="113">
        <f t="shared" si="121"/>
        <v>1.9274149999147394</v>
      </c>
      <c r="BT50" s="34">
        <f t="shared" si="122"/>
        <v>1591.5844</v>
      </c>
      <c r="BU50" s="34">
        <f t="shared" si="123"/>
        <v>92.58439999999996</v>
      </c>
      <c r="BV50" s="34">
        <f t="shared" si="124"/>
        <v>92.58439999999996</v>
      </c>
      <c r="BW50" s="34">
        <f t="shared" si="125"/>
        <v>1574.7057686902763</v>
      </c>
      <c r="BX50" s="34">
        <f t="shared" si="126"/>
        <v>75.705768690276273</v>
      </c>
      <c r="BY50" s="34">
        <f t="shared" si="127"/>
        <v>75.705768690276273</v>
      </c>
    </row>
    <row r="51" spans="1:77" ht="16" x14ac:dyDescent="0.2">
      <c r="A51" s="206" t="s">
        <v>465</v>
      </c>
      <c r="B51" t="s">
        <v>878</v>
      </c>
      <c r="C51" s="224" t="s">
        <v>824</v>
      </c>
      <c r="D51" s="35" t="s">
        <v>148</v>
      </c>
      <c r="E51" s="35" t="s">
        <v>374</v>
      </c>
      <c r="F51" s="35" t="s">
        <v>580</v>
      </c>
      <c r="G51" s="147">
        <v>1520</v>
      </c>
      <c r="H51" s="147">
        <v>1520</v>
      </c>
      <c r="I51" s="35" t="s">
        <v>627</v>
      </c>
      <c r="J51" s="147">
        <v>356</v>
      </c>
      <c r="K51" s="147">
        <v>339</v>
      </c>
      <c r="L51" s="28"/>
      <c r="M51" s="35" t="s">
        <v>488</v>
      </c>
      <c r="N51" s="33">
        <f t="shared" si="64"/>
        <v>1546.7003999999999</v>
      </c>
      <c r="O51" s="33">
        <f t="shared" si="65"/>
        <v>1599.3140000000003</v>
      </c>
      <c r="P51" s="33">
        <f t="shared" si="66"/>
        <v>1677.6928863474357</v>
      </c>
      <c r="Q51" s="33">
        <f t="shared" si="67"/>
        <v>1522.6451999999999</v>
      </c>
      <c r="R51" s="33">
        <f t="shared" si="68"/>
        <v>1477.1888783974962</v>
      </c>
      <c r="S51" s="33">
        <f t="shared" si="69"/>
        <v>1505.1173643560228</v>
      </c>
      <c r="T51" s="33">
        <f t="shared" si="70"/>
        <v>1511.5355982677781</v>
      </c>
      <c r="U51" s="33">
        <f t="shared" si="71"/>
        <v>1483.3333333333335</v>
      </c>
      <c r="V51" s="33">
        <f t="shared" si="72"/>
        <v>1477.6856</v>
      </c>
      <c r="W51" s="33">
        <f t="shared" si="73"/>
        <v>1462.9768569256767</v>
      </c>
      <c r="X51" s="34">
        <f t="shared" si="74"/>
        <v>1531.6622</v>
      </c>
      <c r="Y51" s="34">
        <f t="shared" si="75"/>
        <v>11.662199999999984</v>
      </c>
      <c r="Z51" s="34">
        <f t="shared" si="76"/>
        <v>11.662199999999984</v>
      </c>
      <c r="AA51" s="113">
        <f t="shared" si="77"/>
        <v>0.76724999999999899</v>
      </c>
      <c r="AB51" s="113">
        <f t="shared" si="78"/>
        <v>0.76724999999999899</v>
      </c>
      <c r="AC51" s="113">
        <f t="shared" si="79"/>
        <v>1.1025091689398672</v>
      </c>
      <c r="AD51" s="34">
        <f t="shared" si="80"/>
        <v>1561.5361000000003</v>
      </c>
      <c r="AE51" s="34">
        <f t="shared" si="81"/>
        <v>41.53610000000026</v>
      </c>
      <c r="AF51" s="34">
        <f t="shared" si="82"/>
        <v>41.53610000000026</v>
      </c>
      <c r="AG51" s="113">
        <f t="shared" si="83"/>
        <v>2.7326381578947538</v>
      </c>
      <c r="AH51" s="113">
        <f t="shared" si="84"/>
        <v>2.7326381578947538</v>
      </c>
      <c r="AI51" s="113">
        <f t="shared" si="85"/>
        <v>1.6287576683094429</v>
      </c>
      <c r="AJ51" s="34">
        <f t="shared" si="86"/>
        <v>1463.9736102327165</v>
      </c>
      <c r="AK51" s="34">
        <f t="shared" si="87"/>
        <v>-56.02638976728349</v>
      </c>
      <c r="AL51" s="34">
        <f t="shared" si="88"/>
        <v>56.02638976728349</v>
      </c>
      <c r="AM51" s="113">
        <f t="shared" si="89"/>
        <v>-3.6859466952160194</v>
      </c>
      <c r="AN51" s="113">
        <f t="shared" si="90"/>
        <v>3.6859466952160194</v>
      </c>
      <c r="AO51" s="113">
        <f t="shared" si="91"/>
        <v>1.7560758780943702</v>
      </c>
      <c r="AP51" s="34">
        <f t="shared" si="92"/>
        <v>1601.7201</v>
      </c>
      <c r="AQ51" s="34">
        <f t="shared" si="93"/>
        <v>81.720100000000002</v>
      </c>
      <c r="AR51" s="34">
        <f t="shared" si="94"/>
        <v>81.720100000000002</v>
      </c>
      <c r="AS51" s="113">
        <f t="shared" si="95"/>
        <v>5.3763223684210528</v>
      </c>
      <c r="AT51" s="113">
        <f t="shared" si="96"/>
        <v>5.3763223684210528</v>
      </c>
      <c r="AU51" s="113">
        <f t="shared" si="97"/>
        <v>1.9176110507670572</v>
      </c>
      <c r="AV51" s="34">
        <f t="shared" si="98"/>
        <v>1484.4885997210692</v>
      </c>
      <c r="AW51" s="34">
        <f t="shared" si="99"/>
        <v>-35.511400278930751</v>
      </c>
      <c r="AX51" s="34">
        <f t="shared" si="100"/>
        <v>35.511400278930751</v>
      </c>
      <c r="AY51" s="113">
        <f t="shared" si="101"/>
        <v>-2.3362763341401811</v>
      </c>
      <c r="AZ51" s="113">
        <f t="shared" si="102"/>
        <v>2.3362763341401811</v>
      </c>
      <c r="BA51" s="113">
        <f t="shared" si="103"/>
        <v>1.5624284892562486</v>
      </c>
      <c r="BB51" s="34">
        <f t="shared" si="104"/>
        <v>1509.0384174830942</v>
      </c>
      <c r="BC51" s="34">
        <f t="shared" si="105"/>
        <v>-10.961582516905764</v>
      </c>
      <c r="BD51" s="34">
        <f t="shared" si="106"/>
        <v>10.961582516905764</v>
      </c>
      <c r="BE51" s="113">
        <f t="shared" si="107"/>
        <v>-0.72115674453327394</v>
      </c>
      <c r="BF51" s="113">
        <f t="shared" si="108"/>
        <v>0.72115674453327394</v>
      </c>
      <c r="BG51" s="113">
        <f t="shared" si="109"/>
        <v>1.0777886405967263</v>
      </c>
      <c r="BH51" s="34">
        <f t="shared" si="110"/>
        <v>1515.5058092276211</v>
      </c>
      <c r="BI51" s="34">
        <f t="shared" si="111"/>
        <v>-4.4941907723789427</v>
      </c>
      <c r="BJ51" s="34">
        <f t="shared" si="112"/>
        <v>4.4941907723789427</v>
      </c>
      <c r="BK51" s="113">
        <f t="shared" si="113"/>
        <v>-0.29567044555124627</v>
      </c>
      <c r="BL51" s="113">
        <f t="shared" si="114"/>
        <v>0.29567044555124627</v>
      </c>
      <c r="BM51" s="113">
        <f t="shared" si="115"/>
        <v>0.73990373516336572</v>
      </c>
      <c r="BN51" s="34">
        <f t="shared" si="116"/>
        <v>1473.9130434782608</v>
      </c>
      <c r="BO51" s="34">
        <f t="shared" si="117"/>
        <v>-46.086956521739239</v>
      </c>
      <c r="BP51" s="34">
        <f t="shared" si="118"/>
        <v>46.086956521739239</v>
      </c>
      <c r="BQ51" s="113">
        <f t="shared" si="119"/>
        <v>-3.0320366132723184</v>
      </c>
      <c r="BR51" s="113">
        <f t="shared" si="120"/>
        <v>3.0320366132723184</v>
      </c>
      <c r="BS51" s="113">
        <f t="shared" si="121"/>
        <v>1.6729006206077286</v>
      </c>
      <c r="BT51" s="34">
        <f t="shared" si="122"/>
        <v>1476.2569000000001</v>
      </c>
      <c r="BU51" s="34">
        <f t="shared" si="123"/>
        <v>-43.743099999999913</v>
      </c>
      <c r="BV51" s="34">
        <f t="shared" si="124"/>
        <v>43.743099999999913</v>
      </c>
      <c r="BW51" s="34">
        <f t="shared" si="125"/>
        <v>1461.3966234857239</v>
      </c>
      <c r="BX51" s="34">
        <f t="shared" si="126"/>
        <v>-58.603376514276079</v>
      </c>
      <c r="BY51" s="34">
        <f t="shared" si="127"/>
        <v>58.603376514276079</v>
      </c>
    </row>
    <row r="52" spans="1:77" ht="15" x14ac:dyDescent="0.2">
      <c r="A52" s="206" t="s">
        <v>465</v>
      </c>
      <c r="B52" s="28" t="s">
        <v>433</v>
      </c>
      <c r="C52" s="28" t="s">
        <v>458</v>
      </c>
      <c r="D52" s="208" t="s">
        <v>82</v>
      </c>
      <c r="E52" s="35" t="s">
        <v>374</v>
      </c>
      <c r="F52" s="35" t="s">
        <v>580</v>
      </c>
      <c r="G52" s="141">
        <v>1520</v>
      </c>
      <c r="H52" s="141">
        <v>1520</v>
      </c>
      <c r="I52" s="35" t="s">
        <v>627</v>
      </c>
      <c r="J52" s="141">
        <v>335</v>
      </c>
      <c r="K52" s="141">
        <v>323</v>
      </c>
      <c r="L52" s="141"/>
      <c r="M52" s="35" t="s">
        <v>37</v>
      </c>
      <c r="N52" s="33">
        <f t="shared" si="64"/>
        <v>1462.6290000000001</v>
      </c>
      <c r="O52" s="33">
        <f t="shared" si="65"/>
        <v>1481.9450000000002</v>
      </c>
      <c r="P52" s="33">
        <f t="shared" si="66"/>
        <v>1559.8837969127667</v>
      </c>
      <c r="Q52" s="33">
        <f t="shared" si="67"/>
        <v>1422.1664999999998</v>
      </c>
      <c r="R52" s="33">
        <f t="shared" si="68"/>
        <v>1372.3616861100634</v>
      </c>
      <c r="S52" s="33">
        <f t="shared" si="69"/>
        <v>1408.0039452957403</v>
      </c>
      <c r="T52" s="33">
        <f t="shared" si="70"/>
        <v>1410.0588753537183</v>
      </c>
      <c r="U52" s="33">
        <f t="shared" si="71"/>
        <v>1395.8333333333335</v>
      </c>
      <c r="V52" s="33">
        <f t="shared" si="72"/>
        <v>1385.5985000000001</v>
      </c>
      <c r="W52" s="33">
        <f t="shared" si="73"/>
        <v>1373.1165571395993</v>
      </c>
      <c r="X52" s="34">
        <f t="shared" si="74"/>
        <v>1465.1053999999999</v>
      </c>
      <c r="Y52" s="34">
        <f t="shared" si="75"/>
        <v>-54.894600000000082</v>
      </c>
      <c r="Z52" s="34">
        <f t="shared" si="76"/>
        <v>54.894600000000082</v>
      </c>
      <c r="AA52" s="113">
        <f t="shared" si="77"/>
        <v>-3.6114868421052688</v>
      </c>
      <c r="AB52" s="113">
        <f t="shared" si="78"/>
        <v>3.6114868421052688</v>
      </c>
      <c r="AC52" s="113">
        <f t="shared" si="79"/>
        <v>1.7473698525468262</v>
      </c>
      <c r="AD52" s="34">
        <f t="shared" si="80"/>
        <v>1474.1777000000002</v>
      </c>
      <c r="AE52" s="34">
        <f t="shared" si="81"/>
        <v>-45.822299999999814</v>
      </c>
      <c r="AF52" s="34">
        <f t="shared" si="82"/>
        <v>45.822299999999814</v>
      </c>
      <c r="AG52" s="113">
        <f t="shared" si="83"/>
        <v>-3.0146249999999877</v>
      </c>
      <c r="AH52" s="113">
        <f t="shared" si="84"/>
        <v>3.0146249999999877</v>
      </c>
      <c r="AI52" s="113">
        <f t="shared" si="85"/>
        <v>1.6704527432515608</v>
      </c>
      <c r="AJ52" s="34">
        <f t="shared" si="86"/>
        <v>1377.9459594160685</v>
      </c>
      <c r="AK52" s="34">
        <f t="shared" si="87"/>
        <v>-142.05404058393151</v>
      </c>
      <c r="AL52" s="34">
        <f t="shared" si="88"/>
        <v>142.05404058393151</v>
      </c>
      <c r="AM52" s="113">
        <f t="shared" si="89"/>
        <v>-9.3456605647323361</v>
      </c>
      <c r="AN52" s="113">
        <f t="shared" si="90"/>
        <v>9.3456605647323361</v>
      </c>
      <c r="AO52" s="113">
        <f t="shared" si="91"/>
        <v>2.1555001290306386</v>
      </c>
      <c r="AP52" s="34">
        <f t="shared" si="92"/>
        <v>1517.5936999999999</v>
      </c>
      <c r="AQ52" s="34">
        <f t="shared" si="93"/>
        <v>-2.4063000000001011</v>
      </c>
      <c r="AR52" s="34">
        <f t="shared" si="94"/>
        <v>2.4063000000001011</v>
      </c>
      <c r="AS52" s="113">
        <f t="shared" si="95"/>
        <v>-0.15830921052632244</v>
      </c>
      <c r="AT52" s="113">
        <f t="shared" si="96"/>
        <v>0.15830921052632244</v>
      </c>
      <c r="AU52" s="113">
        <f t="shared" si="97"/>
        <v>0.53228289453881428</v>
      </c>
      <c r="AV52" s="34">
        <f t="shared" si="98"/>
        <v>1400.0685070566412</v>
      </c>
      <c r="AW52" s="34">
        <f t="shared" si="99"/>
        <v>-119.93149294335876</v>
      </c>
      <c r="AX52" s="34">
        <f t="shared" si="100"/>
        <v>119.93149294335876</v>
      </c>
      <c r="AY52" s="113">
        <f t="shared" si="101"/>
        <v>-7.8902297989051826</v>
      </c>
      <c r="AZ52" s="113">
        <f t="shared" si="102"/>
        <v>7.8902297989051826</v>
      </c>
      <c r="BA52" s="113">
        <f t="shared" si="103"/>
        <v>2.0825394144294842</v>
      </c>
      <c r="BB52" s="34">
        <f t="shared" si="104"/>
        <v>1431.0881788878094</v>
      </c>
      <c r="BC52" s="34">
        <f t="shared" si="105"/>
        <v>-88.911821112190637</v>
      </c>
      <c r="BD52" s="34">
        <f t="shared" si="106"/>
        <v>88.911821112190637</v>
      </c>
      <c r="BE52" s="113">
        <f t="shared" si="107"/>
        <v>-5.8494619152757004</v>
      </c>
      <c r="BF52" s="113">
        <f t="shared" si="108"/>
        <v>5.8494619152757004</v>
      </c>
      <c r="BG52" s="113">
        <f t="shared" si="109"/>
        <v>1.9538167941391773</v>
      </c>
      <c r="BH52" s="34">
        <f t="shared" si="110"/>
        <v>1434.0286677350061</v>
      </c>
      <c r="BI52" s="34">
        <f t="shared" si="111"/>
        <v>-85.971332264993862</v>
      </c>
      <c r="BJ52" s="34">
        <f t="shared" si="112"/>
        <v>85.971332264993862</v>
      </c>
      <c r="BK52" s="113">
        <f t="shared" si="113"/>
        <v>-5.6560087016443328</v>
      </c>
      <c r="BL52" s="113">
        <f t="shared" si="114"/>
        <v>5.6560087016443328</v>
      </c>
      <c r="BM52" s="113">
        <f t="shared" si="115"/>
        <v>1.9393761228388735</v>
      </c>
      <c r="BN52" s="34">
        <f t="shared" si="116"/>
        <v>1404.3478260869565</v>
      </c>
      <c r="BO52" s="34">
        <f t="shared" si="117"/>
        <v>-115.6521739130435</v>
      </c>
      <c r="BP52" s="34">
        <f t="shared" si="118"/>
        <v>115.6521739130435</v>
      </c>
      <c r="BQ52" s="113">
        <f t="shared" si="119"/>
        <v>-7.6086956521739149</v>
      </c>
      <c r="BR52" s="113">
        <f t="shared" si="120"/>
        <v>7.6086956521739149</v>
      </c>
      <c r="BS52" s="113">
        <f t="shared" si="121"/>
        <v>2.066892836654346</v>
      </c>
      <c r="BT52" s="34">
        <f t="shared" si="122"/>
        <v>1402.4473</v>
      </c>
      <c r="BU52" s="34">
        <f t="shared" si="123"/>
        <v>-117.55269999999996</v>
      </c>
      <c r="BV52" s="34">
        <f t="shared" si="124"/>
        <v>117.55269999999996</v>
      </c>
      <c r="BW52" s="34">
        <f t="shared" si="125"/>
        <v>1389.0937699171457</v>
      </c>
      <c r="BX52" s="34">
        <f t="shared" si="126"/>
        <v>-130.90623008285434</v>
      </c>
      <c r="BY52" s="34">
        <f t="shared" si="127"/>
        <v>130.90623008285434</v>
      </c>
    </row>
    <row r="53" spans="1:77" ht="16" x14ac:dyDescent="0.2">
      <c r="A53" s="206" t="s">
        <v>465</v>
      </c>
      <c r="B53" t="s">
        <v>868</v>
      </c>
      <c r="C53" s="224" t="s">
        <v>824</v>
      </c>
      <c r="D53" s="35" t="s">
        <v>148</v>
      </c>
      <c r="E53" s="35" t="s">
        <v>374</v>
      </c>
      <c r="F53" s="35" t="s">
        <v>580</v>
      </c>
      <c r="G53" s="147">
        <v>1530</v>
      </c>
      <c r="H53" s="147">
        <v>1530</v>
      </c>
      <c r="I53" s="35" t="s">
        <v>627</v>
      </c>
      <c r="J53" s="147">
        <v>375</v>
      </c>
      <c r="K53" s="147">
        <v>352</v>
      </c>
      <c r="L53" s="28"/>
      <c r="M53" s="35" t="s">
        <v>488</v>
      </c>
      <c r="N53" s="33">
        <f t="shared" si="64"/>
        <v>1622.7650000000001</v>
      </c>
      <c r="O53" s="33">
        <f t="shared" si="65"/>
        <v>1705.5050000000001</v>
      </c>
      <c r="P53" s="33">
        <f t="shared" si="66"/>
        <v>1785.4740131564872</v>
      </c>
      <c r="Q53" s="33">
        <f t="shared" si="67"/>
        <v>1613.5545</v>
      </c>
      <c r="R53" s="33">
        <f t="shared" si="68"/>
        <v>1573.164159116835</v>
      </c>
      <c r="S53" s="33">
        <f t="shared" si="69"/>
        <v>1593.4631300088072</v>
      </c>
      <c r="T53" s="33">
        <f t="shared" si="70"/>
        <v>1604.0901464543242</v>
      </c>
      <c r="U53" s="33">
        <f t="shared" si="71"/>
        <v>1562.5</v>
      </c>
      <c r="V53" s="33">
        <f t="shared" si="72"/>
        <v>1561.0025000000001</v>
      </c>
      <c r="W53" s="33">
        <f t="shared" si="73"/>
        <v>1544.4743063915053</v>
      </c>
      <c r="X53" s="34">
        <f t="shared" si="74"/>
        <v>1585.7395999999999</v>
      </c>
      <c r="Y53" s="34">
        <f t="shared" si="75"/>
        <v>55.739599999999882</v>
      </c>
      <c r="Z53" s="34">
        <f t="shared" si="76"/>
        <v>55.739599999999882</v>
      </c>
      <c r="AA53" s="113">
        <f t="shared" si="77"/>
        <v>3.6431111111111032</v>
      </c>
      <c r="AB53" s="113">
        <f t="shared" si="78"/>
        <v>3.6431111111111032</v>
      </c>
      <c r="AC53" s="113">
        <f t="shared" si="79"/>
        <v>1.7538862698030633</v>
      </c>
      <c r="AD53" s="34">
        <f t="shared" si="80"/>
        <v>1632.5147999999999</v>
      </c>
      <c r="AE53" s="34">
        <f t="shared" si="81"/>
        <v>102.51479999999992</v>
      </c>
      <c r="AF53" s="34">
        <f t="shared" si="82"/>
        <v>102.51479999999992</v>
      </c>
      <c r="AG53" s="113">
        <f t="shared" si="83"/>
        <v>6.700313725490191</v>
      </c>
      <c r="AH53" s="113">
        <f t="shared" si="84"/>
        <v>6.700313725490191</v>
      </c>
      <c r="AI53" s="113">
        <f t="shared" si="85"/>
        <v>2.0150024473660868</v>
      </c>
      <c r="AJ53" s="34">
        <f t="shared" si="86"/>
        <v>1534.6326947976752</v>
      </c>
      <c r="AK53" s="34">
        <f t="shared" si="87"/>
        <v>4.6326947976751853</v>
      </c>
      <c r="AL53" s="34">
        <f t="shared" si="88"/>
        <v>4.6326947976751853</v>
      </c>
      <c r="AM53" s="113">
        <f t="shared" si="89"/>
        <v>0.30279050965197291</v>
      </c>
      <c r="AN53" s="113">
        <f t="shared" si="90"/>
        <v>0.30279050965197291</v>
      </c>
      <c r="AO53" s="113">
        <f t="shared" si="91"/>
        <v>0.7507162200305838</v>
      </c>
      <c r="AP53" s="34">
        <f t="shared" si="92"/>
        <v>1670.0727999999999</v>
      </c>
      <c r="AQ53" s="34">
        <f t="shared" si="93"/>
        <v>140.07279999999992</v>
      </c>
      <c r="AR53" s="34">
        <f t="shared" si="94"/>
        <v>140.07279999999992</v>
      </c>
      <c r="AS53" s="113">
        <f t="shared" si="95"/>
        <v>9.1550849673202546</v>
      </c>
      <c r="AT53" s="113">
        <f t="shared" si="96"/>
        <v>9.1550849673202546</v>
      </c>
      <c r="AU53" s="113">
        <f t="shared" si="97"/>
        <v>2.1494432862657709</v>
      </c>
      <c r="AV53" s="34">
        <f t="shared" si="98"/>
        <v>1553.703691823559</v>
      </c>
      <c r="AW53" s="34">
        <f t="shared" si="99"/>
        <v>23.703691823558984</v>
      </c>
      <c r="AX53" s="34">
        <f t="shared" si="100"/>
        <v>23.703691823558984</v>
      </c>
      <c r="AY53" s="113">
        <f t="shared" si="101"/>
        <v>1.5492609035005873</v>
      </c>
      <c r="AZ53" s="113">
        <f t="shared" si="102"/>
        <v>1.5492609035005873</v>
      </c>
      <c r="BA53" s="113">
        <f t="shared" si="103"/>
        <v>1.3927618609029462</v>
      </c>
      <c r="BB53" s="34">
        <f t="shared" si="104"/>
        <v>1572.6371446579628</v>
      </c>
      <c r="BC53" s="34">
        <f t="shared" si="105"/>
        <v>42.637144657962835</v>
      </c>
      <c r="BD53" s="34">
        <f t="shared" si="106"/>
        <v>42.637144657962835</v>
      </c>
      <c r="BE53" s="113">
        <f t="shared" si="107"/>
        <v>2.7867414809126037</v>
      </c>
      <c r="BF53" s="113">
        <f t="shared" si="108"/>
        <v>2.7867414809126037</v>
      </c>
      <c r="BG53" s="113">
        <f t="shared" si="109"/>
        <v>1.6398563253292129</v>
      </c>
      <c r="BH53" s="34">
        <f t="shared" si="110"/>
        <v>1582.1134213543144</v>
      </c>
      <c r="BI53" s="34">
        <f t="shared" si="111"/>
        <v>52.113421354314369</v>
      </c>
      <c r="BJ53" s="34">
        <f t="shared" si="112"/>
        <v>52.113421354314369</v>
      </c>
      <c r="BK53" s="113">
        <f t="shared" si="113"/>
        <v>3.4061059708702199</v>
      </c>
      <c r="BL53" s="113">
        <f t="shared" si="114"/>
        <v>3.4061059708702199</v>
      </c>
      <c r="BM53" s="113">
        <f t="shared" si="115"/>
        <v>1.7252042778349019</v>
      </c>
      <c r="BN53" s="34">
        <f t="shared" si="116"/>
        <v>1530.4347826086955</v>
      </c>
      <c r="BO53" s="34">
        <f t="shared" si="117"/>
        <v>0.43478260869551377</v>
      </c>
      <c r="BP53" s="34">
        <f t="shared" si="118"/>
        <v>0.43478260869551377</v>
      </c>
      <c r="BQ53" s="113">
        <f t="shared" si="119"/>
        <v>2.8417163967027041E-2</v>
      </c>
      <c r="BR53" s="113">
        <f t="shared" si="120"/>
        <v>2.8417163967027041E-2</v>
      </c>
      <c r="BS53" s="113">
        <f t="shared" si="121"/>
        <v>0.15678610386025271</v>
      </c>
      <c r="BT53" s="34">
        <f t="shared" si="122"/>
        <v>1536.2272</v>
      </c>
      <c r="BU53" s="34">
        <f t="shared" si="123"/>
        <v>6.2272000000000389</v>
      </c>
      <c r="BV53" s="34">
        <f t="shared" si="124"/>
        <v>6.2272000000000389</v>
      </c>
      <c r="BW53" s="34">
        <f t="shared" si="125"/>
        <v>1520.2676060915858</v>
      </c>
      <c r="BX53" s="34">
        <f t="shared" si="126"/>
        <v>-9.7323939084142239</v>
      </c>
      <c r="BY53" s="34">
        <f t="shared" si="127"/>
        <v>9.7323939084142239</v>
      </c>
    </row>
    <row r="54" spans="1:77" ht="16" x14ac:dyDescent="0.2">
      <c r="A54" s="206" t="s">
        <v>465</v>
      </c>
      <c r="B54" t="s">
        <v>874</v>
      </c>
      <c r="C54" s="224" t="s">
        <v>824</v>
      </c>
      <c r="D54" s="35" t="s">
        <v>148</v>
      </c>
      <c r="E54" s="35" t="s">
        <v>374</v>
      </c>
      <c r="F54" s="35" t="s">
        <v>580</v>
      </c>
      <c r="G54" s="147">
        <v>1540</v>
      </c>
      <c r="H54" s="147">
        <v>1540</v>
      </c>
      <c r="I54" s="35" t="s">
        <v>627</v>
      </c>
      <c r="J54" s="147">
        <v>368</v>
      </c>
      <c r="K54" s="147">
        <v>350</v>
      </c>
      <c r="L54" s="28"/>
      <c r="M54" s="35" t="s">
        <v>488</v>
      </c>
      <c r="N54" s="33">
        <f t="shared" si="64"/>
        <v>1594.7411999999999</v>
      </c>
      <c r="O54" s="33">
        <f t="shared" si="65"/>
        <v>1666.3820000000001</v>
      </c>
      <c r="P54" s="33">
        <f t="shared" si="66"/>
        <v>1745.6366576857342</v>
      </c>
      <c r="Q54" s="33">
        <f t="shared" si="67"/>
        <v>1580.0616</v>
      </c>
      <c r="R54" s="33">
        <f t="shared" si="68"/>
        <v>1537.6827799731977</v>
      </c>
      <c r="S54" s="33">
        <f t="shared" si="69"/>
        <v>1560.8629627260837</v>
      </c>
      <c r="T54" s="33">
        <f t="shared" si="70"/>
        <v>1569.9112035924754</v>
      </c>
      <c r="U54" s="33">
        <f t="shared" si="71"/>
        <v>1533.3333333333335</v>
      </c>
      <c r="V54" s="33">
        <f t="shared" si="72"/>
        <v>1530.3068000000001</v>
      </c>
      <c r="W54" s="33">
        <f t="shared" si="73"/>
        <v>1514.4279764243515</v>
      </c>
      <c r="X54" s="34">
        <f t="shared" si="74"/>
        <v>1577.4199999999998</v>
      </c>
      <c r="Y54" s="34">
        <f t="shared" si="75"/>
        <v>37.419999999999845</v>
      </c>
      <c r="Z54" s="34">
        <f t="shared" si="76"/>
        <v>37.419999999999845</v>
      </c>
      <c r="AA54" s="113">
        <f t="shared" si="77"/>
        <v>2.4298701298701197</v>
      </c>
      <c r="AB54" s="113">
        <f t="shared" si="78"/>
        <v>2.4298701298701197</v>
      </c>
      <c r="AC54" s="113">
        <f t="shared" si="79"/>
        <v>1.5845573605256731</v>
      </c>
      <c r="AD54" s="34">
        <f t="shared" si="80"/>
        <v>1621.5950000000003</v>
      </c>
      <c r="AE54" s="34">
        <f t="shared" si="81"/>
        <v>81.595000000000255</v>
      </c>
      <c r="AF54" s="34">
        <f t="shared" si="82"/>
        <v>81.595000000000255</v>
      </c>
      <c r="AG54" s="113">
        <f t="shared" si="83"/>
        <v>5.2983766233766394</v>
      </c>
      <c r="AH54" s="113">
        <f t="shared" si="84"/>
        <v>5.2983766233766394</v>
      </c>
      <c r="AI54" s="113">
        <f t="shared" si="85"/>
        <v>1.9169537575124573</v>
      </c>
      <c r="AJ54" s="34">
        <f t="shared" si="86"/>
        <v>1523.7184930875339</v>
      </c>
      <c r="AK54" s="34">
        <f t="shared" si="87"/>
        <v>-16.281506912466057</v>
      </c>
      <c r="AL54" s="34">
        <f t="shared" si="88"/>
        <v>16.281506912466057</v>
      </c>
      <c r="AM54" s="113">
        <f t="shared" si="89"/>
        <v>-1.0572407086016919</v>
      </c>
      <c r="AN54" s="113">
        <f t="shared" si="90"/>
        <v>1.0572407086016919</v>
      </c>
      <c r="AO54" s="113">
        <f t="shared" si="91"/>
        <v>1.2375816093948886</v>
      </c>
      <c r="AP54" s="34">
        <f t="shared" si="92"/>
        <v>1659.557</v>
      </c>
      <c r="AQ54" s="34">
        <f t="shared" si="93"/>
        <v>119.55700000000002</v>
      </c>
      <c r="AR54" s="34">
        <f t="shared" si="94"/>
        <v>119.55700000000002</v>
      </c>
      <c r="AS54" s="113">
        <f t="shared" si="95"/>
        <v>7.7634415584415599</v>
      </c>
      <c r="AT54" s="113">
        <f t="shared" si="96"/>
        <v>7.7634415584415599</v>
      </c>
      <c r="AU54" s="113">
        <f t="shared" si="97"/>
        <v>2.0811924322424051</v>
      </c>
      <c r="AV54" s="34">
        <f t="shared" si="98"/>
        <v>1543.0195689310374</v>
      </c>
      <c r="AW54" s="34">
        <f t="shared" si="99"/>
        <v>3.0195689310373837</v>
      </c>
      <c r="AX54" s="34">
        <f t="shared" si="100"/>
        <v>3.0195689310373837</v>
      </c>
      <c r="AY54" s="113">
        <f t="shared" si="101"/>
        <v>0.1960759046128171</v>
      </c>
      <c r="AZ54" s="113">
        <f t="shared" si="102"/>
        <v>0.1960759046128171</v>
      </c>
      <c r="BA54" s="113">
        <f t="shared" si="103"/>
        <v>0.60417948071881977</v>
      </c>
      <c r="BB54" s="34">
        <f t="shared" si="104"/>
        <v>1562.8376746187287</v>
      </c>
      <c r="BC54" s="34">
        <f t="shared" si="105"/>
        <v>22.83767461872867</v>
      </c>
      <c r="BD54" s="34">
        <f t="shared" si="106"/>
        <v>22.83767461872867</v>
      </c>
      <c r="BE54" s="113">
        <f t="shared" si="107"/>
        <v>1.4829658843330307</v>
      </c>
      <c r="BF54" s="113">
        <f t="shared" si="108"/>
        <v>1.4829658843330307</v>
      </c>
      <c r="BG54" s="113">
        <f t="shared" si="109"/>
        <v>1.3772638874142105</v>
      </c>
      <c r="BH54" s="34">
        <f t="shared" si="110"/>
        <v>1571.8428543056348</v>
      </c>
      <c r="BI54" s="34">
        <f t="shared" si="111"/>
        <v>31.842854305634773</v>
      </c>
      <c r="BJ54" s="34">
        <f t="shared" si="112"/>
        <v>31.842854305634773</v>
      </c>
      <c r="BK54" s="113">
        <f t="shared" si="113"/>
        <v>2.0677178120542061</v>
      </c>
      <c r="BL54" s="113">
        <f t="shared" si="114"/>
        <v>2.0677178120542061</v>
      </c>
      <c r="BM54" s="113">
        <f t="shared" si="115"/>
        <v>1.5164408937372731</v>
      </c>
      <c r="BN54" s="34">
        <f t="shared" si="116"/>
        <v>1521.7391304347825</v>
      </c>
      <c r="BO54" s="34">
        <f t="shared" si="117"/>
        <v>-18.26086956521749</v>
      </c>
      <c r="BP54" s="34">
        <f t="shared" si="118"/>
        <v>18.26086956521749</v>
      </c>
      <c r="BQ54" s="113">
        <f t="shared" si="119"/>
        <v>-1.1857707509881485</v>
      </c>
      <c r="BR54" s="113">
        <f t="shared" si="120"/>
        <v>1.1857707509881485</v>
      </c>
      <c r="BS54" s="113">
        <f t="shared" si="121"/>
        <v>1.2846758902054789</v>
      </c>
      <c r="BT54" s="34">
        <f t="shared" si="122"/>
        <v>1527.001</v>
      </c>
      <c r="BU54" s="34">
        <f t="shared" si="123"/>
        <v>-12.999000000000024</v>
      </c>
      <c r="BV54" s="34">
        <f t="shared" si="124"/>
        <v>12.999000000000024</v>
      </c>
      <c r="BW54" s="34">
        <f t="shared" si="125"/>
        <v>1511.203423833394</v>
      </c>
      <c r="BX54" s="34">
        <f t="shared" si="126"/>
        <v>-28.796576166605973</v>
      </c>
      <c r="BY54" s="34">
        <f t="shared" si="127"/>
        <v>28.796576166605973</v>
      </c>
    </row>
    <row r="55" spans="1:77" ht="16" x14ac:dyDescent="0.2">
      <c r="A55" s="206" t="s">
        <v>465</v>
      </c>
      <c r="B55" t="s">
        <v>879</v>
      </c>
      <c r="C55" s="224" t="s">
        <v>824</v>
      </c>
      <c r="D55" s="35" t="s">
        <v>148</v>
      </c>
      <c r="E55" s="35" t="s">
        <v>374</v>
      </c>
      <c r="F55" s="35" t="s">
        <v>580</v>
      </c>
      <c r="G55" s="147">
        <v>1550</v>
      </c>
      <c r="H55" s="147">
        <v>1550</v>
      </c>
      <c r="I55" s="35" t="s">
        <v>627</v>
      </c>
      <c r="J55" s="147">
        <v>370</v>
      </c>
      <c r="K55" s="147">
        <v>355</v>
      </c>
      <c r="L55" s="28"/>
      <c r="M55" s="35" t="s">
        <v>488</v>
      </c>
      <c r="N55" s="33">
        <f t="shared" si="64"/>
        <v>1602.748</v>
      </c>
      <c r="O55" s="33">
        <f t="shared" si="65"/>
        <v>1677.5600000000004</v>
      </c>
      <c r="P55" s="33">
        <f t="shared" si="66"/>
        <v>1757.003615057326</v>
      </c>
      <c r="Q55" s="33">
        <f t="shared" si="67"/>
        <v>1589.6309999999999</v>
      </c>
      <c r="R55" s="33">
        <f t="shared" si="68"/>
        <v>1547.8059307841538</v>
      </c>
      <c r="S55" s="33">
        <f t="shared" si="69"/>
        <v>1570.171208730731</v>
      </c>
      <c r="T55" s="33">
        <f t="shared" si="70"/>
        <v>1579.6672074490571</v>
      </c>
      <c r="U55" s="33">
        <f t="shared" si="71"/>
        <v>1541.6666666666667</v>
      </c>
      <c r="V55" s="33">
        <f t="shared" si="72"/>
        <v>1539.077</v>
      </c>
      <c r="W55" s="33">
        <f t="shared" si="73"/>
        <v>1523.0101779015938</v>
      </c>
      <c r="X55" s="34">
        <f t="shared" si="74"/>
        <v>1598.2189999999998</v>
      </c>
      <c r="Y55" s="34">
        <f t="shared" si="75"/>
        <v>48.218999999999824</v>
      </c>
      <c r="Z55" s="34">
        <f t="shared" si="76"/>
        <v>48.218999999999824</v>
      </c>
      <c r="AA55" s="113">
        <f t="shared" si="77"/>
        <v>3.1109032258064402</v>
      </c>
      <c r="AB55" s="113">
        <f t="shared" si="78"/>
        <v>3.1109032258064402</v>
      </c>
      <c r="AC55" s="113">
        <f t="shared" si="79"/>
        <v>1.692132785740335</v>
      </c>
      <c r="AD55" s="34">
        <f t="shared" si="80"/>
        <v>1648.8944999999999</v>
      </c>
      <c r="AE55" s="34">
        <f t="shared" si="81"/>
        <v>98.89449999999988</v>
      </c>
      <c r="AF55" s="34">
        <f t="shared" si="82"/>
        <v>98.89449999999988</v>
      </c>
      <c r="AG55" s="113">
        <f t="shared" si="83"/>
        <v>6.3802903225806364</v>
      </c>
      <c r="AH55" s="113">
        <f t="shared" si="84"/>
        <v>6.3802903225806364</v>
      </c>
      <c r="AI55" s="113">
        <f t="shared" si="85"/>
        <v>1.9995415774611602</v>
      </c>
      <c r="AJ55" s="34">
        <f t="shared" si="86"/>
        <v>1551.0333685373969</v>
      </c>
      <c r="AK55" s="34">
        <f t="shared" si="87"/>
        <v>1.0333685373968819</v>
      </c>
      <c r="AL55" s="34">
        <f t="shared" si="88"/>
        <v>1.0333685373968819</v>
      </c>
      <c r="AM55" s="113">
        <f t="shared" si="89"/>
        <v>6.6668937896573022E-2</v>
      </c>
      <c r="AN55" s="113">
        <f t="shared" si="90"/>
        <v>6.6668937896573022E-2</v>
      </c>
      <c r="AO55" s="113">
        <f t="shared" si="91"/>
        <v>0.30821609937218114</v>
      </c>
      <c r="AP55" s="34">
        <f t="shared" si="92"/>
        <v>1685.8465000000001</v>
      </c>
      <c r="AQ55" s="34">
        <f t="shared" si="93"/>
        <v>135.84650000000011</v>
      </c>
      <c r="AR55" s="34">
        <f t="shared" si="94"/>
        <v>135.84650000000011</v>
      </c>
      <c r="AS55" s="113">
        <f t="shared" si="95"/>
        <v>8.7642903225806528</v>
      </c>
      <c r="AT55" s="113">
        <f t="shared" si="96"/>
        <v>8.7642903225806528</v>
      </c>
      <c r="AU55" s="113">
        <f t="shared" si="97"/>
        <v>2.1362336943283515</v>
      </c>
      <c r="AV55" s="34">
        <f t="shared" si="98"/>
        <v>1569.7538893051656</v>
      </c>
      <c r="AW55" s="34">
        <f t="shared" si="99"/>
        <v>19.753889305165558</v>
      </c>
      <c r="AX55" s="34">
        <f t="shared" si="100"/>
        <v>19.753889305165558</v>
      </c>
      <c r="AY55" s="113">
        <f t="shared" si="101"/>
        <v>1.2744444713010037</v>
      </c>
      <c r="AZ55" s="113">
        <f t="shared" si="102"/>
        <v>1.2744444713010037</v>
      </c>
      <c r="BA55" s="113">
        <f t="shared" si="103"/>
        <v>1.3170994960115745</v>
      </c>
      <c r="BB55" s="34">
        <f t="shared" si="104"/>
        <v>1587.3464705158938</v>
      </c>
      <c r="BC55" s="34">
        <f t="shared" si="105"/>
        <v>37.34647051589377</v>
      </c>
      <c r="BD55" s="34">
        <f t="shared" si="106"/>
        <v>37.34647051589377</v>
      </c>
      <c r="BE55" s="113">
        <f t="shared" si="107"/>
        <v>2.4094497107028241</v>
      </c>
      <c r="BF55" s="113">
        <f t="shared" si="108"/>
        <v>2.4094497107028241</v>
      </c>
      <c r="BG55" s="113">
        <f t="shared" si="109"/>
        <v>1.5837253968114215</v>
      </c>
      <c r="BH55" s="34">
        <f t="shared" si="110"/>
        <v>1597.534912277416</v>
      </c>
      <c r="BI55" s="34">
        <f t="shared" si="111"/>
        <v>47.53491227741597</v>
      </c>
      <c r="BJ55" s="34">
        <f t="shared" si="112"/>
        <v>47.53491227741597</v>
      </c>
      <c r="BK55" s="113">
        <f t="shared" si="113"/>
        <v>3.0667685340268367</v>
      </c>
      <c r="BL55" s="113">
        <f t="shared" si="114"/>
        <v>3.0667685340268367</v>
      </c>
      <c r="BM55" s="113">
        <f t="shared" si="115"/>
        <v>1.6860542490117816</v>
      </c>
      <c r="BN55" s="34">
        <f t="shared" si="116"/>
        <v>1543.4782608695652</v>
      </c>
      <c r="BO55" s="34">
        <f t="shared" si="117"/>
        <v>-6.521739130434753</v>
      </c>
      <c r="BP55" s="34">
        <f t="shared" si="118"/>
        <v>6.521739130434753</v>
      </c>
      <c r="BQ55" s="113">
        <f t="shared" si="119"/>
        <v>-0.42075736325385504</v>
      </c>
      <c r="BR55" s="113">
        <f t="shared" si="120"/>
        <v>0.42075736325385504</v>
      </c>
      <c r="BS55" s="113">
        <f t="shared" si="121"/>
        <v>0.87631826711120087</v>
      </c>
      <c r="BT55" s="34">
        <f t="shared" si="122"/>
        <v>1550.0664999999999</v>
      </c>
      <c r="BU55" s="34">
        <f t="shared" si="123"/>
        <v>6.6499999999905413E-2</v>
      </c>
      <c r="BV55" s="34">
        <f t="shared" si="124"/>
        <v>6.6499999999905413E-2</v>
      </c>
      <c r="BW55" s="34">
        <f t="shared" si="125"/>
        <v>1533.8686558308164</v>
      </c>
      <c r="BX55" s="34">
        <f t="shared" si="126"/>
        <v>-16.131344169183649</v>
      </c>
      <c r="BY55" s="34">
        <f t="shared" si="127"/>
        <v>16.131344169183649</v>
      </c>
    </row>
    <row r="56" spans="1:77" ht="16" x14ac:dyDescent="0.2">
      <c r="A56" s="206" t="s">
        <v>465</v>
      </c>
      <c r="B56" t="s">
        <v>866</v>
      </c>
      <c r="C56" s="224" t="s">
        <v>824</v>
      </c>
      <c r="D56" s="35" t="s">
        <v>148</v>
      </c>
      <c r="E56" s="35" t="s">
        <v>374</v>
      </c>
      <c r="F56" s="35" t="s">
        <v>580</v>
      </c>
      <c r="G56" s="147">
        <v>1565</v>
      </c>
      <c r="H56" s="147">
        <v>1565</v>
      </c>
      <c r="I56" s="35" t="s">
        <v>627</v>
      </c>
      <c r="J56" s="147">
        <v>357</v>
      </c>
      <c r="K56" s="147">
        <v>344</v>
      </c>
      <c r="L56" s="28"/>
      <c r="M56" s="35" t="s">
        <v>488</v>
      </c>
      <c r="N56" s="33">
        <f t="shared" si="64"/>
        <v>1550.7038</v>
      </c>
      <c r="O56" s="33">
        <f t="shared" si="65"/>
        <v>1604.9030000000002</v>
      </c>
      <c r="P56" s="33">
        <f t="shared" si="66"/>
        <v>1683.3378135813773</v>
      </c>
      <c r="Q56" s="33">
        <f t="shared" si="67"/>
        <v>1527.4298999999999</v>
      </c>
      <c r="R56" s="33">
        <f t="shared" si="68"/>
        <v>1482.2138430689924</v>
      </c>
      <c r="S56" s="33">
        <f t="shared" si="69"/>
        <v>1509.7559556476579</v>
      </c>
      <c r="T56" s="33">
        <f t="shared" si="70"/>
        <v>1516.3896204691716</v>
      </c>
      <c r="U56" s="33">
        <f t="shared" si="71"/>
        <v>1487.5</v>
      </c>
      <c r="V56" s="33">
        <f t="shared" si="72"/>
        <v>1482.0707</v>
      </c>
      <c r="W56" s="33">
        <f t="shared" si="73"/>
        <v>1467.2616626847771</v>
      </c>
      <c r="X56" s="34">
        <f t="shared" si="74"/>
        <v>1552.4612</v>
      </c>
      <c r="Y56" s="34">
        <f t="shared" si="75"/>
        <v>-12.538800000000037</v>
      </c>
      <c r="Z56" s="34">
        <f t="shared" si="76"/>
        <v>12.538800000000037</v>
      </c>
      <c r="AA56" s="113">
        <f t="shared" si="77"/>
        <v>-0.80120127795527385</v>
      </c>
      <c r="AB56" s="113">
        <f t="shared" si="78"/>
        <v>0.80120127795527385</v>
      </c>
      <c r="AC56" s="113">
        <f t="shared" si="79"/>
        <v>1.131580172733647</v>
      </c>
      <c r="AD56" s="34">
        <f t="shared" si="80"/>
        <v>1588.8355999999999</v>
      </c>
      <c r="AE56" s="34">
        <f t="shared" si="81"/>
        <v>23.835599999999886</v>
      </c>
      <c r="AF56" s="34">
        <f t="shared" si="82"/>
        <v>23.835599999999886</v>
      </c>
      <c r="AG56" s="113">
        <f t="shared" si="83"/>
        <v>1.5230415335463185</v>
      </c>
      <c r="AH56" s="113">
        <f t="shared" si="84"/>
        <v>1.5230415335463185</v>
      </c>
      <c r="AI56" s="113">
        <f t="shared" si="85"/>
        <v>1.3950746565213548</v>
      </c>
      <c r="AJ56" s="34">
        <f t="shared" si="86"/>
        <v>1491.0706144150934</v>
      </c>
      <c r="AK56" s="34">
        <f t="shared" si="87"/>
        <v>-73.92938558490664</v>
      </c>
      <c r="AL56" s="34">
        <f t="shared" si="88"/>
        <v>73.92938558490664</v>
      </c>
      <c r="AM56" s="113">
        <f t="shared" si="89"/>
        <v>-4.7239224015914782</v>
      </c>
      <c r="AN56" s="113">
        <f t="shared" si="90"/>
        <v>4.7239224015914782</v>
      </c>
      <c r="AO56" s="113">
        <f t="shared" si="91"/>
        <v>1.8746521714319637</v>
      </c>
      <c r="AP56" s="34">
        <f t="shared" si="92"/>
        <v>1628.0096000000001</v>
      </c>
      <c r="AQ56" s="34">
        <f t="shared" si="93"/>
        <v>63.009600000000091</v>
      </c>
      <c r="AR56" s="34">
        <f t="shared" si="94"/>
        <v>63.009600000000091</v>
      </c>
      <c r="AS56" s="113">
        <f t="shared" si="95"/>
        <v>4.0261725239616668</v>
      </c>
      <c r="AT56" s="113">
        <f t="shared" si="96"/>
        <v>4.0261725239616668</v>
      </c>
      <c r="AU56" s="113">
        <f t="shared" si="97"/>
        <v>1.8062451132708488</v>
      </c>
      <c r="AV56" s="34">
        <f t="shared" si="98"/>
        <v>1511.04468002675</v>
      </c>
      <c r="AW56" s="34">
        <f t="shared" si="99"/>
        <v>-53.955319973249971</v>
      </c>
      <c r="AX56" s="34">
        <f t="shared" si="100"/>
        <v>53.955319973249971</v>
      </c>
      <c r="AY56" s="113">
        <f t="shared" si="101"/>
        <v>-3.4476242794408924</v>
      </c>
      <c r="AZ56" s="113">
        <f t="shared" si="102"/>
        <v>3.4476242794408924</v>
      </c>
      <c r="BA56" s="113">
        <f t="shared" si="103"/>
        <v>1.7400097408576241</v>
      </c>
      <c r="BB56" s="34">
        <f t="shared" si="104"/>
        <v>1533.4719588804367</v>
      </c>
      <c r="BC56" s="34">
        <f t="shared" si="105"/>
        <v>-31.528041119563341</v>
      </c>
      <c r="BD56" s="34">
        <f t="shared" si="106"/>
        <v>31.528041119563341</v>
      </c>
      <c r="BE56" s="113">
        <f t="shared" si="107"/>
        <v>-2.0145713175439837</v>
      </c>
      <c r="BF56" s="113">
        <f t="shared" si="108"/>
        <v>2.0145713175439837</v>
      </c>
      <c r="BG56" s="113">
        <f t="shared" si="109"/>
        <v>1.5122579102975349</v>
      </c>
      <c r="BH56" s="34">
        <f t="shared" si="110"/>
        <v>1541.0816536214795</v>
      </c>
      <c r="BI56" s="34">
        <f t="shared" si="111"/>
        <v>-23.918346378520482</v>
      </c>
      <c r="BJ56" s="34">
        <f t="shared" si="112"/>
        <v>23.918346378520482</v>
      </c>
      <c r="BK56" s="113">
        <f t="shared" si="113"/>
        <v>-1.5283288420779861</v>
      </c>
      <c r="BL56" s="113">
        <f t="shared" si="114"/>
        <v>1.5283288420779861</v>
      </c>
      <c r="BM56" s="113">
        <f t="shared" si="115"/>
        <v>1.3965192184641679</v>
      </c>
      <c r="BN56" s="34">
        <f t="shared" si="116"/>
        <v>1495.6521739130435</v>
      </c>
      <c r="BO56" s="34">
        <f t="shared" si="117"/>
        <v>-69.347826086956502</v>
      </c>
      <c r="BP56" s="34">
        <f t="shared" si="118"/>
        <v>69.347826086956502</v>
      </c>
      <c r="BQ56" s="113">
        <f t="shared" si="119"/>
        <v>-4.4311709959716614</v>
      </c>
      <c r="BR56" s="113">
        <f t="shared" si="120"/>
        <v>4.4311709959716614</v>
      </c>
      <c r="BS56" s="113">
        <f t="shared" si="121"/>
        <v>1.8472506812586604</v>
      </c>
      <c r="BT56" s="34">
        <f t="shared" si="122"/>
        <v>1499.3224</v>
      </c>
      <c r="BU56" s="34">
        <f t="shared" si="123"/>
        <v>-65.677599999999984</v>
      </c>
      <c r="BV56" s="34">
        <f t="shared" si="124"/>
        <v>65.677599999999984</v>
      </c>
      <c r="BW56" s="34">
        <f t="shared" si="125"/>
        <v>1484.0263143420711</v>
      </c>
      <c r="BX56" s="34">
        <f t="shared" si="126"/>
        <v>-80.973685657928854</v>
      </c>
      <c r="BY56" s="34">
        <f t="shared" si="127"/>
        <v>80.973685657928854</v>
      </c>
    </row>
    <row r="57" spans="1:77" ht="16" x14ac:dyDescent="0.2">
      <c r="A57" s="206" t="s">
        <v>465</v>
      </c>
      <c r="B57" t="s">
        <v>871</v>
      </c>
      <c r="C57" s="224" t="s">
        <v>824</v>
      </c>
      <c r="D57" s="35" t="s">
        <v>148</v>
      </c>
      <c r="E57" s="35" t="s">
        <v>374</v>
      </c>
      <c r="F57" s="35" t="s">
        <v>580</v>
      </c>
      <c r="G57" s="147">
        <v>1575</v>
      </c>
      <c r="H57" s="147">
        <v>1575</v>
      </c>
      <c r="I57" s="35" t="s">
        <v>627</v>
      </c>
      <c r="J57" s="147">
        <v>365</v>
      </c>
      <c r="K57" s="147">
        <v>346</v>
      </c>
      <c r="L57" s="28"/>
      <c r="M57" s="35" t="s">
        <v>488</v>
      </c>
      <c r="N57" s="33">
        <f t="shared" si="64"/>
        <v>1582.731</v>
      </c>
      <c r="O57" s="33">
        <f t="shared" si="65"/>
        <v>1649.6150000000002</v>
      </c>
      <c r="P57" s="33">
        <f t="shared" si="66"/>
        <v>1728.6091029121608</v>
      </c>
      <c r="Q57" s="33">
        <f t="shared" si="67"/>
        <v>1565.7075</v>
      </c>
      <c r="R57" s="33">
        <f t="shared" si="68"/>
        <v>1522.519787048021</v>
      </c>
      <c r="S57" s="33">
        <f t="shared" si="69"/>
        <v>1546.9097996363096</v>
      </c>
      <c r="T57" s="33">
        <f t="shared" si="70"/>
        <v>1555.2914198825954</v>
      </c>
      <c r="U57" s="33">
        <f t="shared" si="71"/>
        <v>1520.8333333333335</v>
      </c>
      <c r="V57" s="33">
        <f t="shared" si="72"/>
        <v>1517.1515000000002</v>
      </c>
      <c r="W57" s="33">
        <f t="shared" si="73"/>
        <v>1501.5584026002866</v>
      </c>
      <c r="X57" s="34">
        <f t="shared" si="74"/>
        <v>1560.7808</v>
      </c>
      <c r="Y57" s="34">
        <f t="shared" si="75"/>
        <v>-14.219200000000001</v>
      </c>
      <c r="Z57" s="34">
        <f t="shared" si="76"/>
        <v>14.219200000000001</v>
      </c>
      <c r="AA57" s="113">
        <f t="shared" si="77"/>
        <v>-0.90280634920634917</v>
      </c>
      <c r="AB57" s="113">
        <f t="shared" si="78"/>
        <v>0.90280634920634917</v>
      </c>
      <c r="AC57" s="113">
        <f t="shared" si="79"/>
        <v>1.1823918242665599</v>
      </c>
      <c r="AD57" s="34">
        <f t="shared" si="80"/>
        <v>1599.7554</v>
      </c>
      <c r="AE57" s="34">
        <f t="shared" si="81"/>
        <v>24.755400000000009</v>
      </c>
      <c r="AF57" s="34">
        <f t="shared" si="82"/>
        <v>24.755400000000009</v>
      </c>
      <c r="AG57" s="113">
        <f t="shared" si="83"/>
        <v>1.571771428571429</v>
      </c>
      <c r="AH57" s="113">
        <f t="shared" si="84"/>
        <v>1.571771428571429</v>
      </c>
      <c r="AI57" s="113">
        <f t="shared" si="85"/>
        <v>1.410868299176558</v>
      </c>
      <c r="AJ57" s="34">
        <f t="shared" si="86"/>
        <v>1501.9373849828262</v>
      </c>
      <c r="AK57" s="34">
        <f t="shared" si="87"/>
        <v>-73.062615017173812</v>
      </c>
      <c r="AL57" s="34">
        <f t="shared" si="88"/>
        <v>73.062615017173812</v>
      </c>
      <c r="AM57" s="113">
        <f t="shared" si="89"/>
        <v>-4.6388961915665909</v>
      </c>
      <c r="AN57" s="113">
        <f t="shared" si="90"/>
        <v>4.6388961915665909</v>
      </c>
      <c r="AO57" s="113">
        <f t="shared" si="91"/>
        <v>1.8695990421379296</v>
      </c>
      <c r="AP57" s="34">
        <f t="shared" si="92"/>
        <v>1638.5254</v>
      </c>
      <c r="AQ57" s="34">
        <f t="shared" si="93"/>
        <v>63.525399999999991</v>
      </c>
      <c r="AR57" s="34">
        <f t="shared" si="94"/>
        <v>63.525399999999991</v>
      </c>
      <c r="AS57" s="113">
        <f t="shared" si="95"/>
        <v>4.0333587301587297</v>
      </c>
      <c r="AT57" s="113">
        <f t="shared" si="96"/>
        <v>4.0333587301587297</v>
      </c>
      <c r="AU57" s="113">
        <f t="shared" si="97"/>
        <v>1.8097307054631642</v>
      </c>
      <c r="AV57" s="34">
        <f t="shared" si="98"/>
        <v>1521.6900043876008</v>
      </c>
      <c r="AW57" s="34">
        <f t="shared" si="99"/>
        <v>-53.309995612399234</v>
      </c>
      <c r="AX57" s="34">
        <f t="shared" si="100"/>
        <v>53.309995612399234</v>
      </c>
      <c r="AY57" s="113">
        <f t="shared" si="101"/>
        <v>-3.3847616261840781</v>
      </c>
      <c r="AZ57" s="113">
        <f t="shared" si="102"/>
        <v>3.3847616261840781</v>
      </c>
      <c r="BA57" s="113">
        <f t="shared" si="103"/>
        <v>1.7348797677068077</v>
      </c>
      <c r="BB57" s="34">
        <f t="shared" si="104"/>
        <v>1543.2550534015791</v>
      </c>
      <c r="BC57" s="34">
        <f t="shared" si="105"/>
        <v>-31.744946598420938</v>
      </c>
      <c r="BD57" s="34">
        <f t="shared" si="106"/>
        <v>31.744946598420938</v>
      </c>
      <c r="BE57" s="113">
        <f t="shared" si="107"/>
        <v>-2.0155521649791073</v>
      </c>
      <c r="BF57" s="113">
        <f t="shared" si="108"/>
        <v>2.0155521649791073</v>
      </c>
      <c r="BG57" s="113">
        <f t="shared" si="109"/>
        <v>1.5151442865031004</v>
      </c>
      <c r="BH57" s="34">
        <f t="shared" si="110"/>
        <v>1551.3269289152549</v>
      </c>
      <c r="BI57" s="34">
        <f t="shared" si="111"/>
        <v>-23.673071084745061</v>
      </c>
      <c r="BJ57" s="34">
        <f t="shared" si="112"/>
        <v>23.673071084745061</v>
      </c>
      <c r="BK57" s="113">
        <f t="shared" si="113"/>
        <v>-1.5030521323647656</v>
      </c>
      <c r="BL57" s="113">
        <f t="shared" si="114"/>
        <v>1.5030521323647656</v>
      </c>
      <c r="BM57" s="113">
        <f t="shared" si="115"/>
        <v>1.3922232099740406</v>
      </c>
      <c r="BN57" s="34">
        <f t="shared" si="116"/>
        <v>1504.3478260869565</v>
      </c>
      <c r="BO57" s="34">
        <f t="shared" si="117"/>
        <v>-70.652173913043498</v>
      </c>
      <c r="BP57" s="34">
        <f t="shared" si="118"/>
        <v>70.652173913043498</v>
      </c>
      <c r="BQ57" s="113">
        <f t="shared" si="119"/>
        <v>-4.4858523119392695</v>
      </c>
      <c r="BR57" s="113">
        <f t="shared" si="120"/>
        <v>4.4858523119392695</v>
      </c>
      <c r="BS57" s="113">
        <f t="shared" si="121"/>
        <v>1.8552293713435042</v>
      </c>
      <c r="BT57" s="34">
        <f t="shared" si="122"/>
        <v>1508.5486000000001</v>
      </c>
      <c r="BU57" s="34">
        <f t="shared" si="123"/>
        <v>-66.451399999999921</v>
      </c>
      <c r="BV57" s="34">
        <f t="shared" si="124"/>
        <v>66.451399999999921</v>
      </c>
      <c r="BW57" s="34">
        <f t="shared" si="125"/>
        <v>1493.082763877959</v>
      </c>
      <c r="BX57" s="34">
        <f t="shared" si="126"/>
        <v>-81.917236122041004</v>
      </c>
      <c r="BY57" s="34">
        <f t="shared" si="127"/>
        <v>81.917236122041004</v>
      </c>
    </row>
    <row r="58" spans="1:77" ht="16" x14ac:dyDescent="0.2">
      <c r="A58" s="206" t="s">
        <v>465</v>
      </c>
      <c r="B58" t="s">
        <v>870</v>
      </c>
      <c r="C58" s="224" t="s">
        <v>824</v>
      </c>
      <c r="D58" s="35" t="s">
        <v>148</v>
      </c>
      <c r="E58" s="35" t="s">
        <v>374</v>
      </c>
      <c r="F58" s="35" t="s">
        <v>580</v>
      </c>
      <c r="G58" s="147">
        <v>1582</v>
      </c>
      <c r="H58" s="147">
        <v>1582</v>
      </c>
      <c r="I58" s="35" t="s">
        <v>627</v>
      </c>
      <c r="J58" s="147">
        <v>374</v>
      </c>
      <c r="K58" s="147">
        <v>356</v>
      </c>
      <c r="L58" s="28"/>
      <c r="M58" s="35" t="s">
        <v>488</v>
      </c>
      <c r="N58" s="33">
        <f t="shared" si="64"/>
        <v>1618.7616</v>
      </c>
      <c r="O58" s="33">
        <f t="shared" si="65"/>
        <v>1699.9160000000002</v>
      </c>
      <c r="P58" s="33">
        <f t="shared" si="66"/>
        <v>1779.7739019717164</v>
      </c>
      <c r="Q58" s="33">
        <f t="shared" si="67"/>
        <v>1608.7697999999998</v>
      </c>
      <c r="R58" s="33">
        <f t="shared" si="68"/>
        <v>1568.0867834141272</v>
      </c>
      <c r="S58" s="33">
        <f t="shared" si="69"/>
        <v>1588.8023225594759</v>
      </c>
      <c r="T58" s="33">
        <f t="shared" si="70"/>
        <v>1599.2018126191538</v>
      </c>
      <c r="U58" s="33">
        <f t="shared" si="71"/>
        <v>1558.3333333333335</v>
      </c>
      <c r="V58" s="33">
        <f t="shared" si="72"/>
        <v>1556.6174000000001</v>
      </c>
      <c r="W58" s="33">
        <f t="shared" si="73"/>
        <v>1540.1805000698241</v>
      </c>
      <c r="X58" s="34">
        <f t="shared" si="74"/>
        <v>1602.3788</v>
      </c>
      <c r="Y58" s="34">
        <f t="shared" si="75"/>
        <v>20.378799999999956</v>
      </c>
      <c r="Z58" s="34">
        <f t="shared" si="76"/>
        <v>20.378799999999956</v>
      </c>
      <c r="AA58" s="113">
        <f t="shared" si="77"/>
        <v>1.2881668773704142</v>
      </c>
      <c r="AB58" s="113">
        <f t="shared" si="78"/>
        <v>1.2881668773704142</v>
      </c>
      <c r="AC58" s="113">
        <f t="shared" si="79"/>
        <v>1.3299833244459913</v>
      </c>
      <c r="AD58" s="34">
        <f t="shared" si="80"/>
        <v>1654.3544000000002</v>
      </c>
      <c r="AE58" s="34">
        <f t="shared" si="81"/>
        <v>72.354400000000169</v>
      </c>
      <c r="AF58" s="34">
        <f t="shared" si="82"/>
        <v>72.354400000000169</v>
      </c>
      <c r="AG58" s="113">
        <f t="shared" si="83"/>
        <v>4.5736030341340186</v>
      </c>
      <c r="AH58" s="113">
        <f t="shared" si="84"/>
        <v>4.5736030341340186</v>
      </c>
      <c r="AI58" s="113">
        <f t="shared" si="85"/>
        <v>1.8654261691460212</v>
      </c>
      <c r="AJ58" s="34">
        <f t="shared" si="86"/>
        <v>1556.5080590179973</v>
      </c>
      <c r="AK58" s="34">
        <f t="shared" si="87"/>
        <v>-25.491940982002689</v>
      </c>
      <c r="AL58" s="34">
        <f t="shared" si="88"/>
        <v>25.491940982002689</v>
      </c>
      <c r="AM58" s="113">
        <f t="shared" si="89"/>
        <v>-1.6113742719344304</v>
      </c>
      <c r="AN58" s="113">
        <f t="shared" si="90"/>
        <v>1.6113742719344304</v>
      </c>
      <c r="AO58" s="113">
        <f t="shared" si="91"/>
        <v>1.423113778866957</v>
      </c>
      <c r="AP58" s="34">
        <f t="shared" si="92"/>
        <v>1691.1043999999999</v>
      </c>
      <c r="AQ58" s="34">
        <f t="shared" si="93"/>
        <v>109.10439999999994</v>
      </c>
      <c r="AR58" s="34">
        <f t="shared" si="94"/>
        <v>109.10439999999994</v>
      </c>
      <c r="AS58" s="113">
        <f t="shared" si="95"/>
        <v>6.8966118836915262</v>
      </c>
      <c r="AT58" s="113">
        <f t="shared" si="96"/>
        <v>6.8966118836915262</v>
      </c>
      <c r="AU58" s="113">
        <f t="shared" si="97"/>
        <v>2.0418046746260492</v>
      </c>
      <c r="AV58" s="34">
        <f t="shared" si="98"/>
        <v>1575.110330090185</v>
      </c>
      <c r="AW58" s="34">
        <f t="shared" si="99"/>
        <v>-6.8896699098149838</v>
      </c>
      <c r="AX58" s="34">
        <f t="shared" si="100"/>
        <v>6.8896699098149838</v>
      </c>
      <c r="AY58" s="113">
        <f t="shared" si="101"/>
        <v>-0.43550378696681319</v>
      </c>
      <c r="AZ58" s="113">
        <f t="shared" si="102"/>
        <v>0.43550378696681319</v>
      </c>
      <c r="BA58" s="113">
        <f t="shared" si="103"/>
        <v>0.89705883345723625</v>
      </c>
      <c r="BB58" s="34">
        <f t="shared" si="104"/>
        <v>1592.2522642489546</v>
      </c>
      <c r="BC58" s="34">
        <f t="shared" si="105"/>
        <v>10.252264248954589</v>
      </c>
      <c r="BD58" s="34">
        <f t="shared" si="106"/>
        <v>10.252264248954589</v>
      </c>
      <c r="BE58" s="113">
        <f t="shared" si="107"/>
        <v>0.6480571585938425</v>
      </c>
      <c r="BF58" s="113">
        <f t="shared" si="108"/>
        <v>0.6480571585938425</v>
      </c>
      <c r="BG58" s="113">
        <f t="shared" si="109"/>
        <v>1.0512399226146776</v>
      </c>
      <c r="BH58" s="34">
        <f t="shared" si="110"/>
        <v>1602.6795598195727</v>
      </c>
      <c r="BI58" s="34">
        <f t="shared" si="111"/>
        <v>20.67955981957266</v>
      </c>
      <c r="BJ58" s="34">
        <f t="shared" si="112"/>
        <v>20.67955981957266</v>
      </c>
      <c r="BK58" s="113">
        <f t="shared" si="113"/>
        <v>1.3071782439679305</v>
      </c>
      <c r="BL58" s="113">
        <f t="shared" si="114"/>
        <v>1.3071782439679305</v>
      </c>
      <c r="BM58" s="113">
        <f t="shared" si="115"/>
        <v>1.3360504600678551</v>
      </c>
      <c r="BN58" s="34">
        <f t="shared" si="116"/>
        <v>1547.8260869565217</v>
      </c>
      <c r="BO58" s="34">
        <f t="shared" si="117"/>
        <v>-34.173913043478251</v>
      </c>
      <c r="BP58" s="34">
        <f t="shared" si="118"/>
        <v>34.173913043478251</v>
      </c>
      <c r="BQ58" s="113">
        <f t="shared" si="119"/>
        <v>-2.1601714945308625</v>
      </c>
      <c r="BR58" s="113">
        <f t="shared" si="120"/>
        <v>2.1601714945308625</v>
      </c>
      <c r="BS58" s="113">
        <f t="shared" si="121"/>
        <v>1.5462206855946794</v>
      </c>
      <c r="BT58" s="34">
        <f t="shared" si="122"/>
        <v>1554.6795999999999</v>
      </c>
      <c r="BU58" s="34">
        <f t="shared" si="123"/>
        <v>-27.320400000000063</v>
      </c>
      <c r="BV58" s="34">
        <f t="shared" si="124"/>
        <v>27.320400000000063</v>
      </c>
      <c r="BW58" s="34">
        <f t="shared" si="125"/>
        <v>1538.4036059335306</v>
      </c>
      <c r="BX58" s="34">
        <f t="shared" si="126"/>
        <v>-43.596394066469429</v>
      </c>
      <c r="BY58" s="34">
        <f t="shared" si="127"/>
        <v>43.596394066469429</v>
      </c>
    </row>
    <row r="59" spans="1:77" ht="16" x14ac:dyDescent="0.2">
      <c r="A59" s="206" t="s">
        <v>465</v>
      </c>
      <c r="B59" t="s">
        <v>865</v>
      </c>
      <c r="C59" s="224" t="s">
        <v>824</v>
      </c>
      <c r="D59" s="35" t="s">
        <v>148</v>
      </c>
      <c r="E59" s="35" t="s">
        <v>374</v>
      </c>
      <c r="F59" s="35" t="s">
        <v>580</v>
      </c>
      <c r="G59" s="147">
        <v>1598</v>
      </c>
      <c r="H59" s="147">
        <v>1598</v>
      </c>
      <c r="I59" s="35" t="s">
        <v>627</v>
      </c>
      <c r="J59" s="147">
        <v>375</v>
      </c>
      <c r="K59" s="147">
        <v>359</v>
      </c>
      <c r="L59" s="28"/>
      <c r="M59" s="35" t="s">
        <v>488</v>
      </c>
      <c r="N59" s="33">
        <f t="shared" si="64"/>
        <v>1622.7650000000001</v>
      </c>
      <c r="O59" s="33">
        <f t="shared" si="65"/>
        <v>1705.5050000000001</v>
      </c>
      <c r="P59" s="33">
        <f t="shared" si="66"/>
        <v>1785.4740131564872</v>
      </c>
      <c r="Q59" s="33">
        <f t="shared" si="67"/>
        <v>1613.5545</v>
      </c>
      <c r="R59" s="33">
        <f t="shared" si="68"/>
        <v>1573.164159116835</v>
      </c>
      <c r="S59" s="33">
        <f t="shared" si="69"/>
        <v>1593.4631300088072</v>
      </c>
      <c r="T59" s="33">
        <f t="shared" si="70"/>
        <v>1604.0901464543242</v>
      </c>
      <c r="U59" s="33">
        <f t="shared" si="71"/>
        <v>1562.5</v>
      </c>
      <c r="V59" s="33">
        <f t="shared" si="72"/>
        <v>1561.0025000000001</v>
      </c>
      <c r="W59" s="33">
        <f t="shared" si="73"/>
        <v>1544.4743063915053</v>
      </c>
      <c r="X59" s="34">
        <f t="shared" si="74"/>
        <v>1614.8581999999999</v>
      </c>
      <c r="Y59" s="34">
        <f t="shared" si="75"/>
        <v>16.858199999999897</v>
      </c>
      <c r="Z59" s="34">
        <f t="shared" si="76"/>
        <v>16.858199999999897</v>
      </c>
      <c r="AA59" s="113">
        <f t="shared" si="77"/>
        <v>1.0549561952440487</v>
      </c>
      <c r="AB59" s="113">
        <f t="shared" si="78"/>
        <v>1.0549561952440487</v>
      </c>
      <c r="AC59" s="113">
        <f t="shared" si="79"/>
        <v>1.2518376824661328</v>
      </c>
      <c r="AD59" s="34">
        <f t="shared" si="80"/>
        <v>1670.7341000000001</v>
      </c>
      <c r="AE59" s="34">
        <f t="shared" si="81"/>
        <v>72.734100000000126</v>
      </c>
      <c r="AF59" s="34">
        <f t="shared" si="82"/>
        <v>72.734100000000126</v>
      </c>
      <c r="AG59" s="113">
        <f t="shared" si="83"/>
        <v>4.5515707133917473</v>
      </c>
      <c r="AH59" s="113">
        <f t="shared" si="84"/>
        <v>4.5515707133917473</v>
      </c>
      <c r="AI59" s="113">
        <f t="shared" si="85"/>
        <v>1.867668383609723</v>
      </c>
      <c r="AJ59" s="34">
        <f t="shared" si="86"/>
        <v>1572.955413661964</v>
      </c>
      <c r="AK59" s="34">
        <f t="shared" si="87"/>
        <v>-25.04458633803597</v>
      </c>
      <c r="AL59" s="34">
        <f t="shared" si="88"/>
        <v>25.04458633803597</v>
      </c>
      <c r="AM59" s="113">
        <f t="shared" si="89"/>
        <v>-1.5672457032563185</v>
      </c>
      <c r="AN59" s="113">
        <f t="shared" si="90"/>
        <v>1.5672457032563185</v>
      </c>
      <c r="AO59" s="113">
        <f t="shared" si="91"/>
        <v>1.415717463994286</v>
      </c>
      <c r="AP59" s="34">
        <f t="shared" si="92"/>
        <v>1706.8780999999999</v>
      </c>
      <c r="AQ59" s="34">
        <f t="shared" si="93"/>
        <v>108.8780999999999</v>
      </c>
      <c r="AR59" s="34">
        <f t="shared" si="94"/>
        <v>108.8780999999999</v>
      </c>
      <c r="AS59" s="113">
        <f t="shared" si="95"/>
        <v>6.8133979974968648</v>
      </c>
      <c r="AT59" s="113">
        <f t="shared" si="96"/>
        <v>6.8133979974968648</v>
      </c>
      <c r="AU59" s="113">
        <f t="shared" si="97"/>
        <v>2.0409111410411169</v>
      </c>
      <c r="AV59" s="34">
        <f t="shared" si="98"/>
        <v>1591.1986785327085</v>
      </c>
      <c r="AW59" s="34">
        <f t="shared" si="99"/>
        <v>-6.8013214672914728</v>
      </c>
      <c r="AX59" s="34">
        <f t="shared" si="100"/>
        <v>6.8013214672914728</v>
      </c>
      <c r="AY59" s="113">
        <f t="shared" si="101"/>
        <v>-0.42561460996817729</v>
      </c>
      <c r="AZ59" s="113">
        <f t="shared" si="102"/>
        <v>0.42561460996817729</v>
      </c>
      <c r="BA59" s="113">
        <f t="shared" si="103"/>
        <v>0.8921681741447034</v>
      </c>
      <c r="BB59" s="34">
        <f t="shared" si="104"/>
        <v>1606.9776531869206</v>
      </c>
      <c r="BC59" s="34">
        <f t="shared" si="105"/>
        <v>8.9776531869206337</v>
      </c>
      <c r="BD59" s="34">
        <f t="shared" si="106"/>
        <v>8.9776531869206337</v>
      </c>
      <c r="BE59" s="113">
        <f t="shared" si="107"/>
        <v>0.56180558115898838</v>
      </c>
      <c r="BF59" s="113">
        <f t="shared" si="108"/>
        <v>0.56180558115898838</v>
      </c>
      <c r="BG59" s="113">
        <f t="shared" si="109"/>
        <v>0.99902840423091677</v>
      </c>
      <c r="BH59" s="34">
        <f t="shared" si="110"/>
        <v>1618.1258843048238</v>
      </c>
      <c r="BI59" s="34">
        <f t="shared" si="111"/>
        <v>20.125884304823785</v>
      </c>
      <c r="BJ59" s="34">
        <f t="shared" si="112"/>
        <v>20.125884304823785</v>
      </c>
      <c r="BK59" s="113">
        <f t="shared" si="113"/>
        <v>1.2594420716410379</v>
      </c>
      <c r="BL59" s="113">
        <f t="shared" si="114"/>
        <v>1.2594420716410379</v>
      </c>
      <c r="BM59" s="113">
        <f t="shared" si="115"/>
        <v>1.3248148970616005</v>
      </c>
      <c r="BN59" s="34">
        <f t="shared" si="116"/>
        <v>1560.8695652173913</v>
      </c>
      <c r="BO59" s="34">
        <f t="shared" si="117"/>
        <v>-37.130434782608745</v>
      </c>
      <c r="BP59" s="34">
        <f t="shared" si="118"/>
        <v>37.130434782608745</v>
      </c>
      <c r="BQ59" s="113">
        <f t="shared" si="119"/>
        <v>-2.3235566196876563</v>
      </c>
      <c r="BR59" s="113">
        <f t="shared" si="120"/>
        <v>2.3235566196876563</v>
      </c>
      <c r="BS59" s="113">
        <f t="shared" si="121"/>
        <v>1.5812717573484483</v>
      </c>
      <c r="BT59" s="34">
        <f t="shared" si="122"/>
        <v>1568.5189</v>
      </c>
      <c r="BU59" s="34">
        <f t="shared" si="123"/>
        <v>-29.481099999999969</v>
      </c>
      <c r="BV59" s="34">
        <f t="shared" si="124"/>
        <v>29.481099999999969</v>
      </c>
      <c r="BW59" s="34">
        <f t="shared" si="125"/>
        <v>1552.0122331736516</v>
      </c>
      <c r="BX59" s="34">
        <f t="shared" si="126"/>
        <v>-45.987766826348434</v>
      </c>
      <c r="BY59" s="34">
        <f t="shared" si="127"/>
        <v>45.987766826348434</v>
      </c>
    </row>
    <row r="60" spans="1:77" ht="15" x14ac:dyDescent="0.2">
      <c r="A60" s="206" t="s">
        <v>465</v>
      </c>
      <c r="B60" s="28" t="s">
        <v>426</v>
      </c>
      <c r="C60" s="28" t="s">
        <v>458</v>
      </c>
      <c r="D60" s="208" t="s">
        <v>82</v>
      </c>
      <c r="E60" s="35" t="s">
        <v>374</v>
      </c>
      <c r="F60" s="35" t="s">
        <v>580</v>
      </c>
      <c r="G60" s="141">
        <v>1620</v>
      </c>
      <c r="H60" s="141">
        <v>1620</v>
      </c>
      <c r="I60" s="35" t="s">
        <v>627</v>
      </c>
      <c r="J60" s="141">
        <v>390</v>
      </c>
      <c r="K60" s="141">
        <v>375</v>
      </c>
      <c r="L60" s="141">
        <v>504</v>
      </c>
      <c r="M60" s="35" t="s">
        <v>37</v>
      </c>
      <c r="N60" s="33">
        <f t="shared" si="64"/>
        <v>1682.816</v>
      </c>
      <c r="O60" s="33">
        <f t="shared" si="65"/>
        <v>1789.3400000000001</v>
      </c>
      <c r="P60" s="33">
        <f t="shared" si="66"/>
        <v>1871.3324880467017</v>
      </c>
      <c r="Q60" s="33">
        <f t="shared" si="67"/>
        <v>1685.3249999999998</v>
      </c>
      <c r="R60" s="33">
        <f t="shared" si="68"/>
        <v>1649.6638428362296</v>
      </c>
      <c r="S60" s="33">
        <f t="shared" si="69"/>
        <v>1663.5183363937106</v>
      </c>
      <c r="T60" s="33">
        <f t="shared" si="70"/>
        <v>1677.6365442719857</v>
      </c>
      <c r="U60" s="33">
        <f t="shared" si="71"/>
        <v>1625</v>
      </c>
      <c r="V60" s="33">
        <f t="shared" si="72"/>
        <v>1626.779</v>
      </c>
      <c r="W60" s="33">
        <f t="shared" si="73"/>
        <v>1608.9392536904463</v>
      </c>
      <c r="X60" s="34">
        <f t="shared" si="74"/>
        <v>1681.415</v>
      </c>
      <c r="Y60" s="34">
        <f t="shared" si="75"/>
        <v>61.414999999999964</v>
      </c>
      <c r="Z60" s="34">
        <f t="shared" si="76"/>
        <v>61.414999999999964</v>
      </c>
      <c r="AA60" s="113">
        <f t="shared" si="77"/>
        <v>3.791049382716047</v>
      </c>
      <c r="AB60" s="113">
        <f t="shared" si="78"/>
        <v>3.791049382716047</v>
      </c>
      <c r="AC60" s="113">
        <f t="shared" si="79"/>
        <v>1.7952889748486283</v>
      </c>
      <c r="AD60" s="34">
        <f t="shared" si="80"/>
        <v>1758.0925000000002</v>
      </c>
      <c r="AE60" s="34">
        <f t="shared" si="81"/>
        <v>138.0925000000002</v>
      </c>
      <c r="AF60" s="34">
        <f t="shared" si="82"/>
        <v>138.0925000000002</v>
      </c>
      <c r="AG60" s="113">
        <f t="shared" si="83"/>
        <v>8.5242283950617406</v>
      </c>
      <c r="AH60" s="113">
        <f t="shared" si="84"/>
        <v>8.5242283950617406</v>
      </c>
      <c r="AI60" s="113">
        <f t="shared" si="85"/>
        <v>2.1433037130515107</v>
      </c>
      <c r="AJ60" s="34">
        <f t="shared" si="86"/>
        <v>1661.2564193478629</v>
      </c>
      <c r="AK60" s="34">
        <f t="shared" si="87"/>
        <v>41.256419347862902</v>
      </c>
      <c r="AL60" s="34">
        <f t="shared" si="88"/>
        <v>41.256419347862902</v>
      </c>
      <c r="AM60" s="113">
        <f t="shared" si="89"/>
        <v>2.5466925523372161</v>
      </c>
      <c r="AN60" s="113">
        <f t="shared" si="90"/>
        <v>2.5466925523372161</v>
      </c>
      <c r="AO60" s="113">
        <f t="shared" si="91"/>
        <v>1.6258926937729015</v>
      </c>
      <c r="AP60" s="34">
        <f t="shared" si="92"/>
        <v>1791.0045</v>
      </c>
      <c r="AQ60" s="34">
        <f t="shared" si="93"/>
        <v>171.00450000000001</v>
      </c>
      <c r="AR60" s="34">
        <f t="shared" si="94"/>
        <v>171.00450000000001</v>
      </c>
      <c r="AS60" s="113">
        <f t="shared" si="95"/>
        <v>10.555833333333334</v>
      </c>
      <c r="AT60" s="113">
        <f t="shared" si="96"/>
        <v>10.555833333333334</v>
      </c>
      <c r="AU60" s="113">
        <f t="shared" si="97"/>
        <v>2.2355398091145471</v>
      </c>
      <c r="AV60" s="34">
        <f t="shared" si="98"/>
        <v>1677.4782483335548</v>
      </c>
      <c r="AW60" s="34">
        <f t="shared" si="99"/>
        <v>57.478248333554802</v>
      </c>
      <c r="AX60" s="34">
        <f t="shared" si="100"/>
        <v>57.478248333554802</v>
      </c>
      <c r="AY60" s="113">
        <f t="shared" si="101"/>
        <v>3.5480400205898022</v>
      </c>
      <c r="AZ60" s="113">
        <f t="shared" si="102"/>
        <v>3.5480400205898022</v>
      </c>
      <c r="BA60" s="113">
        <f t="shared" si="103"/>
        <v>1.7669943552209255</v>
      </c>
      <c r="BB60" s="34">
        <f t="shared" si="104"/>
        <v>1685.7125808519991</v>
      </c>
      <c r="BC60" s="34">
        <f t="shared" si="105"/>
        <v>65.712580851999064</v>
      </c>
      <c r="BD60" s="34">
        <f t="shared" si="106"/>
        <v>65.712580851999064</v>
      </c>
      <c r="BE60" s="113">
        <f t="shared" si="107"/>
        <v>4.0563321513579673</v>
      </c>
      <c r="BF60" s="113">
        <f t="shared" si="108"/>
        <v>4.0563321513579673</v>
      </c>
      <c r="BG60" s="113">
        <f t="shared" si="109"/>
        <v>1.8242077421531206</v>
      </c>
      <c r="BH60" s="34">
        <f t="shared" si="110"/>
        <v>1700.8150471457745</v>
      </c>
      <c r="BI60" s="34">
        <f t="shared" si="111"/>
        <v>80.815047145774543</v>
      </c>
      <c r="BJ60" s="34">
        <f t="shared" si="112"/>
        <v>80.815047145774543</v>
      </c>
      <c r="BK60" s="113">
        <f t="shared" si="113"/>
        <v>4.9885831571465769</v>
      </c>
      <c r="BL60" s="113">
        <f t="shared" si="114"/>
        <v>4.9885831571465769</v>
      </c>
      <c r="BM60" s="113">
        <f t="shared" si="115"/>
        <v>1.9128331849843281</v>
      </c>
      <c r="BN60" s="34">
        <f t="shared" si="116"/>
        <v>1630.4347826086955</v>
      </c>
      <c r="BO60" s="34">
        <f t="shared" si="117"/>
        <v>10.434782608695514</v>
      </c>
      <c r="BP60" s="34">
        <f t="shared" si="118"/>
        <v>10.434782608695514</v>
      </c>
      <c r="BQ60" s="113">
        <f t="shared" si="119"/>
        <v>0.64412238325280957</v>
      </c>
      <c r="BR60" s="113">
        <f t="shared" si="120"/>
        <v>0.64412238325280957</v>
      </c>
      <c r="BS60" s="113">
        <f t="shared" si="121"/>
        <v>1.0582279124721596</v>
      </c>
      <c r="BT60" s="34">
        <f t="shared" si="122"/>
        <v>1642.3285000000001</v>
      </c>
      <c r="BU60" s="34">
        <f t="shared" si="123"/>
        <v>22.328500000000076</v>
      </c>
      <c r="BV60" s="34">
        <f t="shared" si="124"/>
        <v>22.328500000000076</v>
      </c>
      <c r="BW60" s="34">
        <f t="shared" si="125"/>
        <v>1624.6856021566555</v>
      </c>
      <c r="BX60" s="34">
        <f t="shared" si="126"/>
        <v>4.6856021566554773</v>
      </c>
      <c r="BY60" s="34">
        <f t="shared" si="127"/>
        <v>4.6856021566554773</v>
      </c>
    </row>
    <row r="61" spans="1:77" ht="16" x14ac:dyDescent="0.2">
      <c r="A61" s="206" t="s">
        <v>465</v>
      </c>
      <c r="B61" t="s">
        <v>851</v>
      </c>
      <c r="C61" s="224" t="s">
        <v>824</v>
      </c>
      <c r="D61" s="35" t="s">
        <v>148</v>
      </c>
      <c r="E61" s="35" t="s">
        <v>374</v>
      </c>
      <c r="F61" s="35" t="s">
        <v>580</v>
      </c>
      <c r="G61" s="147">
        <v>1622</v>
      </c>
      <c r="H61" s="147">
        <v>1622</v>
      </c>
      <c r="I61" s="35" t="s">
        <v>627</v>
      </c>
      <c r="J61" s="147">
        <v>362</v>
      </c>
      <c r="K61" s="147">
        <v>345</v>
      </c>
      <c r="L61" s="28"/>
      <c r="M61" s="35" t="s">
        <v>488</v>
      </c>
      <c r="N61" s="33">
        <f t="shared" si="64"/>
        <v>1570.7208000000001</v>
      </c>
      <c r="O61" s="33">
        <f t="shared" si="65"/>
        <v>1632.848</v>
      </c>
      <c r="P61" s="33">
        <f t="shared" si="66"/>
        <v>1711.609166616151</v>
      </c>
      <c r="Q61" s="33">
        <f t="shared" si="67"/>
        <v>1551.3534</v>
      </c>
      <c r="R61" s="33">
        <f t="shared" si="68"/>
        <v>1507.3830244223295</v>
      </c>
      <c r="S61" s="33">
        <f t="shared" si="69"/>
        <v>1532.9677565349434</v>
      </c>
      <c r="T61" s="33">
        <f t="shared" si="70"/>
        <v>1540.6888095106331</v>
      </c>
      <c r="U61" s="33">
        <f t="shared" si="71"/>
        <v>1508.3333333333335</v>
      </c>
      <c r="V61" s="33">
        <f t="shared" si="72"/>
        <v>1503.9962</v>
      </c>
      <c r="W61" s="33">
        <f t="shared" si="73"/>
        <v>1488.6933341508668</v>
      </c>
      <c r="X61" s="34">
        <f t="shared" si="74"/>
        <v>1556.6209999999999</v>
      </c>
      <c r="Y61" s="34">
        <f t="shared" si="75"/>
        <v>-65.379000000000133</v>
      </c>
      <c r="Z61" s="34">
        <f t="shared" si="76"/>
        <v>65.379000000000133</v>
      </c>
      <c r="AA61" s="113">
        <f t="shared" si="77"/>
        <v>-4.0307644882860743</v>
      </c>
      <c r="AB61" s="113">
        <f t="shared" si="78"/>
        <v>4.0307644882860743</v>
      </c>
      <c r="AC61" s="113">
        <f t="shared" si="79"/>
        <v>1.8220307054731102</v>
      </c>
      <c r="AD61" s="34">
        <f t="shared" si="80"/>
        <v>1594.2955000000002</v>
      </c>
      <c r="AE61" s="34">
        <f t="shared" si="81"/>
        <v>-27.704499999999825</v>
      </c>
      <c r="AF61" s="34">
        <f t="shared" si="82"/>
        <v>27.704499999999825</v>
      </c>
      <c r="AG61" s="113">
        <f t="shared" si="83"/>
        <v>-1.7080456226880285</v>
      </c>
      <c r="AH61" s="113">
        <f t="shared" si="84"/>
        <v>1.7080456226880285</v>
      </c>
      <c r="AI61" s="113">
        <f t="shared" si="85"/>
        <v>1.4579499863497016</v>
      </c>
      <c r="AJ61" s="34">
        <f t="shared" si="86"/>
        <v>1496.5020106051334</v>
      </c>
      <c r="AK61" s="34">
        <f t="shared" si="87"/>
        <v>-125.49798939486664</v>
      </c>
      <c r="AL61" s="34">
        <f t="shared" si="88"/>
        <v>125.49798939486664</v>
      </c>
      <c r="AM61" s="113">
        <f t="shared" si="89"/>
        <v>-7.7372373239745151</v>
      </c>
      <c r="AN61" s="113">
        <f t="shared" si="90"/>
        <v>7.7372373239745151</v>
      </c>
      <c r="AO61" s="113">
        <f t="shared" si="91"/>
        <v>2.1020836227319624</v>
      </c>
      <c r="AP61" s="34">
        <f t="shared" si="92"/>
        <v>1633.2674999999999</v>
      </c>
      <c r="AQ61" s="34">
        <f t="shared" si="93"/>
        <v>11.267499999999927</v>
      </c>
      <c r="AR61" s="34">
        <f t="shared" si="94"/>
        <v>11.267499999999927</v>
      </c>
      <c r="AS61" s="113">
        <f t="shared" si="95"/>
        <v>0.69466707768186975</v>
      </c>
      <c r="AT61" s="113">
        <f t="shared" si="96"/>
        <v>0.69466707768186975</v>
      </c>
      <c r="AU61" s="113">
        <f t="shared" si="97"/>
        <v>1.0887560666529505</v>
      </c>
      <c r="AV61" s="34">
        <f t="shared" si="98"/>
        <v>1516.3657145505204</v>
      </c>
      <c r="AW61" s="34">
        <f t="shared" si="99"/>
        <v>-105.63428544947965</v>
      </c>
      <c r="AX61" s="34">
        <f t="shared" si="100"/>
        <v>105.63428544947965</v>
      </c>
      <c r="AY61" s="113">
        <f t="shared" si="101"/>
        <v>-6.5125946639629868</v>
      </c>
      <c r="AZ61" s="113">
        <f t="shared" si="102"/>
        <v>6.5125946639629868</v>
      </c>
      <c r="BA61" s="113">
        <f t="shared" si="103"/>
        <v>2.0278968631100756</v>
      </c>
      <c r="BB61" s="34">
        <f t="shared" si="104"/>
        <v>1538.3628184878016</v>
      </c>
      <c r="BC61" s="34">
        <f t="shared" si="105"/>
        <v>-83.637181512198367</v>
      </c>
      <c r="BD61" s="34">
        <f t="shared" si="106"/>
        <v>83.637181512198367</v>
      </c>
      <c r="BE61" s="113">
        <f t="shared" si="107"/>
        <v>-5.156423027879061</v>
      </c>
      <c r="BF61" s="113">
        <f t="shared" si="108"/>
        <v>5.156423027879061</v>
      </c>
      <c r="BG61" s="113">
        <f t="shared" si="109"/>
        <v>1.9275611925682332</v>
      </c>
      <c r="BH61" s="34">
        <f t="shared" si="110"/>
        <v>1546.2032296189091</v>
      </c>
      <c r="BI61" s="34">
        <f t="shared" si="111"/>
        <v>-75.796770381090937</v>
      </c>
      <c r="BJ61" s="34">
        <f t="shared" si="112"/>
        <v>75.796770381090937</v>
      </c>
      <c r="BK61" s="113">
        <f t="shared" si="113"/>
        <v>-4.6730437966147305</v>
      </c>
      <c r="BL61" s="113">
        <f t="shared" si="114"/>
        <v>4.6730437966147305</v>
      </c>
      <c r="BM61" s="113">
        <f t="shared" si="115"/>
        <v>1.8853429565528257</v>
      </c>
      <c r="BN61" s="34">
        <f t="shared" si="116"/>
        <v>1500</v>
      </c>
      <c r="BO61" s="34">
        <f t="shared" si="117"/>
        <v>-122</v>
      </c>
      <c r="BP61" s="34">
        <f t="shared" si="118"/>
        <v>122</v>
      </c>
      <c r="BQ61" s="113">
        <f t="shared" si="119"/>
        <v>-7.5215782983970403</v>
      </c>
      <c r="BR61" s="113">
        <f t="shared" si="120"/>
        <v>7.5215782983970403</v>
      </c>
      <c r="BS61" s="113">
        <f t="shared" si="121"/>
        <v>2.0899051114393981</v>
      </c>
      <c r="BT61" s="34">
        <f t="shared" si="122"/>
        <v>1503.9355</v>
      </c>
      <c r="BU61" s="34">
        <f t="shared" si="123"/>
        <v>-118.06449999999995</v>
      </c>
      <c r="BV61" s="34">
        <f t="shared" si="124"/>
        <v>118.06449999999995</v>
      </c>
      <c r="BW61" s="34">
        <f t="shared" si="125"/>
        <v>1488.5542142586655</v>
      </c>
      <c r="BX61" s="34">
        <f t="shared" si="126"/>
        <v>-133.44578574133448</v>
      </c>
      <c r="BY61" s="34">
        <f t="shared" si="127"/>
        <v>133.44578574133448</v>
      </c>
    </row>
    <row r="62" spans="1:77" ht="15" x14ac:dyDescent="0.2">
      <c r="A62" s="206" t="s">
        <v>465</v>
      </c>
      <c r="B62" s="28" t="s">
        <v>459</v>
      </c>
      <c r="C62" s="28" t="s">
        <v>458</v>
      </c>
      <c r="D62" s="208" t="s">
        <v>82</v>
      </c>
      <c r="E62" s="35" t="s">
        <v>374</v>
      </c>
      <c r="F62" s="35" t="s">
        <v>580</v>
      </c>
      <c r="G62" s="141">
        <v>1640</v>
      </c>
      <c r="H62" s="141">
        <v>1640</v>
      </c>
      <c r="I62" s="35" t="s">
        <v>627</v>
      </c>
      <c r="J62" s="141">
        <v>375</v>
      </c>
      <c r="K62" s="141">
        <v>358</v>
      </c>
      <c r="L62" s="141">
        <v>481</v>
      </c>
      <c r="M62" s="35" t="s">
        <v>37</v>
      </c>
      <c r="N62" s="33">
        <f t="shared" si="64"/>
        <v>1622.7650000000001</v>
      </c>
      <c r="O62" s="33">
        <f t="shared" si="65"/>
        <v>1705.5050000000001</v>
      </c>
      <c r="P62" s="33">
        <f t="shared" si="66"/>
        <v>1785.4740131564872</v>
      </c>
      <c r="Q62" s="33">
        <f t="shared" si="67"/>
        <v>1613.5545</v>
      </c>
      <c r="R62" s="33">
        <f t="shared" si="68"/>
        <v>1573.164159116835</v>
      </c>
      <c r="S62" s="33">
        <f t="shared" si="69"/>
        <v>1593.4631300088072</v>
      </c>
      <c r="T62" s="33">
        <f t="shared" si="70"/>
        <v>1604.0901464543242</v>
      </c>
      <c r="U62" s="33">
        <f t="shared" si="71"/>
        <v>1562.5</v>
      </c>
      <c r="V62" s="33">
        <f t="shared" si="72"/>
        <v>1561.0025000000001</v>
      </c>
      <c r="W62" s="33">
        <f t="shared" si="73"/>
        <v>1544.4743063915053</v>
      </c>
      <c r="X62" s="34">
        <f t="shared" si="74"/>
        <v>1610.6984</v>
      </c>
      <c r="Y62" s="34">
        <f t="shared" si="75"/>
        <v>-29.301600000000008</v>
      </c>
      <c r="Z62" s="34">
        <f t="shared" si="76"/>
        <v>29.301600000000008</v>
      </c>
      <c r="AA62" s="113">
        <f t="shared" si="77"/>
        <v>-1.7866829268292688</v>
      </c>
      <c r="AB62" s="113">
        <f t="shared" si="78"/>
        <v>1.7866829268292688</v>
      </c>
      <c r="AC62" s="113">
        <f t="shared" si="79"/>
        <v>1.4814655609387823</v>
      </c>
      <c r="AD62" s="34">
        <f t="shared" si="80"/>
        <v>1665.2742000000003</v>
      </c>
      <c r="AE62" s="34">
        <f t="shared" si="81"/>
        <v>25.274200000000292</v>
      </c>
      <c r="AF62" s="34">
        <f t="shared" si="82"/>
        <v>25.274200000000292</v>
      </c>
      <c r="AG62" s="113">
        <f t="shared" si="83"/>
        <v>1.5411097560975786</v>
      </c>
      <c r="AH62" s="113">
        <f t="shared" si="84"/>
        <v>1.5411097560975786</v>
      </c>
      <c r="AI62" s="113">
        <f t="shared" si="85"/>
        <v>1.4195295014510041</v>
      </c>
      <c r="AJ62" s="34">
        <f t="shared" si="86"/>
        <v>1567.4690896987781</v>
      </c>
      <c r="AK62" s="34">
        <f t="shared" si="87"/>
        <v>-72.530910301221866</v>
      </c>
      <c r="AL62" s="34">
        <f t="shared" si="88"/>
        <v>72.530910301221866</v>
      </c>
      <c r="AM62" s="113">
        <f t="shared" si="89"/>
        <v>-4.4226164817818203</v>
      </c>
      <c r="AN62" s="113">
        <f t="shared" si="90"/>
        <v>4.4226164817818203</v>
      </c>
      <c r="AO62" s="113">
        <f t="shared" si="91"/>
        <v>1.8664699425030935</v>
      </c>
      <c r="AP62" s="34">
        <f t="shared" si="92"/>
        <v>1701.6202000000001</v>
      </c>
      <c r="AQ62" s="34">
        <f t="shared" si="93"/>
        <v>61.620200000000068</v>
      </c>
      <c r="AR62" s="34">
        <f t="shared" si="94"/>
        <v>61.620200000000068</v>
      </c>
      <c r="AS62" s="113">
        <f t="shared" si="95"/>
        <v>3.7573292682926871</v>
      </c>
      <c r="AT62" s="113">
        <f t="shared" si="96"/>
        <v>3.7573292682926871</v>
      </c>
      <c r="AU62" s="113">
        <f t="shared" si="97"/>
        <v>1.7967144503578321</v>
      </c>
      <c r="AV62" s="34">
        <f t="shared" si="98"/>
        <v>1585.8327317070425</v>
      </c>
      <c r="AW62" s="34">
        <f t="shared" si="99"/>
        <v>-54.167268292957488</v>
      </c>
      <c r="AX62" s="34">
        <f t="shared" si="100"/>
        <v>54.167268292957488</v>
      </c>
      <c r="AY62" s="113">
        <f t="shared" si="101"/>
        <v>-3.3028822129852129</v>
      </c>
      <c r="AZ62" s="113">
        <f t="shared" si="102"/>
        <v>3.3028822129852129</v>
      </c>
      <c r="BA62" s="113">
        <f t="shared" si="103"/>
        <v>1.7416814796135898</v>
      </c>
      <c r="BB62" s="34">
        <f t="shared" si="104"/>
        <v>1602.0678589574541</v>
      </c>
      <c r="BC62" s="34">
        <f t="shared" si="105"/>
        <v>-37.932141042545936</v>
      </c>
      <c r="BD62" s="34">
        <f t="shared" si="106"/>
        <v>37.932141042545936</v>
      </c>
      <c r="BE62" s="113">
        <f t="shared" si="107"/>
        <v>-2.3129354294235327</v>
      </c>
      <c r="BF62" s="113">
        <f t="shared" si="108"/>
        <v>2.3129354294235327</v>
      </c>
      <c r="BG62" s="113">
        <f t="shared" si="109"/>
        <v>1.5903082880591524</v>
      </c>
      <c r="BH62" s="34">
        <f t="shared" si="110"/>
        <v>1612.9750507832416</v>
      </c>
      <c r="BI62" s="34">
        <f t="shared" si="111"/>
        <v>-27.024949216758387</v>
      </c>
      <c r="BJ62" s="34">
        <f t="shared" si="112"/>
        <v>27.024949216758387</v>
      </c>
      <c r="BK62" s="113">
        <f t="shared" si="113"/>
        <v>-1.647862757119414</v>
      </c>
      <c r="BL62" s="113">
        <f t="shared" si="114"/>
        <v>1.647862757119414</v>
      </c>
      <c r="BM62" s="113">
        <f t="shared" si="115"/>
        <v>1.447544834294608</v>
      </c>
      <c r="BN62" s="34">
        <f t="shared" si="116"/>
        <v>1556.5217391304348</v>
      </c>
      <c r="BO62" s="34">
        <f t="shared" si="117"/>
        <v>-83.478260869565247</v>
      </c>
      <c r="BP62" s="34">
        <f t="shared" si="118"/>
        <v>83.478260869565247</v>
      </c>
      <c r="BQ62" s="113">
        <f t="shared" si="119"/>
        <v>-5.09013785790032</v>
      </c>
      <c r="BR62" s="113">
        <f t="shared" si="120"/>
        <v>5.09013785790032</v>
      </c>
      <c r="BS62" s="113">
        <f t="shared" si="121"/>
        <v>1.9267449645821897</v>
      </c>
      <c r="BT62" s="34">
        <f t="shared" si="122"/>
        <v>1563.9058</v>
      </c>
      <c r="BU62" s="34">
        <f t="shared" si="123"/>
        <v>-76.094200000000001</v>
      </c>
      <c r="BV62" s="34">
        <f t="shared" si="124"/>
        <v>76.094200000000001</v>
      </c>
      <c r="BW62" s="34">
        <f t="shared" si="125"/>
        <v>1547.4753962794618</v>
      </c>
      <c r="BX62" s="34">
        <f t="shared" si="126"/>
        <v>-92.524603720538153</v>
      </c>
      <c r="BY62" s="34">
        <f t="shared" si="127"/>
        <v>92.524603720538153</v>
      </c>
    </row>
    <row r="63" spans="1:77" ht="16" x14ac:dyDescent="0.2">
      <c r="A63" s="206" t="s">
        <v>465</v>
      </c>
      <c r="B63" t="s">
        <v>882</v>
      </c>
      <c r="C63" s="224" t="s">
        <v>824</v>
      </c>
      <c r="D63" s="35" t="s">
        <v>148</v>
      </c>
      <c r="E63" s="35" t="s">
        <v>374</v>
      </c>
      <c r="F63" s="35" t="s">
        <v>580</v>
      </c>
      <c r="G63" s="147">
        <v>1643</v>
      </c>
      <c r="H63" s="147">
        <v>1643</v>
      </c>
      <c r="I63" s="35" t="s">
        <v>627</v>
      </c>
      <c r="J63" s="147">
        <v>392</v>
      </c>
      <c r="K63" s="147">
        <v>376</v>
      </c>
      <c r="L63" s="28"/>
      <c r="M63" s="35" t="s">
        <v>488</v>
      </c>
      <c r="N63" s="33">
        <f t="shared" si="64"/>
        <v>1690.8228000000001</v>
      </c>
      <c r="O63" s="33">
        <f t="shared" si="65"/>
        <v>1800.5180000000005</v>
      </c>
      <c r="P63" s="33">
        <f t="shared" si="66"/>
        <v>1882.8302004901821</v>
      </c>
      <c r="Q63" s="33">
        <f t="shared" si="67"/>
        <v>1694.8943999999999</v>
      </c>
      <c r="R63" s="33">
        <f t="shared" si="68"/>
        <v>1659.9112418339287</v>
      </c>
      <c r="S63" s="33">
        <f t="shared" si="69"/>
        <v>1672.8790174010835</v>
      </c>
      <c r="T63" s="33">
        <f t="shared" si="70"/>
        <v>1687.4736757592464</v>
      </c>
      <c r="U63" s="33">
        <f t="shared" si="71"/>
        <v>1633.3333333333335</v>
      </c>
      <c r="V63" s="33">
        <f t="shared" si="72"/>
        <v>1635.5492000000002</v>
      </c>
      <c r="W63" s="33">
        <f t="shared" si="73"/>
        <v>1617.5426536863995</v>
      </c>
      <c r="X63" s="34">
        <f t="shared" si="74"/>
        <v>1685.5747999999999</v>
      </c>
      <c r="Y63" s="34">
        <f t="shared" si="75"/>
        <v>42.574799999999868</v>
      </c>
      <c r="Z63" s="34">
        <f t="shared" si="76"/>
        <v>42.574799999999868</v>
      </c>
      <c r="AA63" s="113">
        <f t="shared" si="77"/>
        <v>2.5912842361533701</v>
      </c>
      <c r="AB63" s="113">
        <f t="shared" si="78"/>
        <v>2.5912842361533701</v>
      </c>
      <c r="AC63" s="113">
        <f t="shared" si="79"/>
        <v>1.6392354024579741</v>
      </c>
      <c r="AD63" s="34">
        <f t="shared" si="80"/>
        <v>1763.5524</v>
      </c>
      <c r="AE63" s="34">
        <f t="shared" si="81"/>
        <v>120.55240000000003</v>
      </c>
      <c r="AF63" s="34">
        <f t="shared" si="82"/>
        <v>120.55240000000003</v>
      </c>
      <c r="AG63" s="113">
        <f t="shared" si="83"/>
        <v>7.3373341448569702</v>
      </c>
      <c r="AH63" s="113">
        <f t="shared" si="84"/>
        <v>7.3373341448569702</v>
      </c>
      <c r="AI63" s="113">
        <f t="shared" si="85"/>
        <v>2.0847635382222718</v>
      </c>
      <c r="AJ63" s="34">
        <f t="shared" si="86"/>
        <v>1666.8073264665009</v>
      </c>
      <c r="AK63" s="34">
        <f t="shared" si="87"/>
        <v>23.807326466500854</v>
      </c>
      <c r="AL63" s="34">
        <f t="shared" si="88"/>
        <v>23.807326466500854</v>
      </c>
      <c r="AM63" s="113">
        <f t="shared" si="89"/>
        <v>1.4490156096470392</v>
      </c>
      <c r="AN63" s="113">
        <f t="shared" si="90"/>
        <v>1.4490156096470392</v>
      </c>
      <c r="AO63" s="113">
        <f t="shared" si="91"/>
        <v>1.3945799620388091</v>
      </c>
      <c r="AP63" s="34">
        <f t="shared" si="92"/>
        <v>1796.2624000000001</v>
      </c>
      <c r="AQ63" s="34">
        <f t="shared" si="93"/>
        <v>153.26240000000007</v>
      </c>
      <c r="AR63" s="34">
        <f t="shared" si="94"/>
        <v>153.26240000000007</v>
      </c>
      <c r="AS63" s="113">
        <f t="shared" si="95"/>
        <v>9.3282045039561812</v>
      </c>
      <c r="AT63" s="113">
        <f t="shared" si="96"/>
        <v>9.3282045039561812</v>
      </c>
      <c r="AU63" s="113">
        <f t="shared" si="97"/>
        <v>2.1882600837920201</v>
      </c>
      <c r="AV63" s="34">
        <f t="shared" si="98"/>
        <v>1682.8969077103134</v>
      </c>
      <c r="AW63" s="34">
        <f t="shared" si="99"/>
        <v>39.896907710313371</v>
      </c>
      <c r="AX63" s="34">
        <f t="shared" si="100"/>
        <v>39.896907710313371</v>
      </c>
      <c r="AY63" s="113">
        <f t="shared" si="101"/>
        <v>2.428296269647801</v>
      </c>
      <c r="AZ63" s="113">
        <f t="shared" si="102"/>
        <v>2.428296269647801</v>
      </c>
      <c r="BA63" s="113">
        <f t="shared" si="103"/>
        <v>1.611690471451888</v>
      </c>
      <c r="BB63" s="34">
        <f t="shared" si="104"/>
        <v>1690.6444893216526</v>
      </c>
      <c r="BC63" s="34">
        <f t="shared" si="105"/>
        <v>47.6444893216526</v>
      </c>
      <c r="BD63" s="34">
        <f t="shared" si="106"/>
        <v>47.6444893216526</v>
      </c>
      <c r="BE63" s="113">
        <f t="shared" si="107"/>
        <v>2.8998471893884723</v>
      </c>
      <c r="BF63" s="113">
        <f t="shared" si="108"/>
        <v>2.8998471893884723</v>
      </c>
      <c r="BG63" s="113">
        <f t="shared" si="109"/>
        <v>1.6870336484532409</v>
      </c>
      <c r="BH63" s="34">
        <f t="shared" si="110"/>
        <v>1706.0001190895075</v>
      </c>
      <c r="BI63" s="34">
        <f t="shared" si="111"/>
        <v>63.000119089507507</v>
      </c>
      <c r="BJ63" s="34">
        <f t="shared" si="112"/>
        <v>63.000119089507507</v>
      </c>
      <c r="BK63" s="113">
        <f t="shared" si="113"/>
        <v>3.8344564266285763</v>
      </c>
      <c r="BL63" s="113">
        <f t="shared" si="114"/>
        <v>3.8344564266285763</v>
      </c>
      <c r="BM63" s="113">
        <f t="shared" si="115"/>
        <v>1.8061807821068223</v>
      </c>
      <c r="BN63" s="34">
        <f t="shared" si="116"/>
        <v>1634.782608695652</v>
      </c>
      <c r="BO63" s="34">
        <f t="shared" si="117"/>
        <v>-8.2173913043479843</v>
      </c>
      <c r="BP63" s="34">
        <f t="shared" si="118"/>
        <v>8.2173913043479843</v>
      </c>
      <c r="BQ63" s="113">
        <f t="shared" si="119"/>
        <v>-0.50014554499987729</v>
      </c>
      <c r="BR63" s="113">
        <f t="shared" si="120"/>
        <v>0.50014554499987729</v>
      </c>
      <c r="BS63" s="113">
        <f t="shared" si="121"/>
        <v>0.96460802491116604</v>
      </c>
      <c r="BT63" s="34">
        <f t="shared" si="122"/>
        <v>1646.9416000000001</v>
      </c>
      <c r="BU63" s="34">
        <f t="shared" si="123"/>
        <v>3.9416000000001077</v>
      </c>
      <c r="BV63" s="34">
        <f t="shared" si="124"/>
        <v>3.9416000000001077</v>
      </c>
      <c r="BW63" s="34">
        <f t="shared" si="125"/>
        <v>1629.2328554409305</v>
      </c>
      <c r="BX63" s="34">
        <f t="shared" si="126"/>
        <v>-13.767144559069493</v>
      </c>
      <c r="BY63" s="34">
        <f t="shared" si="127"/>
        <v>13.767144559069493</v>
      </c>
    </row>
    <row r="64" spans="1:77" ht="16" x14ac:dyDescent="0.2">
      <c r="A64" s="206" t="s">
        <v>465</v>
      </c>
      <c r="B64" t="s">
        <v>873</v>
      </c>
      <c r="C64" s="224" t="s">
        <v>824</v>
      </c>
      <c r="D64" s="35" t="s">
        <v>148</v>
      </c>
      <c r="E64" s="35" t="s">
        <v>374</v>
      </c>
      <c r="F64" s="35" t="s">
        <v>580</v>
      </c>
      <c r="G64" s="147">
        <v>1646</v>
      </c>
      <c r="H64" s="147">
        <v>1646</v>
      </c>
      <c r="I64" s="35" t="s">
        <v>627</v>
      </c>
      <c r="J64" s="147">
        <v>390</v>
      </c>
      <c r="K64" s="147">
        <v>370</v>
      </c>
      <c r="L64" s="28"/>
      <c r="M64" s="35" t="s">
        <v>488</v>
      </c>
      <c r="N64" s="33">
        <f t="shared" si="64"/>
        <v>1682.816</v>
      </c>
      <c r="O64" s="33">
        <f t="shared" si="65"/>
        <v>1789.3400000000001</v>
      </c>
      <c r="P64" s="33">
        <f t="shared" si="66"/>
        <v>1871.3324880467017</v>
      </c>
      <c r="Q64" s="33">
        <f t="shared" si="67"/>
        <v>1685.3249999999998</v>
      </c>
      <c r="R64" s="33">
        <f t="shared" si="68"/>
        <v>1649.6638428362296</v>
      </c>
      <c r="S64" s="33">
        <f t="shared" si="69"/>
        <v>1663.5183363937106</v>
      </c>
      <c r="T64" s="33">
        <f t="shared" si="70"/>
        <v>1677.6365442719857</v>
      </c>
      <c r="U64" s="33">
        <f t="shared" si="71"/>
        <v>1625</v>
      </c>
      <c r="V64" s="33">
        <f t="shared" si="72"/>
        <v>1626.779</v>
      </c>
      <c r="W64" s="33">
        <f t="shared" si="73"/>
        <v>1608.9392536904463</v>
      </c>
      <c r="X64" s="34">
        <f t="shared" si="74"/>
        <v>1660.616</v>
      </c>
      <c r="Y64" s="34">
        <f t="shared" si="75"/>
        <v>14.615999999999985</v>
      </c>
      <c r="Z64" s="34">
        <f t="shared" si="76"/>
        <v>14.615999999999985</v>
      </c>
      <c r="AA64" s="113">
        <f t="shared" si="77"/>
        <v>0.88797083839611091</v>
      </c>
      <c r="AB64" s="113">
        <f t="shared" si="78"/>
        <v>0.88797083839611091</v>
      </c>
      <c r="AC64" s="113">
        <f t="shared" si="79"/>
        <v>1.1935698003226163</v>
      </c>
      <c r="AD64" s="34">
        <f t="shared" si="80"/>
        <v>1730.7930000000001</v>
      </c>
      <c r="AE64" s="34">
        <f t="shared" si="81"/>
        <v>84.79300000000012</v>
      </c>
      <c r="AF64" s="34">
        <f t="shared" si="82"/>
        <v>84.79300000000012</v>
      </c>
      <c r="AG64" s="113">
        <f t="shared" si="83"/>
        <v>5.1514580801944181</v>
      </c>
      <c r="AH64" s="113">
        <f t="shared" si="84"/>
        <v>5.1514580801944181</v>
      </c>
      <c r="AI64" s="113">
        <f t="shared" si="85"/>
        <v>1.9334518544525301</v>
      </c>
      <c r="AJ64" s="34">
        <f t="shared" si="86"/>
        <v>1633.5581011621148</v>
      </c>
      <c r="AK64" s="34">
        <f t="shared" si="87"/>
        <v>-12.441898837885219</v>
      </c>
      <c r="AL64" s="34">
        <f t="shared" si="88"/>
        <v>12.441898837885219</v>
      </c>
      <c r="AM64" s="113">
        <f t="shared" si="89"/>
        <v>-0.75588692818257708</v>
      </c>
      <c r="AN64" s="113">
        <f t="shared" si="90"/>
        <v>0.75588692818257708</v>
      </c>
      <c r="AO64" s="113">
        <f t="shared" si="91"/>
        <v>1.1284606226289959</v>
      </c>
      <c r="AP64" s="34">
        <f t="shared" si="92"/>
        <v>1764.7149999999999</v>
      </c>
      <c r="AQ64" s="34">
        <f t="shared" si="93"/>
        <v>118.71499999999992</v>
      </c>
      <c r="AR64" s="34">
        <f t="shared" si="94"/>
        <v>118.71499999999992</v>
      </c>
      <c r="AS64" s="113">
        <f t="shared" si="95"/>
        <v>7.212332928311052</v>
      </c>
      <c r="AT64" s="113">
        <f t="shared" si="96"/>
        <v>7.212332928311052</v>
      </c>
      <c r="AU64" s="113">
        <f t="shared" si="97"/>
        <v>2.0781485698641475</v>
      </c>
      <c r="AV64" s="34">
        <f t="shared" si="98"/>
        <v>1650.4308011518635</v>
      </c>
      <c r="AW64" s="34">
        <f t="shared" si="99"/>
        <v>4.430801151863534</v>
      </c>
      <c r="AX64" s="34">
        <f t="shared" si="100"/>
        <v>4.430801151863534</v>
      </c>
      <c r="AY64" s="113">
        <f t="shared" si="101"/>
        <v>0.2691859752043459</v>
      </c>
      <c r="AZ64" s="113">
        <f t="shared" si="102"/>
        <v>0.2691859752043459</v>
      </c>
      <c r="BA64" s="113">
        <f t="shared" si="103"/>
        <v>0.73486390144308045</v>
      </c>
      <c r="BB64" s="34">
        <f t="shared" si="104"/>
        <v>1661.0722336790759</v>
      </c>
      <c r="BC64" s="34">
        <f t="shared" si="105"/>
        <v>15.072233679075907</v>
      </c>
      <c r="BD64" s="34">
        <f t="shared" si="106"/>
        <v>15.072233679075907</v>
      </c>
      <c r="BE64" s="113">
        <f t="shared" si="107"/>
        <v>0.91568855887459943</v>
      </c>
      <c r="BF64" s="113">
        <f t="shared" si="108"/>
        <v>0.91568855887459943</v>
      </c>
      <c r="BG64" s="113">
        <f t="shared" si="109"/>
        <v>1.2060762381251751</v>
      </c>
      <c r="BH64" s="34">
        <f t="shared" si="110"/>
        <v>1674.9194313367118</v>
      </c>
      <c r="BI64" s="34">
        <f t="shared" si="111"/>
        <v>28.919431336711796</v>
      </c>
      <c r="BJ64" s="34">
        <f t="shared" si="112"/>
        <v>28.919431336711796</v>
      </c>
      <c r="BK64" s="113">
        <f t="shared" si="113"/>
        <v>1.7569520860699752</v>
      </c>
      <c r="BL64" s="113">
        <f t="shared" si="114"/>
        <v>1.7569520860699752</v>
      </c>
      <c r="BM64" s="113">
        <f t="shared" si="115"/>
        <v>1.4759533348583629</v>
      </c>
      <c r="BN64" s="34">
        <f t="shared" si="116"/>
        <v>1608.695652173913</v>
      </c>
      <c r="BO64" s="34">
        <f t="shared" si="117"/>
        <v>-37.304347826086996</v>
      </c>
      <c r="BP64" s="34">
        <f t="shared" si="118"/>
        <v>37.304347826086996</v>
      </c>
      <c r="BQ64" s="113">
        <f t="shared" si="119"/>
        <v>-2.2663637804427097</v>
      </c>
      <c r="BR64" s="113">
        <f t="shared" si="120"/>
        <v>2.2663637804427097</v>
      </c>
      <c r="BS64" s="113">
        <f t="shared" si="121"/>
        <v>1.5832480723944555</v>
      </c>
      <c r="BT64" s="34">
        <f t="shared" si="122"/>
        <v>1619.2629999999999</v>
      </c>
      <c r="BU64" s="34">
        <f t="shared" si="123"/>
        <v>-26.73700000000008</v>
      </c>
      <c r="BV64" s="34">
        <f t="shared" si="124"/>
        <v>26.73700000000008</v>
      </c>
      <c r="BW64" s="34">
        <f t="shared" si="125"/>
        <v>1601.9583693384616</v>
      </c>
      <c r="BX64" s="34">
        <f t="shared" si="126"/>
        <v>-44.04163066153842</v>
      </c>
      <c r="BY64" s="34">
        <f t="shared" si="127"/>
        <v>44.04163066153842</v>
      </c>
    </row>
    <row r="65" spans="1:77" ht="16" x14ac:dyDescent="0.2">
      <c r="A65" s="206" t="s">
        <v>465</v>
      </c>
      <c r="B65" t="s">
        <v>877</v>
      </c>
      <c r="C65" s="224" t="s">
        <v>824</v>
      </c>
      <c r="D65" s="35" t="s">
        <v>148</v>
      </c>
      <c r="E65" s="35" t="s">
        <v>374</v>
      </c>
      <c r="F65" s="35" t="s">
        <v>580</v>
      </c>
      <c r="G65" s="147">
        <v>1647</v>
      </c>
      <c r="H65" s="147">
        <v>1647</v>
      </c>
      <c r="I65" s="35" t="s">
        <v>627</v>
      </c>
      <c r="J65" s="147">
        <v>370</v>
      </c>
      <c r="K65" s="147">
        <v>353</v>
      </c>
      <c r="L65" s="28"/>
      <c r="M65" s="35" t="s">
        <v>488</v>
      </c>
      <c r="N65" s="33">
        <f t="shared" si="64"/>
        <v>1602.748</v>
      </c>
      <c r="O65" s="33">
        <f t="shared" si="65"/>
        <v>1677.5600000000004</v>
      </c>
      <c r="P65" s="33">
        <f t="shared" si="66"/>
        <v>1757.003615057326</v>
      </c>
      <c r="Q65" s="33">
        <f t="shared" si="67"/>
        <v>1589.6309999999999</v>
      </c>
      <c r="R65" s="33">
        <f t="shared" si="68"/>
        <v>1547.8059307841538</v>
      </c>
      <c r="S65" s="33">
        <f t="shared" si="69"/>
        <v>1570.171208730731</v>
      </c>
      <c r="T65" s="33">
        <f t="shared" si="70"/>
        <v>1579.6672074490571</v>
      </c>
      <c r="U65" s="33">
        <f t="shared" si="71"/>
        <v>1541.6666666666667</v>
      </c>
      <c r="V65" s="33">
        <f t="shared" si="72"/>
        <v>1539.077</v>
      </c>
      <c r="W65" s="33">
        <f t="shared" si="73"/>
        <v>1523.0101779015938</v>
      </c>
      <c r="X65" s="34">
        <f t="shared" si="74"/>
        <v>1589.8994</v>
      </c>
      <c r="Y65" s="34">
        <f t="shared" si="75"/>
        <v>-57.100599999999986</v>
      </c>
      <c r="Z65" s="34">
        <f t="shared" si="76"/>
        <v>57.100599999999986</v>
      </c>
      <c r="AA65" s="113">
        <f t="shared" si="77"/>
        <v>-3.4669459623557977</v>
      </c>
      <c r="AB65" s="113">
        <f t="shared" si="78"/>
        <v>3.4669459623557977</v>
      </c>
      <c r="AC65" s="113">
        <f t="shared" si="79"/>
        <v>1.7641806173360046</v>
      </c>
      <c r="AD65" s="34">
        <f t="shared" si="80"/>
        <v>1637.9747000000002</v>
      </c>
      <c r="AE65" s="34">
        <f t="shared" si="81"/>
        <v>-9.0252999999997883</v>
      </c>
      <c r="AF65" s="34">
        <f t="shared" si="82"/>
        <v>9.0252999999997883</v>
      </c>
      <c r="AG65" s="113">
        <f t="shared" si="83"/>
        <v>-0.54798421372190576</v>
      </c>
      <c r="AH65" s="113">
        <f t="shared" si="84"/>
        <v>0.54798421372190576</v>
      </c>
      <c r="AI65" s="113">
        <f t="shared" si="85"/>
        <v>1.0010973774413536</v>
      </c>
      <c r="AJ65" s="34">
        <f t="shared" si="86"/>
        <v>1540.0956781881343</v>
      </c>
      <c r="AK65" s="34">
        <f t="shared" si="87"/>
        <v>-106.90432181186566</v>
      </c>
      <c r="AL65" s="34">
        <f t="shared" si="88"/>
        <v>106.90432181186566</v>
      </c>
      <c r="AM65" s="113">
        <f t="shared" si="89"/>
        <v>-6.4908513546973694</v>
      </c>
      <c r="AN65" s="113">
        <f t="shared" si="90"/>
        <v>6.4908513546973694</v>
      </c>
      <c r="AO65" s="113">
        <f t="shared" si="91"/>
        <v>2.0330388395064207</v>
      </c>
      <c r="AP65" s="34">
        <f t="shared" si="92"/>
        <v>1675.3307</v>
      </c>
      <c r="AQ65" s="34">
        <f t="shared" si="93"/>
        <v>28.330699999999979</v>
      </c>
      <c r="AR65" s="34">
        <f t="shared" si="94"/>
        <v>28.330699999999979</v>
      </c>
      <c r="AS65" s="113">
        <f t="shared" si="95"/>
        <v>1.7201396478445645</v>
      </c>
      <c r="AT65" s="113">
        <f t="shared" si="96"/>
        <v>1.7201396478445645</v>
      </c>
      <c r="AU65" s="113">
        <f t="shared" si="97"/>
        <v>1.4673224278803005</v>
      </c>
      <c r="AV65" s="34">
        <f t="shared" si="98"/>
        <v>1559.0505630622367</v>
      </c>
      <c r="AW65" s="34">
        <f t="shared" si="99"/>
        <v>-87.949436937763267</v>
      </c>
      <c r="AX65" s="34">
        <f t="shared" si="100"/>
        <v>87.949436937763267</v>
      </c>
      <c r="AY65" s="113">
        <f t="shared" si="101"/>
        <v>-5.3399779561483465</v>
      </c>
      <c r="AZ65" s="113">
        <f t="shared" si="102"/>
        <v>5.3399779561483465</v>
      </c>
      <c r="BA65" s="113">
        <f t="shared" si="103"/>
        <v>1.9491432032845155</v>
      </c>
      <c r="BB65" s="34">
        <f t="shared" si="104"/>
        <v>1577.5389072928072</v>
      </c>
      <c r="BC65" s="34">
        <f t="shared" si="105"/>
        <v>-69.461092707192847</v>
      </c>
      <c r="BD65" s="34">
        <f t="shared" si="106"/>
        <v>69.461092707192847</v>
      </c>
      <c r="BE65" s="113">
        <f t="shared" si="107"/>
        <v>-4.2174312511956806</v>
      </c>
      <c r="BF65" s="113">
        <f t="shared" si="108"/>
        <v>4.2174312511956806</v>
      </c>
      <c r="BG65" s="113">
        <f t="shared" si="109"/>
        <v>1.847949373915114</v>
      </c>
      <c r="BH65" s="34">
        <f t="shared" si="110"/>
        <v>1587.2518380166405</v>
      </c>
      <c r="BI65" s="34">
        <f t="shared" si="111"/>
        <v>-59.748161983359523</v>
      </c>
      <c r="BJ65" s="34">
        <f t="shared" si="112"/>
        <v>59.748161983359523</v>
      </c>
      <c r="BK65" s="113">
        <f t="shared" si="113"/>
        <v>-3.6276965381517625</v>
      </c>
      <c r="BL65" s="113">
        <f t="shared" si="114"/>
        <v>3.6276965381517625</v>
      </c>
      <c r="BM65" s="113">
        <f t="shared" si="115"/>
        <v>1.7835331423105079</v>
      </c>
      <c r="BN65" s="34">
        <f t="shared" si="116"/>
        <v>1534.782608695652</v>
      </c>
      <c r="BO65" s="34">
        <f t="shared" si="117"/>
        <v>-112.21739130434798</v>
      </c>
      <c r="BP65" s="34">
        <f t="shared" si="118"/>
        <v>112.21739130434798</v>
      </c>
      <c r="BQ65" s="113">
        <f t="shared" si="119"/>
        <v>-6.8134420949816628</v>
      </c>
      <c r="BR65" s="113">
        <f t="shared" si="120"/>
        <v>6.8134420949816628</v>
      </c>
      <c r="BS65" s="113">
        <f t="shared" si="121"/>
        <v>2.0539131438785621</v>
      </c>
      <c r="BT65" s="34">
        <f t="shared" si="122"/>
        <v>1540.8403000000001</v>
      </c>
      <c r="BU65" s="34">
        <f t="shared" si="123"/>
        <v>-106.15969999999993</v>
      </c>
      <c r="BV65" s="34">
        <f t="shared" si="124"/>
        <v>106.15969999999993</v>
      </c>
      <c r="BW65" s="34">
        <f t="shared" si="125"/>
        <v>1524.8006542075395</v>
      </c>
      <c r="BX65" s="34">
        <f t="shared" si="126"/>
        <v>-122.19934579246046</v>
      </c>
      <c r="BY65" s="34">
        <f t="shared" si="127"/>
        <v>122.19934579246046</v>
      </c>
    </row>
    <row r="66" spans="1:77" ht="15" x14ac:dyDescent="0.2">
      <c r="A66" s="206" t="s">
        <v>465</v>
      </c>
      <c r="B66" s="28" t="s">
        <v>427</v>
      </c>
      <c r="C66" s="28" t="s">
        <v>458</v>
      </c>
      <c r="D66" s="208" t="s">
        <v>82</v>
      </c>
      <c r="E66" s="35" t="s">
        <v>374</v>
      </c>
      <c r="F66" s="35" t="s">
        <v>580</v>
      </c>
      <c r="G66" s="141">
        <v>1650</v>
      </c>
      <c r="H66" s="141">
        <v>1650</v>
      </c>
      <c r="I66" s="35" t="s">
        <v>627</v>
      </c>
      <c r="J66" s="141">
        <v>395</v>
      </c>
      <c r="K66" s="141">
        <v>375</v>
      </c>
      <c r="L66" s="141">
        <v>500</v>
      </c>
      <c r="M66" s="35" t="s">
        <v>37</v>
      </c>
      <c r="N66" s="33">
        <f t="shared" ref="N66:N100" si="128">4.0034*J66+121.49</f>
        <v>1702.8330000000001</v>
      </c>
      <c r="O66" s="33">
        <f t="shared" ref="O66:O100" si="129">5.589*J66-390.37</f>
        <v>1817.2850000000003</v>
      </c>
      <c r="P66" s="33">
        <f t="shared" ref="P66:P100" si="130">1.4769*(J66^1.1975)</f>
        <v>1900.0984886054553</v>
      </c>
      <c r="Q66" s="33">
        <f t="shared" ref="Q66:Q100" si="131">J66*4.7847-180.708</f>
        <v>1709.2484999999999</v>
      </c>
      <c r="R66" s="33">
        <f t="shared" ref="R66:R100" si="132">(1.1655*J66)^1.21065</f>
        <v>1675.3029877026515</v>
      </c>
      <c r="S66" s="33">
        <f t="shared" ref="S66:S100" si="133">(2.21386*J66)^1.097</f>
        <v>1686.9287205416531</v>
      </c>
      <c r="T66" s="33">
        <f t="shared" ref="T66:T100" si="134">(1.699*J66)^1.143</f>
        <v>1702.2428252243062</v>
      </c>
      <c r="U66" s="33">
        <f t="shared" ref="U66:U100" si="135">J66/0.24</f>
        <v>1645.8333333333335</v>
      </c>
      <c r="V66" s="33">
        <f t="shared" ref="V66:V100" si="136">4.3851*J66-83.41</f>
        <v>1648.7045000000001</v>
      </c>
      <c r="W66" s="33">
        <f t="shared" ref="W66:W100" si="137">3.1996*J66^1.0426</f>
        <v>1630.4512573371801</v>
      </c>
      <c r="X66" s="34">
        <f t="shared" ref="X66:X100" si="138">4.1598*K66 + 121.49</f>
        <v>1681.415</v>
      </c>
      <c r="Y66" s="34">
        <f t="shared" ref="Y66:Y97" si="139">X66-G66</f>
        <v>31.414999999999964</v>
      </c>
      <c r="Z66" s="34">
        <f t="shared" ref="Z66:Z97" si="140">ABS(Y66)</f>
        <v>31.414999999999964</v>
      </c>
      <c r="AA66" s="113">
        <f t="shared" ref="AA66:AA100" si="141">Y66/G66*100</f>
        <v>1.9039393939393918</v>
      </c>
      <c r="AB66" s="113">
        <f t="shared" ref="AB66:AB97" si="142">ABS(AA66)</f>
        <v>1.9039393939393918</v>
      </c>
      <c r="AC66" s="113">
        <f t="shared" ref="AC66:AC100" si="143">LOG10(Z66+1)</f>
        <v>1.510746025938922</v>
      </c>
      <c r="AD66" s="34">
        <f t="shared" ref="AD66:AD100" si="144">5.4599*K66-289.37</f>
        <v>1758.0925000000002</v>
      </c>
      <c r="AE66" s="34">
        <f t="shared" ref="AE66:AE97" si="145">AD66-G66</f>
        <v>108.0925000000002</v>
      </c>
      <c r="AF66" s="34">
        <f t="shared" ref="AF66:AF97" si="146">ABS(AE66)</f>
        <v>108.0925000000002</v>
      </c>
      <c r="AG66" s="113">
        <f t="shared" ref="AG66:AG100" si="147">AE66/G66*100</f>
        <v>6.5510606060606182</v>
      </c>
      <c r="AH66" s="113">
        <f t="shared" ref="AH66:AH97" si="148">ABS(AG66)</f>
        <v>6.5510606060606182</v>
      </c>
      <c r="AI66" s="113">
        <f t="shared" ref="AI66:AI100" si="149">LOG10(AF66+1)</f>
        <v>2.037794894304414</v>
      </c>
      <c r="AJ66" s="34">
        <f t="shared" ref="AJ66:AJ100" si="150">0.9913*K66^1.2526</f>
        <v>1661.2564193478629</v>
      </c>
      <c r="AK66" s="34">
        <f t="shared" ref="AK66:AK97" si="151">AJ66-G66</f>
        <v>11.256419347862902</v>
      </c>
      <c r="AL66" s="34">
        <f t="shared" ref="AL66:AL97" si="152">ABS(AK66)</f>
        <v>11.256419347862902</v>
      </c>
      <c r="AM66" s="113">
        <f t="shared" ref="AM66:AM100" si="153">AK66/G66*100</f>
        <v>0.68220723320381227</v>
      </c>
      <c r="AN66" s="113">
        <f t="shared" ref="AN66:AN97" si="154">ABS(AM66)</f>
        <v>0.68220723320381227</v>
      </c>
      <c r="AO66" s="113">
        <f t="shared" ref="AO66:AO100" si="155">LOG10(AL66+1)</f>
        <v>1.0883636117326569</v>
      </c>
      <c r="AP66" s="34">
        <f t="shared" ref="AP66:AP100" si="156">5.2579*K66-180.708</f>
        <v>1791.0045</v>
      </c>
      <c r="AQ66" s="34">
        <f t="shared" ref="AQ66:AQ97" si="157">AP66-G66</f>
        <v>141.00450000000001</v>
      </c>
      <c r="AR66" s="34">
        <f t="shared" ref="AR66:AR97" si="158">ABS(AQ66)</f>
        <v>141.00450000000001</v>
      </c>
      <c r="AS66" s="113">
        <f t="shared" ref="AS66:AS100" si="159">AQ66/G66*100</f>
        <v>8.5457272727272731</v>
      </c>
      <c r="AT66" s="113">
        <f t="shared" ref="AT66:AT97" si="160">ABS(AS66)</f>
        <v>8.5457272727272731</v>
      </c>
      <c r="AU66" s="113">
        <f t="shared" ref="AU66:AU100" si="161">LOG10(AR66+1)</f>
        <v>2.1523021070182873</v>
      </c>
      <c r="AV66" s="34">
        <f t="shared" ref="AV66:AV100" si="162">(1.2268*K66)^1.211</f>
        <v>1677.4782483335548</v>
      </c>
      <c r="AW66" s="34">
        <f t="shared" ref="AW66:AW97" si="163">AV66-G66</f>
        <v>27.478248333554802</v>
      </c>
      <c r="AX66" s="34">
        <f t="shared" ref="AX66:AX97" si="164">ABS(AW66)</f>
        <v>27.478248333554802</v>
      </c>
      <c r="AY66" s="113">
        <f t="shared" ref="AY66:AY100" si="165">AW66/G66*100</f>
        <v>1.6653483838518062</v>
      </c>
      <c r="AZ66" s="113">
        <f t="shared" ref="AZ66:AZ97" si="166">ABS(AY66)</f>
        <v>1.6653483838518062</v>
      </c>
      <c r="BA66" s="113">
        <f t="shared" ref="BA66:BA100" si="167">LOG10(AX66+1)</f>
        <v>1.4545132727995476</v>
      </c>
      <c r="BB66" s="34">
        <f t="shared" ref="BB66:BB100" si="168">(2.3304*K66)^1.097</f>
        <v>1685.7125808519991</v>
      </c>
      <c r="BC66" s="34">
        <f t="shared" ref="BC66:BC97" si="169">BB66-G66</f>
        <v>35.712580851999064</v>
      </c>
      <c r="BD66" s="34">
        <f t="shared" ref="BD66:BD97" si="170">ABS(BC66)</f>
        <v>35.712580851999064</v>
      </c>
      <c r="BE66" s="113">
        <f t="shared" ref="BE66:BE100" si="171">BC66/G66*100</f>
        <v>2.164398839515095</v>
      </c>
      <c r="BF66" s="113">
        <f t="shared" ref="BF66:BF97" si="172">ABS(BE66)</f>
        <v>2.164398839515095</v>
      </c>
      <c r="BG66" s="113">
        <f t="shared" ref="BG66:BG100" si="173">LOG10(BD66+1)</f>
        <v>1.5648149159772544</v>
      </c>
      <c r="BH66" s="34">
        <f t="shared" ref="BH66:BH100" si="174">(1.7883*K66)^1.143</f>
        <v>1700.8150471457745</v>
      </c>
      <c r="BI66" s="34">
        <f t="shared" ref="BI66:BI97" si="175">BH66-G66</f>
        <v>50.815047145774543</v>
      </c>
      <c r="BJ66" s="34">
        <f t="shared" ref="BJ66:BJ97" si="176">ABS(BI66)</f>
        <v>50.815047145774543</v>
      </c>
      <c r="BK66" s="113">
        <f t="shared" ref="BK66:BK100" si="177">BI66/G66*100</f>
        <v>3.0796998270166389</v>
      </c>
      <c r="BL66" s="113">
        <f t="shared" ref="BL66:BL97" si="178">ABS(BK66)</f>
        <v>3.0796998270166389</v>
      </c>
      <c r="BM66" s="113">
        <f t="shared" ref="BM66:BM100" si="179">LOG10(BJ66+1)</f>
        <v>1.7144558976490265</v>
      </c>
      <c r="BN66" s="34">
        <f t="shared" ref="BN66:BN100" si="180">K66/0.23</f>
        <v>1630.4347826086955</v>
      </c>
      <c r="BO66" s="34">
        <f t="shared" ref="BO66:BO97" si="181">BN66-G66</f>
        <v>-19.565217391304486</v>
      </c>
      <c r="BP66" s="34">
        <f t="shared" ref="BP66:BP97" si="182">ABS(BO66)</f>
        <v>19.565217391304486</v>
      </c>
      <c r="BQ66" s="113">
        <f t="shared" ref="BQ66:BQ100" si="183">BO66/G66*100</f>
        <v>-1.1857707509881508</v>
      </c>
      <c r="BR66" s="113">
        <f t="shared" ref="BR66:BR97" si="184">ABS(BQ66)</f>
        <v>1.1857707509881508</v>
      </c>
      <c r="BS66" s="113">
        <f t="shared" ref="BS66:BS100" si="185">LOG10(BP66+1)</f>
        <v>1.3131333047202216</v>
      </c>
      <c r="BT66" s="34">
        <f t="shared" ref="BT66:BT100" si="186">4.6131*K66 - 87.584</f>
        <v>1642.3285000000001</v>
      </c>
      <c r="BU66" s="34">
        <f t="shared" ref="BU66:BU97" si="187">BT66-G66</f>
        <v>-7.6714999999999236</v>
      </c>
      <c r="BV66" s="34">
        <f t="shared" ref="BV66:BV97" si="188">ABS(BU66)</f>
        <v>7.6714999999999236</v>
      </c>
      <c r="BW66" s="34">
        <f t="shared" ref="BW66:BW100" si="189">3.2309*K66^1.0495</f>
        <v>1624.6856021566555</v>
      </c>
      <c r="BX66" s="34">
        <f t="shared" ref="BX66:BX97" si="190">BW66-G66</f>
        <v>-25.314397843344523</v>
      </c>
      <c r="BY66" s="34">
        <f t="shared" ref="BY66:BY97" si="191">ABS(BX66)</f>
        <v>25.314397843344523</v>
      </c>
    </row>
    <row r="67" spans="1:77" ht="16" x14ac:dyDescent="0.2">
      <c r="A67" s="206" t="s">
        <v>465</v>
      </c>
      <c r="B67" t="s">
        <v>876</v>
      </c>
      <c r="C67" s="224" t="s">
        <v>824</v>
      </c>
      <c r="D67" s="35" t="s">
        <v>148</v>
      </c>
      <c r="E67" s="35" t="s">
        <v>374</v>
      </c>
      <c r="F67" s="35" t="s">
        <v>580</v>
      </c>
      <c r="G67" s="147">
        <v>1668</v>
      </c>
      <c r="H67" s="147">
        <v>1668</v>
      </c>
      <c r="I67" s="35" t="s">
        <v>627</v>
      </c>
      <c r="J67" s="147">
        <v>408</v>
      </c>
      <c r="K67" s="147">
        <v>392</v>
      </c>
      <c r="L67" s="28"/>
      <c r="M67" s="35" t="s">
        <v>488</v>
      </c>
      <c r="N67" s="33">
        <f t="shared" si="128"/>
        <v>1754.8772000000001</v>
      </c>
      <c r="O67" s="33">
        <f t="shared" si="129"/>
        <v>1889.9420000000005</v>
      </c>
      <c r="P67" s="33">
        <f t="shared" si="130"/>
        <v>1975.225282263835</v>
      </c>
      <c r="Q67" s="33">
        <f t="shared" si="131"/>
        <v>1771.4495999999999</v>
      </c>
      <c r="R67" s="33">
        <f t="shared" si="132"/>
        <v>1742.2834675114409</v>
      </c>
      <c r="S67" s="33">
        <f t="shared" si="133"/>
        <v>1747.9295211247979</v>
      </c>
      <c r="T67" s="33">
        <f t="shared" si="134"/>
        <v>1766.4266100548346</v>
      </c>
      <c r="U67" s="33">
        <f t="shared" si="135"/>
        <v>1700</v>
      </c>
      <c r="V67" s="33">
        <f t="shared" si="136"/>
        <v>1705.7108000000001</v>
      </c>
      <c r="W67" s="33">
        <f t="shared" si="137"/>
        <v>1686.4364260925079</v>
      </c>
      <c r="X67" s="34">
        <f t="shared" si="138"/>
        <v>1752.1315999999999</v>
      </c>
      <c r="Y67" s="34">
        <f t="shared" si="139"/>
        <v>84.131599999999935</v>
      </c>
      <c r="Z67" s="34">
        <f t="shared" si="140"/>
        <v>84.131599999999935</v>
      </c>
      <c r="AA67" s="113">
        <f t="shared" si="141"/>
        <v>5.0438609112709791</v>
      </c>
      <c r="AB67" s="113">
        <f t="shared" si="142"/>
        <v>5.0438609112709791</v>
      </c>
      <c r="AC67" s="113">
        <f t="shared" si="143"/>
        <v>1.9300907957868398</v>
      </c>
      <c r="AD67" s="34">
        <f t="shared" si="144"/>
        <v>1850.9108000000001</v>
      </c>
      <c r="AE67" s="34">
        <f t="shared" si="145"/>
        <v>182.91080000000011</v>
      </c>
      <c r="AF67" s="34">
        <f t="shared" si="146"/>
        <v>182.91080000000011</v>
      </c>
      <c r="AG67" s="113">
        <f t="shared" si="147"/>
        <v>10.965875299760199</v>
      </c>
      <c r="AH67" s="113">
        <f t="shared" si="148"/>
        <v>10.965875299760199</v>
      </c>
      <c r="AI67" s="113">
        <f t="shared" si="149"/>
        <v>2.2646072335484781</v>
      </c>
      <c r="AJ67" s="34">
        <f t="shared" si="150"/>
        <v>1756.1242245066667</v>
      </c>
      <c r="AK67" s="34">
        <f t="shared" si="151"/>
        <v>88.124224506666678</v>
      </c>
      <c r="AL67" s="34">
        <f t="shared" si="152"/>
        <v>88.124224506666678</v>
      </c>
      <c r="AM67" s="113">
        <f t="shared" si="153"/>
        <v>5.2832268888888896</v>
      </c>
      <c r="AN67" s="113">
        <f t="shared" si="154"/>
        <v>5.2832268888888896</v>
      </c>
      <c r="AO67" s="113">
        <f t="shared" si="155"/>
        <v>1.949995763965777</v>
      </c>
      <c r="AP67" s="34">
        <f t="shared" si="156"/>
        <v>1880.3888000000002</v>
      </c>
      <c r="AQ67" s="34">
        <f t="shared" si="157"/>
        <v>212.38880000000017</v>
      </c>
      <c r="AR67" s="34">
        <f t="shared" si="158"/>
        <v>212.38880000000017</v>
      </c>
      <c r="AS67" s="113">
        <f t="shared" si="159"/>
        <v>12.733141486810561</v>
      </c>
      <c r="AT67" s="113">
        <f t="shared" si="160"/>
        <v>12.733141486810561</v>
      </c>
      <c r="AU67" s="113">
        <f t="shared" si="161"/>
        <v>2.3291716211529105</v>
      </c>
      <c r="AV67" s="34">
        <f t="shared" si="162"/>
        <v>1770.0048622210404</v>
      </c>
      <c r="AW67" s="34">
        <f t="shared" si="163"/>
        <v>102.00486222104041</v>
      </c>
      <c r="AX67" s="34">
        <f t="shared" si="164"/>
        <v>102.00486222104041</v>
      </c>
      <c r="AY67" s="113">
        <f t="shared" si="165"/>
        <v>6.1153994137314394</v>
      </c>
      <c r="AZ67" s="113">
        <f t="shared" si="166"/>
        <v>6.1153994137314394</v>
      </c>
      <c r="BA67" s="113">
        <f t="shared" si="167"/>
        <v>2.0128577255394271</v>
      </c>
      <c r="BB67" s="34">
        <f t="shared" si="168"/>
        <v>1769.7260468528993</v>
      </c>
      <c r="BC67" s="34">
        <f t="shared" si="169"/>
        <v>101.72604685289934</v>
      </c>
      <c r="BD67" s="34">
        <f t="shared" si="170"/>
        <v>101.72604685289934</v>
      </c>
      <c r="BE67" s="113">
        <f t="shared" si="171"/>
        <v>6.0986838640826946</v>
      </c>
      <c r="BF67" s="113">
        <f t="shared" si="172"/>
        <v>6.0986838640826946</v>
      </c>
      <c r="BG67" s="113">
        <f t="shared" si="173"/>
        <v>2.0116805757321177</v>
      </c>
      <c r="BH67" s="34">
        <f t="shared" si="174"/>
        <v>1789.2265130720573</v>
      </c>
      <c r="BI67" s="34">
        <f t="shared" si="175"/>
        <v>121.22651307205729</v>
      </c>
      <c r="BJ67" s="34">
        <f t="shared" si="176"/>
        <v>121.22651307205729</v>
      </c>
      <c r="BK67" s="113">
        <f t="shared" si="177"/>
        <v>7.2677765630729789</v>
      </c>
      <c r="BL67" s="113">
        <f t="shared" si="178"/>
        <v>7.2677765630729789</v>
      </c>
      <c r="BM67" s="113">
        <f t="shared" si="179"/>
        <v>2.0871654222073222</v>
      </c>
      <c r="BN67" s="34">
        <f t="shared" si="180"/>
        <v>1704.3478260869565</v>
      </c>
      <c r="BO67" s="34">
        <f t="shared" si="181"/>
        <v>36.347826086956502</v>
      </c>
      <c r="BP67" s="34">
        <f t="shared" si="182"/>
        <v>36.347826086956502</v>
      </c>
      <c r="BQ67" s="113">
        <f t="shared" si="183"/>
        <v>2.1791262642060256</v>
      </c>
      <c r="BR67" s="113">
        <f t="shared" si="184"/>
        <v>2.1791262642060256</v>
      </c>
      <c r="BS67" s="113">
        <f t="shared" si="185"/>
        <v>1.5722653278136491</v>
      </c>
      <c r="BT67" s="34">
        <f t="shared" si="186"/>
        <v>1720.7511999999999</v>
      </c>
      <c r="BU67" s="34">
        <f t="shared" si="187"/>
        <v>52.751199999999926</v>
      </c>
      <c r="BV67" s="34">
        <f t="shared" si="188"/>
        <v>52.751199999999926</v>
      </c>
      <c r="BW67" s="34">
        <f t="shared" si="189"/>
        <v>1702.0693203313649</v>
      </c>
      <c r="BX67" s="34">
        <f t="shared" si="190"/>
        <v>34.069320331364906</v>
      </c>
      <c r="BY67" s="34">
        <f t="shared" si="191"/>
        <v>34.069320331364906</v>
      </c>
    </row>
    <row r="68" spans="1:77" ht="16" x14ac:dyDescent="0.2">
      <c r="A68" s="206" t="s">
        <v>465</v>
      </c>
      <c r="B68" t="s">
        <v>883</v>
      </c>
      <c r="C68" s="224" t="s">
        <v>824</v>
      </c>
      <c r="D68" s="35" t="s">
        <v>148</v>
      </c>
      <c r="E68" s="35" t="s">
        <v>374</v>
      </c>
      <c r="F68" s="35" t="s">
        <v>580</v>
      </c>
      <c r="G68" s="147">
        <v>1670</v>
      </c>
      <c r="H68" s="147">
        <v>1670</v>
      </c>
      <c r="I68" s="35" t="s">
        <v>627</v>
      </c>
      <c r="J68" s="147">
        <v>405</v>
      </c>
      <c r="K68" s="147">
        <v>391</v>
      </c>
      <c r="L68" s="28"/>
      <c r="M68" s="35" t="s">
        <v>488</v>
      </c>
      <c r="N68" s="33">
        <f t="shared" si="128"/>
        <v>1742.867</v>
      </c>
      <c r="O68" s="33">
        <f t="shared" si="129"/>
        <v>1873.1750000000002</v>
      </c>
      <c r="P68" s="33">
        <f t="shared" si="130"/>
        <v>1957.8457865915693</v>
      </c>
      <c r="Q68" s="33">
        <f t="shared" si="131"/>
        <v>1757.0954999999999</v>
      </c>
      <c r="R68" s="33">
        <f t="shared" si="132"/>
        <v>1726.7859765677563</v>
      </c>
      <c r="S68" s="33">
        <f t="shared" si="133"/>
        <v>1733.8354523071885</v>
      </c>
      <c r="T68" s="33">
        <f t="shared" si="134"/>
        <v>1751.5886548709361</v>
      </c>
      <c r="U68" s="33">
        <f t="shared" si="135"/>
        <v>1687.5</v>
      </c>
      <c r="V68" s="33">
        <f t="shared" si="136"/>
        <v>1692.5555000000002</v>
      </c>
      <c r="W68" s="33">
        <f t="shared" si="137"/>
        <v>1673.5099364465013</v>
      </c>
      <c r="X68" s="34">
        <f t="shared" si="138"/>
        <v>1747.9717999999998</v>
      </c>
      <c r="Y68" s="34">
        <f t="shared" si="139"/>
        <v>77.971799999999803</v>
      </c>
      <c r="Z68" s="34">
        <f t="shared" si="140"/>
        <v>77.971799999999803</v>
      </c>
      <c r="AA68" s="113">
        <f t="shared" si="141"/>
        <v>4.6689700598802277</v>
      </c>
      <c r="AB68" s="113">
        <f t="shared" si="142"/>
        <v>4.6689700598802277</v>
      </c>
      <c r="AC68" s="113">
        <f t="shared" si="143"/>
        <v>1.8974720369766986</v>
      </c>
      <c r="AD68" s="34">
        <f t="shared" si="144"/>
        <v>1845.4509000000003</v>
      </c>
      <c r="AE68" s="34">
        <f t="shared" si="145"/>
        <v>175.45090000000027</v>
      </c>
      <c r="AF68" s="34">
        <f t="shared" si="146"/>
        <v>175.45090000000027</v>
      </c>
      <c r="AG68" s="113">
        <f t="shared" si="147"/>
        <v>10.506041916167682</v>
      </c>
      <c r="AH68" s="113">
        <f t="shared" si="148"/>
        <v>10.506041916167682</v>
      </c>
      <c r="AI68" s="113">
        <f t="shared" si="149"/>
        <v>2.2466238778506327</v>
      </c>
      <c r="AJ68" s="34">
        <f t="shared" si="150"/>
        <v>1750.5144999761148</v>
      </c>
      <c r="AK68" s="34">
        <f t="shared" si="151"/>
        <v>80.514499976114848</v>
      </c>
      <c r="AL68" s="34">
        <f t="shared" si="152"/>
        <v>80.514499976114848</v>
      </c>
      <c r="AM68" s="113">
        <f t="shared" si="153"/>
        <v>4.8212275434799317</v>
      </c>
      <c r="AN68" s="113">
        <f t="shared" si="154"/>
        <v>4.8212275434799317</v>
      </c>
      <c r="AO68" s="113">
        <f t="shared" si="155"/>
        <v>1.9112348688564931</v>
      </c>
      <c r="AP68" s="34">
        <f t="shared" si="156"/>
        <v>1875.1309000000001</v>
      </c>
      <c r="AQ68" s="34">
        <f t="shared" si="157"/>
        <v>205.13090000000011</v>
      </c>
      <c r="AR68" s="34">
        <f t="shared" si="158"/>
        <v>205.13090000000011</v>
      </c>
      <c r="AS68" s="113">
        <f t="shared" si="159"/>
        <v>12.283287425149707</v>
      </c>
      <c r="AT68" s="113">
        <f t="shared" si="160"/>
        <v>12.283287425149707</v>
      </c>
      <c r="AU68" s="113">
        <f t="shared" si="161"/>
        <v>2.3141430994628727</v>
      </c>
      <c r="AV68" s="34">
        <f t="shared" si="162"/>
        <v>1764.5382841054397</v>
      </c>
      <c r="AW68" s="34">
        <f t="shared" si="163"/>
        <v>94.538284105439743</v>
      </c>
      <c r="AX68" s="34">
        <f t="shared" si="164"/>
        <v>94.538284105439743</v>
      </c>
      <c r="AY68" s="113">
        <f t="shared" si="165"/>
        <v>5.6609750961341163</v>
      </c>
      <c r="AZ68" s="113">
        <f t="shared" si="166"/>
        <v>5.6609750961341163</v>
      </c>
      <c r="BA68" s="113">
        <f t="shared" si="167"/>
        <v>1.9801774369658505</v>
      </c>
      <c r="BB68" s="34">
        <f t="shared" si="168"/>
        <v>1764.7741359056704</v>
      </c>
      <c r="BC68" s="34">
        <f t="shared" si="169"/>
        <v>94.774135905670391</v>
      </c>
      <c r="BD68" s="34">
        <f t="shared" si="170"/>
        <v>94.774135905670391</v>
      </c>
      <c r="BE68" s="113">
        <f t="shared" si="171"/>
        <v>5.6750979584233763</v>
      </c>
      <c r="BF68" s="113">
        <f t="shared" si="172"/>
        <v>5.6750979584233763</v>
      </c>
      <c r="BG68" s="113">
        <f t="shared" si="173"/>
        <v>1.9812482423769417</v>
      </c>
      <c r="BH68" s="34">
        <f t="shared" si="174"/>
        <v>1784.0104094680048</v>
      </c>
      <c r="BI68" s="34">
        <f t="shared" si="175"/>
        <v>114.01040946800481</v>
      </c>
      <c r="BJ68" s="34">
        <f t="shared" si="176"/>
        <v>114.01040946800481</v>
      </c>
      <c r="BK68" s="113">
        <f t="shared" si="177"/>
        <v>6.8269706268266352</v>
      </c>
      <c r="BL68" s="113">
        <f t="shared" si="178"/>
        <v>6.8269706268266352</v>
      </c>
      <c r="BM68" s="113">
        <f t="shared" si="179"/>
        <v>2.060737149657287</v>
      </c>
      <c r="BN68" s="34">
        <f t="shared" si="180"/>
        <v>1700</v>
      </c>
      <c r="BO68" s="34">
        <f t="shared" si="181"/>
        <v>30</v>
      </c>
      <c r="BP68" s="34">
        <f t="shared" si="182"/>
        <v>30</v>
      </c>
      <c r="BQ68" s="113">
        <f t="shared" si="183"/>
        <v>1.7964071856287425</v>
      </c>
      <c r="BR68" s="113">
        <f t="shared" si="184"/>
        <v>1.7964071856287425</v>
      </c>
      <c r="BS68" s="113">
        <f t="shared" si="185"/>
        <v>1.4913616938342726</v>
      </c>
      <c r="BT68" s="34">
        <f t="shared" si="186"/>
        <v>1716.1381000000001</v>
      </c>
      <c r="BU68" s="34">
        <f t="shared" si="187"/>
        <v>46.138100000000122</v>
      </c>
      <c r="BV68" s="34">
        <f t="shared" si="188"/>
        <v>46.138100000000122</v>
      </c>
      <c r="BW68" s="34">
        <f t="shared" si="189"/>
        <v>1697.5126650352659</v>
      </c>
      <c r="BX68" s="34">
        <f t="shared" si="190"/>
        <v>27.512665035265854</v>
      </c>
      <c r="BY68" s="34">
        <f t="shared" si="191"/>
        <v>27.512665035265854</v>
      </c>
    </row>
    <row r="69" spans="1:77" ht="16" x14ac:dyDescent="0.2">
      <c r="A69" s="206" t="s">
        <v>465</v>
      </c>
      <c r="B69" t="s">
        <v>872</v>
      </c>
      <c r="C69" s="224" t="s">
        <v>824</v>
      </c>
      <c r="D69" s="35" t="s">
        <v>148</v>
      </c>
      <c r="E69" s="35" t="s">
        <v>374</v>
      </c>
      <c r="F69" s="35" t="s">
        <v>580</v>
      </c>
      <c r="G69" s="147">
        <v>1684</v>
      </c>
      <c r="H69" s="147">
        <v>1684</v>
      </c>
      <c r="I69" s="35" t="s">
        <v>627</v>
      </c>
      <c r="J69" s="147">
        <v>384</v>
      </c>
      <c r="K69" s="147">
        <v>375</v>
      </c>
      <c r="L69" s="28"/>
      <c r="M69" s="35" t="s">
        <v>488</v>
      </c>
      <c r="N69" s="33">
        <f t="shared" si="128"/>
        <v>1658.7956000000001</v>
      </c>
      <c r="O69" s="33">
        <f t="shared" si="129"/>
        <v>1755.8060000000005</v>
      </c>
      <c r="P69" s="33">
        <f t="shared" si="130"/>
        <v>1836.9093792755964</v>
      </c>
      <c r="Q69" s="33">
        <f t="shared" si="131"/>
        <v>1656.6167999999998</v>
      </c>
      <c r="R69" s="33">
        <f t="shared" si="132"/>
        <v>1618.9882095405933</v>
      </c>
      <c r="S69" s="33">
        <f t="shared" si="133"/>
        <v>1635.4643114388182</v>
      </c>
      <c r="T69" s="33">
        <f t="shared" si="134"/>
        <v>1648.1685451826245</v>
      </c>
      <c r="U69" s="33">
        <f t="shared" si="135"/>
        <v>1600</v>
      </c>
      <c r="V69" s="33">
        <f t="shared" si="136"/>
        <v>1600.4684</v>
      </c>
      <c r="W69" s="33">
        <f t="shared" si="137"/>
        <v>1583.1403667795892</v>
      </c>
      <c r="X69" s="34">
        <f t="shared" si="138"/>
        <v>1681.415</v>
      </c>
      <c r="Y69" s="34">
        <f t="shared" si="139"/>
        <v>-2.5850000000000364</v>
      </c>
      <c r="Z69" s="34">
        <f t="shared" si="140"/>
        <v>2.5850000000000364</v>
      </c>
      <c r="AA69" s="113">
        <f t="shared" si="141"/>
        <v>-0.15350356294537032</v>
      </c>
      <c r="AB69" s="113">
        <f t="shared" si="142"/>
        <v>0.15350356294537032</v>
      </c>
      <c r="AC69" s="113">
        <f t="shared" si="143"/>
        <v>0.55448916000382331</v>
      </c>
      <c r="AD69" s="34">
        <f t="shared" si="144"/>
        <v>1758.0925000000002</v>
      </c>
      <c r="AE69" s="34">
        <f t="shared" si="145"/>
        <v>74.0925000000002</v>
      </c>
      <c r="AF69" s="34">
        <f t="shared" si="146"/>
        <v>74.0925000000002</v>
      </c>
      <c r="AG69" s="113">
        <f t="shared" si="147"/>
        <v>4.3997921615202014</v>
      </c>
      <c r="AH69" s="113">
        <f t="shared" si="148"/>
        <v>4.3997921615202014</v>
      </c>
      <c r="AI69" s="113">
        <f t="shared" si="149"/>
        <v>1.8755965632189675</v>
      </c>
      <c r="AJ69" s="34">
        <f t="shared" si="150"/>
        <v>1661.2564193478629</v>
      </c>
      <c r="AK69" s="34">
        <f t="shared" si="151"/>
        <v>-22.743580652137098</v>
      </c>
      <c r="AL69" s="34">
        <f t="shared" si="152"/>
        <v>22.743580652137098</v>
      </c>
      <c r="AM69" s="113">
        <f t="shared" si="153"/>
        <v>-1.3505689223359323</v>
      </c>
      <c r="AN69" s="113">
        <f t="shared" si="154"/>
        <v>1.3505689223359323</v>
      </c>
      <c r="AO69" s="113">
        <f t="shared" si="155"/>
        <v>1.3755462133634584</v>
      </c>
      <c r="AP69" s="34">
        <f t="shared" si="156"/>
        <v>1791.0045</v>
      </c>
      <c r="AQ69" s="34">
        <f t="shared" si="157"/>
        <v>107.00450000000001</v>
      </c>
      <c r="AR69" s="34">
        <f t="shared" si="158"/>
        <v>107.00450000000001</v>
      </c>
      <c r="AS69" s="113">
        <f t="shared" si="159"/>
        <v>6.3541864608076013</v>
      </c>
      <c r="AT69" s="113">
        <f t="shared" si="160"/>
        <v>6.3541864608076013</v>
      </c>
      <c r="AU69" s="113">
        <f t="shared" si="161"/>
        <v>2.0334418507133809</v>
      </c>
      <c r="AV69" s="34">
        <f t="shared" si="162"/>
        <v>1677.4782483335548</v>
      </c>
      <c r="AW69" s="34">
        <f t="shared" si="163"/>
        <v>-6.5217516664451978</v>
      </c>
      <c r="AX69" s="34">
        <f t="shared" si="164"/>
        <v>6.5217516664451978</v>
      </c>
      <c r="AY69" s="113">
        <f t="shared" si="165"/>
        <v>-0.38727741487204265</v>
      </c>
      <c r="AZ69" s="113">
        <f t="shared" si="166"/>
        <v>0.38727741487204265</v>
      </c>
      <c r="BA69" s="113">
        <f t="shared" si="167"/>
        <v>0.87631899092194854</v>
      </c>
      <c r="BB69" s="34">
        <f t="shared" si="168"/>
        <v>1685.7125808519991</v>
      </c>
      <c r="BC69" s="34">
        <f t="shared" si="169"/>
        <v>1.7125808519990642</v>
      </c>
      <c r="BD69" s="34">
        <f t="shared" si="170"/>
        <v>1.7125808519990642</v>
      </c>
      <c r="BE69" s="113">
        <f t="shared" si="171"/>
        <v>0.10169720023747411</v>
      </c>
      <c r="BF69" s="113">
        <f t="shared" si="172"/>
        <v>0.10169720023747411</v>
      </c>
      <c r="BG69" s="113">
        <f t="shared" si="173"/>
        <v>0.43338269176118915</v>
      </c>
      <c r="BH69" s="34">
        <f t="shared" si="174"/>
        <v>1700.8150471457745</v>
      </c>
      <c r="BI69" s="34">
        <f t="shared" si="175"/>
        <v>16.815047145774543</v>
      </c>
      <c r="BJ69" s="34">
        <f t="shared" si="176"/>
        <v>16.815047145774543</v>
      </c>
      <c r="BK69" s="113">
        <f t="shared" si="177"/>
        <v>0.99851823906024606</v>
      </c>
      <c r="BL69" s="113">
        <f t="shared" si="178"/>
        <v>0.99851823906024606</v>
      </c>
      <c r="BM69" s="113">
        <f t="shared" si="179"/>
        <v>1.2507869760062955</v>
      </c>
      <c r="BN69" s="34">
        <f t="shared" si="180"/>
        <v>1630.4347826086955</v>
      </c>
      <c r="BO69" s="34">
        <f t="shared" si="181"/>
        <v>-53.565217391304486</v>
      </c>
      <c r="BP69" s="34">
        <f t="shared" si="182"/>
        <v>53.565217391304486</v>
      </c>
      <c r="BQ69" s="113">
        <f t="shared" si="183"/>
        <v>-3.1808323866570358</v>
      </c>
      <c r="BR69" s="113">
        <f t="shared" si="184"/>
        <v>3.1808323866570358</v>
      </c>
      <c r="BS69" s="113">
        <f t="shared" si="185"/>
        <v>1.7369158897994652</v>
      </c>
      <c r="BT69" s="34">
        <f t="shared" si="186"/>
        <v>1642.3285000000001</v>
      </c>
      <c r="BU69" s="34">
        <f t="shared" si="187"/>
        <v>-41.671499999999924</v>
      </c>
      <c r="BV69" s="34">
        <f t="shared" si="188"/>
        <v>41.671499999999924</v>
      </c>
      <c r="BW69" s="34">
        <f t="shared" si="189"/>
        <v>1624.6856021566555</v>
      </c>
      <c r="BX69" s="34">
        <f t="shared" si="190"/>
        <v>-59.314397843344523</v>
      </c>
      <c r="BY69" s="34">
        <f t="shared" si="191"/>
        <v>59.314397843344523</v>
      </c>
    </row>
    <row r="70" spans="1:77" ht="16" x14ac:dyDescent="0.2">
      <c r="A70" s="206" t="s">
        <v>465</v>
      </c>
      <c r="B70" t="s">
        <v>869</v>
      </c>
      <c r="C70" s="224" t="s">
        <v>824</v>
      </c>
      <c r="D70" s="35" t="s">
        <v>148</v>
      </c>
      <c r="E70" s="35" t="s">
        <v>374</v>
      </c>
      <c r="F70" s="35" t="s">
        <v>580</v>
      </c>
      <c r="G70" s="147">
        <v>1686</v>
      </c>
      <c r="H70" s="147">
        <v>1686</v>
      </c>
      <c r="I70" s="35" t="s">
        <v>627</v>
      </c>
      <c r="J70" s="147">
        <v>390</v>
      </c>
      <c r="K70" s="147">
        <v>371</v>
      </c>
      <c r="L70" s="28"/>
      <c r="M70" s="35" t="s">
        <v>488</v>
      </c>
      <c r="N70" s="33">
        <f t="shared" si="128"/>
        <v>1682.816</v>
      </c>
      <c r="O70" s="33">
        <f t="shared" si="129"/>
        <v>1789.3400000000001</v>
      </c>
      <c r="P70" s="33">
        <f t="shared" si="130"/>
        <v>1871.3324880467017</v>
      </c>
      <c r="Q70" s="33">
        <f t="shared" si="131"/>
        <v>1685.3249999999998</v>
      </c>
      <c r="R70" s="33">
        <f t="shared" si="132"/>
        <v>1649.6638428362296</v>
      </c>
      <c r="S70" s="33">
        <f t="shared" si="133"/>
        <v>1663.5183363937106</v>
      </c>
      <c r="T70" s="33">
        <f t="shared" si="134"/>
        <v>1677.6365442719857</v>
      </c>
      <c r="U70" s="33">
        <f t="shared" si="135"/>
        <v>1625</v>
      </c>
      <c r="V70" s="33">
        <f t="shared" si="136"/>
        <v>1626.779</v>
      </c>
      <c r="W70" s="33">
        <f t="shared" si="137"/>
        <v>1608.9392536904463</v>
      </c>
      <c r="X70" s="34">
        <f t="shared" si="138"/>
        <v>1664.7757999999999</v>
      </c>
      <c r="Y70" s="34">
        <f t="shared" si="139"/>
        <v>-21.22420000000011</v>
      </c>
      <c r="Z70" s="34">
        <f t="shared" si="140"/>
        <v>21.22420000000011</v>
      </c>
      <c r="AA70" s="113">
        <f t="shared" si="141"/>
        <v>-1.2588493475682152</v>
      </c>
      <c r="AB70" s="113">
        <f t="shared" si="142"/>
        <v>1.2588493475682152</v>
      </c>
      <c r="AC70" s="113">
        <f t="shared" si="143"/>
        <v>1.3468261367136267</v>
      </c>
      <c r="AD70" s="34">
        <f t="shared" si="144"/>
        <v>1736.2529</v>
      </c>
      <c r="AE70" s="34">
        <f t="shared" si="145"/>
        <v>50.252899999999954</v>
      </c>
      <c r="AF70" s="34">
        <f t="shared" si="146"/>
        <v>50.252899999999954</v>
      </c>
      <c r="AG70" s="113">
        <f t="shared" si="147"/>
        <v>2.9805990510083009</v>
      </c>
      <c r="AH70" s="113">
        <f t="shared" si="148"/>
        <v>2.9805990510083009</v>
      </c>
      <c r="AI70" s="113">
        <f t="shared" si="149"/>
        <v>1.70971844374468</v>
      </c>
      <c r="AJ70" s="34">
        <f t="shared" si="150"/>
        <v>1639.090244078744</v>
      </c>
      <c r="AK70" s="34">
        <f t="shared" si="151"/>
        <v>-46.909755921255964</v>
      </c>
      <c r="AL70" s="34">
        <f t="shared" si="152"/>
        <v>46.909755921255964</v>
      </c>
      <c r="AM70" s="113">
        <f t="shared" si="153"/>
        <v>-2.7823105528621568</v>
      </c>
      <c r="AN70" s="113">
        <f t="shared" si="154"/>
        <v>2.7823105528621568</v>
      </c>
      <c r="AO70" s="113">
        <f t="shared" si="155"/>
        <v>1.6804239583279492</v>
      </c>
      <c r="AP70" s="34">
        <f t="shared" si="156"/>
        <v>1769.9729</v>
      </c>
      <c r="AQ70" s="34">
        <f t="shared" si="157"/>
        <v>83.972899999999981</v>
      </c>
      <c r="AR70" s="34">
        <f t="shared" si="158"/>
        <v>83.972899999999981</v>
      </c>
      <c r="AS70" s="113">
        <f t="shared" si="159"/>
        <v>4.9805990510083022</v>
      </c>
      <c r="AT70" s="113">
        <f t="shared" si="160"/>
        <v>4.9805990510083022</v>
      </c>
      <c r="AU70" s="113">
        <f t="shared" si="161"/>
        <v>1.9292804403373967</v>
      </c>
      <c r="AV70" s="34">
        <f t="shared" si="162"/>
        <v>1655.8341557116576</v>
      </c>
      <c r="AW70" s="34">
        <f t="shared" si="163"/>
        <v>-30.165844288342441</v>
      </c>
      <c r="AX70" s="34">
        <f t="shared" si="164"/>
        <v>30.165844288342441</v>
      </c>
      <c r="AY70" s="113">
        <f t="shared" si="165"/>
        <v>-1.789195983887452</v>
      </c>
      <c r="AZ70" s="113">
        <f t="shared" si="166"/>
        <v>1.789195983887452</v>
      </c>
      <c r="BA70" s="113">
        <f t="shared" si="167"/>
        <v>1.4936788965032184</v>
      </c>
      <c r="BB70" s="34">
        <f t="shared" si="168"/>
        <v>1665.9977334134985</v>
      </c>
      <c r="BC70" s="34">
        <f t="shared" si="169"/>
        <v>-20.002266586501491</v>
      </c>
      <c r="BD70" s="34">
        <f t="shared" si="170"/>
        <v>20.002266586501491</v>
      </c>
      <c r="BE70" s="113">
        <f t="shared" si="171"/>
        <v>-1.1863740561388785</v>
      </c>
      <c r="BF70" s="113">
        <f t="shared" si="172"/>
        <v>1.1863740561388785</v>
      </c>
      <c r="BG70" s="113">
        <f t="shared" si="173"/>
        <v>1.3222661667763735</v>
      </c>
      <c r="BH70" s="34">
        <f t="shared" si="174"/>
        <v>1680.0945734339318</v>
      </c>
      <c r="BI70" s="34">
        <f t="shared" si="175"/>
        <v>-5.9054265660681722</v>
      </c>
      <c r="BJ70" s="34">
        <f t="shared" si="176"/>
        <v>5.9054265660681722</v>
      </c>
      <c r="BK70" s="113">
        <f t="shared" si="177"/>
        <v>-0.35026254840261994</v>
      </c>
      <c r="BL70" s="113">
        <f t="shared" si="178"/>
        <v>0.35026254840261994</v>
      </c>
      <c r="BM70" s="113">
        <f t="shared" si="179"/>
        <v>0.83919051123725796</v>
      </c>
      <c r="BN70" s="34">
        <f t="shared" si="180"/>
        <v>1613.0434782608695</v>
      </c>
      <c r="BO70" s="34">
        <f t="shared" si="181"/>
        <v>-72.956521739130494</v>
      </c>
      <c r="BP70" s="34">
        <f t="shared" si="182"/>
        <v>72.956521739130494</v>
      </c>
      <c r="BQ70" s="113">
        <f t="shared" si="183"/>
        <v>-4.3271958326886413</v>
      </c>
      <c r="BR70" s="113">
        <f t="shared" si="184"/>
        <v>4.3271958326886413</v>
      </c>
      <c r="BS70" s="113">
        <f t="shared" si="185"/>
        <v>1.8689764775949764</v>
      </c>
      <c r="BT70" s="34">
        <f t="shared" si="186"/>
        <v>1623.8761</v>
      </c>
      <c r="BU70" s="34">
        <f t="shared" si="187"/>
        <v>-62.123900000000049</v>
      </c>
      <c r="BV70" s="34">
        <f t="shared" si="188"/>
        <v>62.123900000000049</v>
      </c>
      <c r="BW70" s="34">
        <f t="shared" si="189"/>
        <v>1606.5026062973632</v>
      </c>
      <c r="BX70" s="34">
        <f t="shared" si="190"/>
        <v>-79.497393702636828</v>
      </c>
      <c r="BY70" s="34">
        <f t="shared" si="191"/>
        <v>79.497393702636828</v>
      </c>
    </row>
    <row r="71" spans="1:77" ht="16" x14ac:dyDescent="0.2">
      <c r="A71" s="206" t="s">
        <v>465</v>
      </c>
      <c r="B71" t="s">
        <v>880</v>
      </c>
      <c r="C71" s="224" t="s">
        <v>824</v>
      </c>
      <c r="D71" s="35" t="s">
        <v>148</v>
      </c>
      <c r="E71" s="35" t="s">
        <v>374</v>
      </c>
      <c r="F71" s="35" t="s">
        <v>580</v>
      </c>
      <c r="G71" s="147">
        <v>1695</v>
      </c>
      <c r="H71" s="147">
        <v>1695</v>
      </c>
      <c r="I71" s="35" t="s">
        <v>627</v>
      </c>
      <c r="J71" s="147">
        <v>385</v>
      </c>
      <c r="K71" s="147">
        <v>375</v>
      </c>
      <c r="L71" s="28"/>
      <c r="M71" s="35" t="s">
        <v>488</v>
      </c>
      <c r="N71" s="33">
        <f t="shared" si="128"/>
        <v>1662.799</v>
      </c>
      <c r="O71" s="33">
        <f t="shared" si="129"/>
        <v>1761.3950000000004</v>
      </c>
      <c r="P71" s="33">
        <f t="shared" si="130"/>
        <v>1842.639234134667</v>
      </c>
      <c r="Q71" s="33">
        <f t="shared" si="131"/>
        <v>1661.4014999999999</v>
      </c>
      <c r="R71" s="33">
        <f t="shared" si="132"/>
        <v>1624.0938483739187</v>
      </c>
      <c r="S71" s="33">
        <f t="shared" si="133"/>
        <v>1640.1370478225808</v>
      </c>
      <c r="T71" s="33">
        <f t="shared" si="134"/>
        <v>1653.075334653186</v>
      </c>
      <c r="U71" s="33">
        <f t="shared" si="135"/>
        <v>1604.1666666666667</v>
      </c>
      <c r="V71" s="33">
        <f t="shared" si="136"/>
        <v>1604.8535000000002</v>
      </c>
      <c r="W71" s="33">
        <f t="shared" si="137"/>
        <v>1587.4389960143283</v>
      </c>
      <c r="X71" s="34">
        <f t="shared" si="138"/>
        <v>1681.415</v>
      </c>
      <c r="Y71" s="34">
        <f t="shared" si="139"/>
        <v>-13.585000000000036</v>
      </c>
      <c r="Z71" s="34">
        <f t="shared" si="140"/>
        <v>13.585000000000036</v>
      </c>
      <c r="AA71" s="113">
        <f t="shared" si="141"/>
        <v>-0.80147492625368943</v>
      </c>
      <c r="AB71" s="113">
        <f t="shared" si="142"/>
        <v>0.80147492625368943</v>
      </c>
      <c r="AC71" s="113">
        <f t="shared" si="143"/>
        <v>1.1639064334577525</v>
      </c>
      <c r="AD71" s="34">
        <f t="shared" si="144"/>
        <v>1758.0925000000002</v>
      </c>
      <c r="AE71" s="34">
        <f t="shared" si="145"/>
        <v>63.0925000000002</v>
      </c>
      <c r="AF71" s="34">
        <f t="shared" si="146"/>
        <v>63.0925000000002</v>
      </c>
      <c r="AG71" s="113">
        <f t="shared" si="147"/>
        <v>3.7222713864306902</v>
      </c>
      <c r="AH71" s="113">
        <f t="shared" si="148"/>
        <v>3.7222713864306902</v>
      </c>
      <c r="AI71" s="113">
        <f t="shared" si="149"/>
        <v>1.8068072120588583</v>
      </c>
      <c r="AJ71" s="34">
        <f t="shared" si="150"/>
        <v>1661.2564193478629</v>
      </c>
      <c r="AK71" s="34">
        <f t="shared" si="151"/>
        <v>-33.743580652137098</v>
      </c>
      <c r="AL71" s="34">
        <f t="shared" si="152"/>
        <v>33.743580652137098</v>
      </c>
      <c r="AM71" s="113">
        <f t="shared" si="153"/>
        <v>-1.9907717198900943</v>
      </c>
      <c r="AN71" s="113">
        <f t="shared" si="154"/>
        <v>1.9907717198900943</v>
      </c>
      <c r="AO71" s="113">
        <f t="shared" si="155"/>
        <v>1.5408745745408543</v>
      </c>
      <c r="AP71" s="34">
        <f t="shared" si="156"/>
        <v>1791.0045</v>
      </c>
      <c r="AQ71" s="34">
        <f t="shared" si="157"/>
        <v>96.004500000000007</v>
      </c>
      <c r="AR71" s="34">
        <f t="shared" si="158"/>
        <v>96.004500000000007</v>
      </c>
      <c r="AS71" s="113">
        <f t="shared" si="159"/>
        <v>5.6639823008849559</v>
      </c>
      <c r="AT71" s="113">
        <f t="shared" si="160"/>
        <v>5.6639823008849559</v>
      </c>
      <c r="AU71" s="113">
        <f t="shared" si="161"/>
        <v>1.9867918814810663</v>
      </c>
      <c r="AV71" s="34">
        <f t="shared" si="162"/>
        <v>1677.4782483335548</v>
      </c>
      <c r="AW71" s="34">
        <f t="shared" si="163"/>
        <v>-17.521751666445198</v>
      </c>
      <c r="AX71" s="34">
        <f t="shared" si="164"/>
        <v>17.521751666445198</v>
      </c>
      <c r="AY71" s="113">
        <f t="shared" si="165"/>
        <v>-1.0337316617371799</v>
      </c>
      <c r="AZ71" s="113">
        <f t="shared" si="166"/>
        <v>1.0337316617371799</v>
      </c>
      <c r="BA71" s="113">
        <f t="shared" si="167"/>
        <v>1.2676820570271943</v>
      </c>
      <c r="BB71" s="34">
        <f t="shared" si="168"/>
        <v>1685.7125808519991</v>
      </c>
      <c r="BC71" s="34">
        <f t="shared" si="169"/>
        <v>-9.2874191480009358</v>
      </c>
      <c r="BD71" s="34">
        <f t="shared" si="170"/>
        <v>9.2874191480009358</v>
      </c>
      <c r="BE71" s="113">
        <f t="shared" si="171"/>
        <v>-0.54793033321539442</v>
      </c>
      <c r="BF71" s="113">
        <f t="shared" si="172"/>
        <v>0.54793033321539442</v>
      </c>
      <c r="BG71" s="113">
        <f t="shared" si="173"/>
        <v>1.0123064349794972</v>
      </c>
      <c r="BH71" s="34">
        <f t="shared" si="174"/>
        <v>1700.8150471457745</v>
      </c>
      <c r="BI71" s="34">
        <f t="shared" si="175"/>
        <v>5.8150471457745425</v>
      </c>
      <c r="BJ71" s="34">
        <f t="shared" si="176"/>
        <v>5.8150471457745425</v>
      </c>
      <c r="BK71" s="113">
        <f t="shared" si="177"/>
        <v>0.34307062806929456</v>
      </c>
      <c r="BL71" s="113">
        <f t="shared" si="178"/>
        <v>0.34307062806929456</v>
      </c>
      <c r="BM71" s="113">
        <f t="shared" si="179"/>
        <v>0.83346886458432501</v>
      </c>
      <c r="BN71" s="34">
        <f t="shared" si="180"/>
        <v>1630.4347826086955</v>
      </c>
      <c r="BO71" s="34">
        <f t="shared" si="181"/>
        <v>-64.565217391304486</v>
      </c>
      <c r="BP71" s="34">
        <f t="shared" si="182"/>
        <v>64.565217391304486</v>
      </c>
      <c r="BQ71" s="113">
        <f t="shared" si="183"/>
        <v>-3.8091573682185542</v>
      </c>
      <c r="BR71" s="113">
        <f t="shared" si="184"/>
        <v>3.8091573682185542</v>
      </c>
      <c r="BS71" s="113">
        <f t="shared" si="185"/>
        <v>1.8166735055161634</v>
      </c>
      <c r="BT71" s="34">
        <f t="shared" si="186"/>
        <v>1642.3285000000001</v>
      </c>
      <c r="BU71" s="34">
        <f t="shared" si="187"/>
        <v>-52.671499999999924</v>
      </c>
      <c r="BV71" s="34">
        <f t="shared" si="188"/>
        <v>52.671499999999924</v>
      </c>
      <c r="BW71" s="34">
        <f t="shared" si="189"/>
        <v>1624.6856021566555</v>
      </c>
      <c r="BX71" s="34">
        <f t="shared" si="190"/>
        <v>-70.314397843344523</v>
      </c>
      <c r="BY71" s="34">
        <f t="shared" si="191"/>
        <v>70.314397843344523</v>
      </c>
    </row>
    <row r="72" spans="1:77" ht="15" x14ac:dyDescent="0.2">
      <c r="A72" s="206" t="s">
        <v>465</v>
      </c>
      <c r="B72" t="s">
        <v>891</v>
      </c>
      <c r="C72" s="224" t="s">
        <v>824</v>
      </c>
      <c r="D72" s="35" t="s">
        <v>148</v>
      </c>
      <c r="E72" s="35" t="s">
        <v>374</v>
      </c>
      <c r="F72" s="35" t="s">
        <v>580</v>
      </c>
      <c r="G72">
        <v>1704</v>
      </c>
      <c r="H72">
        <v>1704</v>
      </c>
      <c r="I72" s="35" t="s">
        <v>627</v>
      </c>
      <c r="J72">
        <v>389</v>
      </c>
      <c r="K72">
        <v>372</v>
      </c>
      <c r="L72" s="28"/>
      <c r="M72" s="35" t="s">
        <v>488</v>
      </c>
      <c r="N72" s="33">
        <f t="shared" si="128"/>
        <v>1678.8126</v>
      </c>
      <c r="O72" s="33">
        <f t="shared" si="129"/>
        <v>1783.7510000000002</v>
      </c>
      <c r="P72" s="33">
        <f t="shared" si="130"/>
        <v>1865.5879935538881</v>
      </c>
      <c r="Q72" s="33">
        <f t="shared" si="131"/>
        <v>1680.5402999999999</v>
      </c>
      <c r="R72" s="33">
        <f t="shared" si="132"/>
        <v>1644.5442894918456</v>
      </c>
      <c r="S72" s="33">
        <f t="shared" si="133"/>
        <v>1658.8397402411433</v>
      </c>
      <c r="T72" s="33">
        <f t="shared" si="134"/>
        <v>1672.7206807756877</v>
      </c>
      <c r="U72" s="33">
        <f t="shared" si="135"/>
        <v>1620.8333333333335</v>
      </c>
      <c r="V72" s="33">
        <f t="shared" si="136"/>
        <v>1622.3939</v>
      </c>
      <c r="W72" s="33">
        <f t="shared" si="137"/>
        <v>1604.6382578580969</v>
      </c>
      <c r="X72" s="34">
        <f t="shared" si="138"/>
        <v>1668.9355999999998</v>
      </c>
      <c r="Y72" s="34">
        <f t="shared" si="139"/>
        <v>-35.064400000000205</v>
      </c>
      <c r="Z72" s="34">
        <f t="shared" si="140"/>
        <v>35.064400000000205</v>
      </c>
      <c r="AA72" s="113">
        <f t="shared" si="141"/>
        <v>-2.0577699530516553</v>
      </c>
      <c r="AB72" s="113">
        <f t="shared" si="142"/>
        <v>2.0577699530516553</v>
      </c>
      <c r="AC72" s="113">
        <f t="shared" si="143"/>
        <v>1.5570787112701128</v>
      </c>
      <c r="AD72" s="34">
        <f t="shared" si="144"/>
        <v>1741.7128000000002</v>
      </c>
      <c r="AE72" s="34">
        <f t="shared" si="145"/>
        <v>37.712800000000243</v>
      </c>
      <c r="AF72" s="34">
        <f t="shared" si="146"/>
        <v>37.712800000000243</v>
      </c>
      <c r="AG72" s="113">
        <f t="shared" si="147"/>
        <v>2.213192488262925</v>
      </c>
      <c r="AH72" s="113">
        <f t="shared" si="148"/>
        <v>2.213192488262925</v>
      </c>
      <c r="AI72" s="113">
        <f t="shared" si="149"/>
        <v>1.5878545838886364</v>
      </c>
      <c r="AJ72" s="34">
        <f t="shared" si="150"/>
        <v>1644.6261549107726</v>
      </c>
      <c r="AK72" s="34">
        <f t="shared" si="151"/>
        <v>-59.373845089227416</v>
      </c>
      <c r="AL72" s="34">
        <f t="shared" si="152"/>
        <v>59.373845089227416</v>
      </c>
      <c r="AM72" s="113">
        <f t="shared" si="153"/>
        <v>-3.4843805803537213</v>
      </c>
      <c r="AN72" s="113">
        <f t="shared" si="154"/>
        <v>3.4843805803537213</v>
      </c>
      <c r="AO72" s="113">
        <f t="shared" si="155"/>
        <v>1.7808488360796852</v>
      </c>
      <c r="AP72" s="34">
        <f t="shared" si="156"/>
        <v>1775.2308</v>
      </c>
      <c r="AQ72" s="34">
        <f t="shared" si="157"/>
        <v>71.230800000000045</v>
      </c>
      <c r="AR72" s="34">
        <f t="shared" si="158"/>
        <v>71.230800000000045</v>
      </c>
      <c r="AS72" s="113">
        <f t="shared" si="159"/>
        <v>4.1802112676056362</v>
      </c>
      <c r="AT72" s="113">
        <f t="shared" si="160"/>
        <v>4.1802112676056362</v>
      </c>
      <c r="AU72" s="113">
        <f t="shared" si="161"/>
        <v>1.8587224249622092</v>
      </c>
      <c r="AV72" s="34">
        <f t="shared" si="162"/>
        <v>1661.2405842157045</v>
      </c>
      <c r="AW72" s="34">
        <f t="shared" si="163"/>
        <v>-42.75941578429547</v>
      </c>
      <c r="AX72" s="34">
        <f t="shared" si="164"/>
        <v>42.75941578429547</v>
      </c>
      <c r="AY72" s="113">
        <f t="shared" si="165"/>
        <v>-2.5093553864023161</v>
      </c>
      <c r="AZ72" s="113">
        <f t="shared" si="166"/>
        <v>2.5093553864023161</v>
      </c>
      <c r="BA72" s="113">
        <f t="shared" si="167"/>
        <v>1.6410715152597806</v>
      </c>
      <c r="BB72" s="34">
        <f t="shared" si="168"/>
        <v>1670.9245211168936</v>
      </c>
      <c r="BC72" s="34">
        <f t="shared" si="169"/>
        <v>-33.075478883106371</v>
      </c>
      <c r="BD72" s="34">
        <f t="shared" si="170"/>
        <v>33.075478883106371</v>
      </c>
      <c r="BE72" s="113">
        <f t="shared" si="171"/>
        <v>-1.941049230229247</v>
      </c>
      <c r="BF72" s="113">
        <f t="shared" si="172"/>
        <v>1.941049230229247</v>
      </c>
      <c r="BG72" s="113">
        <f t="shared" si="173"/>
        <v>1.5324419679499734</v>
      </c>
      <c r="BH72" s="34">
        <f t="shared" si="174"/>
        <v>1685.2717106491937</v>
      </c>
      <c r="BI72" s="34">
        <f t="shared" si="175"/>
        <v>-18.728289350806335</v>
      </c>
      <c r="BJ72" s="34">
        <f t="shared" si="176"/>
        <v>18.728289350806335</v>
      </c>
      <c r="BK72" s="113">
        <f t="shared" si="177"/>
        <v>-1.0990780135449727</v>
      </c>
      <c r="BL72" s="113">
        <f t="shared" si="178"/>
        <v>1.0990780135449727</v>
      </c>
      <c r="BM72" s="113">
        <f t="shared" si="179"/>
        <v>1.2950894290071806</v>
      </c>
      <c r="BN72" s="34">
        <f t="shared" si="180"/>
        <v>1617.391304347826</v>
      </c>
      <c r="BO72" s="34">
        <f t="shared" si="181"/>
        <v>-86.608695652173992</v>
      </c>
      <c r="BP72" s="34">
        <f t="shared" si="182"/>
        <v>86.608695652173992</v>
      </c>
      <c r="BQ72" s="113">
        <f t="shared" si="183"/>
        <v>-5.0826699326393188</v>
      </c>
      <c r="BR72" s="113">
        <f t="shared" si="184"/>
        <v>5.0826699326393188</v>
      </c>
      <c r="BS72" s="113">
        <f t="shared" si="185"/>
        <v>1.9425472144595357</v>
      </c>
      <c r="BT72" s="34">
        <f t="shared" si="186"/>
        <v>1628.4892</v>
      </c>
      <c r="BU72" s="34">
        <f t="shared" si="187"/>
        <v>-75.510800000000017</v>
      </c>
      <c r="BV72" s="34">
        <f t="shared" si="188"/>
        <v>75.510800000000017</v>
      </c>
      <c r="BW72" s="34">
        <f t="shared" si="189"/>
        <v>1611.0474496039792</v>
      </c>
      <c r="BX72" s="34">
        <f t="shared" si="190"/>
        <v>-92.952550396020797</v>
      </c>
      <c r="BY72" s="34">
        <f t="shared" si="191"/>
        <v>92.952550396020797</v>
      </c>
    </row>
    <row r="73" spans="1:77" ht="15" x14ac:dyDescent="0.2">
      <c r="A73" s="206" t="s">
        <v>465</v>
      </c>
      <c r="B73" t="s">
        <v>885</v>
      </c>
      <c r="C73" s="224" t="s">
        <v>824</v>
      </c>
      <c r="D73" s="35" t="s">
        <v>148</v>
      </c>
      <c r="E73" s="35" t="s">
        <v>374</v>
      </c>
      <c r="F73" s="35" t="s">
        <v>580</v>
      </c>
      <c r="G73">
        <v>1714</v>
      </c>
      <c r="H73">
        <v>1714</v>
      </c>
      <c r="I73" s="35" t="s">
        <v>627</v>
      </c>
      <c r="J73">
        <v>385</v>
      </c>
      <c r="K73">
        <v>369</v>
      </c>
      <c r="L73" s="28"/>
      <c r="M73" s="35" t="s">
        <v>488</v>
      </c>
      <c r="N73" s="33">
        <f t="shared" si="128"/>
        <v>1662.799</v>
      </c>
      <c r="O73" s="33">
        <f t="shared" si="129"/>
        <v>1761.3950000000004</v>
      </c>
      <c r="P73" s="33">
        <f t="shared" si="130"/>
        <v>1842.639234134667</v>
      </c>
      <c r="Q73" s="33">
        <f t="shared" si="131"/>
        <v>1661.4014999999999</v>
      </c>
      <c r="R73" s="33">
        <f t="shared" si="132"/>
        <v>1624.0938483739187</v>
      </c>
      <c r="S73" s="33">
        <f t="shared" si="133"/>
        <v>1640.1370478225808</v>
      </c>
      <c r="T73" s="33">
        <f t="shared" si="134"/>
        <v>1653.075334653186</v>
      </c>
      <c r="U73" s="33">
        <f t="shared" si="135"/>
        <v>1604.1666666666667</v>
      </c>
      <c r="V73" s="33">
        <f t="shared" si="136"/>
        <v>1604.8535000000002</v>
      </c>
      <c r="W73" s="33">
        <f t="shared" si="137"/>
        <v>1587.4389960143283</v>
      </c>
      <c r="X73" s="34">
        <f t="shared" si="138"/>
        <v>1656.4561999999999</v>
      </c>
      <c r="Y73" s="34">
        <f t="shared" si="139"/>
        <v>-57.543800000000147</v>
      </c>
      <c r="Z73" s="34">
        <f t="shared" si="140"/>
        <v>57.543800000000147</v>
      </c>
      <c r="AA73" s="113">
        <f t="shared" si="141"/>
        <v>-3.3572812135355976</v>
      </c>
      <c r="AB73" s="113">
        <f t="shared" si="142"/>
        <v>3.3572812135355976</v>
      </c>
      <c r="AC73" s="113">
        <f t="shared" si="143"/>
        <v>1.7674809084884484</v>
      </c>
      <c r="AD73" s="34">
        <f t="shared" si="144"/>
        <v>1725.3331000000003</v>
      </c>
      <c r="AE73" s="34">
        <f t="shared" si="145"/>
        <v>11.333100000000286</v>
      </c>
      <c r="AF73" s="34">
        <f t="shared" si="146"/>
        <v>11.333100000000286</v>
      </c>
      <c r="AG73" s="113">
        <f t="shared" si="147"/>
        <v>0.66120770128356399</v>
      </c>
      <c r="AH73" s="113">
        <f t="shared" si="148"/>
        <v>0.66120770128356399</v>
      </c>
      <c r="AI73" s="113">
        <f t="shared" si="149"/>
        <v>1.091072252887529</v>
      </c>
      <c r="AJ73" s="34">
        <f t="shared" si="150"/>
        <v>1628.0297337694969</v>
      </c>
      <c r="AK73" s="34">
        <f t="shared" si="151"/>
        <v>-85.970266230503057</v>
      </c>
      <c r="AL73" s="34">
        <f t="shared" si="152"/>
        <v>85.970266230503057</v>
      </c>
      <c r="AM73" s="113">
        <f t="shared" si="153"/>
        <v>-5.0157681581390348</v>
      </c>
      <c r="AN73" s="113">
        <f t="shared" si="154"/>
        <v>5.0157681581390348</v>
      </c>
      <c r="AO73" s="113">
        <f t="shared" si="155"/>
        <v>1.9393707995246015</v>
      </c>
      <c r="AP73" s="34">
        <f t="shared" si="156"/>
        <v>1759.4571000000001</v>
      </c>
      <c r="AQ73" s="34">
        <f t="shared" si="157"/>
        <v>45.457100000000082</v>
      </c>
      <c r="AR73" s="34">
        <f t="shared" si="158"/>
        <v>45.457100000000082</v>
      </c>
      <c r="AS73" s="113">
        <f t="shared" si="159"/>
        <v>2.6521061843640656</v>
      </c>
      <c r="AT73" s="113">
        <f t="shared" si="160"/>
        <v>2.6521061843640656</v>
      </c>
      <c r="AU73" s="113">
        <f t="shared" si="161"/>
        <v>1.6670520962669237</v>
      </c>
      <c r="AV73" s="34">
        <f t="shared" si="162"/>
        <v>1645.0305270894471</v>
      </c>
      <c r="AW73" s="34">
        <f t="shared" si="163"/>
        <v>-68.969472910552895</v>
      </c>
      <c r="AX73" s="34">
        <f t="shared" si="164"/>
        <v>68.969472910552895</v>
      </c>
      <c r="AY73" s="113">
        <f t="shared" si="165"/>
        <v>-4.0238899014324909</v>
      </c>
      <c r="AZ73" s="113">
        <f t="shared" si="166"/>
        <v>4.0238899014324909</v>
      </c>
      <c r="BA73" s="113">
        <f t="shared" si="167"/>
        <v>1.8449086023257384</v>
      </c>
      <c r="BB73" s="34">
        <f t="shared" si="168"/>
        <v>1656.1480250565612</v>
      </c>
      <c r="BC73" s="34">
        <f t="shared" si="169"/>
        <v>-57.85197494343879</v>
      </c>
      <c r="BD73" s="34">
        <f t="shared" si="170"/>
        <v>57.85197494343879</v>
      </c>
      <c r="BE73" s="113">
        <f t="shared" si="171"/>
        <v>-3.3752610818809101</v>
      </c>
      <c r="BF73" s="113">
        <f t="shared" si="172"/>
        <v>3.3752610818809101</v>
      </c>
      <c r="BG73" s="113">
        <f t="shared" si="173"/>
        <v>1.7697610413960378</v>
      </c>
      <c r="BH73" s="34">
        <f t="shared" si="174"/>
        <v>1669.7462889777796</v>
      </c>
      <c r="BI73" s="34">
        <f t="shared" si="175"/>
        <v>-44.253711022220386</v>
      </c>
      <c r="BJ73" s="34">
        <f t="shared" si="176"/>
        <v>44.253711022220386</v>
      </c>
      <c r="BK73" s="113">
        <f t="shared" si="177"/>
        <v>-2.5818967924282608</v>
      </c>
      <c r="BL73" s="113">
        <f t="shared" si="178"/>
        <v>2.5818967924282608</v>
      </c>
      <c r="BM73" s="113">
        <f t="shared" si="179"/>
        <v>1.655654199240407</v>
      </c>
      <c r="BN73" s="34">
        <f t="shared" si="180"/>
        <v>1604.3478260869565</v>
      </c>
      <c r="BO73" s="34">
        <f t="shared" si="181"/>
        <v>-109.6521739130435</v>
      </c>
      <c r="BP73" s="34">
        <f t="shared" si="182"/>
        <v>109.6521739130435</v>
      </c>
      <c r="BQ73" s="113">
        <f t="shared" si="183"/>
        <v>-6.3974430521028882</v>
      </c>
      <c r="BR73" s="113">
        <f t="shared" si="184"/>
        <v>6.3974430521028882</v>
      </c>
      <c r="BS73" s="113">
        <f t="shared" si="185"/>
        <v>2.0439599506551849</v>
      </c>
      <c r="BT73" s="34">
        <f t="shared" si="186"/>
        <v>1614.6499000000001</v>
      </c>
      <c r="BU73" s="34">
        <f t="shared" si="187"/>
        <v>-99.350099999999884</v>
      </c>
      <c r="BV73" s="34">
        <f t="shared" si="188"/>
        <v>99.350099999999884</v>
      </c>
      <c r="BW73" s="34">
        <f t="shared" si="189"/>
        <v>1597.4147402848319</v>
      </c>
      <c r="BX73" s="34">
        <f t="shared" si="190"/>
        <v>-116.58525971516815</v>
      </c>
      <c r="BY73" s="34">
        <f t="shared" si="191"/>
        <v>116.58525971516815</v>
      </c>
    </row>
    <row r="74" spans="1:77" ht="15" x14ac:dyDescent="0.2">
      <c r="A74" s="206" t="s">
        <v>465</v>
      </c>
      <c r="B74" s="28" t="s">
        <v>664</v>
      </c>
      <c r="C74" s="207" t="s">
        <v>403</v>
      </c>
      <c r="D74" s="35" t="s">
        <v>82</v>
      </c>
      <c r="E74" s="35" t="s">
        <v>374</v>
      </c>
      <c r="F74" s="35" t="s">
        <v>580</v>
      </c>
      <c r="G74" s="141">
        <v>1730.8</v>
      </c>
      <c r="H74" s="141">
        <v>1800</v>
      </c>
      <c r="I74" s="35" t="s">
        <v>627</v>
      </c>
      <c r="J74" s="141">
        <v>398.22</v>
      </c>
      <c r="K74" s="141">
        <v>367.94</v>
      </c>
      <c r="L74" s="28">
        <v>500.12</v>
      </c>
      <c r="M74" s="35" t="s">
        <v>37</v>
      </c>
      <c r="N74" s="33">
        <f t="shared" si="128"/>
        <v>1715.7239480000001</v>
      </c>
      <c r="O74" s="33">
        <f t="shared" si="129"/>
        <v>1835.2815800000003</v>
      </c>
      <c r="P74" s="33">
        <f t="shared" si="130"/>
        <v>1918.6619567929843</v>
      </c>
      <c r="Q74" s="33">
        <f t="shared" si="131"/>
        <v>1724.6552340000001</v>
      </c>
      <c r="R74" s="33">
        <f t="shared" si="132"/>
        <v>1691.850879555074</v>
      </c>
      <c r="S74" s="33">
        <f t="shared" si="133"/>
        <v>1702.0202546023377</v>
      </c>
      <c r="T74" s="33">
        <f t="shared" si="134"/>
        <v>1718.1129006695942</v>
      </c>
      <c r="U74" s="33">
        <f t="shared" si="135"/>
        <v>1659.2500000000002</v>
      </c>
      <c r="V74" s="33">
        <f t="shared" si="136"/>
        <v>1662.8245220000001</v>
      </c>
      <c r="W74" s="33">
        <f t="shared" si="137"/>
        <v>1644.3111390459842</v>
      </c>
      <c r="X74" s="34">
        <f t="shared" si="138"/>
        <v>1652.0468119999998</v>
      </c>
      <c r="Y74" s="34">
        <f t="shared" si="139"/>
        <v>-78.753188000000137</v>
      </c>
      <c r="Z74" s="34">
        <f t="shared" si="140"/>
        <v>78.753188000000137</v>
      </c>
      <c r="AA74" s="113">
        <f t="shared" si="141"/>
        <v>-4.5501033048301442</v>
      </c>
      <c r="AB74" s="113">
        <f t="shared" si="142"/>
        <v>4.5501033048301442</v>
      </c>
      <c r="AC74" s="113">
        <f t="shared" si="143"/>
        <v>1.9017480522701071</v>
      </c>
      <c r="AD74" s="34">
        <f t="shared" si="144"/>
        <v>1719.5456060000001</v>
      </c>
      <c r="AE74" s="34">
        <f t="shared" si="145"/>
        <v>-11.25439399999982</v>
      </c>
      <c r="AF74" s="34">
        <f t="shared" si="146"/>
        <v>11.25439399999982</v>
      </c>
      <c r="AG74" s="113">
        <f t="shared" si="147"/>
        <v>-0.65024231569215507</v>
      </c>
      <c r="AH74" s="113">
        <f t="shared" si="148"/>
        <v>0.65024231569215507</v>
      </c>
      <c r="AI74" s="113">
        <f t="shared" si="149"/>
        <v>1.088291839540491</v>
      </c>
      <c r="AJ74" s="34">
        <f t="shared" si="150"/>
        <v>1622.1737949643741</v>
      </c>
      <c r="AK74" s="34">
        <f t="shared" si="151"/>
        <v>-108.62620503562584</v>
      </c>
      <c r="AL74" s="34">
        <f t="shared" si="152"/>
        <v>108.62620503562584</v>
      </c>
      <c r="AM74" s="113">
        <f t="shared" si="153"/>
        <v>-6.2760691608288566</v>
      </c>
      <c r="AN74" s="113">
        <f t="shared" si="154"/>
        <v>6.2760691608288566</v>
      </c>
      <c r="AO74" s="113">
        <f t="shared" si="155"/>
        <v>2.0399143802618638</v>
      </c>
      <c r="AP74" s="34">
        <f t="shared" si="156"/>
        <v>1753.883726</v>
      </c>
      <c r="AQ74" s="34">
        <f t="shared" si="157"/>
        <v>23.08372600000007</v>
      </c>
      <c r="AR74" s="34">
        <f t="shared" si="158"/>
        <v>23.08372600000007</v>
      </c>
      <c r="AS74" s="113">
        <f t="shared" si="159"/>
        <v>1.3337026808412336</v>
      </c>
      <c r="AT74" s="113">
        <f t="shared" si="160"/>
        <v>1.3337026808412336</v>
      </c>
      <c r="AU74" s="113">
        <f t="shared" si="161"/>
        <v>1.3817236776048281</v>
      </c>
      <c r="AV74" s="34">
        <f t="shared" si="162"/>
        <v>1639.3096072040248</v>
      </c>
      <c r="AW74" s="34">
        <f t="shared" si="163"/>
        <v>-91.49039279597514</v>
      </c>
      <c r="AX74" s="34">
        <f t="shared" si="164"/>
        <v>91.49039279597514</v>
      </c>
      <c r="AY74" s="113">
        <f t="shared" si="165"/>
        <v>-5.2860176101210508</v>
      </c>
      <c r="AZ74" s="113">
        <f t="shared" si="166"/>
        <v>5.2860176101210508</v>
      </c>
      <c r="BA74" s="113">
        <f t="shared" si="167"/>
        <v>1.966096623848401</v>
      </c>
      <c r="BB74" s="34">
        <f t="shared" si="168"/>
        <v>1650.9297770710843</v>
      </c>
      <c r="BC74" s="34">
        <f t="shared" si="169"/>
        <v>-79.870222928915609</v>
      </c>
      <c r="BD74" s="34">
        <f t="shared" si="170"/>
        <v>79.870222928915609</v>
      </c>
      <c r="BE74" s="113">
        <f t="shared" si="171"/>
        <v>-4.6146419533692873</v>
      </c>
      <c r="BF74" s="113">
        <f t="shared" si="172"/>
        <v>4.6146419533692873</v>
      </c>
      <c r="BG74" s="113">
        <f t="shared" si="173"/>
        <v>1.9077886402994928</v>
      </c>
      <c r="BH74" s="34">
        <f t="shared" si="174"/>
        <v>1664.2649465631184</v>
      </c>
      <c r="BI74" s="34">
        <f t="shared" si="175"/>
        <v>-66.535053436881526</v>
      </c>
      <c r="BJ74" s="34">
        <f t="shared" si="176"/>
        <v>66.535053436881526</v>
      </c>
      <c r="BK74" s="113">
        <f t="shared" si="177"/>
        <v>-3.844179190945316</v>
      </c>
      <c r="BL74" s="113">
        <f t="shared" si="178"/>
        <v>3.844179190945316</v>
      </c>
      <c r="BM74" s="113">
        <f t="shared" si="179"/>
        <v>1.8295292478342018</v>
      </c>
      <c r="BN74" s="34">
        <f t="shared" si="180"/>
        <v>1599.7391304347825</v>
      </c>
      <c r="BO74" s="34">
        <f t="shared" si="181"/>
        <v>-131.06086956521744</v>
      </c>
      <c r="BP74" s="34">
        <f t="shared" si="182"/>
        <v>131.06086956521744</v>
      </c>
      <c r="BQ74" s="113">
        <f t="shared" si="183"/>
        <v>-7.57227117894716</v>
      </c>
      <c r="BR74" s="113">
        <f t="shared" si="184"/>
        <v>7.57227117894716</v>
      </c>
      <c r="BS74" s="113">
        <f t="shared" si="185"/>
        <v>2.1207741525926957</v>
      </c>
      <c r="BT74" s="34">
        <f t="shared" si="186"/>
        <v>1609.760014</v>
      </c>
      <c r="BU74" s="34">
        <f t="shared" si="187"/>
        <v>-121.039986</v>
      </c>
      <c r="BV74" s="34">
        <f t="shared" si="188"/>
        <v>121.039986</v>
      </c>
      <c r="BW74" s="34">
        <f t="shared" si="189"/>
        <v>1592.599158942819</v>
      </c>
      <c r="BX74" s="34">
        <f t="shared" si="190"/>
        <v>-138.20084105718092</v>
      </c>
      <c r="BY74" s="34">
        <f t="shared" si="191"/>
        <v>138.20084105718092</v>
      </c>
    </row>
    <row r="75" spans="1:77" ht="15" x14ac:dyDescent="0.2">
      <c r="A75" s="206" t="s">
        <v>465</v>
      </c>
      <c r="B75" t="s">
        <v>884</v>
      </c>
      <c r="C75" s="224" t="s">
        <v>824</v>
      </c>
      <c r="D75" s="35" t="s">
        <v>148</v>
      </c>
      <c r="E75" s="35" t="s">
        <v>374</v>
      </c>
      <c r="F75" s="35" t="s">
        <v>580</v>
      </c>
      <c r="G75">
        <v>1733</v>
      </c>
      <c r="H75">
        <v>1733</v>
      </c>
      <c r="I75" s="35" t="s">
        <v>627</v>
      </c>
      <c r="J75">
        <v>430</v>
      </c>
      <c r="K75">
        <v>410</v>
      </c>
      <c r="L75" s="28"/>
      <c r="M75" s="35" t="s">
        <v>488</v>
      </c>
      <c r="N75" s="33">
        <f t="shared" si="128"/>
        <v>1842.952</v>
      </c>
      <c r="O75" s="33">
        <f t="shared" si="129"/>
        <v>2012.9</v>
      </c>
      <c r="P75" s="33">
        <f t="shared" si="130"/>
        <v>2103.4372762962903</v>
      </c>
      <c r="Q75" s="33">
        <f t="shared" si="131"/>
        <v>1876.7129999999997</v>
      </c>
      <c r="R75" s="33">
        <f t="shared" si="132"/>
        <v>1856.6569812945515</v>
      </c>
      <c r="S75" s="33">
        <f t="shared" si="133"/>
        <v>1851.5890943521374</v>
      </c>
      <c r="T75" s="33">
        <f t="shared" si="134"/>
        <v>1875.709062762948</v>
      </c>
      <c r="U75" s="33">
        <f t="shared" si="135"/>
        <v>1791.6666666666667</v>
      </c>
      <c r="V75" s="33">
        <f t="shared" si="136"/>
        <v>1802.1830000000002</v>
      </c>
      <c r="W75" s="33">
        <f t="shared" si="137"/>
        <v>1781.352632442145</v>
      </c>
      <c r="X75" s="34">
        <f t="shared" si="138"/>
        <v>1827.0079999999998</v>
      </c>
      <c r="Y75" s="34">
        <f t="shared" si="139"/>
        <v>94.007999999999811</v>
      </c>
      <c r="Z75" s="34">
        <f t="shared" si="140"/>
        <v>94.007999999999811</v>
      </c>
      <c r="AA75" s="113">
        <f t="shared" si="141"/>
        <v>5.4245816503173581</v>
      </c>
      <c r="AB75" s="113">
        <f t="shared" si="142"/>
        <v>5.4245816503173581</v>
      </c>
      <c r="AC75" s="113">
        <f t="shared" si="143"/>
        <v>1.9777601759159498</v>
      </c>
      <c r="AD75" s="34">
        <f t="shared" si="144"/>
        <v>1949.1890000000003</v>
      </c>
      <c r="AE75" s="34">
        <f t="shared" si="145"/>
        <v>216.18900000000031</v>
      </c>
      <c r="AF75" s="34">
        <f t="shared" si="146"/>
        <v>216.18900000000031</v>
      </c>
      <c r="AG75" s="113">
        <f t="shared" si="147"/>
        <v>12.47484131563764</v>
      </c>
      <c r="AH75" s="113">
        <f t="shared" si="148"/>
        <v>12.47484131563764</v>
      </c>
      <c r="AI75" s="113">
        <f t="shared" si="149"/>
        <v>2.3368378257037548</v>
      </c>
      <c r="AJ75" s="34">
        <f t="shared" si="150"/>
        <v>1857.7110531574942</v>
      </c>
      <c r="AK75" s="34">
        <f t="shared" si="151"/>
        <v>124.71105315749423</v>
      </c>
      <c r="AL75" s="34">
        <f t="shared" si="152"/>
        <v>124.71105315749423</v>
      </c>
      <c r="AM75" s="113">
        <f t="shared" si="153"/>
        <v>7.1962523460758359</v>
      </c>
      <c r="AN75" s="113">
        <f t="shared" si="154"/>
        <v>7.1962523460758359</v>
      </c>
      <c r="AO75" s="113">
        <f t="shared" si="155"/>
        <v>2.0993734647525177</v>
      </c>
      <c r="AP75" s="34">
        <f t="shared" si="156"/>
        <v>1975.0309999999999</v>
      </c>
      <c r="AQ75" s="34">
        <f t="shared" si="157"/>
        <v>242.03099999999995</v>
      </c>
      <c r="AR75" s="34">
        <f t="shared" si="158"/>
        <v>242.03099999999995</v>
      </c>
      <c r="AS75" s="113">
        <f t="shared" si="159"/>
        <v>13.966012694748986</v>
      </c>
      <c r="AT75" s="113">
        <f t="shared" si="160"/>
        <v>13.966012694748986</v>
      </c>
      <c r="AU75" s="113">
        <f t="shared" si="161"/>
        <v>2.3856616738874181</v>
      </c>
      <c r="AV75" s="34">
        <f t="shared" si="162"/>
        <v>1868.9009410172505</v>
      </c>
      <c r="AW75" s="34">
        <f t="shared" si="163"/>
        <v>135.90094101725049</v>
      </c>
      <c r="AX75" s="34">
        <f t="shared" si="164"/>
        <v>135.90094101725049</v>
      </c>
      <c r="AY75" s="113">
        <f t="shared" si="165"/>
        <v>7.8419469715666752</v>
      </c>
      <c r="AZ75" s="113">
        <f t="shared" si="166"/>
        <v>7.8419469715666752</v>
      </c>
      <c r="BA75" s="113">
        <f t="shared" si="167"/>
        <v>2.1364064333582027</v>
      </c>
      <c r="BB75" s="34">
        <f t="shared" si="168"/>
        <v>1859.0673267948566</v>
      </c>
      <c r="BC75" s="34">
        <f t="shared" si="169"/>
        <v>126.06732679485663</v>
      </c>
      <c r="BD75" s="34">
        <f t="shared" si="170"/>
        <v>126.06732679485663</v>
      </c>
      <c r="BE75" s="113">
        <f t="shared" si="171"/>
        <v>7.2745139523864175</v>
      </c>
      <c r="BF75" s="113">
        <f t="shared" si="172"/>
        <v>7.2745139523864175</v>
      </c>
      <c r="BG75" s="113">
        <f t="shared" si="173"/>
        <v>2.1040338934582126</v>
      </c>
      <c r="BH75" s="34">
        <f t="shared" si="174"/>
        <v>1883.4378707002845</v>
      </c>
      <c r="BI75" s="34">
        <f t="shared" si="175"/>
        <v>150.43787070028452</v>
      </c>
      <c r="BJ75" s="34">
        <f t="shared" si="176"/>
        <v>150.43787070028452</v>
      </c>
      <c r="BK75" s="113">
        <f t="shared" si="177"/>
        <v>8.6807773052674264</v>
      </c>
      <c r="BL75" s="113">
        <f t="shared" si="178"/>
        <v>8.6807773052674264</v>
      </c>
      <c r="BM75" s="113">
        <f t="shared" si="179"/>
        <v>2.1802344945794996</v>
      </c>
      <c r="BN75" s="34">
        <f t="shared" si="180"/>
        <v>1782.6086956521738</v>
      </c>
      <c r="BO75" s="34">
        <f t="shared" si="181"/>
        <v>49.608695652173765</v>
      </c>
      <c r="BP75" s="34">
        <f t="shared" si="182"/>
        <v>49.608695652173765</v>
      </c>
      <c r="BQ75" s="113">
        <f t="shared" si="183"/>
        <v>2.8625906319777128</v>
      </c>
      <c r="BR75" s="113">
        <f t="shared" si="184"/>
        <v>2.8625906319777128</v>
      </c>
      <c r="BS75" s="113">
        <f t="shared" si="185"/>
        <v>1.7042251442962755</v>
      </c>
      <c r="BT75" s="34">
        <f t="shared" si="186"/>
        <v>1803.787</v>
      </c>
      <c r="BU75" s="34">
        <f t="shared" si="187"/>
        <v>70.787000000000035</v>
      </c>
      <c r="BV75" s="34">
        <f t="shared" si="188"/>
        <v>70.787000000000035</v>
      </c>
      <c r="BW75" s="34">
        <f t="shared" si="189"/>
        <v>1784.1861918029601</v>
      </c>
      <c r="BX75" s="34">
        <f t="shared" si="190"/>
        <v>51.186191802960138</v>
      </c>
      <c r="BY75" s="34">
        <f t="shared" si="191"/>
        <v>51.186191802960138</v>
      </c>
    </row>
    <row r="76" spans="1:77" ht="15" x14ac:dyDescent="0.2">
      <c r="A76" s="206" t="s">
        <v>465</v>
      </c>
      <c r="B76" t="s">
        <v>896</v>
      </c>
      <c r="C76" s="224" t="s">
        <v>824</v>
      </c>
      <c r="D76" s="35" t="s">
        <v>148</v>
      </c>
      <c r="E76" s="35" t="s">
        <v>374</v>
      </c>
      <c r="F76" s="35" t="s">
        <v>580</v>
      </c>
      <c r="G76">
        <v>1750</v>
      </c>
      <c r="H76">
        <v>1750</v>
      </c>
      <c r="I76" s="35" t="s">
        <v>627</v>
      </c>
      <c r="J76">
        <v>387</v>
      </c>
      <c r="K76">
        <v>371</v>
      </c>
      <c r="L76" s="28"/>
      <c r="M76" s="35" t="s">
        <v>488</v>
      </c>
      <c r="N76" s="33">
        <f t="shared" si="128"/>
        <v>1670.8058000000001</v>
      </c>
      <c r="O76" s="33">
        <f t="shared" si="129"/>
        <v>1772.5730000000003</v>
      </c>
      <c r="P76" s="33">
        <f t="shared" si="130"/>
        <v>1854.1077580331989</v>
      </c>
      <c r="Q76" s="33">
        <f t="shared" si="131"/>
        <v>1670.9708999999998</v>
      </c>
      <c r="R76" s="33">
        <f t="shared" si="132"/>
        <v>1634.3135031678271</v>
      </c>
      <c r="S76" s="33">
        <f t="shared" si="133"/>
        <v>1649.4860501445089</v>
      </c>
      <c r="T76" s="33">
        <f t="shared" si="134"/>
        <v>1662.8943781330693</v>
      </c>
      <c r="U76" s="33">
        <f t="shared" si="135"/>
        <v>1612.5</v>
      </c>
      <c r="V76" s="33">
        <f t="shared" si="136"/>
        <v>1613.6237000000001</v>
      </c>
      <c r="W76" s="33">
        <f t="shared" si="137"/>
        <v>1596.0376803060533</v>
      </c>
      <c r="X76" s="34">
        <f t="shared" si="138"/>
        <v>1664.7757999999999</v>
      </c>
      <c r="Y76" s="34">
        <f t="shared" si="139"/>
        <v>-85.22420000000011</v>
      </c>
      <c r="Z76" s="34">
        <f t="shared" si="140"/>
        <v>85.22420000000011</v>
      </c>
      <c r="AA76" s="113">
        <f t="shared" si="141"/>
        <v>-4.8699542857142921</v>
      </c>
      <c r="AB76" s="113">
        <f t="shared" si="142"/>
        <v>4.8699542857142921</v>
      </c>
      <c r="AC76" s="113">
        <f t="shared" si="143"/>
        <v>1.9356291736141196</v>
      </c>
      <c r="AD76" s="34">
        <f t="shared" si="144"/>
        <v>1736.2529</v>
      </c>
      <c r="AE76" s="34">
        <f t="shared" si="145"/>
        <v>-13.747100000000046</v>
      </c>
      <c r="AF76" s="34">
        <f t="shared" si="146"/>
        <v>13.747100000000046</v>
      </c>
      <c r="AG76" s="113">
        <f t="shared" si="147"/>
        <v>-0.78554857142857404</v>
      </c>
      <c r="AH76" s="113">
        <f t="shared" si="148"/>
        <v>0.78554857142857404</v>
      </c>
      <c r="AI76" s="113">
        <f t="shared" si="149"/>
        <v>1.1687066252074385</v>
      </c>
      <c r="AJ76" s="34">
        <f t="shared" si="150"/>
        <v>1639.090244078744</v>
      </c>
      <c r="AK76" s="34">
        <f t="shared" si="151"/>
        <v>-110.90975592125596</v>
      </c>
      <c r="AL76" s="34">
        <f t="shared" si="152"/>
        <v>110.90975592125596</v>
      </c>
      <c r="AM76" s="113">
        <f t="shared" si="153"/>
        <v>-6.3377003383574841</v>
      </c>
      <c r="AN76" s="113">
        <f t="shared" si="154"/>
        <v>6.3377003383574841</v>
      </c>
      <c r="AO76" s="113">
        <f t="shared" si="155"/>
        <v>2.0488679485308583</v>
      </c>
      <c r="AP76" s="34">
        <f t="shared" si="156"/>
        <v>1769.9729</v>
      </c>
      <c r="AQ76" s="34">
        <f t="shared" si="157"/>
        <v>19.972899999999981</v>
      </c>
      <c r="AR76" s="34">
        <f t="shared" si="158"/>
        <v>19.972899999999981</v>
      </c>
      <c r="AS76" s="113">
        <f t="shared" si="159"/>
        <v>1.1413085714285702</v>
      </c>
      <c r="AT76" s="113">
        <f t="shared" si="160"/>
        <v>1.1413085714285702</v>
      </c>
      <c r="AU76" s="113">
        <f t="shared" si="161"/>
        <v>1.321658486112403</v>
      </c>
      <c r="AV76" s="34">
        <f t="shared" si="162"/>
        <v>1655.8341557116576</v>
      </c>
      <c r="AW76" s="34">
        <f t="shared" si="163"/>
        <v>-94.165844288342441</v>
      </c>
      <c r="AX76" s="34">
        <f t="shared" si="164"/>
        <v>94.165844288342441</v>
      </c>
      <c r="AY76" s="113">
        <f t="shared" si="165"/>
        <v>-5.3809053879052824</v>
      </c>
      <c r="AZ76" s="113">
        <f t="shared" si="166"/>
        <v>5.3809053879052824</v>
      </c>
      <c r="BA76" s="113">
        <f t="shared" si="167"/>
        <v>1.9784811049104207</v>
      </c>
      <c r="BB76" s="34">
        <f t="shared" si="168"/>
        <v>1665.9977334134985</v>
      </c>
      <c r="BC76" s="34">
        <f t="shared" si="169"/>
        <v>-84.002266586501491</v>
      </c>
      <c r="BD76" s="34">
        <f t="shared" si="170"/>
        <v>84.002266586501491</v>
      </c>
      <c r="BE76" s="113">
        <f t="shared" si="171"/>
        <v>-4.8001295192286566</v>
      </c>
      <c r="BF76" s="113">
        <f t="shared" si="172"/>
        <v>4.8001295192286566</v>
      </c>
      <c r="BG76" s="113">
        <f t="shared" si="173"/>
        <v>1.9294305063364829</v>
      </c>
      <c r="BH76" s="34">
        <f t="shared" si="174"/>
        <v>1680.0945734339318</v>
      </c>
      <c r="BI76" s="34">
        <f t="shared" si="175"/>
        <v>-69.905426566068172</v>
      </c>
      <c r="BJ76" s="34">
        <f t="shared" si="176"/>
        <v>69.905426566068172</v>
      </c>
      <c r="BK76" s="113">
        <f t="shared" si="177"/>
        <v>-3.994595803775324</v>
      </c>
      <c r="BL76" s="113">
        <f t="shared" si="178"/>
        <v>3.994595803775324</v>
      </c>
      <c r="BM76" s="113">
        <f t="shared" si="179"/>
        <v>1.8506794740760668</v>
      </c>
      <c r="BN76" s="34">
        <f t="shared" si="180"/>
        <v>1613.0434782608695</v>
      </c>
      <c r="BO76" s="34">
        <f t="shared" si="181"/>
        <v>-136.95652173913049</v>
      </c>
      <c r="BP76" s="34">
        <f t="shared" si="182"/>
        <v>136.95652173913049</v>
      </c>
      <c r="BQ76" s="113">
        <f t="shared" si="183"/>
        <v>-7.8260869565217428</v>
      </c>
      <c r="BR76" s="113">
        <f t="shared" si="184"/>
        <v>7.8260869565217428</v>
      </c>
      <c r="BS76" s="113">
        <f t="shared" si="185"/>
        <v>2.1397422360828195</v>
      </c>
      <c r="BT76" s="34">
        <f t="shared" si="186"/>
        <v>1623.8761</v>
      </c>
      <c r="BU76" s="34">
        <f t="shared" si="187"/>
        <v>-126.12390000000005</v>
      </c>
      <c r="BV76" s="34">
        <f t="shared" si="188"/>
        <v>126.12390000000005</v>
      </c>
      <c r="BW76" s="34">
        <f t="shared" si="189"/>
        <v>1606.5026062973632</v>
      </c>
      <c r="BX76" s="34">
        <f t="shared" si="190"/>
        <v>-143.49739370263683</v>
      </c>
      <c r="BY76" s="34">
        <f t="shared" si="191"/>
        <v>143.49739370263683</v>
      </c>
    </row>
    <row r="77" spans="1:77" ht="15" x14ac:dyDescent="0.2">
      <c r="A77" s="206" t="s">
        <v>465</v>
      </c>
      <c r="B77" s="28" t="s">
        <v>424</v>
      </c>
      <c r="C77" s="28" t="s">
        <v>458</v>
      </c>
      <c r="D77" s="208" t="s">
        <v>82</v>
      </c>
      <c r="E77" s="35" t="s">
        <v>374</v>
      </c>
      <c r="F77" s="35" t="s">
        <v>580</v>
      </c>
      <c r="G77" s="141">
        <v>1800</v>
      </c>
      <c r="H77" s="141">
        <v>1800</v>
      </c>
      <c r="I77" s="35" t="s">
        <v>627</v>
      </c>
      <c r="J77" s="141">
        <v>425</v>
      </c>
      <c r="K77" s="141">
        <v>398</v>
      </c>
      <c r="L77" s="28">
        <v>535</v>
      </c>
      <c r="M77" s="35" t="s">
        <v>37</v>
      </c>
      <c r="N77" s="33">
        <f t="shared" si="128"/>
        <v>1822.9349999999999</v>
      </c>
      <c r="O77" s="33">
        <f t="shared" si="129"/>
        <v>1984.9550000000004</v>
      </c>
      <c r="P77" s="33">
        <f t="shared" si="130"/>
        <v>2074.181871740233</v>
      </c>
      <c r="Q77" s="33">
        <f t="shared" si="131"/>
        <v>1852.7894999999999</v>
      </c>
      <c r="R77" s="33">
        <f t="shared" si="132"/>
        <v>1830.5523248619311</v>
      </c>
      <c r="S77" s="33">
        <f t="shared" si="133"/>
        <v>1827.9839349751801</v>
      </c>
      <c r="T77" s="33">
        <f t="shared" si="134"/>
        <v>1850.8003761607013</v>
      </c>
      <c r="U77" s="33">
        <f t="shared" si="135"/>
        <v>1770.8333333333335</v>
      </c>
      <c r="V77" s="33">
        <f t="shared" si="136"/>
        <v>1780.2575000000002</v>
      </c>
      <c r="W77" s="33">
        <f t="shared" si="137"/>
        <v>1759.7622074718852</v>
      </c>
      <c r="X77" s="34">
        <f t="shared" si="138"/>
        <v>1777.0903999999998</v>
      </c>
      <c r="Y77" s="34">
        <f t="shared" si="139"/>
        <v>-22.909600000000182</v>
      </c>
      <c r="Z77" s="34">
        <f t="shared" si="140"/>
        <v>22.909600000000182</v>
      </c>
      <c r="AA77" s="113">
        <f t="shared" si="141"/>
        <v>-1.2727555555555656</v>
      </c>
      <c r="AB77" s="113">
        <f t="shared" si="142"/>
        <v>1.2727555555555656</v>
      </c>
      <c r="AC77" s="113">
        <f t="shared" si="143"/>
        <v>1.3785723105680627</v>
      </c>
      <c r="AD77" s="34">
        <f t="shared" si="144"/>
        <v>1883.6702</v>
      </c>
      <c r="AE77" s="34">
        <f t="shared" si="145"/>
        <v>83.670200000000023</v>
      </c>
      <c r="AF77" s="34">
        <f t="shared" si="146"/>
        <v>83.670200000000023</v>
      </c>
      <c r="AG77" s="113">
        <f t="shared" si="147"/>
        <v>4.6483444444444455</v>
      </c>
      <c r="AH77" s="113">
        <f t="shared" si="148"/>
        <v>4.6483444444444455</v>
      </c>
      <c r="AI77" s="113">
        <f t="shared" si="149"/>
        <v>1.9277305856225322</v>
      </c>
      <c r="AJ77" s="34">
        <f t="shared" si="150"/>
        <v>1789.858268115197</v>
      </c>
      <c r="AK77" s="34">
        <f t="shared" si="151"/>
        <v>-10.141731884802994</v>
      </c>
      <c r="AL77" s="34">
        <f t="shared" si="152"/>
        <v>10.141731884802994</v>
      </c>
      <c r="AM77" s="113">
        <f t="shared" si="153"/>
        <v>-0.56342954915572185</v>
      </c>
      <c r="AN77" s="113">
        <f t="shared" si="154"/>
        <v>0.56342954915572185</v>
      </c>
      <c r="AO77" s="113">
        <f t="shared" si="155"/>
        <v>1.0469527033648902</v>
      </c>
      <c r="AP77" s="34">
        <f t="shared" si="156"/>
        <v>1911.9362000000001</v>
      </c>
      <c r="AQ77" s="34">
        <f t="shared" si="157"/>
        <v>111.9362000000001</v>
      </c>
      <c r="AR77" s="34">
        <f t="shared" si="158"/>
        <v>111.9362000000001</v>
      </c>
      <c r="AS77" s="113">
        <f t="shared" si="159"/>
        <v>6.2186777777777831</v>
      </c>
      <c r="AT77" s="113">
        <f t="shared" si="160"/>
        <v>6.2186777777777831</v>
      </c>
      <c r="AU77" s="113">
        <f t="shared" si="161"/>
        <v>2.0528331708030625</v>
      </c>
      <c r="AV77" s="34">
        <f t="shared" si="162"/>
        <v>1802.8659335287884</v>
      </c>
      <c r="AW77" s="34">
        <f t="shared" si="163"/>
        <v>2.865933528788446</v>
      </c>
      <c r="AX77" s="34">
        <f t="shared" si="164"/>
        <v>2.865933528788446</v>
      </c>
      <c r="AY77" s="113">
        <f t="shared" si="165"/>
        <v>0.15921852937713588</v>
      </c>
      <c r="AZ77" s="113">
        <f t="shared" si="166"/>
        <v>0.15921852937713588</v>
      </c>
      <c r="BA77" s="113">
        <f t="shared" si="167"/>
        <v>0.58725438245803807</v>
      </c>
      <c r="BB77" s="34">
        <f t="shared" si="168"/>
        <v>1799.4631499056293</v>
      </c>
      <c r="BC77" s="34">
        <f t="shared" si="169"/>
        <v>-0.5368500943707204</v>
      </c>
      <c r="BD77" s="34">
        <f t="shared" si="170"/>
        <v>0.5368500943707204</v>
      </c>
      <c r="BE77" s="113">
        <f t="shared" si="171"/>
        <v>-2.9825005242817802E-2</v>
      </c>
      <c r="BF77" s="113">
        <f t="shared" si="172"/>
        <v>2.9825005242817802E-2</v>
      </c>
      <c r="BG77" s="113">
        <f t="shared" si="173"/>
        <v>0.18663150812264134</v>
      </c>
      <c r="BH77" s="34">
        <f t="shared" si="174"/>
        <v>1820.562956505177</v>
      </c>
      <c r="BI77" s="34">
        <f t="shared" si="175"/>
        <v>20.562956505176999</v>
      </c>
      <c r="BJ77" s="34">
        <f t="shared" si="176"/>
        <v>20.562956505176999</v>
      </c>
      <c r="BK77" s="113">
        <f t="shared" si="177"/>
        <v>1.1423864725098332</v>
      </c>
      <c r="BL77" s="113">
        <f t="shared" si="178"/>
        <v>1.1423864725098332</v>
      </c>
      <c r="BM77" s="113">
        <f t="shared" si="179"/>
        <v>1.3337083068790621</v>
      </c>
      <c r="BN77" s="34">
        <f t="shared" si="180"/>
        <v>1730.4347826086955</v>
      </c>
      <c r="BO77" s="34">
        <f t="shared" si="181"/>
        <v>-69.565217391304486</v>
      </c>
      <c r="BP77" s="34">
        <f t="shared" si="182"/>
        <v>69.565217391304486</v>
      </c>
      <c r="BQ77" s="113">
        <f t="shared" si="183"/>
        <v>-3.8647342995169156</v>
      </c>
      <c r="BR77" s="113">
        <f t="shared" si="184"/>
        <v>3.8647342995169156</v>
      </c>
      <c r="BS77" s="113">
        <f t="shared" si="185"/>
        <v>1.8485906838086399</v>
      </c>
      <c r="BT77" s="34">
        <f t="shared" si="186"/>
        <v>1748.4298000000001</v>
      </c>
      <c r="BU77" s="34">
        <f t="shared" si="187"/>
        <v>-51.570199999999886</v>
      </c>
      <c r="BV77" s="34">
        <f t="shared" si="188"/>
        <v>51.570199999999886</v>
      </c>
      <c r="BW77" s="34">
        <f t="shared" si="189"/>
        <v>1729.4212876837316</v>
      </c>
      <c r="BX77" s="34">
        <f t="shared" si="190"/>
        <v>-70.578712316268366</v>
      </c>
      <c r="BY77" s="34">
        <f t="shared" si="191"/>
        <v>70.578712316268366</v>
      </c>
    </row>
    <row r="78" spans="1:77" ht="16" x14ac:dyDescent="0.2">
      <c r="A78" s="206" t="s">
        <v>465</v>
      </c>
      <c r="B78" t="s">
        <v>881</v>
      </c>
      <c r="C78" s="224" t="s">
        <v>824</v>
      </c>
      <c r="D78" s="35" t="s">
        <v>148</v>
      </c>
      <c r="E78" s="35" t="s">
        <v>374</v>
      </c>
      <c r="F78" s="35" t="s">
        <v>580</v>
      </c>
      <c r="G78" s="147">
        <v>1835</v>
      </c>
      <c r="H78" s="147">
        <v>1835</v>
      </c>
      <c r="I78" s="35" t="s">
        <v>627</v>
      </c>
      <c r="J78" s="147">
        <v>400</v>
      </c>
      <c r="K78" s="147">
        <v>385</v>
      </c>
      <c r="L78" s="28"/>
      <c r="M78" s="35" t="s">
        <v>488</v>
      </c>
      <c r="N78" s="33">
        <f t="shared" si="128"/>
        <v>1722.8500000000001</v>
      </c>
      <c r="O78" s="33">
        <f t="shared" si="129"/>
        <v>1845.2300000000005</v>
      </c>
      <c r="P78" s="33">
        <f t="shared" si="130"/>
        <v>1928.9364958695976</v>
      </c>
      <c r="Q78" s="33">
        <f t="shared" si="131"/>
        <v>1733.1719999999998</v>
      </c>
      <c r="R78" s="33">
        <f t="shared" si="132"/>
        <v>1701.0105910788736</v>
      </c>
      <c r="S78" s="33">
        <f t="shared" si="133"/>
        <v>1710.367867470758</v>
      </c>
      <c r="T78" s="33">
        <f t="shared" si="134"/>
        <v>1726.8936881026432</v>
      </c>
      <c r="U78" s="33">
        <f t="shared" si="135"/>
        <v>1666.6666666666667</v>
      </c>
      <c r="V78" s="33">
        <f t="shared" si="136"/>
        <v>1670.63</v>
      </c>
      <c r="W78" s="33">
        <f t="shared" si="137"/>
        <v>1651.9748645592156</v>
      </c>
      <c r="X78" s="34">
        <f t="shared" si="138"/>
        <v>1723.0129999999999</v>
      </c>
      <c r="Y78" s="34">
        <f t="shared" si="139"/>
        <v>-111.98700000000008</v>
      </c>
      <c r="Z78" s="34">
        <f t="shared" si="140"/>
        <v>111.98700000000008</v>
      </c>
      <c r="AA78" s="113">
        <f t="shared" si="141"/>
        <v>-6.1028337874659444</v>
      </c>
      <c r="AB78" s="113">
        <f t="shared" si="142"/>
        <v>6.1028337874659444</v>
      </c>
      <c r="AC78" s="113">
        <f t="shared" si="143"/>
        <v>2.0530284775272283</v>
      </c>
      <c r="AD78" s="34">
        <f t="shared" si="144"/>
        <v>1812.6915000000004</v>
      </c>
      <c r="AE78" s="34">
        <f t="shared" si="145"/>
        <v>-22.30849999999964</v>
      </c>
      <c r="AF78" s="34">
        <f t="shared" si="146"/>
        <v>22.30849999999964</v>
      </c>
      <c r="AG78" s="113">
        <f t="shared" si="147"/>
        <v>-1.215722070844667</v>
      </c>
      <c r="AH78" s="113">
        <f t="shared" si="148"/>
        <v>1.215722070844667</v>
      </c>
      <c r="AI78" s="113">
        <f t="shared" si="149"/>
        <v>1.3675143257434823</v>
      </c>
      <c r="AJ78" s="34">
        <f t="shared" si="150"/>
        <v>1716.932478050202</v>
      </c>
      <c r="AK78" s="34">
        <f t="shared" si="151"/>
        <v>-118.06752194979799</v>
      </c>
      <c r="AL78" s="34">
        <f t="shared" si="152"/>
        <v>118.06752194979799</v>
      </c>
      <c r="AM78" s="113">
        <f t="shared" si="153"/>
        <v>-6.4341973814603808</v>
      </c>
      <c r="AN78" s="113">
        <f t="shared" si="154"/>
        <v>6.4341973814603808</v>
      </c>
      <c r="AO78" s="113">
        <f t="shared" si="155"/>
        <v>2.0757933151223531</v>
      </c>
      <c r="AP78" s="34">
        <f t="shared" si="156"/>
        <v>1843.5835</v>
      </c>
      <c r="AQ78" s="34">
        <f t="shared" si="157"/>
        <v>8.5834999999999582</v>
      </c>
      <c r="AR78" s="34">
        <f t="shared" si="158"/>
        <v>8.5834999999999582</v>
      </c>
      <c r="AS78" s="113">
        <f t="shared" si="159"/>
        <v>0.46776566757492954</v>
      </c>
      <c r="AT78" s="113">
        <f t="shared" si="160"/>
        <v>0.46776566757492954</v>
      </c>
      <c r="AU78" s="113">
        <f t="shared" si="161"/>
        <v>0.98152414718781933</v>
      </c>
      <c r="AV78" s="34">
        <f t="shared" si="162"/>
        <v>1731.8009583856517</v>
      </c>
      <c r="AW78" s="34">
        <f t="shared" si="163"/>
        <v>-103.19904161434829</v>
      </c>
      <c r="AX78" s="34">
        <f t="shared" si="164"/>
        <v>103.19904161434829</v>
      </c>
      <c r="AY78" s="113">
        <f t="shared" si="165"/>
        <v>-5.6239259735339662</v>
      </c>
      <c r="AZ78" s="113">
        <f t="shared" si="166"/>
        <v>5.6239259735339662</v>
      </c>
      <c r="BA78" s="113">
        <f t="shared" si="167"/>
        <v>2.0178637244959989</v>
      </c>
      <c r="BB78" s="34">
        <f t="shared" si="168"/>
        <v>1735.0885651309043</v>
      </c>
      <c r="BC78" s="34">
        <f t="shared" si="169"/>
        <v>-99.911434869095729</v>
      </c>
      <c r="BD78" s="34">
        <f t="shared" si="170"/>
        <v>99.911434869095729</v>
      </c>
      <c r="BE78" s="113">
        <f t="shared" si="171"/>
        <v>-5.444764843002492</v>
      </c>
      <c r="BF78" s="113">
        <f t="shared" si="172"/>
        <v>5.444764843002492</v>
      </c>
      <c r="BG78" s="113">
        <f t="shared" si="173"/>
        <v>2.0039403814913195</v>
      </c>
      <c r="BH78" s="34">
        <f t="shared" si="174"/>
        <v>1752.7539892058892</v>
      </c>
      <c r="BI78" s="34">
        <f t="shared" si="175"/>
        <v>-82.246010794110816</v>
      </c>
      <c r="BJ78" s="34">
        <f t="shared" si="176"/>
        <v>82.246010794110816</v>
      </c>
      <c r="BK78" s="113">
        <f t="shared" si="177"/>
        <v>-4.4820714329215701</v>
      </c>
      <c r="BL78" s="113">
        <f t="shared" si="178"/>
        <v>4.4820714329215701</v>
      </c>
      <c r="BM78" s="113">
        <f t="shared" si="179"/>
        <v>1.9203634309877839</v>
      </c>
      <c r="BN78" s="34">
        <f t="shared" si="180"/>
        <v>1673.9130434782608</v>
      </c>
      <c r="BO78" s="34">
        <f t="shared" si="181"/>
        <v>-161.08695652173924</v>
      </c>
      <c r="BP78" s="34">
        <f t="shared" si="182"/>
        <v>161.08695652173924</v>
      </c>
      <c r="BQ78" s="113">
        <f t="shared" si="183"/>
        <v>-8.7785807368795226</v>
      </c>
      <c r="BR78" s="113">
        <f t="shared" si="184"/>
        <v>8.7785807368795226</v>
      </c>
      <c r="BS78" s="113">
        <f t="shared" si="185"/>
        <v>2.2097480676643513</v>
      </c>
      <c r="BT78" s="34">
        <f t="shared" si="186"/>
        <v>1688.4594999999999</v>
      </c>
      <c r="BU78" s="34">
        <f t="shared" si="187"/>
        <v>-146.54050000000007</v>
      </c>
      <c r="BV78" s="34">
        <f t="shared" si="188"/>
        <v>146.54050000000007</v>
      </c>
      <c r="BW78" s="34">
        <f t="shared" si="189"/>
        <v>1670.1848961308031</v>
      </c>
      <c r="BX78" s="34">
        <f t="shared" si="190"/>
        <v>-164.81510386919695</v>
      </c>
      <c r="BY78" s="34">
        <f t="shared" si="191"/>
        <v>164.81510386919695</v>
      </c>
    </row>
    <row r="79" spans="1:77" ht="16" x14ac:dyDescent="0.2">
      <c r="A79" s="206" t="s">
        <v>465</v>
      </c>
      <c r="B79" t="s">
        <v>867</v>
      </c>
      <c r="C79" s="224" t="s">
        <v>824</v>
      </c>
      <c r="D79" s="35" t="s">
        <v>148</v>
      </c>
      <c r="E79" s="35" t="s">
        <v>374</v>
      </c>
      <c r="F79" s="35" t="s">
        <v>580</v>
      </c>
      <c r="G79" s="147">
        <v>1842</v>
      </c>
      <c r="H79" s="147">
        <v>1842</v>
      </c>
      <c r="I79" s="35" t="s">
        <v>627</v>
      </c>
      <c r="J79" s="147">
        <v>405</v>
      </c>
      <c r="K79" s="147">
        <v>384</v>
      </c>
      <c r="L79" s="28"/>
      <c r="M79" s="35" t="s">
        <v>488</v>
      </c>
      <c r="N79" s="33">
        <f t="shared" si="128"/>
        <v>1742.867</v>
      </c>
      <c r="O79" s="33">
        <f t="shared" si="129"/>
        <v>1873.1750000000002</v>
      </c>
      <c r="P79" s="33">
        <f t="shared" si="130"/>
        <v>1957.8457865915693</v>
      </c>
      <c r="Q79" s="33">
        <f t="shared" si="131"/>
        <v>1757.0954999999999</v>
      </c>
      <c r="R79" s="33">
        <f t="shared" si="132"/>
        <v>1726.7859765677563</v>
      </c>
      <c r="S79" s="33">
        <f t="shared" si="133"/>
        <v>1733.8354523071885</v>
      </c>
      <c r="T79" s="33">
        <f t="shared" si="134"/>
        <v>1751.5886548709361</v>
      </c>
      <c r="U79" s="33">
        <f t="shared" si="135"/>
        <v>1687.5</v>
      </c>
      <c r="V79" s="33">
        <f t="shared" si="136"/>
        <v>1692.5555000000002</v>
      </c>
      <c r="W79" s="33">
        <f t="shared" si="137"/>
        <v>1673.5099364465013</v>
      </c>
      <c r="X79" s="34">
        <f t="shared" si="138"/>
        <v>1718.8531999999998</v>
      </c>
      <c r="Y79" s="34">
        <f t="shared" si="139"/>
        <v>-123.14680000000021</v>
      </c>
      <c r="Z79" s="34">
        <f t="shared" si="140"/>
        <v>123.14680000000021</v>
      </c>
      <c r="AA79" s="113">
        <f t="shared" si="141"/>
        <v>-6.6854940282301962</v>
      </c>
      <c r="AB79" s="113">
        <f t="shared" si="142"/>
        <v>6.6854940282301962</v>
      </c>
      <c r="AC79" s="113">
        <f t="shared" si="143"/>
        <v>2.0939355296879829</v>
      </c>
      <c r="AD79" s="34">
        <f t="shared" si="144"/>
        <v>1807.2316000000001</v>
      </c>
      <c r="AE79" s="34">
        <f t="shared" si="145"/>
        <v>-34.768399999999929</v>
      </c>
      <c r="AF79" s="34">
        <f t="shared" si="146"/>
        <v>34.768399999999929</v>
      </c>
      <c r="AG79" s="113">
        <f t="shared" si="147"/>
        <v>-1.8875352877307234</v>
      </c>
      <c r="AH79" s="113">
        <f t="shared" si="148"/>
        <v>1.8875352877307234</v>
      </c>
      <c r="AI79" s="113">
        <f t="shared" si="149"/>
        <v>1.5534995136263974</v>
      </c>
      <c r="AJ79" s="34">
        <f t="shared" si="150"/>
        <v>1711.3482607860199</v>
      </c>
      <c r="AK79" s="34">
        <f t="shared" si="151"/>
        <v>-130.65173921398014</v>
      </c>
      <c r="AL79" s="34">
        <f t="shared" si="152"/>
        <v>130.65173921398014</v>
      </c>
      <c r="AM79" s="113">
        <f t="shared" si="153"/>
        <v>-7.0929282960901272</v>
      </c>
      <c r="AN79" s="113">
        <f t="shared" si="154"/>
        <v>7.0929282960901272</v>
      </c>
      <c r="AO79" s="113">
        <f t="shared" si="155"/>
        <v>2.119426600821845</v>
      </c>
      <c r="AP79" s="34">
        <f t="shared" si="156"/>
        <v>1838.3256000000001</v>
      </c>
      <c r="AQ79" s="34">
        <f t="shared" si="157"/>
        <v>-3.6743999999998778</v>
      </c>
      <c r="AR79" s="34">
        <f t="shared" si="158"/>
        <v>3.6743999999998778</v>
      </c>
      <c r="AS79" s="113">
        <f t="shared" si="159"/>
        <v>-0.19947882736155689</v>
      </c>
      <c r="AT79" s="113">
        <f t="shared" si="160"/>
        <v>0.19947882736155689</v>
      </c>
      <c r="AU79" s="113">
        <f t="shared" si="161"/>
        <v>0.66972587330219979</v>
      </c>
      <c r="AV79" s="34">
        <f t="shared" si="162"/>
        <v>1726.3551509121658</v>
      </c>
      <c r="AW79" s="34">
        <f t="shared" si="163"/>
        <v>-115.64484908783425</v>
      </c>
      <c r="AX79" s="34">
        <f t="shared" si="164"/>
        <v>115.64484908783425</v>
      </c>
      <c r="AY79" s="113">
        <f t="shared" si="165"/>
        <v>-6.2782219917391009</v>
      </c>
      <c r="AZ79" s="113">
        <f t="shared" si="166"/>
        <v>6.2782219917391009</v>
      </c>
      <c r="BA79" s="113">
        <f t="shared" si="167"/>
        <v>2.0668655655719346</v>
      </c>
      <c r="BB79" s="34">
        <f t="shared" si="168"/>
        <v>1730.1453126886154</v>
      </c>
      <c r="BC79" s="34">
        <f t="shared" si="169"/>
        <v>-111.85468731138462</v>
      </c>
      <c r="BD79" s="34">
        <f t="shared" si="170"/>
        <v>111.85468731138462</v>
      </c>
      <c r="BE79" s="113">
        <f t="shared" si="171"/>
        <v>-6.0724585945377099</v>
      </c>
      <c r="BF79" s="113">
        <f t="shared" si="172"/>
        <v>6.0724585945377099</v>
      </c>
      <c r="BG79" s="113">
        <f t="shared" si="173"/>
        <v>2.0525196017938767</v>
      </c>
      <c r="BH79" s="34">
        <f t="shared" si="174"/>
        <v>1747.5513256379145</v>
      </c>
      <c r="BI79" s="34">
        <f t="shared" si="175"/>
        <v>-94.448674362085512</v>
      </c>
      <c r="BJ79" s="34">
        <f t="shared" si="176"/>
        <v>94.448674362085512</v>
      </c>
      <c r="BK79" s="113">
        <f t="shared" si="177"/>
        <v>-5.1275067514704409</v>
      </c>
      <c r="BL79" s="113">
        <f t="shared" si="178"/>
        <v>5.1275067514704409</v>
      </c>
      <c r="BM79" s="113">
        <f t="shared" si="179"/>
        <v>1.9797699010772061</v>
      </c>
      <c r="BN79" s="34">
        <f t="shared" si="180"/>
        <v>1669.5652173913043</v>
      </c>
      <c r="BO79" s="34">
        <f t="shared" si="181"/>
        <v>-172.43478260869574</v>
      </c>
      <c r="BP79" s="34">
        <f t="shared" si="182"/>
        <v>172.43478260869574</v>
      </c>
      <c r="BQ79" s="113">
        <f t="shared" si="183"/>
        <v>-9.361280271916165</v>
      </c>
      <c r="BR79" s="113">
        <f t="shared" si="184"/>
        <v>9.361280271916165</v>
      </c>
      <c r="BS79" s="113">
        <f t="shared" si="185"/>
        <v>2.239136200292247</v>
      </c>
      <c r="BT79" s="34">
        <f t="shared" si="186"/>
        <v>1683.8464000000001</v>
      </c>
      <c r="BU79" s="34">
        <f t="shared" si="187"/>
        <v>-158.15359999999987</v>
      </c>
      <c r="BV79" s="34">
        <f t="shared" si="188"/>
        <v>158.15359999999987</v>
      </c>
      <c r="BW79" s="34">
        <f t="shared" si="189"/>
        <v>1665.6323084117287</v>
      </c>
      <c r="BX79" s="34">
        <f t="shared" si="190"/>
        <v>-176.36769158827133</v>
      </c>
      <c r="BY79" s="34">
        <f t="shared" si="191"/>
        <v>176.36769158827133</v>
      </c>
    </row>
    <row r="80" spans="1:77" ht="15" x14ac:dyDescent="0.2">
      <c r="A80" s="206" t="s">
        <v>465</v>
      </c>
      <c r="B80" t="s">
        <v>889</v>
      </c>
      <c r="C80" s="224" t="s">
        <v>824</v>
      </c>
      <c r="D80" s="35" t="s">
        <v>148</v>
      </c>
      <c r="E80" s="35" t="s">
        <v>374</v>
      </c>
      <c r="F80" s="35" t="s">
        <v>580</v>
      </c>
      <c r="G80">
        <v>1895</v>
      </c>
      <c r="H80">
        <v>1895</v>
      </c>
      <c r="I80" s="35" t="s">
        <v>627</v>
      </c>
      <c r="J80">
        <v>443</v>
      </c>
      <c r="K80">
        <v>430</v>
      </c>
      <c r="L80" s="28"/>
      <c r="M80" s="35" t="s">
        <v>488</v>
      </c>
      <c r="N80" s="33">
        <f t="shared" si="128"/>
        <v>1894.9962</v>
      </c>
      <c r="O80" s="33">
        <f t="shared" si="129"/>
        <v>2085.5570000000002</v>
      </c>
      <c r="P80" s="33">
        <f t="shared" si="130"/>
        <v>2179.814577731468</v>
      </c>
      <c r="Q80" s="33">
        <f t="shared" si="131"/>
        <v>1938.9141</v>
      </c>
      <c r="R80" s="33">
        <f t="shared" si="132"/>
        <v>1924.8272586115131</v>
      </c>
      <c r="S80" s="33">
        <f t="shared" si="133"/>
        <v>1913.0864956828634</v>
      </c>
      <c r="T80" s="33">
        <f t="shared" si="134"/>
        <v>1940.6646323028981</v>
      </c>
      <c r="U80" s="33">
        <f t="shared" si="135"/>
        <v>1845.8333333333335</v>
      </c>
      <c r="V80" s="33">
        <f t="shared" si="136"/>
        <v>1859.1893</v>
      </c>
      <c r="W80" s="33">
        <f t="shared" si="137"/>
        <v>1837.5375095544136</v>
      </c>
      <c r="X80" s="34">
        <f t="shared" si="138"/>
        <v>1910.204</v>
      </c>
      <c r="Y80" s="34">
        <f t="shared" si="139"/>
        <v>15.203999999999951</v>
      </c>
      <c r="Z80" s="34">
        <f t="shared" si="140"/>
        <v>15.203999999999951</v>
      </c>
      <c r="AA80" s="113">
        <f t="shared" si="141"/>
        <v>0.80232189973614521</v>
      </c>
      <c r="AB80" s="113">
        <f t="shared" si="142"/>
        <v>0.80232189973614521</v>
      </c>
      <c r="AC80" s="113">
        <f t="shared" si="143"/>
        <v>1.2096222345115493</v>
      </c>
      <c r="AD80" s="34">
        <f t="shared" si="144"/>
        <v>2058.3870000000002</v>
      </c>
      <c r="AE80" s="34">
        <f t="shared" si="145"/>
        <v>163.38700000000017</v>
      </c>
      <c r="AF80" s="34">
        <f t="shared" si="146"/>
        <v>163.38700000000017</v>
      </c>
      <c r="AG80" s="113">
        <f t="shared" si="147"/>
        <v>8.6220052770448632</v>
      </c>
      <c r="AH80" s="113">
        <f t="shared" si="148"/>
        <v>8.6220052770448632</v>
      </c>
      <c r="AI80" s="113">
        <f t="shared" si="149"/>
        <v>2.2158674698250804</v>
      </c>
      <c r="AJ80" s="34">
        <f t="shared" si="150"/>
        <v>1971.9127434866753</v>
      </c>
      <c r="AK80" s="34">
        <f t="shared" si="151"/>
        <v>76.912743486675254</v>
      </c>
      <c r="AL80" s="34">
        <f t="shared" si="152"/>
        <v>76.912743486675254</v>
      </c>
      <c r="AM80" s="113">
        <f t="shared" si="153"/>
        <v>4.0587199729116232</v>
      </c>
      <c r="AN80" s="113">
        <f t="shared" si="154"/>
        <v>4.0587199729116232</v>
      </c>
      <c r="AO80" s="113">
        <f t="shared" si="155"/>
        <v>1.8916084971245601</v>
      </c>
      <c r="AP80" s="34">
        <f t="shared" si="156"/>
        <v>2080.1889999999999</v>
      </c>
      <c r="AQ80" s="34">
        <f t="shared" si="157"/>
        <v>185.18899999999985</v>
      </c>
      <c r="AR80" s="34">
        <f t="shared" si="158"/>
        <v>185.18899999999985</v>
      </c>
      <c r="AS80" s="113">
        <f t="shared" si="159"/>
        <v>9.7725065963060604</v>
      </c>
      <c r="AT80" s="113">
        <f t="shared" si="160"/>
        <v>9.7725065963060604</v>
      </c>
      <c r="AU80" s="113">
        <f t="shared" si="161"/>
        <v>2.2699540193928143</v>
      </c>
      <c r="AV80" s="34">
        <f t="shared" si="162"/>
        <v>1979.8638769618287</v>
      </c>
      <c r="AW80" s="34">
        <f t="shared" si="163"/>
        <v>84.863876961828737</v>
      </c>
      <c r="AX80" s="34">
        <f t="shared" si="164"/>
        <v>84.863876961828737</v>
      </c>
      <c r="AY80" s="113">
        <f t="shared" si="165"/>
        <v>4.4783048528669518</v>
      </c>
      <c r="AZ80" s="113">
        <f t="shared" si="166"/>
        <v>4.4783048528669518</v>
      </c>
      <c r="BA80" s="113">
        <f t="shared" si="167"/>
        <v>1.9338104940329572</v>
      </c>
      <c r="BB80" s="34">
        <f t="shared" si="168"/>
        <v>1958.7820842145891</v>
      </c>
      <c r="BC80" s="34">
        <f t="shared" si="169"/>
        <v>63.782084214589077</v>
      </c>
      <c r="BD80" s="34">
        <f t="shared" si="170"/>
        <v>63.782084214589077</v>
      </c>
      <c r="BE80" s="113">
        <f t="shared" si="171"/>
        <v>3.3658091933820091</v>
      </c>
      <c r="BF80" s="113">
        <f t="shared" si="172"/>
        <v>3.3658091933820091</v>
      </c>
      <c r="BG80" s="113">
        <f t="shared" si="173"/>
        <v>1.8114549163251956</v>
      </c>
      <c r="BH80" s="34">
        <f t="shared" si="174"/>
        <v>1988.8122902983998</v>
      </c>
      <c r="BI80" s="34">
        <f t="shared" si="175"/>
        <v>93.81229029839983</v>
      </c>
      <c r="BJ80" s="34">
        <f t="shared" si="176"/>
        <v>93.81229029839983</v>
      </c>
      <c r="BK80" s="113">
        <f t="shared" si="177"/>
        <v>4.9505166384379855</v>
      </c>
      <c r="BL80" s="113">
        <f t="shared" si="178"/>
        <v>4.9505166384379855</v>
      </c>
      <c r="BM80" s="113">
        <f t="shared" si="179"/>
        <v>1.9768646375786789</v>
      </c>
      <c r="BN80" s="34">
        <f t="shared" si="180"/>
        <v>1869.5652173913043</v>
      </c>
      <c r="BO80" s="34">
        <f t="shared" si="181"/>
        <v>-25.434782608695741</v>
      </c>
      <c r="BP80" s="34">
        <f t="shared" si="182"/>
        <v>25.434782608695741</v>
      </c>
      <c r="BQ80" s="113">
        <f t="shared" si="183"/>
        <v>-1.3422048870024139</v>
      </c>
      <c r="BR80" s="113">
        <f t="shared" si="184"/>
        <v>1.3422048870024139</v>
      </c>
      <c r="BS80" s="113">
        <f t="shared" si="185"/>
        <v>1.4221757432551436</v>
      </c>
      <c r="BT80" s="34">
        <f t="shared" si="186"/>
        <v>1896.049</v>
      </c>
      <c r="BU80" s="34">
        <f t="shared" si="187"/>
        <v>1.0489999999999782</v>
      </c>
      <c r="BV80" s="34">
        <f t="shared" si="188"/>
        <v>1.0489999999999782</v>
      </c>
      <c r="BW80" s="34">
        <f t="shared" si="189"/>
        <v>1875.6364348130205</v>
      </c>
      <c r="BX80" s="34">
        <f t="shared" si="190"/>
        <v>-19.363565186979486</v>
      </c>
      <c r="BY80" s="34">
        <f t="shared" si="191"/>
        <v>19.363565186979486</v>
      </c>
    </row>
    <row r="81" spans="1:77" ht="15" x14ac:dyDescent="0.2">
      <c r="A81" s="206" t="s">
        <v>465</v>
      </c>
      <c r="B81" t="s">
        <v>899</v>
      </c>
      <c r="C81" s="224" t="s">
        <v>824</v>
      </c>
      <c r="D81" s="35" t="s">
        <v>148</v>
      </c>
      <c r="E81" s="35" t="s">
        <v>374</v>
      </c>
      <c r="F81" s="35" t="s">
        <v>580</v>
      </c>
      <c r="G81">
        <v>2060</v>
      </c>
      <c r="H81">
        <v>2060</v>
      </c>
      <c r="I81" s="35" t="s">
        <v>627</v>
      </c>
      <c r="J81">
        <v>456</v>
      </c>
      <c r="K81">
        <v>441</v>
      </c>
      <c r="L81" s="28"/>
      <c r="M81" s="35" t="s">
        <v>488</v>
      </c>
      <c r="N81" s="33">
        <f t="shared" si="128"/>
        <v>1947.0404000000001</v>
      </c>
      <c r="O81" s="33">
        <f t="shared" si="129"/>
        <v>2158.2140000000004</v>
      </c>
      <c r="P81" s="33">
        <f t="shared" si="130"/>
        <v>2256.6358827961403</v>
      </c>
      <c r="Q81" s="33">
        <f t="shared" si="131"/>
        <v>2001.1151999999997</v>
      </c>
      <c r="R81" s="33">
        <f t="shared" si="132"/>
        <v>1993.4202971199184</v>
      </c>
      <c r="S81" s="33">
        <f t="shared" si="133"/>
        <v>1974.7592227978682</v>
      </c>
      <c r="T81" s="33">
        <f t="shared" si="134"/>
        <v>2005.8933898457146</v>
      </c>
      <c r="U81" s="33">
        <f t="shared" si="135"/>
        <v>1900</v>
      </c>
      <c r="V81" s="33">
        <f t="shared" si="136"/>
        <v>1916.1956</v>
      </c>
      <c r="W81" s="33">
        <f t="shared" si="137"/>
        <v>1893.7926779069448</v>
      </c>
      <c r="X81" s="34">
        <f t="shared" si="138"/>
        <v>1955.9617999999998</v>
      </c>
      <c r="Y81" s="34">
        <f t="shared" si="139"/>
        <v>-104.03820000000019</v>
      </c>
      <c r="Z81" s="34">
        <f t="shared" si="140"/>
        <v>104.03820000000019</v>
      </c>
      <c r="AA81" s="113">
        <f t="shared" si="141"/>
        <v>-5.050398058252437</v>
      </c>
      <c r="AB81" s="113">
        <f t="shared" si="142"/>
        <v>5.050398058252437</v>
      </c>
      <c r="AC81" s="113">
        <f t="shared" si="143"/>
        <v>2.0213472708045246</v>
      </c>
      <c r="AD81" s="34">
        <f t="shared" si="144"/>
        <v>2118.4459000000002</v>
      </c>
      <c r="AE81" s="34">
        <f t="shared" si="145"/>
        <v>58.445900000000165</v>
      </c>
      <c r="AF81" s="34">
        <f t="shared" si="146"/>
        <v>58.445900000000165</v>
      </c>
      <c r="AG81" s="113">
        <f t="shared" si="147"/>
        <v>2.8371796116504937</v>
      </c>
      <c r="AH81" s="113">
        <f t="shared" si="148"/>
        <v>2.8371796116504937</v>
      </c>
      <c r="AI81" s="113">
        <f t="shared" si="149"/>
        <v>1.7741219065782796</v>
      </c>
      <c r="AJ81" s="34">
        <f t="shared" si="150"/>
        <v>2035.3021124035529</v>
      </c>
      <c r="AK81" s="34">
        <f t="shared" si="151"/>
        <v>-24.697887596447117</v>
      </c>
      <c r="AL81" s="34">
        <f t="shared" si="152"/>
        <v>24.697887596447117</v>
      </c>
      <c r="AM81" s="113">
        <f t="shared" si="153"/>
        <v>-1.1989265823518018</v>
      </c>
      <c r="AN81" s="113">
        <f t="shared" si="154"/>
        <v>1.1989265823518018</v>
      </c>
      <c r="AO81" s="113">
        <f t="shared" si="155"/>
        <v>1.4098974251635297</v>
      </c>
      <c r="AP81" s="34">
        <f t="shared" si="156"/>
        <v>2138.0259000000001</v>
      </c>
      <c r="AQ81" s="34">
        <f t="shared" si="157"/>
        <v>78.025900000000092</v>
      </c>
      <c r="AR81" s="34">
        <f t="shared" si="158"/>
        <v>78.025900000000092</v>
      </c>
      <c r="AS81" s="113">
        <f t="shared" si="159"/>
        <v>3.787665048543694</v>
      </c>
      <c r="AT81" s="113">
        <f t="shared" si="160"/>
        <v>3.787665048543694</v>
      </c>
      <c r="AU81" s="113">
        <f t="shared" si="161"/>
        <v>1.8977694505768881</v>
      </c>
      <c r="AV81" s="34">
        <f t="shared" si="162"/>
        <v>2041.3626484215533</v>
      </c>
      <c r="AW81" s="34">
        <f t="shared" si="163"/>
        <v>-18.637351578446669</v>
      </c>
      <c r="AX81" s="34">
        <f t="shared" si="164"/>
        <v>18.637351578446669</v>
      </c>
      <c r="AY81" s="113">
        <f t="shared" si="165"/>
        <v>-0.90472580477896447</v>
      </c>
      <c r="AZ81" s="113">
        <f t="shared" si="166"/>
        <v>0.90472580477896447</v>
      </c>
      <c r="BA81" s="113">
        <f t="shared" si="167"/>
        <v>1.2930829156085542</v>
      </c>
      <c r="BB81" s="34">
        <f t="shared" si="168"/>
        <v>2013.8186568017638</v>
      </c>
      <c r="BC81" s="34">
        <f t="shared" si="169"/>
        <v>-46.181343198236164</v>
      </c>
      <c r="BD81" s="34">
        <f t="shared" si="170"/>
        <v>46.181343198236164</v>
      </c>
      <c r="BE81" s="113">
        <f t="shared" si="171"/>
        <v>-2.2418127766134059</v>
      </c>
      <c r="BF81" s="113">
        <f t="shared" si="172"/>
        <v>2.2418127766134059</v>
      </c>
      <c r="BG81" s="113">
        <f t="shared" si="173"/>
        <v>1.6737703005868474</v>
      </c>
      <c r="BH81" s="34">
        <f t="shared" si="174"/>
        <v>2047.0698324216023</v>
      </c>
      <c r="BI81" s="34">
        <f t="shared" si="175"/>
        <v>-12.930167578397686</v>
      </c>
      <c r="BJ81" s="34">
        <f t="shared" si="176"/>
        <v>12.930167578397686</v>
      </c>
      <c r="BK81" s="113">
        <f t="shared" si="177"/>
        <v>-0.6276780377862955</v>
      </c>
      <c r="BL81" s="113">
        <f t="shared" si="178"/>
        <v>0.6276780377862955</v>
      </c>
      <c r="BM81" s="113">
        <f t="shared" si="179"/>
        <v>1.1439563409706714</v>
      </c>
      <c r="BN81" s="34">
        <f t="shared" si="180"/>
        <v>1917.391304347826</v>
      </c>
      <c r="BO81" s="34">
        <f t="shared" si="181"/>
        <v>-142.60869565217399</v>
      </c>
      <c r="BP81" s="34">
        <f t="shared" si="182"/>
        <v>142.60869565217399</v>
      </c>
      <c r="BQ81" s="113">
        <f t="shared" si="183"/>
        <v>-6.9227522161249517</v>
      </c>
      <c r="BR81" s="113">
        <f t="shared" si="184"/>
        <v>6.9227522161249517</v>
      </c>
      <c r="BS81" s="113">
        <f t="shared" si="185"/>
        <v>2.1571807376738215</v>
      </c>
      <c r="BT81" s="34">
        <f t="shared" si="186"/>
        <v>1946.7931000000001</v>
      </c>
      <c r="BU81" s="34">
        <f t="shared" si="187"/>
        <v>-113.20689999999991</v>
      </c>
      <c r="BV81" s="34">
        <f t="shared" si="188"/>
        <v>113.20689999999991</v>
      </c>
      <c r="BW81" s="34">
        <f t="shared" si="189"/>
        <v>1926.0245385838198</v>
      </c>
      <c r="BX81" s="34">
        <f t="shared" si="190"/>
        <v>-133.97546141618022</v>
      </c>
      <c r="BY81" s="34">
        <f t="shared" si="191"/>
        <v>133.97546141618022</v>
      </c>
    </row>
    <row r="82" spans="1:77" ht="15" x14ac:dyDescent="0.2">
      <c r="A82" s="206" t="s">
        <v>465</v>
      </c>
      <c r="B82" t="s">
        <v>886</v>
      </c>
      <c r="C82" s="224" t="s">
        <v>824</v>
      </c>
      <c r="D82" s="35" t="s">
        <v>148</v>
      </c>
      <c r="E82" s="35" t="s">
        <v>374</v>
      </c>
      <c r="F82" s="35" t="s">
        <v>580</v>
      </c>
      <c r="G82">
        <v>2100</v>
      </c>
      <c r="H82">
        <v>2100</v>
      </c>
      <c r="I82" s="35" t="s">
        <v>627</v>
      </c>
      <c r="J82">
        <v>483</v>
      </c>
      <c r="K82">
        <v>463</v>
      </c>
      <c r="L82" s="28"/>
      <c r="M82" s="35" t="s">
        <v>488</v>
      </c>
      <c r="N82" s="33">
        <f t="shared" si="128"/>
        <v>2055.1322</v>
      </c>
      <c r="O82" s="33">
        <f t="shared" si="129"/>
        <v>2309.1170000000002</v>
      </c>
      <c r="P82" s="33">
        <f t="shared" si="130"/>
        <v>2417.5628845175424</v>
      </c>
      <c r="Q82" s="33">
        <f t="shared" si="131"/>
        <v>2130.3020999999999</v>
      </c>
      <c r="R82" s="33">
        <f t="shared" si="132"/>
        <v>2137.1927046052115</v>
      </c>
      <c r="S82" s="33">
        <f t="shared" si="133"/>
        <v>2103.3895930957046</v>
      </c>
      <c r="T82" s="33">
        <f t="shared" si="134"/>
        <v>2142.2127632416227</v>
      </c>
      <c r="U82" s="33">
        <f t="shared" si="135"/>
        <v>2012.5</v>
      </c>
      <c r="V82" s="33">
        <f t="shared" si="136"/>
        <v>2034.5933000000002</v>
      </c>
      <c r="W82" s="33">
        <f t="shared" si="137"/>
        <v>2010.8467180066068</v>
      </c>
      <c r="X82" s="34">
        <f t="shared" si="138"/>
        <v>2047.4774</v>
      </c>
      <c r="Y82" s="34">
        <f t="shared" si="139"/>
        <v>-52.522600000000011</v>
      </c>
      <c r="Z82" s="34">
        <f t="shared" si="140"/>
        <v>52.522600000000011</v>
      </c>
      <c r="AA82" s="113">
        <f t="shared" si="141"/>
        <v>-2.5010761904761911</v>
      </c>
      <c r="AB82" s="113">
        <f t="shared" si="142"/>
        <v>2.5010761904761911</v>
      </c>
      <c r="AC82" s="113">
        <f t="shared" si="143"/>
        <v>1.7285372022602605</v>
      </c>
      <c r="AD82" s="34">
        <f t="shared" si="144"/>
        <v>2238.5637000000002</v>
      </c>
      <c r="AE82" s="34">
        <f t="shared" si="145"/>
        <v>138.56370000000015</v>
      </c>
      <c r="AF82" s="34">
        <f t="shared" si="146"/>
        <v>138.56370000000015</v>
      </c>
      <c r="AG82" s="113">
        <f t="shared" si="147"/>
        <v>6.5982714285714357</v>
      </c>
      <c r="AH82" s="113">
        <f t="shared" si="148"/>
        <v>6.5982714285714357</v>
      </c>
      <c r="AI82" s="113">
        <f t="shared" si="149"/>
        <v>2.1447724745929451</v>
      </c>
      <c r="AJ82" s="34">
        <f t="shared" si="150"/>
        <v>2163.2756184793698</v>
      </c>
      <c r="AK82" s="34">
        <f t="shared" si="151"/>
        <v>63.275618479369768</v>
      </c>
      <c r="AL82" s="34">
        <f t="shared" si="152"/>
        <v>63.275618479369768</v>
      </c>
      <c r="AM82" s="113">
        <f t="shared" si="153"/>
        <v>3.0131246894937984</v>
      </c>
      <c r="AN82" s="113">
        <f t="shared" si="154"/>
        <v>3.0131246894937984</v>
      </c>
      <c r="AO82" s="113">
        <f t="shared" si="155"/>
        <v>1.8080462642473785</v>
      </c>
      <c r="AP82" s="34">
        <f t="shared" si="156"/>
        <v>2253.6997000000001</v>
      </c>
      <c r="AQ82" s="34">
        <f t="shared" si="157"/>
        <v>153.69970000000012</v>
      </c>
      <c r="AR82" s="34">
        <f t="shared" si="158"/>
        <v>153.69970000000012</v>
      </c>
      <c r="AS82" s="113">
        <f t="shared" si="159"/>
        <v>7.3190333333333388</v>
      </c>
      <c r="AT82" s="113">
        <f t="shared" si="160"/>
        <v>7.3190333333333388</v>
      </c>
      <c r="AU82" s="113">
        <f t="shared" si="161"/>
        <v>2.1894894714985216</v>
      </c>
      <c r="AV82" s="34">
        <f t="shared" si="162"/>
        <v>2165.3276036965844</v>
      </c>
      <c r="AW82" s="34">
        <f t="shared" si="163"/>
        <v>65.327603696584447</v>
      </c>
      <c r="AX82" s="34">
        <f t="shared" si="164"/>
        <v>65.327603696584447</v>
      </c>
      <c r="AY82" s="113">
        <f t="shared" si="165"/>
        <v>3.1108382712659264</v>
      </c>
      <c r="AZ82" s="113">
        <f t="shared" si="166"/>
        <v>3.1108382712659264</v>
      </c>
      <c r="BA82" s="113">
        <f t="shared" si="167"/>
        <v>1.8216943072614473</v>
      </c>
      <c r="BB82" s="34">
        <f t="shared" si="168"/>
        <v>2124.2888741272041</v>
      </c>
      <c r="BC82" s="34">
        <f t="shared" si="169"/>
        <v>24.288874127204053</v>
      </c>
      <c r="BD82" s="34">
        <f t="shared" si="170"/>
        <v>24.288874127204053</v>
      </c>
      <c r="BE82" s="113">
        <f t="shared" si="171"/>
        <v>1.1566130536763835</v>
      </c>
      <c r="BF82" s="113">
        <f t="shared" si="172"/>
        <v>1.1566130536763835</v>
      </c>
      <c r="BG82" s="113">
        <f t="shared" si="173"/>
        <v>1.4029294947763218</v>
      </c>
      <c r="BH82" s="34">
        <f t="shared" si="174"/>
        <v>2164.2051348871405</v>
      </c>
      <c r="BI82" s="34">
        <f t="shared" si="175"/>
        <v>64.205134887140503</v>
      </c>
      <c r="BJ82" s="34">
        <f t="shared" si="176"/>
        <v>64.205134887140503</v>
      </c>
      <c r="BK82" s="113">
        <f t="shared" si="177"/>
        <v>3.0573873755781191</v>
      </c>
      <c r="BL82" s="113">
        <f t="shared" si="178"/>
        <v>3.0573873755781191</v>
      </c>
      <c r="BM82" s="113">
        <f t="shared" si="179"/>
        <v>1.8142817976543122</v>
      </c>
      <c r="BN82" s="34">
        <f t="shared" si="180"/>
        <v>2013.0434782608695</v>
      </c>
      <c r="BO82" s="34">
        <f t="shared" si="181"/>
        <v>-86.956521739130494</v>
      </c>
      <c r="BP82" s="34">
        <f t="shared" si="182"/>
        <v>86.956521739130494</v>
      </c>
      <c r="BQ82" s="113">
        <f t="shared" si="183"/>
        <v>-4.1407867494824044</v>
      </c>
      <c r="BR82" s="113">
        <f t="shared" si="184"/>
        <v>4.1407867494824044</v>
      </c>
      <c r="BS82" s="113">
        <f t="shared" si="185"/>
        <v>1.9442680467532121</v>
      </c>
      <c r="BT82" s="34">
        <f t="shared" si="186"/>
        <v>2048.2813000000001</v>
      </c>
      <c r="BU82" s="34">
        <f t="shared" si="187"/>
        <v>-51.718699999999899</v>
      </c>
      <c r="BV82" s="34">
        <f t="shared" si="188"/>
        <v>51.718699999999899</v>
      </c>
      <c r="BW82" s="34">
        <f t="shared" si="189"/>
        <v>2026.9860806482618</v>
      </c>
      <c r="BX82" s="34">
        <f t="shared" si="190"/>
        <v>-73.013919351738195</v>
      </c>
      <c r="BY82" s="34">
        <f t="shared" si="191"/>
        <v>73.013919351738195</v>
      </c>
    </row>
    <row r="83" spans="1:77" ht="15" x14ac:dyDescent="0.2">
      <c r="A83" s="206" t="s">
        <v>465</v>
      </c>
      <c r="B83" s="28" t="s">
        <v>75</v>
      </c>
      <c r="C83" s="207" t="s">
        <v>403</v>
      </c>
      <c r="D83" s="35" t="s">
        <v>82</v>
      </c>
      <c r="E83" s="35" t="s">
        <v>374</v>
      </c>
      <c r="F83" s="35" t="s">
        <v>580</v>
      </c>
      <c r="G83" s="141">
        <v>2106.6</v>
      </c>
      <c r="H83" s="141">
        <v>2300</v>
      </c>
      <c r="I83" s="35" t="s">
        <v>627</v>
      </c>
      <c r="J83" s="141">
        <v>428.11</v>
      </c>
      <c r="K83" s="141">
        <v>413.78</v>
      </c>
      <c r="L83" s="28">
        <v>553.4</v>
      </c>
      <c r="M83" s="35" t="s">
        <v>37</v>
      </c>
      <c r="N83" s="33">
        <f t="shared" si="128"/>
        <v>1835.3855740000001</v>
      </c>
      <c r="O83" s="33">
        <f t="shared" si="129"/>
        <v>2002.3367900000003</v>
      </c>
      <c r="P83" s="33">
        <f t="shared" si="130"/>
        <v>2092.3707919978888</v>
      </c>
      <c r="Q83" s="33">
        <f t="shared" si="131"/>
        <v>1867.6699170000002</v>
      </c>
      <c r="R83" s="33">
        <f t="shared" si="132"/>
        <v>1846.7818632010965</v>
      </c>
      <c r="S83" s="33">
        <f t="shared" si="133"/>
        <v>1842.6631972242819</v>
      </c>
      <c r="T83" s="33">
        <f t="shared" si="134"/>
        <v>1866.2886837136323</v>
      </c>
      <c r="U83" s="33">
        <f t="shared" si="135"/>
        <v>1783.7916666666667</v>
      </c>
      <c r="V83" s="33">
        <f t="shared" si="136"/>
        <v>1793.8951610000001</v>
      </c>
      <c r="W83" s="33">
        <f t="shared" si="137"/>
        <v>1773.1901877610769</v>
      </c>
      <c r="X83" s="34">
        <f t="shared" si="138"/>
        <v>1842.7320439999999</v>
      </c>
      <c r="Y83" s="34">
        <f t="shared" si="139"/>
        <v>-263.86795600000005</v>
      </c>
      <c r="Z83" s="34">
        <f t="shared" si="140"/>
        <v>263.86795600000005</v>
      </c>
      <c r="AA83" s="113">
        <f t="shared" si="141"/>
        <v>-12.525774043482391</v>
      </c>
      <c r="AB83" s="113">
        <f t="shared" si="142"/>
        <v>12.525774043482391</v>
      </c>
      <c r="AC83" s="113">
        <f t="shared" si="143"/>
        <v>2.4230294200784224</v>
      </c>
      <c r="AD83" s="34">
        <f t="shared" si="144"/>
        <v>1969.8274219999998</v>
      </c>
      <c r="AE83" s="34">
        <f t="shared" si="145"/>
        <v>-136.77257800000007</v>
      </c>
      <c r="AF83" s="34">
        <f t="shared" si="146"/>
        <v>136.77257800000007</v>
      </c>
      <c r="AG83" s="113">
        <f t="shared" si="147"/>
        <v>-6.4925746700845002</v>
      </c>
      <c r="AH83" s="113">
        <f t="shared" si="148"/>
        <v>6.4925746700845002</v>
      </c>
      <c r="AI83" s="113">
        <f t="shared" si="149"/>
        <v>2.1391627849997708</v>
      </c>
      <c r="AJ83" s="34">
        <f t="shared" si="150"/>
        <v>1879.1894948385327</v>
      </c>
      <c r="AK83" s="34">
        <f t="shared" si="151"/>
        <v>-227.4105051614672</v>
      </c>
      <c r="AL83" s="34">
        <f t="shared" si="152"/>
        <v>227.4105051614672</v>
      </c>
      <c r="AM83" s="113">
        <f t="shared" si="153"/>
        <v>-10.79514407867973</v>
      </c>
      <c r="AN83" s="113">
        <f t="shared" si="154"/>
        <v>10.79514407867973</v>
      </c>
      <c r="AO83" s="113">
        <f t="shared" si="155"/>
        <v>2.3587160743055908</v>
      </c>
      <c r="AP83" s="34">
        <f t="shared" si="156"/>
        <v>1994.9058620000001</v>
      </c>
      <c r="AQ83" s="34">
        <f t="shared" si="157"/>
        <v>-111.69413799999984</v>
      </c>
      <c r="AR83" s="34">
        <f t="shared" si="158"/>
        <v>111.69413799999984</v>
      </c>
      <c r="AS83" s="113">
        <f t="shared" si="159"/>
        <v>-5.3021047185037427</v>
      </c>
      <c r="AT83" s="113">
        <f t="shared" si="160"/>
        <v>5.3021047185037427</v>
      </c>
      <c r="AU83" s="113">
        <f t="shared" si="161"/>
        <v>2.0519013259798684</v>
      </c>
      <c r="AV83" s="34">
        <f t="shared" si="162"/>
        <v>1889.7871473879543</v>
      </c>
      <c r="AW83" s="34">
        <f t="shared" si="163"/>
        <v>-216.81285261204562</v>
      </c>
      <c r="AX83" s="34">
        <f t="shared" si="164"/>
        <v>216.81285261204562</v>
      </c>
      <c r="AY83" s="113">
        <f t="shared" si="165"/>
        <v>-10.292075031427212</v>
      </c>
      <c r="AZ83" s="113">
        <f t="shared" si="166"/>
        <v>10.292075031427212</v>
      </c>
      <c r="BA83" s="113">
        <f t="shared" si="167"/>
        <v>2.3380835028476779</v>
      </c>
      <c r="BB83" s="34">
        <f t="shared" si="168"/>
        <v>1877.8779551186844</v>
      </c>
      <c r="BC83" s="34">
        <f t="shared" si="169"/>
        <v>-228.72204488131547</v>
      </c>
      <c r="BD83" s="34">
        <f t="shared" si="170"/>
        <v>228.72204488131547</v>
      </c>
      <c r="BE83" s="113">
        <f t="shared" si="171"/>
        <v>-10.857402681159948</v>
      </c>
      <c r="BF83" s="113">
        <f t="shared" si="172"/>
        <v>10.857402681159948</v>
      </c>
      <c r="BG83" s="113">
        <f t="shared" si="173"/>
        <v>2.3612026735185787</v>
      </c>
      <c r="BH83" s="34">
        <f t="shared" si="174"/>
        <v>1903.2984042856315</v>
      </c>
      <c r="BI83" s="34">
        <f t="shared" si="175"/>
        <v>-203.30159571436843</v>
      </c>
      <c r="BJ83" s="34">
        <f t="shared" si="176"/>
        <v>203.30159571436843</v>
      </c>
      <c r="BK83" s="113">
        <f t="shared" si="177"/>
        <v>-9.6506976034543079</v>
      </c>
      <c r="BL83" s="113">
        <f t="shared" si="178"/>
        <v>9.6506976034543079</v>
      </c>
      <c r="BM83" s="113">
        <f t="shared" si="179"/>
        <v>2.310271758738363</v>
      </c>
      <c r="BN83" s="34">
        <f t="shared" si="180"/>
        <v>1799.0434782608693</v>
      </c>
      <c r="BO83" s="34">
        <f t="shared" si="181"/>
        <v>-307.55652173913063</v>
      </c>
      <c r="BP83" s="34">
        <f t="shared" si="182"/>
        <v>307.55652173913063</v>
      </c>
      <c r="BQ83" s="113">
        <f t="shared" si="183"/>
        <v>-14.599663995971262</v>
      </c>
      <c r="BR83" s="113">
        <f t="shared" si="184"/>
        <v>14.599663995971262</v>
      </c>
      <c r="BS83" s="113">
        <f t="shared" si="185"/>
        <v>2.489334730220131</v>
      </c>
      <c r="BT83" s="34">
        <f t="shared" si="186"/>
        <v>1821.224518</v>
      </c>
      <c r="BU83" s="34">
        <f t="shared" si="187"/>
        <v>-285.37548199999992</v>
      </c>
      <c r="BV83" s="34">
        <f t="shared" si="188"/>
        <v>285.37548199999992</v>
      </c>
      <c r="BW83" s="34">
        <f t="shared" si="189"/>
        <v>1801.4536876073453</v>
      </c>
      <c r="BX83" s="34">
        <f t="shared" si="190"/>
        <v>-305.14631239265464</v>
      </c>
      <c r="BY83" s="34">
        <f t="shared" si="191"/>
        <v>305.14631239265464</v>
      </c>
    </row>
    <row r="84" spans="1:77" ht="15" x14ac:dyDescent="0.2">
      <c r="A84" s="206" t="s">
        <v>465</v>
      </c>
      <c r="B84" t="s">
        <v>888</v>
      </c>
      <c r="C84" s="224" t="s">
        <v>824</v>
      </c>
      <c r="D84" s="35" t="s">
        <v>148</v>
      </c>
      <c r="E84" s="35" t="s">
        <v>374</v>
      </c>
      <c r="F84" s="35" t="s">
        <v>580</v>
      </c>
      <c r="G84">
        <v>2150</v>
      </c>
      <c r="H84">
        <v>2150</v>
      </c>
      <c r="I84" s="35" t="s">
        <v>627</v>
      </c>
      <c r="J84">
        <v>456</v>
      </c>
      <c r="K84">
        <v>442</v>
      </c>
      <c r="L84" s="28"/>
      <c r="M84" s="35" t="s">
        <v>488</v>
      </c>
      <c r="N84" s="33">
        <f t="shared" si="128"/>
        <v>1947.0404000000001</v>
      </c>
      <c r="O84" s="33">
        <f t="shared" si="129"/>
        <v>2158.2140000000004</v>
      </c>
      <c r="P84" s="33">
        <f t="shared" si="130"/>
        <v>2256.6358827961403</v>
      </c>
      <c r="Q84" s="33">
        <f t="shared" si="131"/>
        <v>2001.1151999999997</v>
      </c>
      <c r="R84" s="33">
        <f t="shared" si="132"/>
        <v>1993.4202971199184</v>
      </c>
      <c r="S84" s="33">
        <f t="shared" si="133"/>
        <v>1974.7592227978682</v>
      </c>
      <c r="T84" s="33">
        <f t="shared" si="134"/>
        <v>2005.8933898457146</v>
      </c>
      <c r="U84" s="33">
        <f t="shared" si="135"/>
        <v>1900</v>
      </c>
      <c r="V84" s="33">
        <f t="shared" si="136"/>
        <v>1916.1956</v>
      </c>
      <c r="W84" s="33">
        <f t="shared" si="137"/>
        <v>1893.7926779069448</v>
      </c>
      <c r="X84" s="34">
        <f t="shared" si="138"/>
        <v>1960.1215999999999</v>
      </c>
      <c r="Y84" s="34">
        <f t="shared" si="139"/>
        <v>-189.87840000000006</v>
      </c>
      <c r="Z84" s="34">
        <f t="shared" si="140"/>
        <v>189.87840000000006</v>
      </c>
      <c r="AA84" s="113">
        <f t="shared" si="141"/>
        <v>-8.8315534883720961</v>
      </c>
      <c r="AB84" s="113">
        <f t="shared" si="142"/>
        <v>8.8315534883720961</v>
      </c>
      <c r="AC84" s="113">
        <f t="shared" si="143"/>
        <v>2.2807567859549165</v>
      </c>
      <c r="AD84" s="34">
        <f t="shared" si="144"/>
        <v>2123.9058</v>
      </c>
      <c r="AE84" s="34">
        <f t="shared" si="145"/>
        <v>-26.094200000000001</v>
      </c>
      <c r="AF84" s="34">
        <f t="shared" si="146"/>
        <v>26.094200000000001</v>
      </c>
      <c r="AG84" s="113">
        <f t="shared" si="147"/>
        <v>-1.2136837209302327</v>
      </c>
      <c r="AH84" s="113">
        <f t="shared" si="148"/>
        <v>1.2136837209302327</v>
      </c>
      <c r="AI84" s="113">
        <f t="shared" si="149"/>
        <v>1.4328763322919502</v>
      </c>
      <c r="AJ84" s="34">
        <f t="shared" si="150"/>
        <v>2041.0847635459031</v>
      </c>
      <c r="AK84" s="34">
        <f t="shared" si="151"/>
        <v>-108.91523645409688</v>
      </c>
      <c r="AL84" s="34">
        <f t="shared" si="152"/>
        <v>108.91523645409688</v>
      </c>
      <c r="AM84" s="113">
        <f t="shared" si="153"/>
        <v>-5.0658249513533438</v>
      </c>
      <c r="AN84" s="113">
        <f t="shared" si="154"/>
        <v>5.0658249513533438</v>
      </c>
      <c r="AO84" s="113">
        <f t="shared" si="155"/>
        <v>2.041057898513436</v>
      </c>
      <c r="AP84" s="34">
        <f t="shared" si="156"/>
        <v>2143.2838000000002</v>
      </c>
      <c r="AQ84" s="34">
        <f t="shared" si="157"/>
        <v>-6.7161999999998443</v>
      </c>
      <c r="AR84" s="34">
        <f t="shared" si="158"/>
        <v>6.7161999999998443</v>
      </c>
      <c r="AS84" s="113">
        <f t="shared" si="159"/>
        <v>-0.31238139534882997</v>
      </c>
      <c r="AT84" s="113">
        <f t="shared" si="160"/>
        <v>0.31238139534882997</v>
      </c>
      <c r="AU84" s="113">
        <f t="shared" si="161"/>
        <v>0.88740347581096479</v>
      </c>
      <c r="AV84" s="34">
        <f t="shared" si="162"/>
        <v>2046.969635293716</v>
      </c>
      <c r="AW84" s="34">
        <f t="shared" si="163"/>
        <v>-103.03036470628399</v>
      </c>
      <c r="AX84" s="34">
        <f t="shared" si="164"/>
        <v>103.03036470628399</v>
      </c>
      <c r="AY84" s="113">
        <f t="shared" si="165"/>
        <v>-4.7921099863387902</v>
      </c>
      <c r="AZ84" s="113">
        <f t="shared" si="166"/>
        <v>4.7921099863387902</v>
      </c>
      <c r="BA84" s="113">
        <f t="shared" si="167"/>
        <v>2.0171601210260155</v>
      </c>
      <c r="BB84" s="34">
        <f t="shared" si="168"/>
        <v>2018.8286383397806</v>
      </c>
      <c r="BC84" s="34">
        <f t="shared" si="169"/>
        <v>-131.17136166021942</v>
      </c>
      <c r="BD84" s="34">
        <f t="shared" si="170"/>
        <v>131.17136166021942</v>
      </c>
      <c r="BE84" s="113">
        <f t="shared" si="171"/>
        <v>-6.100993565591601</v>
      </c>
      <c r="BF84" s="113">
        <f t="shared" si="172"/>
        <v>6.100993565591601</v>
      </c>
      <c r="BG84" s="113">
        <f t="shared" si="173"/>
        <v>2.1211373642245825</v>
      </c>
      <c r="BH84" s="34">
        <f t="shared" si="174"/>
        <v>2052.376362871586</v>
      </c>
      <c r="BI84" s="34">
        <f t="shared" si="175"/>
        <v>-97.623637128413975</v>
      </c>
      <c r="BJ84" s="34">
        <f t="shared" si="176"/>
        <v>97.623637128413975</v>
      </c>
      <c r="BK84" s="113">
        <f t="shared" si="177"/>
        <v>-4.5406342850425112</v>
      </c>
      <c r="BL84" s="113">
        <f t="shared" si="178"/>
        <v>4.5406342850425112</v>
      </c>
      <c r="BM84" s="113">
        <f t="shared" si="179"/>
        <v>1.993981014780732</v>
      </c>
      <c r="BN84" s="34">
        <f t="shared" si="180"/>
        <v>1921.7391304347825</v>
      </c>
      <c r="BO84" s="34">
        <f t="shared" si="181"/>
        <v>-228.26086956521749</v>
      </c>
      <c r="BP84" s="34">
        <f t="shared" si="182"/>
        <v>228.26086956521749</v>
      </c>
      <c r="BQ84" s="113">
        <f t="shared" si="183"/>
        <v>-10.616784630940348</v>
      </c>
      <c r="BR84" s="113">
        <f t="shared" si="184"/>
        <v>10.616784630940348</v>
      </c>
      <c r="BS84" s="113">
        <f t="shared" si="185"/>
        <v>2.3603299353138714</v>
      </c>
      <c r="BT84" s="34">
        <f t="shared" si="186"/>
        <v>1951.4062000000001</v>
      </c>
      <c r="BU84" s="34">
        <f t="shared" si="187"/>
        <v>-198.59379999999987</v>
      </c>
      <c r="BV84" s="34">
        <f t="shared" si="188"/>
        <v>198.59379999999987</v>
      </c>
      <c r="BW84" s="34">
        <f t="shared" si="189"/>
        <v>1930.6083846510724</v>
      </c>
      <c r="BX84" s="34">
        <f t="shared" si="190"/>
        <v>-219.39161534892764</v>
      </c>
      <c r="BY84" s="34">
        <f t="shared" si="191"/>
        <v>219.39161534892764</v>
      </c>
    </row>
    <row r="85" spans="1:77" ht="15" x14ac:dyDescent="0.2">
      <c r="A85" s="206" t="s">
        <v>465</v>
      </c>
      <c r="B85" t="s">
        <v>836</v>
      </c>
      <c r="C85" s="224" t="s">
        <v>824</v>
      </c>
      <c r="D85" s="35" t="s">
        <v>148</v>
      </c>
      <c r="E85" s="35" t="s">
        <v>374</v>
      </c>
      <c r="F85" s="35" t="s">
        <v>580</v>
      </c>
      <c r="G85">
        <v>2190</v>
      </c>
      <c r="H85">
        <v>2190</v>
      </c>
      <c r="I85" s="35" t="s">
        <v>627</v>
      </c>
      <c r="J85">
        <v>520</v>
      </c>
      <c r="K85">
        <v>490</v>
      </c>
      <c r="L85" s="28"/>
      <c r="M85" s="35" t="s">
        <v>488</v>
      </c>
      <c r="N85" s="33">
        <f t="shared" si="128"/>
        <v>2203.2579999999998</v>
      </c>
      <c r="O85" s="33">
        <f t="shared" si="129"/>
        <v>2515.9100000000003</v>
      </c>
      <c r="P85" s="33">
        <f t="shared" si="130"/>
        <v>2640.9798915411752</v>
      </c>
      <c r="Q85" s="33">
        <f t="shared" si="131"/>
        <v>2307.3359999999998</v>
      </c>
      <c r="R85" s="33">
        <f t="shared" si="132"/>
        <v>2336.9667704309227</v>
      </c>
      <c r="S85" s="33">
        <f t="shared" si="133"/>
        <v>2280.7904527244486</v>
      </c>
      <c r="T85" s="33">
        <f t="shared" si="134"/>
        <v>2330.7884312340916</v>
      </c>
      <c r="U85" s="33">
        <f t="shared" si="135"/>
        <v>2166.666666666667</v>
      </c>
      <c r="V85" s="33">
        <f t="shared" si="136"/>
        <v>2196.8420000000006</v>
      </c>
      <c r="W85" s="33">
        <f t="shared" si="137"/>
        <v>2171.704714709163</v>
      </c>
      <c r="X85" s="34">
        <f t="shared" si="138"/>
        <v>2159.7919999999999</v>
      </c>
      <c r="Y85" s="34">
        <f t="shared" si="139"/>
        <v>-30.208000000000084</v>
      </c>
      <c r="Z85" s="34">
        <f t="shared" si="140"/>
        <v>30.208000000000084</v>
      </c>
      <c r="AA85" s="113">
        <f t="shared" si="141"/>
        <v>-1.3793607305936111</v>
      </c>
      <c r="AB85" s="113">
        <f t="shared" si="142"/>
        <v>1.3793607305936111</v>
      </c>
      <c r="AC85" s="113">
        <f t="shared" si="143"/>
        <v>1.4942659373037361</v>
      </c>
      <c r="AD85" s="34">
        <f t="shared" si="144"/>
        <v>2385.9810000000002</v>
      </c>
      <c r="AE85" s="34">
        <f t="shared" si="145"/>
        <v>195.98100000000022</v>
      </c>
      <c r="AF85" s="34">
        <f t="shared" si="146"/>
        <v>195.98100000000022</v>
      </c>
      <c r="AG85" s="113">
        <f t="shared" si="147"/>
        <v>8.9489041095890514</v>
      </c>
      <c r="AH85" s="113">
        <f t="shared" si="148"/>
        <v>8.9489041095890514</v>
      </c>
      <c r="AI85" s="113">
        <f t="shared" si="149"/>
        <v>2.2944243378717388</v>
      </c>
      <c r="AJ85" s="34">
        <f t="shared" si="150"/>
        <v>2322.4411399246615</v>
      </c>
      <c r="AK85" s="34">
        <f t="shared" si="151"/>
        <v>132.44113992466146</v>
      </c>
      <c r="AL85" s="34">
        <f t="shared" si="152"/>
        <v>132.44113992466146</v>
      </c>
      <c r="AM85" s="113">
        <f t="shared" si="153"/>
        <v>6.0475406358292902</v>
      </c>
      <c r="AN85" s="113">
        <f t="shared" si="154"/>
        <v>6.0475406358292902</v>
      </c>
      <c r="AO85" s="113">
        <f t="shared" si="155"/>
        <v>2.1252897432822406</v>
      </c>
      <c r="AP85" s="34">
        <f t="shared" si="156"/>
        <v>2395.663</v>
      </c>
      <c r="AQ85" s="34">
        <f t="shared" si="157"/>
        <v>205.66300000000001</v>
      </c>
      <c r="AR85" s="34">
        <f t="shared" si="158"/>
        <v>205.66300000000001</v>
      </c>
      <c r="AS85" s="113">
        <f t="shared" si="159"/>
        <v>9.3910045662100448</v>
      </c>
      <c r="AT85" s="113">
        <f t="shared" si="160"/>
        <v>9.3910045662100448</v>
      </c>
      <c r="AU85" s="113">
        <f t="shared" si="161"/>
        <v>2.3152627294855588</v>
      </c>
      <c r="AV85" s="34">
        <f t="shared" si="162"/>
        <v>2319.1694693608938</v>
      </c>
      <c r="AW85" s="34">
        <f t="shared" si="163"/>
        <v>129.1694693608938</v>
      </c>
      <c r="AX85" s="34">
        <f t="shared" si="164"/>
        <v>129.1694693608938</v>
      </c>
      <c r="AY85" s="113">
        <f t="shared" si="165"/>
        <v>5.8981492858855615</v>
      </c>
      <c r="AZ85" s="113">
        <f t="shared" si="166"/>
        <v>5.8981492858855615</v>
      </c>
      <c r="BA85" s="113">
        <f t="shared" si="167"/>
        <v>2.1145091344401363</v>
      </c>
      <c r="BB85" s="34">
        <f t="shared" si="168"/>
        <v>2260.5615019359157</v>
      </c>
      <c r="BC85" s="34">
        <f t="shared" si="169"/>
        <v>70.561501935915658</v>
      </c>
      <c r="BD85" s="34">
        <f t="shared" si="170"/>
        <v>70.561501935915658</v>
      </c>
      <c r="BE85" s="113">
        <f t="shared" si="171"/>
        <v>3.2219863897678382</v>
      </c>
      <c r="BF85" s="113">
        <f t="shared" si="172"/>
        <v>3.2219863897678382</v>
      </c>
      <c r="BG85" s="113">
        <f t="shared" si="173"/>
        <v>1.8546794469824683</v>
      </c>
      <c r="BH85" s="34">
        <f t="shared" si="174"/>
        <v>2309.0507053687115</v>
      </c>
      <c r="BI85" s="34">
        <f t="shared" si="175"/>
        <v>119.05070536871153</v>
      </c>
      <c r="BJ85" s="34">
        <f t="shared" si="176"/>
        <v>119.05070536871153</v>
      </c>
      <c r="BK85" s="113">
        <f t="shared" si="177"/>
        <v>5.4361052679776956</v>
      </c>
      <c r="BL85" s="113">
        <f t="shared" si="178"/>
        <v>5.4361052679776956</v>
      </c>
      <c r="BM85" s="113">
        <f t="shared" si="179"/>
        <v>2.0793647161368125</v>
      </c>
      <c r="BN85" s="34">
        <f t="shared" si="180"/>
        <v>2130.4347826086955</v>
      </c>
      <c r="BO85" s="34">
        <f t="shared" si="181"/>
        <v>-59.565217391304486</v>
      </c>
      <c r="BP85" s="34">
        <f t="shared" si="182"/>
        <v>59.565217391304486</v>
      </c>
      <c r="BQ85" s="113">
        <f t="shared" si="183"/>
        <v>-2.7198729402422139</v>
      </c>
      <c r="BR85" s="113">
        <f t="shared" si="184"/>
        <v>2.7198729402422139</v>
      </c>
      <c r="BS85" s="113">
        <f t="shared" si="185"/>
        <v>1.7822232804063716</v>
      </c>
      <c r="BT85" s="34">
        <f t="shared" si="186"/>
        <v>2172.8350000000005</v>
      </c>
      <c r="BU85" s="34">
        <f t="shared" si="187"/>
        <v>-17.164999999999509</v>
      </c>
      <c r="BV85" s="34">
        <f t="shared" si="188"/>
        <v>17.164999999999509</v>
      </c>
      <c r="BW85" s="34">
        <f t="shared" si="189"/>
        <v>2151.2174015635906</v>
      </c>
      <c r="BX85" s="34">
        <f t="shared" si="190"/>
        <v>-38.782598436409444</v>
      </c>
      <c r="BY85" s="34">
        <f t="shared" si="191"/>
        <v>38.782598436409444</v>
      </c>
    </row>
    <row r="86" spans="1:77" ht="15" x14ac:dyDescent="0.2">
      <c r="A86" s="206" t="s">
        <v>465</v>
      </c>
      <c r="B86" s="28" t="s">
        <v>322</v>
      </c>
      <c r="C86" s="207" t="s">
        <v>403</v>
      </c>
      <c r="D86" s="35" t="s">
        <v>96</v>
      </c>
      <c r="E86" s="35" t="s">
        <v>374</v>
      </c>
      <c r="F86" s="35" t="s">
        <v>580</v>
      </c>
      <c r="G86" s="141">
        <f>337.19+626.59+495.45+752.43</f>
        <v>2211.66</v>
      </c>
      <c r="H86" s="141">
        <v>1800</v>
      </c>
      <c r="I86" s="35" t="s">
        <v>627</v>
      </c>
      <c r="J86" s="141">
        <v>598.69000000000005</v>
      </c>
      <c r="K86" s="141">
        <v>570.5</v>
      </c>
      <c r="L86" s="28">
        <v>752.43</v>
      </c>
      <c r="M86" s="35" t="s">
        <v>37</v>
      </c>
      <c r="N86" s="33">
        <f t="shared" si="128"/>
        <v>2518.2855460000001</v>
      </c>
      <c r="O86" s="33">
        <f t="shared" si="129"/>
        <v>2955.7084100000006</v>
      </c>
      <c r="P86" s="33">
        <f t="shared" si="130"/>
        <v>3126.4428216157248</v>
      </c>
      <c r="Q86" s="33">
        <f t="shared" si="131"/>
        <v>2683.8440430000001</v>
      </c>
      <c r="R86" s="33">
        <f t="shared" si="132"/>
        <v>2771.6774946884475</v>
      </c>
      <c r="S86" s="33">
        <f t="shared" si="133"/>
        <v>2662.0751840020312</v>
      </c>
      <c r="T86" s="33">
        <f t="shared" si="134"/>
        <v>2738.1228074683436</v>
      </c>
      <c r="U86" s="33">
        <f t="shared" si="135"/>
        <v>2494.541666666667</v>
      </c>
      <c r="V86" s="33">
        <f t="shared" si="136"/>
        <v>2541.9055190000008</v>
      </c>
      <c r="W86" s="33">
        <f t="shared" si="137"/>
        <v>2515.3967625398022</v>
      </c>
      <c r="X86" s="34">
        <f t="shared" si="138"/>
        <v>2494.6558999999997</v>
      </c>
      <c r="Y86" s="34">
        <f t="shared" si="139"/>
        <v>282.99589999999989</v>
      </c>
      <c r="Z86" s="34">
        <f t="shared" si="140"/>
        <v>282.99589999999989</v>
      </c>
      <c r="AA86" s="113">
        <f t="shared" si="141"/>
        <v>12.795633144335019</v>
      </c>
      <c r="AB86" s="113">
        <f t="shared" si="142"/>
        <v>12.795633144335019</v>
      </c>
      <c r="AC86" s="113">
        <f t="shared" si="143"/>
        <v>2.4533120702574993</v>
      </c>
      <c r="AD86" s="34">
        <f t="shared" si="144"/>
        <v>2825.5029500000001</v>
      </c>
      <c r="AE86" s="34">
        <f t="shared" si="145"/>
        <v>613.8429500000002</v>
      </c>
      <c r="AF86" s="34">
        <f t="shared" si="146"/>
        <v>613.8429500000002</v>
      </c>
      <c r="AG86" s="113">
        <f t="shared" si="147"/>
        <v>27.754851559462136</v>
      </c>
      <c r="AH86" s="113">
        <f t="shared" si="148"/>
        <v>27.754851559462136</v>
      </c>
      <c r="AI86" s="113">
        <f t="shared" si="149"/>
        <v>2.7887641976313504</v>
      </c>
      <c r="AJ86" s="34">
        <f t="shared" si="150"/>
        <v>2809.90043671082</v>
      </c>
      <c r="AK86" s="34">
        <f t="shared" si="151"/>
        <v>598.24043671082018</v>
      </c>
      <c r="AL86" s="34">
        <f t="shared" si="152"/>
        <v>598.24043671082018</v>
      </c>
      <c r="AM86" s="113">
        <f t="shared" si="153"/>
        <v>27.049385380701384</v>
      </c>
      <c r="AN86" s="113">
        <f t="shared" si="154"/>
        <v>27.049385380701384</v>
      </c>
      <c r="AO86" s="113">
        <f t="shared" si="155"/>
        <v>2.7776011118473507</v>
      </c>
      <c r="AP86" s="34">
        <f t="shared" si="156"/>
        <v>2818.9239499999999</v>
      </c>
      <c r="AQ86" s="34">
        <f t="shared" si="157"/>
        <v>607.26395000000002</v>
      </c>
      <c r="AR86" s="34">
        <f t="shared" si="158"/>
        <v>607.26395000000002</v>
      </c>
      <c r="AS86" s="113">
        <f t="shared" si="159"/>
        <v>27.457382689925218</v>
      </c>
      <c r="AT86" s="113">
        <f t="shared" si="160"/>
        <v>27.457382689925218</v>
      </c>
      <c r="AU86" s="113">
        <f t="shared" si="161"/>
        <v>2.7840920778799623</v>
      </c>
      <c r="AV86" s="34">
        <f t="shared" si="162"/>
        <v>2788.2430147332325</v>
      </c>
      <c r="AW86" s="34">
        <f t="shared" si="163"/>
        <v>576.58301473323263</v>
      </c>
      <c r="AX86" s="34">
        <f t="shared" si="164"/>
        <v>576.58301473323263</v>
      </c>
      <c r="AY86" s="113">
        <f t="shared" si="165"/>
        <v>26.070147072028821</v>
      </c>
      <c r="AZ86" s="113">
        <f t="shared" si="166"/>
        <v>26.070147072028821</v>
      </c>
      <c r="BA86" s="113">
        <f t="shared" si="167"/>
        <v>2.7616144132387062</v>
      </c>
      <c r="BB86" s="34">
        <f t="shared" si="168"/>
        <v>2671.0601867588293</v>
      </c>
      <c r="BC86" s="34">
        <f t="shared" si="169"/>
        <v>459.40018675882948</v>
      </c>
      <c r="BD86" s="34">
        <f t="shared" si="170"/>
        <v>459.40018675882948</v>
      </c>
      <c r="BE86" s="113">
        <f t="shared" si="171"/>
        <v>20.771736467577725</v>
      </c>
      <c r="BF86" s="113">
        <f t="shared" si="172"/>
        <v>20.771736467577725</v>
      </c>
      <c r="BG86" s="113">
        <f t="shared" si="173"/>
        <v>2.6631354911269822</v>
      </c>
      <c r="BH86" s="34">
        <f t="shared" si="174"/>
        <v>2747.5117406360596</v>
      </c>
      <c r="BI86" s="34">
        <f t="shared" si="175"/>
        <v>535.85174063605973</v>
      </c>
      <c r="BJ86" s="34">
        <f t="shared" si="176"/>
        <v>535.85174063605973</v>
      </c>
      <c r="BK86" s="113">
        <f t="shared" si="177"/>
        <v>24.228486324121238</v>
      </c>
      <c r="BL86" s="113">
        <f t="shared" si="178"/>
        <v>24.228486324121238</v>
      </c>
      <c r="BM86" s="113">
        <f t="shared" si="179"/>
        <v>2.7298543655623106</v>
      </c>
      <c r="BN86" s="34">
        <f t="shared" si="180"/>
        <v>2480.4347826086955</v>
      </c>
      <c r="BO86" s="34">
        <f t="shared" si="181"/>
        <v>268.77478260869566</v>
      </c>
      <c r="BP86" s="34">
        <f t="shared" si="182"/>
        <v>268.77478260869566</v>
      </c>
      <c r="BQ86" s="113">
        <f t="shared" si="183"/>
        <v>12.152626651867632</v>
      </c>
      <c r="BR86" s="113">
        <f t="shared" si="184"/>
        <v>12.152626651867632</v>
      </c>
      <c r="BS86" s="113">
        <f t="shared" si="185"/>
        <v>2.4310013512449364</v>
      </c>
      <c r="BT86" s="34">
        <f t="shared" si="186"/>
        <v>2544.1895500000005</v>
      </c>
      <c r="BU86" s="34">
        <f t="shared" si="187"/>
        <v>332.52955000000065</v>
      </c>
      <c r="BV86" s="34">
        <f t="shared" si="188"/>
        <v>332.52955000000065</v>
      </c>
      <c r="BW86" s="34">
        <f t="shared" si="189"/>
        <v>2523.5610734651232</v>
      </c>
      <c r="BX86" s="34">
        <f t="shared" si="190"/>
        <v>311.90107346512332</v>
      </c>
      <c r="BY86" s="34">
        <f t="shared" si="191"/>
        <v>311.90107346512332</v>
      </c>
    </row>
    <row r="87" spans="1:77" ht="15" x14ac:dyDescent="0.2">
      <c r="A87" s="206" t="s">
        <v>465</v>
      </c>
      <c r="B87" t="s">
        <v>838</v>
      </c>
      <c r="C87" s="224" t="s">
        <v>824</v>
      </c>
      <c r="D87" s="35" t="s">
        <v>148</v>
      </c>
      <c r="E87" s="35" t="s">
        <v>374</v>
      </c>
      <c r="F87" s="35" t="s">
        <v>580</v>
      </c>
      <c r="G87">
        <v>2285</v>
      </c>
      <c r="H87">
        <v>2285</v>
      </c>
      <c r="I87" s="35" t="s">
        <v>627</v>
      </c>
      <c r="J87">
        <v>550</v>
      </c>
      <c r="K87">
        <v>520</v>
      </c>
      <c r="L87" s="28"/>
      <c r="M87" s="35" t="s">
        <v>488</v>
      </c>
      <c r="N87" s="33">
        <f t="shared" si="128"/>
        <v>2323.3599999999997</v>
      </c>
      <c r="O87" s="33">
        <f t="shared" si="129"/>
        <v>2683.5800000000004</v>
      </c>
      <c r="P87" s="33">
        <f t="shared" si="130"/>
        <v>2824.4598863434267</v>
      </c>
      <c r="Q87" s="33">
        <f t="shared" si="131"/>
        <v>2450.877</v>
      </c>
      <c r="R87" s="33">
        <f t="shared" si="132"/>
        <v>2501.1698173158056</v>
      </c>
      <c r="S87" s="33">
        <f t="shared" si="133"/>
        <v>2425.5352400733977</v>
      </c>
      <c r="T87" s="33">
        <f t="shared" si="134"/>
        <v>2485.1098237131282</v>
      </c>
      <c r="U87" s="33">
        <f t="shared" si="135"/>
        <v>2291.666666666667</v>
      </c>
      <c r="V87" s="33">
        <f t="shared" si="136"/>
        <v>2328.3950000000004</v>
      </c>
      <c r="W87" s="33">
        <f t="shared" si="137"/>
        <v>2302.4904003035431</v>
      </c>
      <c r="X87" s="34">
        <f t="shared" si="138"/>
        <v>2284.5859999999998</v>
      </c>
      <c r="Y87" s="34">
        <f t="shared" si="139"/>
        <v>-0.41400000000021464</v>
      </c>
      <c r="Z87" s="34">
        <f t="shared" si="140"/>
        <v>0.41400000000021464</v>
      </c>
      <c r="AA87" s="113">
        <f t="shared" si="141"/>
        <v>-1.8118161925611144E-2</v>
      </c>
      <c r="AB87" s="113">
        <f t="shared" si="142"/>
        <v>1.8118161925611144E-2</v>
      </c>
      <c r="AC87" s="113">
        <f t="shared" si="143"/>
        <v>0.15044940946094654</v>
      </c>
      <c r="AD87" s="34">
        <f t="shared" si="144"/>
        <v>2549.7780000000002</v>
      </c>
      <c r="AE87" s="34">
        <f t="shared" si="145"/>
        <v>264.77800000000025</v>
      </c>
      <c r="AF87" s="34">
        <f t="shared" si="146"/>
        <v>264.77800000000025</v>
      </c>
      <c r="AG87" s="113">
        <f t="shared" si="147"/>
        <v>11.58765864332605</v>
      </c>
      <c r="AH87" s="113">
        <f t="shared" si="148"/>
        <v>11.58765864332605</v>
      </c>
      <c r="AI87" s="113">
        <f t="shared" si="149"/>
        <v>2.4245190289993737</v>
      </c>
      <c r="AJ87" s="34">
        <f t="shared" si="150"/>
        <v>2501.9054572343402</v>
      </c>
      <c r="AK87" s="34">
        <f t="shared" si="151"/>
        <v>216.90545723434025</v>
      </c>
      <c r="AL87" s="34">
        <f t="shared" si="152"/>
        <v>216.90545723434025</v>
      </c>
      <c r="AM87" s="113">
        <f t="shared" si="153"/>
        <v>9.4925801853102953</v>
      </c>
      <c r="AN87" s="113">
        <f t="shared" si="154"/>
        <v>9.4925801853102953</v>
      </c>
      <c r="AO87" s="113">
        <f t="shared" si="155"/>
        <v>2.3382681068735267</v>
      </c>
      <c r="AP87" s="34">
        <f t="shared" si="156"/>
        <v>2553.4</v>
      </c>
      <c r="AQ87" s="34">
        <f t="shared" si="157"/>
        <v>268.40000000000009</v>
      </c>
      <c r="AR87" s="34">
        <f t="shared" si="158"/>
        <v>268.40000000000009</v>
      </c>
      <c r="AS87" s="113">
        <f t="shared" si="159"/>
        <v>11.746170678336984</v>
      </c>
      <c r="AT87" s="113">
        <f t="shared" si="160"/>
        <v>11.746170678336984</v>
      </c>
      <c r="AU87" s="113">
        <f t="shared" si="161"/>
        <v>2.4303975913869671</v>
      </c>
      <c r="AV87" s="34">
        <f t="shared" si="162"/>
        <v>2492.2125654661204</v>
      </c>
      <c r="AW87" s="34">
        <f t="shared" si="163"/>
        <v>207.2125654661204</v>
      </c>
      <c r="AX87" s="34">
        <f t="shared" si="164"/>
        <v>207.2125654661204</v>
      </c>
      <c r="AY87" s="113">
        <f t="shared" si="165"/>
        <v>9.0683836090205858</v>
      </c>
      <c r="AZ87" s="113">
        <f t="shared" si="166"/>
        <v>9.0683836090205858</v>
      </c>
      <c r="BA87" s="113">
        <f t="shared" si="167"/>
        <v>2.3185069352990566</v>
      </c>
      <c r="BB87" s="34">
        <f t="shared" si="168"/>
        <v>2412.8309516791137</v>
      </c>
      <c r="BC87" s="34">
        <f t="shared" si="169"/>
        <v>127.8309516791137</v>
      </c>
      <c r="BD87" s="34">
        <f t="shared" si="170"/>
        <v>127.8309516791137</v>
      </c>
      <c r="BE87" s="113">
        <f t="shared" si="171"/>
        <v>5.5943523710771856</v>
      </c>
      <c r="BF87" s="113">
        <f t="shared" si="172"/>
        <v>5.5943523710771856</v>
      </c>
      <c r="BG87" s="113">
        <f t="shared" si="173"/>
        <v>2.1100202149537286</v>
      </c>
      <c r="BH87" s="34">
        <f t="shared" si="174"/>
        <v>2471.3324524302984</v>
      </c>
      <c r="BI87" s="34">
        <f t="shared" si="175"/>
        <v>186.33245243029842</v>
      </c>
      <c r="BJ87" s="34">
        <f t="shared" si="176"/>
        <v>186.33245243029842</v>
      </c>
      <c r="BK87" s="113">
        <f t="shared" si="177"/>
        <v>8.1545931041706083</v>
      </c>
      <c r="BL87" s="113">
        <f t="shared" si="178"/>
        <v>8.1545931041706083</v>
      </c>
      <c r="BM87" s="113">
        <f t="shared" si="179"/>
        <v>2.2726130186489004</v>
      </c>
      <c r="BN87" s="34">
        <f t="shared" si="180"/>
        <v>2260.869565217391</v>
      </c>
      <c r="BO87" s="34">
        <f t="shared" si="181"/>
        <v>-24.130434782608972</v>
      </c>
      <c r="BP87" s="34">
        <f t="shared" si="182"/>
        <v>24.130434782608972</v>
      </c>
      <c r="BQ87" s="113">
        <f t="shared" si="183"/>
        <v>-1.0560365331557537</v>
      </c>
      <c r="BR87" s="113">
        <f t="shared" si="184"/>
        <v>1.0560365331557537</v>
      </c>
      <c r="BS87" s="113">
        <f t="shared" si="185"/>
        <v>1.4002000024029408</v>
      </c>
      <c r="BT87" s="34">
        <f t="shared" si="186"/>
        <v>2311.2280000000001</v>
      </c>
      <c r="BU87" s="34">
        <f t="shared" si="187"/>
        <v>26.228000000000065</v>
      </c>
      <c r="BV87" s="34">
        <f t="shared" si="188"/>
        <v>26.228000000000065</v>
      </c>
      <c r="BW87" s="34">
        <f t="shared" si="189"/>
        <v>2289.6496050406149</v>
      </c>
      <c r="BX87" s="34">
        <f t="shared" si="190"/>
        <v>4.6496050406149152</v>
      </c>
      <c r="BY87" s="34">
        <f t="shared" si="191"/>
        <v>4.6496050406149152</v>
      </c>
    </row>
    <row r="88" spans="1:77" ht="15" x14ac:dyDescent="0.2">
      <c r="A88" s="206" t="s">
        <v>465</v>
      </c>
      <c r="B88" s="28" t="s">
        <v>136</v>
      </c>
      <c r="C88" s="207" t="s">
        <v>403</v>
      </c>
      <c r="D88" s="35" t="s">
        <v>96</v>
      </c>
      <c r="E88" s="35" t="s">
        <v>374</v>
      </c>
      <c r="F88" s="35" t="s">
        <v>580</v>
      </c>
      <c r="G88" s="141">
        <v>2365.6</v>
      </c>
      <c r="H88" s="141">
        <v>2000</v>
      </c>
      <c r="I88" s="35" t="s">
        <v>627</v>
      </c>
      <c r="J88" s="141">
        <v>525.20000000000005</v>
      </c>
      <c r="K88" s="141">
        <v>492.84</v>
      </c>
      <c r="L88" s="28">
        <v>706.56</v>
      </c>
      <c r="M88" s="35" t="s">
        <v>37</v>
      </c>
      <c r="N88" s="33">
        <f t="shared" si="128"/>
        <v>2224.0756799999999</v>
      </c>
      <c r="O88" s="33">
        <f t="shared" si="129"/>
        <v>2544.9728000000005</v>
      </c>
      <c r="P88" s="33">
        <f t="shared" si="130"/>
        <v>2672.636772987913</v>
      </c>
      <c r="Q88" s="33">
        <f t="shared" si="131"/>
        <v>2332.2164400000001</v>
      </c>
      <c r="R88" s="33">
        <f t="shared" si="132"/>
        <v>2365.2889796428426</v>
      </c>
      <c r="S88" s="33">
        <f t="shared" si="133"/>
        <v>2305.8228224693285</v>
      </c>
      <c r="T88" s="33">
        <f t="shared" si="134"/>
        <v>2357.4483370916932</v>
      </c>
      <c r="U88" s="33">
        <f t="shared" si="135"/>
        <v>2188.3333333333335</v>
      </c>
      <c r="V88" s="33">
        <f t="shared" si="136"/>
        <v>2219.6445200000007</v>
      </c>
      <c r="W88" s="33">
        <f t="shared" si="137"/>
        <v>2194.3517155356571</v>
      </c>
      <c r="X88" s="34">
        <f t="shared" si="138"/>
        <v>2171.6058319999997</v>
      </c>
      <c r="Y88" s="34">
        <f t="shared" si="139"/>
        <v>-193.99416800000017</v>
      </c>
      <c r="Z88" s="34">
        <f t="shared" si="140"/>
        <v>193.99416800000017</v>
      </c>
      <c r="AA88" s="113">
        <f t="shared" si="141"/>
        <v>-8.2006327358809674</v>
      </c>
      <c r="AB88" s="113">
        <f t="shared" si="142"/>
        <v>8.2006327358809674</v>
      </c>
      <c r="AC88" s="113">
        <f t="shared" si="143"/>
        <v>2.2900216224225471</v>
      </c>
      <c r="AD88" s="34">
        <f t="shared" si="144"/>
        <v>2401.4871160000002</v>
      </c>
      <c r="AE88" s="34">
        <f t="shared" si="145"/>
        <v>35.887116000000333</v>
      </c>
      <c r="AF88" s="34">
        <f t="shared" si="146"/>
        <v>35.887116000000333</v>
      </c>
      <c r="AG88" s="113">
        <f t="shared" si="147"/>
        <v>1.5170407507609205</v>
      </c>
      <c r="AH88" s="113">
        <f t="shared" si="148"/>
        <v>1.5170407507609205</v>
      </c>
      <c r="AI88" s="113">
        <f t="shared" si="149"/>
        <v>1.5668747014656859</v>
      </c>
      <c r="AJ88" s="34">
        <f t="shared" si="150"/>
        <v>2339.3143115413818</v>
      </c>
      <c r="AK88" s="34">
        <f t="shared" si="151"/>
        <v>-26.285688458618097</v>
      </c>
      <c r="AL88" s="34">
        <f t="shared" si="152"/>
        <v>26.285688458618097</v>
      </c>
      <c r="AM88" s="113">
        <f t="shared" si="153"/>
        <v>-1.1111636987917695</v>
      </c>
      <c r="AN88" s="113">
        <f t="shared" si="154"/>
        <v>1.1111636987917695</v>
      </c>
      <c r="AO88" s="113">
        <f t="shared" si="155"/>
        <v>1.4359349161549646</v>
      </c>
      <c r="AP88" s="34">
        <f t="shared" si="156"/>
        <v>2410.5954360000001</v>
      </c>
      <c r="AQ88" s="34">
        <f t="shared" si="157"/>
        <v>44.995436000000154</v>
      </c>
      <c r="AR88" s="34">
        <f t="shared" si="158"/>
        <v>44.995436000000154</v>
      </c>
      <c r="AS88" s="113">
        <f t="shared" si="159"/>
        <v>1.9020728779168141</v>
      </c>
      <c r="AT88" s="113">
        <f t="shared" si="160"/>
        <v>1.9020728779168141</v>
      </c>
      <c r="AU88" s="113">
        <f t="shared" si="161"/>
        <v>1.6627147399782647</v>
      </c>
      <c r="AV88" s="34">
        <f t="shared" si="162"/>
        <v>2335.4573268725958</v>
      </c>
      <c r="AW88" s="34">
        <f t="shared" si="163"/>
        <v>-30.142673127404123</v>
      </c>
      <c r="AX88" s="34">
        <f t="shared" si="164"/>
        <v>30.142673127404123</v>
      </c>
      <c r="AY88" s="113">
        <f t="shared" si="165"/>
        <v>-1.2742083669007493</v>
      </c>
      <c r="AZ88" s="113">
        <f t="shared" si="166"/>
        <v>1.2742083669007493</v>
      </c>
      <c r="BA88" s="113">
        <f t="shared" si="167"/>
        <v>1.4933558874439097</v>
      </c>
      <c r="BB88" s="34">
        <f t="shared" si="168"/>
        <v>2274.9384619985885</v>
      </c>
      <c r="BC88" s="34">
        <f t="shared" si="169"/>
        <v>-90.661538001411373</v>
      </c>
      <c r="BD88" s="34">
        <f t="shared" si="170"/>
        <v>90.661538001411373</v>
      </c>
      <c r="BE88" s="113">
        <f t="shared" si="171"/>
        <v>-3.8324965337086314</v>
      </c>
      <c r="BF88" s="113">
        <f t="shared" si="172"/>
        <v>3.8324965337086314</v>
      </c>
      <c r="BG88" s="113">
        <f t="shared" si="173"/>
        <v>1.9621871400560764</v>
      </c>
      <c r="BH88" s="34">
        <f t="shared" si="174"/>
        <v>2324.3538823577378</v>
      </c>
      <c r="BI88" s="34">
        <f t="shared" si="175"/>
        <v>-41.246117642262107</v>
      </c>
      <c r="BJ88" s="34">
        <f t="shared" si="176"/>
        <v>41.246117642262107</v>
      </c>
      <c r="BK88" s="113">
        <f t="shared" si="177"/>
        <v>-1.7435795418609279</v>
      </c>
      <c r="BL88" s="113">
        <f t="shared" si="178"/>
        <v>1.7435795418609279</v>
      </c>
      <c r="BM88" s="113">
        <f t="shared" si="179"/>
        <v>1.6257868040782688</v>
      </c>
      <c r="BN88" s="34">
        <f t="shared" si="180"/>
        <v>2142.782608695652</v>
      </c>
      <c r="BO88" s="34">
        <f t="shared" si="181"/>
        <v>-222.81739130434789</v>
      </c>
      <c r="BP88" s="34">
        <f t="shared" si="182"/>
        <v>222.81739130434789</v>
      </c>
      <c r="BQ88" s="113">
        <f t="shared" si="183"/>
        <v>-9.4190645630853851</v>
      </c>
      <c r="BR88" s="113">
        <f t="shared" si="184"/>
        <v>9.4190645630853851</v>
      </c>
      <c r="BS88" s="113">
        <f t="shared" si="185"/>
        <v>2.3498938295295075</v>
      </c>
      <c r="BT88" s="34">
        <f t="shared" si="186"/>
        <v>2185.9362040000001</v>
      </c>
      <c r="BU88" s="34">
        <f t="shared" si="187"/>
        <v>-179.66379599999982</v>
      </c>
      <c r="BV88" s="34">
        <f t="shared" si="188"/>
        <v>179.66379599999982</v>
      </c>
      <c r="BW88" s="34">
        <f t="shared" si="189"/>
        <v>2164.3047355543945</v>
      </c>
      <c r="BX88" s="34">
        <f t="shared" si="190"/>
        <v>-201.29526444560543</v>
      </c>
      <c r="BY88" s="34">
        <f t="shared" si="191"/>
        <v>201.29526444560543</v>
      </c>
    </row>
    <row r="89" spans="1:77" ht="15" x14ac:dyDescent="0.2">
      <c r="A89" s="206" t="s">
        <v>465</v>
      </c>
      <c r="B89" s="28" t="s">
        <v>434</v>
      </c>
      <c r="C89" s="28" t="s">
        <v>458</v>
      </c>
      <c r="D89" s="208" t="s">
        <v>82</v>
      </c>
      <c r="E89" s="35" t="s">
        <v>374</v>
      </c>
      <c r="F89" s="35" t="s">
        <v>580</v>
      </c>
      <c r="G89" s="141">
        <v>2370</v>
      </c>
      <c r="H89" s="141">
        <v>2370</v>
      </c>
      <c r="I89" s="35" t="s">
        <v>627</v>
      </c>
      <c r="J89" s="141">
        <v>550</v>
      </c>
      <c r="K89" s="141">
        <v>525</v>
      </c>
      <c r="L89" s="141"/>
      <c r="M89" s="35" t="s">
        <v>37</v>
      </c>
      <c r="N89" s="33">
        <f t="shared" si="128"/>
        <v>2323.3599999999997</v>
      </c>
      <c r="O89" s="33">
        <f t="shared" si="129"/>
        <v>2683.5800000000004</v>
      </c>
      <c r="P89" s="33">
        <f t="shared" si="130"/>
        <v>2824.4598863434267</v>
      </c>
      <c r="Q89" s="33">
        <f t="shared" si="131"/>
        <v>2450.877</v>
      </c>
      <c r="R89" s="33">
        <f t="shared" si="132"/>
        <v>2501.1698173158056</v>
      </c>
      <c r="S89" s="33">
        <f t="shared" si="133"/>
        <v>2425.5352400733977</v>
      </c>
      <c r="T89" s="33">
        <f t="shared" si="134"/>
        <v>2485.1098237131282</v>
      </c>
      <c r="U89" s="33">
        <f t="shared" si="135"/>
        <v>2291.666666666667</v>
      </c>
      <c r="V89" s="33">
        <f t="shared" si="136"/>
        <v>2328.3950000000004</v>
      </c>
      <c r="W89" s="33">
        <f t="shared" si="137"/>
        <v>2302.4904003035431</v>
      </c>
      <c r="X89" s="34">
        <f t="shared" si="138"/>
        <v>2305.3849999999998</v>
      </c>
      <c r="Y89" s="34">
        <f t="shared" si="139"/>
        <v>-64.615000000000236</v>
      </c>
      <c r="Z89" s="34">
        <f t="shared" si="140"/>
        <v>64.615000000000236</v>
      </c>
      <c r="AA89" s="113">
        <f t="shared" si="141"/>
        <v>-2.7263713080168879</v>
      </c>
      <c r="AB89" s="113">
        <f t="shared" si="142"/>
        <v>2.7263713080168879</v>
      </c>
      <c r="AC89" s="113">
        <f t="shared" si="143"/>
        <v>1.8170031331645873</v>
      </c>
      <c r="AD89" s="34">
        <f t="shared" si="144"/>
        <v>2577.0775000000003</v>
      </c>
      <c r="AE89" s="34">
        <f t="shared" si="145"/>
        <v>207.07750000000033</v>
      </c>
      <c r="AF89" s="34">
        <f t="shared" si="146"/>
        <v>207.07750000000033</v>
      </c>
      <c r="AG89" s="113">
        <f t="shared" si="147"/>
        <v>8.7374472573839803</v>
      </c>
      <c r="AH89" s="113">
        <f t="shared" si="148"/>
        <v>8.7374472573839803</v>
      </c>
      <c r="AI89" s="113">
        <f t="shared" si="149"/>
        <v>2.3182251212777478</v>
      </c>
      <c r="AJ89" s="34">
        <f t="shared" si="150"/>
        <v>2532.0754914771296</v>
      </c>
      <c r="AK89" s="34">
        <f t="shared" si="151"/>
        <v>162.07549147712962</v>
      </c>
      <c r="AL89" s="34">
        <f t="shared" si="152"/>
        <v>162.07549147712962</v>
      </c>
      <c r="AM89" s="113">
        <f t="shared" si="153"/>
        <v>6.8386283323683381</v>
      </c>
      <c r="AN89" s="113">
        <f t="shared" si="154"/>
        <v>6.8386283323683381</v>
      </c>
      <c r="AO89" s="113">
        <f t="shared" si="155"/>
        <v>2.2123886960737753</v>
      </c>
      <c r="AP89" s="34">
        <f t="shared" si="156"/>
        <v>2579.6895</v>
      </c>
      <c r="AQ89" s="34">
        <f t="shared" si="157"/>
        <v>209.68949999999995</v>
      </c>
      <c r="AR89" s="34">
        <f t="shared" si="158"/>
        <v>209.68949999999995</v>
      </c>
      <c r="AS89" s="113">
        <f t="shared" si="159"/>
        <v>8.8476582278480986</v>
      </c>
      <c r="AT89" s="113">
        <f t="shared" si="160"/>
        <v>8.8476582278480986</v>
      </c>
      <c r="AU89" s="113">
        <f t="shared" si="161"/>
        <v>2.3236428924866606</v>
      </c>
      <c r="AV89" s="34">
        <f t="shared" si="162"/>
        <v>2521.2618280319693</v>
      </c>
      <c r="AW89" s="34">
        <f t="shared" si="163"/>
        <v>151.26182803196934</v>
      </c>
      <c r="AX89" s="34">
        <f t="shared" si="164"/>
        <v>151.26182803196934</v>
      </c>
      <c r="AY89" s="113">
        <f t="shared" si="165"/>
        <v>6.3823556131632637</v>
      </c>
      <c r="AZ89" s="113">
        <f t="shared" si="166"/>
        <v>6.3823556131632637</v>
      </c>
      <c r="BA89" s="113">
        <f t="shared" si="167"/>
        <v>2.1825910395610051</v>
      </c>
      <c r="BB89" s="34">
        <f t="shared" si="168"/>
        <v>2438.293512813294</v>
      </c>
      <c r="BC89" s="34">
        <f t="shared" si="169"/>
        <v>68.293512813294001</v>
      </c>
      <c r="BD89" s="34">
        <f t="shared" si="170"/>
        <v>68.293512813294001</v>
      </c>
      <c r="BE89" s="113">
        <f t="shared" si="171"/>
        <v>2.8815828191263293</v>
      </c>
      <c r="BF89" s="113">
        <f t="shared" si="172"/>
        <v>2.8815828191263293</v>
      </c>
      <c r="BG89" s="113">
        <f t="shared" si="173"/>
        <v>1.8406925783165105</v>
      </c>
      <c r="BH89" s="34">
        <f t="shared" si="174"/>
        <v>2498.5119686462231</v>
      </c>
      <c r="BI89" s="34">
        <f t="shared" si="175"/>
        <v>128.51196864622307</v>
      </c>
      <c r="BJ89" s="34">
        <f t="shared" si="176"/>
        <v>128.51196864622307</v>
      </c>
      <c r="BK89" s="113">
        <f t="shared" si="177"/>
        <v>5.4224459344397919</v>
      </c>
      <c r="BL89" s="113">
        <f t="shared" si="178"/>
        <v>5.4224459344397919</v>
      </c>
      <c r="BM89" s="113">
        <f t="shared" si="179"/>
        <v>2.1123099049178453</v>
      </c>
      <c r="BN89" s="34">
        <f t="shared" si="180"/>
        <v>2282.608695652174</v>
      </c>
      <c r="BO89" s="34">
        <f t="shared" si="181"/>
        <v>-87.391304347826008</v>
      </c>
      <c r="BP89" s="34">
        <f t="shared" si="182"/>
        <v>87.391304347826008</v>
      </c>
      <c r="BQ89" s="113">
        <f t="shared" si="183"/>
        <v>-3.6873968079251482</v>
      </c>
      <c r="BR89" s="113">
        <f t="shared" si="184"/>
        <v>3.6873968079251482</v>
      </c>
      <c r="BS89" s="113">
        <f t="shared" si="185"/>
        <v>1.9464095426204453</v>
      </c>
      <c r="BT89" s="34">
        <f t="shared" si="186"/>
        <v>2334.2935000000002</v>
      </c>
      <c r="BU89" s="34">
        <f t="shared" si="187"/>
        <v>-35.706499999999778</v>
      </c>
      <c r="BV89" s="34">
        <f t="shared" si="188"/>
        <v>35.706499999999778</v>
      </c>
      <c r="BW89" s="34">
        <f t="shared" si="189"/>
        <v>2312.7607338021335</v>
      </c>
      <c r="BX89" s="34">
        <f t="shared" si="190"/>
        <v>-57.239266197866527</v>
      </c>
      <c r="BY89" s="34">
        <f t="shared" si="191"/>
        <v>57.239266197866527</v>
      </c>
    </row>
    <row r="90" spans="1:77" ht="16" x14ac:dyDescent="0.2">
      <c r="A90" s="206" t="s">
        <v>465</v>
      </c>
      <c r="B90" t="s">
        <v>842</v>
      </c>
      <c r="C90" s="224" t="s">
        <v>824</v>
      </c>
      <c r="D90" s="35" t="s">
        <v>148</v>
      </c>
      <c r="E90" s="35" t="s">
        <v>374</v>
      </c>
      <c r="F90" s="35" t="s">
        <v>580</v>
      </c>
      <c r="G90" s="147">
        <v>2435</v>
      </c>
      <c r="H90" s="147">
        <v>2435</v>
      </c>
      <c r="I90" s="35" t="s">
        <v>627</v>
      </c>
      <c r="J90" s="147">
        <v>550</v>
      </c>
      <c r="K90" s="147">
        <v>530</v>
      </c>
      <c r="L90" s="28"/>
      <c r="M90" s="35" t="s">
        <v>488</v>
      </c>
      <c r="N90" s="33">
        <f t="shared" si="128"/>
        <v>2323.3599999999997</v>
      </c>
      <c r="O90" s="33">
        <f t="shared" si="129"/>
        <v>2683.5800000000004</v>
      </c>
      <c r="P90" s="33">
        <f t="shared" si="130"/>
        <v>2824.4598863434267</v>
      </c>
      <c r="Q90" s="33">
        <f t="shared" si="131"/>
        <v>2450.877</v>
      </c>
      <c r="R90" s="33">
        <f t="shared" si="132"/>
        <v>2501.1698173158056</v>
      </c>
      <c r="S90" s="33">
        <f t="shared" si="133"/>
        <v>2425.5352400733977</v>
      </c>
      <c r="T90" s="33">
        <f t="shared" si="134"/>
        <v>2485.1098237131282</v>
      </c>
      <c r="U90" s="33">
        <f t="shared" si="135"/>
        <v>2291.666666666667</v>
      </c>
      <c r="V90" s="33">
        <f t="shared" si="136"/>
        <v>2328.3950000000004</v>
      </c>
      <c r="W90" s="33">
        <f t="shared" si="137"/>
        <v>2302.4904003035431</v>
      </c>
      <c r="X90" s="34">
        <f t="shared" si="138"/>
        <v>2326.1839999999997</v>
      </c>
      <c r="Y90" s="34">
        <f t="shared" si="139"/>
        <v>-108.81600000000026</v>
      </c>
      <c r="Z90" s="34">
        <f t="shared" si="140"/>
        <v>108.81600000000026</v>
      </c>
      <c r="AA90" s="113">
        <f t="shared" si="141"/>
        <v>-4.4688295687885118</v>
      </c>
      <c r="AB90" s="113">
        <f t="shared" si="142"/>
        <v>4.4688295687885118</v>
      </c>
      <c r="AC90" s="113">
        <f t="shared" si="143"/>
        <v>2.0406656206739853</v>
      </c>
      <c r="AD90" s="34">
        <f t="shared" si="144"/>
        <v>2604.3770000000004</v>
      </c>
      <c r="AE90" s="34">
        <f t="shared" si="145"/>
        <v>169.37700000000041</v>
      </c>
      <c r="AF90" s="34">
        <f t="shared" si="146"/>
        <v>169.37700000000041</v>
      </c>
      <c r="AG90" s="113">
        <f t="shared" si="147"/>
        <v>6.9559342915811255</v>
      </c>
      <c r="AH90" s="113">
        <f t="shared" si="148"/>
        <v>6.9559342915811255</v>
      </c>
      <c r="AI90" s="113">
        <f t="shared" si="149"/>
        <v>2.2314109669138431</v>
      </c>
      <c r="AJ90" s="34">
        <f t="shared" si="150"/>
        <v>2562.3181945372762</v>
      </c>
      <c r="AK90" s="34">
        <f t="shared" si="151"/>
        <v>127.31819453727621</v>
      </c>
      <c r="AL90" s="34">
        <f t="shared" si="152"/>
        <v>127.31819453727621</v>
      </c>
      <c r="AM90" s="113">
        <f t="shared" si="153"/>
        <v>5.2286732869517953</v>
      </c>
      <c r="AN90" s="113">
        <f t="shared" si="154"/>
        <v>5.2286732869517953</v>
      </c>
      <c r="AO90" s="113">
        <f t="shared" si="155"/>
        <v>2.108288240372644</v>
      </c>
      <c r="AP90" s="34">
        <f t="shared" si="156"/>
        <v>2605.9790000000003</v>
      </c>
      <c r="AQ90" s="34">
        <f t="shared" si="157"/>
        <v>170.97900000000027</v>
      </c>
      <c r="AR90" s="34">
        <f t="shared" si="158"/>
        <v>170.97900000000027</v>
      </c>
      <c r="AS90" s="113">
        <f t="shared" si="159"/>
        <v>7.0217248459959043</v>
      </c>
      <c r="AT90" s="113">
        <f t="shared" si="160"/>
        <v>7.0217248459959043</v>
      </c>
      <c r="AU90" s="113">
        <f t="shared" si="161"/>
        <v>2.2354754193440569</v>
      </c>
      <c r="AV90" s="34">
        <f t="shared" si="162"/>
        <v>2550.3695252660445</v>
      </c>
      <c r="AW90" s="34">
        <f t="shared" si="163"/>
        <v>115.36952526604455</v>
      </c>
      <c r="AX90" s="34">
        <f t="shared" si="164"/>
        <v>115.36952526604455</v>
      </c>
      <c r="AY90" s="113">
        <f t="shared" si="165"/>
        <v>4.7379681834104534</v>
      </c>
      <c r="AZ90" s="113">
        <f t="shared" si="166"/>
        <v>4.7379681834104534</v>
      </c>
      <c r="BA90" s="113">
        <f t="shared" si="167"/>
        <v>2.0658392626022852</v>
      </c>
      <c r="BB90" s="34">
        <f t="shared" si="168"/>
        <v>2463.7796077111529</v>
      </c>
      <c r="BC90" s="34">
        <f t="shared" si="169"/>
        <v>28.779607711152948</v>
      </c>
      <c r="BD90" s="34">
        <f t="shared" si="170"/>
        <v>28.779607711152948</v>
      </c>
      <c r="BE90" s="113">
        <f t="shared" si="171"/>
        <v>1.1819140743799978</v>
      </c>
      <c r="BF90" s="113">
        <f t="shared" si="172"/>
        <v>1.1819140743799978</v>
      </c>
      <c r="BG90" s="113">
        <f t="shared" si="173"/>
        <v>1.4739189724623722</v>
      </c>
      <c r="BH90" s="34">
        <f t="shared" si="174"/>
        <v>2525.7285265125197</v>
      </c>
      <c r="BI90" s="34">
        <f t="shared" si="175"/>
        <v>90.728526512519693</v>
      </c>
      <c r="BJ90" s="34">
        <f t="shared" si="176"/>
        <v>90.728526512519693</v>
      </c>
      <c r="BK90" s="113">
        <f t="shared" si="177"/>
        <v>3.7260175159145663</v>
      </c>
      <c r="BL90" s="113">
        <f t="shared" si="178"/>
        <v>3.7260175159145663</v>
      </c>
      <c r="BM90" s="113">
        <f t="shared" si="179"/>
        <v>1.9625044172444159</v>
      </c>
      <c r="BN90" s="34">
        <f t="shared" si="180"/>
        <v>2304.3478260869565</v>
      </c>
      <c r="BO90" s="34">
        <f t="shared" si="181"/>
        <v>-130.6521739130435</v>
      </c>
      <c r="BP90" s="34">
        <f t="shared" si="182"/>
        <v>130.6521739130435</v>
      </c>
      <c r="BQ90" s="113">
        <f t="shared" si="183"/>
        <v>-5.3655923578251947</v>
      </c>
      <c r="BR90" s="113">
        <f t="shared" si="184"/>
        <v>5.3655923578251947</v>
      </c>
      <c r="BS90" s="113">
        <f t="shared" si="185"/>
        <v>2.1194280348104422</v>
      </c>
      <c r="BT90" s="34">
        <f t="shared" si="186"/>
        <v>2357.3590000000004</v>
      </c>
      <c r="BU90" s="34">
        <f t="shared" si="187"/>
        <v>-77.640999999999622</v>
      </c>
      <c r="BV90" s="34">
        <f t="shared" si="188"/>
        <v>77.640999999999622</v>
      </c>
      <c r="BW90" s="34">
        <f t="shared" si="189"/>
        <v>2335.8827605393467</v>
      </c>
      <c r="BX90" s="34">
        <f t="shared" si="190"/>
        <v>-99.117239460653309</v>
      </c>
      <c r="BY90" s="34">
        <f t="shared" si="191"/>
        <v>99.117239460653309</v>
      </c>
    </row>
    <row r="91" spans="1:77" ht="15" x14ac:dyDescent="0.2">
      <c r="A91" s="207" t="s">
        <v>19</v>
      </c>
      <c r="B91" s="28" t="s">
        <v>600</v>
      </c>
      <c r="C91" s="207" t="s">
        <v>403</v>
      </c>
      <c r="D91" s="35" t="s">
        <v>82</v>
      </c>
      <c r="E91" s="35" t="s">
        <v>293</v>
      </c>
      <c r="F91" s="35" t="s">
        <v>580</v>
      </c>
      <c r="G91" s="141">
        <v>2516.1099999999997</v>
      </c>
      <c r="H91" s="141">
        <v>2460</v>
      </c>
      <c r="I91" s="35" t="s">
        <v>627</v>
      </c>
      <c r="J91" s="141">
        <v>679.35</v>
      </c>
      <c r="K91" s="141">
        <v>655.37</v>
      </c>
      <c r="L91" s="28">
        <v>921.04</v>
      </c>
      <c r="M91" s="35" t="s">
        <v>37</v>
      </c>
      <c r="N91" s="33">
        <f t="shared" si="128"/>
        <v>2841.1997900000001</v>
      </c>
      <c r="O91" s="33">
        <f t="shared" si="129"/>
        <v>3406.5171500000006</v>
      </c>
      <c r="P91" s="33">
        <f t="shared" si="130"/>
        <v>3637.3337490540662</v>
      </c>
      <c r="Q91" s="33">
        <f t="shared" si="131"/>
        <v>3069.7779449999998</v>
      </c>
      <c r="R91" s="33">
        <f t="shared" si="132"/>
        <v>3229.9602785975067</v>
      </c>
      <c r="S91" s="33">
        <f t="shared" si="133"/>
        <v>3057.9922144365455</v>
      </c>
      <c r="T91" s="33">
        <f t="shared" si="134"/>
        <v>3163.6905239424182</v>
      </c>
      <c r="U91" s="33">
        <f t="shared" si="135"/>
        <v>2830.625</v>
      </c>
      <c r="V91" s="33">
        <f t="shared" si="136"/>
        <v>2895.6076850000004</v>
      </c>
      <c r="W91" s="33">
        <f t="shared" si="137"/>
        <v>2869.699713399852</v>
      </c>
      <c r="X91" s="34">
        <f t="shared" si="138"/>
        <v>2847.6981259999998</v>
      </c>
      <c r="Y91" s="34">
        <f t="shared" si="139"/>
        <v>331.5881260000001</v>
      </c>
      <c r="Z91" s="34">
        <f t="shared" si="140"/>
        <v>331.5881260000001</v>
      </c>
      <c r="AA91" s="113">
        <f t="shared" si="141"/>
        <v>13.178602127887896</v>
      </c>
      <c r="AB91" s="113">
        <f t="shared" si="142"/>
        <v>13.178602127887896</v>
      </c>
      <c r="AC91" s="113">
        <f t="shared" si="143"/>
        <v>2.5219067400586934</v>
      </c>
      <c r="AD91" s="34">
        <f t="shared" si="144"/>
        <v>3288.8846630000003</v>
      </c>
      <c r="AE91" s="34">
        <f t="shared" si="145"/>
        <v>772.7746630000006</v>
      </c>
      <c r="AF91" s="34">
        <f t="shared" si="146"/>
        <v>772.7746630000006</v>
      </c>
      <c r="AG91" s="113">
        <f t="shared" si="147"/>
        <v>30.713071487335636</v>
      </c>
      <c r="AH91" s="113">
        <f t="shared" si="148"/>
        <v>30.713071487335636</v>
      </c>
      <c r="AI91" s="113">
        <f t="shared" si="149"/>
        <v>2.8886145047863088</v>
      </c>
      <c r="AJ91" s="34">
        <f t="shared" si="150"/>
        <v>3342.9983939947442</v>
      </c>
      <c r="AK91" s="34">
        <f t="shared" si="151"/>
        <v>826.88839399474455</v>
      </c>
      <c r="AL91" s="34">
        <f t="shared" si="152"/>
        <v>826.88839399474455</v>
      </c>
      <c r="AM91" s="113">
        <f t="shared" si="153"/>
        <v>32.863761679526917</v>
      </c>
      <c r="AN91" s="113">
        <f t="shared" si="154"/>
        <v>32.863761679526917</v>
      </c>
      <c r="AO91" s="113">
        <f t="shared" si="155"/>
        <v>2.9179717943462968</v>
      </c>
      <c r="AP91" s="34">
        <f t="shared" si="156"/>
        <v>3265.1619230000001</v>
      </c>
      <c r="AQ91" s="34">
        <f t="shared" si="157"/>
        <v>749.05192300000044</v>
      </c>
      <c r="AR91" s="34">
        <f t="shared" si="158"/>
        <v>749.05192300000044</v>
      </c>
      <c r="AS91" s="113">
        <f t="shared" si="159"/>
        <v>29.770237509488872</v>
      </c>
      <c r="AT91" s="113">
        <f t="shared" si="160"/>
        <v>29.770237509488872</v>
      </c>
      <c r="AU91" s="113">
        <f t="shared" si="161"/>
        <v>2.8750913288474984</v>
      </c>
      <c r="AV91" s="34">
        <f t="shared" si="162"/>
        <v>3298.1488586762248</v>
      </c>
      <c r="AW91" s="34">
        <f t="shared" si="163"/>
        <v>782.03885867622512</v>
      </c>
      <c r="AX91" s="34">
        <f t="shared" si="164"/>
        <v>782.03885867622512</v>
      </c>
      <c r="AY91" s="113">
        <f t="shared" si="165"/>
        <v>31.081266664661928</v>
      </c>
      <c r="AZ91" s="113">
        <f t="shared" si="166"/>
        <v>31.081266664661928</v>
      </c>
      <c r="BA91" s="113">
        <f t="shared" si="167"/>
        <v>2.8937833146631915</v>
      </c>
      <c r="BB91" s="34">
        <f t="shared" si="168"/>
        <v>3109.9755937464215</v>
      </c>
      <c r="BC91" s="34">
        <f t="shared" si="169"/>
        <v>593.86559374642184</v>
      </c>
      <c r="BD91" s="34">
        <f t="shared" si="170"/>
        <v>593.86559374642184</v>
      </c>
      <c r="BE91" s="113">
        <f t="shared" si="171"/>
        <v>23.602529052641653</v>
      </c>
      <c r="BF91" s="113">
        <f t="shared" si="172"/>
        <v>23.602529052641653</v>
      </c>
      <c r="BG91" s="113">
        <f t="shared" si="173"/>
        <v>2.774418850622411</v>
      </c>
      <c r="BH91" s="34">
        <f t="shared" si="174"/>
        <v>3219.4633498833768</v>
      </c>
      <c r="BI91" s="34">
        <f t="shared" si="175"/>
        <v>703.35334988337718</v>
      </c>
      <c r="BJ91" s="34">
        <f t="shared" si="176"/>
        <v>703.35334988337718</v>
      </c>
      <c r="BK91" s="113">
        <f t="shared" si="177"/>
        <v>27.95399842945568</v>
      </c>
      <c r="BL91" s="113">
        <f t="shared" si="178"/>
        <v>27.95399842945568</v>
      </c>
      <c r="BM91" s="113">
        <f t="shared" si="179"/>
        <v>2.8477905844344611</v>
      </c>
      <c r="BN91" s="34">
        <f t="shared" si="180"/>
        <v>2849.4347826086955</v>
      </c>
      <c r="BO91" s="34">
        <f t="shared" si="181"/>
        <v>333.32478260869584</v>
      </c>
      <c r="BP91" s="34">
        <f t="shared" si="182"/>
        <v>333.32478260869584</v>
      </c>
      <c r="BQ91" s="113">
        <f t="shared" si="183"/>
        <v>13.247623617755021</v>
      </c>
      <c r="BR91" s="113">
        <f t="shared" si="184"/>
        <v>13.247623617755021</v>
      </c>
      <c r="BS91" s="113">
        <f t="shared" si="185"/>
        <v>2.5241685708829649</v>
      </c>
      <c r="BT91" s="34">
        <f t="shared" si="186"/>
        <v>2935.7033470000001</v>
      </c>
      <c r="BU91" s="34">
        <f t="shared" si="187"/>
        <v>419.59334700000045</v>
      </c>
      <c r="BV91" s="34">
        <f t="shared" si="188"/>
        <v>419.59334700000045</v>
      </c>
      <c r="BW91" s="34">
        <f t="shared" si="189"/>
        <v>2918.9466560079145</v>
      </c>
      <c r="BX91" s="34">
        <f t="shared" si="190"/>
        <v>402.83665600791483</v>
      </c>
      <c r="BY91" s="34">
        <f t="shared" si="191"/>
        <v>402.83665600791483</v>
      </c>
    </row>
    <row r="92" spans="1:77" ht="15" x14ac:dyDescent="0.2">
      <c r="A92" s="206" t="s">
        <v>465</v>
      </c>
      <c r="B92" t="s">
        <v>837</v>
      </c>
      <c r="C92" s="224" t="s">
        <v>824</v>
      </c>
      <c r="D92" s="35" t="s">
        <v>148</v>
      </c>
      <c r="E92" s="225" t="s">
        <v>293</v>
      </c>
      <c r="F92" s="29" t="s">
        <v>580</v>
      </c>
      <c r="G92">
        <v>2570</v>
      </c>
      <c r="H92">
        <v>2570</v>
      </c>
      <c r="I92" s="35" t="s">
        <v>627</v>
      </c>
      <c r="J92">
        <v>610</v>
      </c>
      <c r="K92">
        <v>575</v>
      </c>
      <c r="L92" s="28"/>
      <c r="M92" s="35" t="s">
        <v>488</v>
      </c>
      <c r="N92" s="33">
        <f t="shared" si="128"/>
        <v>2563.5639999999999</v>
      </c>
      <c r="O92" s="33">
        <f t="shared" si="129"/>
        <v>3018.9200000000005</v>
      </c>
      <c r="P92" s="33">
        <f t="shared" si="130"/>
        <v>3197.3013269680341</v>
      </c>
      <c r="Q92" s="33">
        <f t="shared" si="131"/>
        <v>2737.9589999999998</v>
      </c>
      <c r="R92" s="33">
        <f t="shared" si="132"/>
        <v>2835.1931696936476</v>
      </c>
      <c r="S92" s="33">
        <f t="shared" si="133"/>
        <v>2717.2934843037528</v>
      </c>
      <c r="T92" s="33">
        <f t="shared" si="134"/>
        <v>2797.3256877526032</v>
      </c>
      <c r="U92" s="33">
        <f t="shared" si="135"/>
        <v>2541.666666666667</v>
      </c>
      <c r="V92" s="33">
        <f t="shared" si="136"/>
        <v>2591.5010000000002</v>
      </c>
      <c r="W92" s="33">
        <f t="shared" si="137"/>
        <v>2564.9598660933239</v>
      </c>
      <c r="X92" s="34">
        <f t="shared" si="138"/>
        <v>2513.3749999999995</v>
      </c>
      <c r="Y92" s="34">
        <f t="shared" si="139"/>
        <v>-56.625000000000455</v>
      </c>
      <c r="Z92" s="34">
        <f t="shared" si="140"/>
        <v>56.625000000000455</v>
      </c>
      <c r="AA92" s="113">
        <f t="shared" si="141"/>
        <v>-2.2033073929961269</v>
      </c>
      <c r="AB92" s="113">
        <f t="shared" si="142"/>
        <v>2.2033073929961269</v>
      </c>
      <c r="AC92" s="113">
        <f t="shared" si="143"/>
        <v>1.760610938397708</v>
      </c>
      <c r="AD92" s="34">
        <f t="shared" si="144"/>
        <v>2850.0725000000002</v>
      </c>
      <c r="AE92" s="34">
        <f t="shared" si="145"/>
        <v>280.07250000000022</v>
      </c>
      <c r="AF92" s="34">
        <f t="shared" si="146"/>
        <v>280.07250000000022</v>
      </c>
      <c r="AG92" s="113">
        <f t="shared" si="147"/>
        <v>10.897762645914405</v>
      </c>
      <c r="AH92" s="113">
        <f t="shared" si="148"/>
        <v>10.897762645914405</v>
      </c>
      <c r="AI92" s="113">
        <f t="shared" si="149"/>
        <v>2.4488183565199746</v>
      </c>
      <c r="AJ92" s="34">
        <f t="shared" si="150"/>
        <v>2837.6906448910595</v>
      </c>
      <c r="AK92" s="34">
        <f t="shared" si="151"/>
        <v>267.69064489105949</v>
      </c>
      <c r="AL92" s="34">
        <f t="shared" si="152"/>
        <v>267.69064489105949</v>
      </c>
      <c r="AM92" s="113">
        <f t="shared" si="153"/>
        <v>10.41597840043033</v>
      </c>
      <c r="AN92" s="113">
        <f t="shared" si="154"/>
        <v>10.41597840043033</v>
      </c>
      <c r="AO92" s="113">
        <f t="shared" si="155"/>
        <v>2.4292525456928673</v>
      </c>
      <c r="AP92" s="34">
        <f t="shared" si="156"/>
        <v>2842.5844999999999</v>
      </c>
      <c r="AQ92" s="34">
        <f t="shared" si="157"/>
        <v>272.58449999999993</v>
      </c>
      <c r="AR92" s="34">
        <f t="shared" si="158"/>
        <v>272.58449999999993</v>
      </c>
      <c r="AS92" s="113">
        <f t="shared" si="159"/>
        <v>10.606400778210114</v>
      </c>
      <c r="AT92" s="113">
        <f t="shared" si="160"/>
        <v>10.606400778210114</v>
      </c>
      <c r="AU92" s="113">
        <f t="shared" si="161"/>
        <v>2.4370914886798212</v>
      </c>
      <c r="AV92" s="34">
        <f t="shared" si="162"/>
        <v>2814.898840365217</v>
      </c>
      <c r="AW92" s="34">
        <f t="shared" si="163"/>
        <v>244.89884036521698</v>
      </c>
      <c r="AX92" s="34">
        <f t="shared" si="164"/>
        <v>244.89884036521698</v>
      </c>
      <c r="AY92" s="113">
        <f t="shared" si="165"/>
        <v>9.529137757401438</v>
      </c>
      <c r="AZ92" s="113">
        <f t="shared" si="166"/>
        <v>9.529137757401438</v>
      </c>
      <c r="BA92" s="113">
        <f t="shared" si="167"/>
        <v>2.3907564806534189</v>
      </c>
      <c r="BB92" s="34">
        <f t="shared" si="168"/>
        <v>2694.1815206523534</v>
      </c>
      <c r="BC92" s="34">
        <f t="shared" si="169"/>
        <v>124.18152065235336</v>
      </c>
      <c r="BD92" s="34">
        <f t="shared" si="170"/>
        <v>124.18152065235336</v>
      </c>
      <c r="BE92" s="113">
        <f t="shared" si="171"/>
        <v>4.8319657841382631</v>
      </c>
      <c r="BF92" s="113">
        <f t="shared" si="172"/>
        <v>4.8319657841382631</v>
      </c>
      <c r="BG92" s="113">
        <f t="shared" si="173"/>
        <v>2.0975402228756472</v>
      </c>
      <c r="BH92" s="34">
        <f t="shared" si="174"/>
        <v>2772.296628975394</v>
      </c>
      <c r="BI92" s="34">
        <f t="shared" si="175"/>
        <v>202.29662897539401</v>
      </c>
      <c r="BJ92" s="34">
        <f t="shared" si="176"/>
        <v>202.29662897539401</v>
      </c>
      <c r="BK92" s="113">
        <f t="shared" si="177"/>
        <v>7.871464162466693</v>
      </c>
      <c r="BL92" s="113">
        <f t="shared" si="178"/>
        <v>7.871464162466693</v>
      </c>
      <c r="BM92" s="113">
        <f t="shared" si="179"/>
        <v>2.3081301773122997</v>
      </c>
      <c r="BN92" s="34">
        <f t="shared" si="180"/>
        <v>2500</v>
      </c>
      <c r="BO92" s="34">
        <f t="shared" si="181"/>
        <v>-70</v>
      </c>
      <c r="BP92" s="34">
        <f t="shared" si="182"/>
        <v>70</v>
      </c>
      <c r="BQ92" s="113">
        <f t="shared" si="183"/>
        <v>-2.7237354085603114</v>
      </c>
      <c r="BR92" s="113">
        <f t="shared" si="184"/>
        <v>2.7237354085603114</v>
      </c>
      <c r="BS92" s="113">
        <f t="shared" si="185"/>
        <v>1.8512583487190752</v>
      </c>
      <c r="BT92" s="34">
        <f t="shared" si="186"/>
        <v>2564.9485000000004</v>
      </c>
      <c r="BU92" s="34">
        <f t="shared" si="187"/>
        <v>-5.051499999999578</v>
      </c>
      <c r="BV92" s="34">
        <f t="shared" si="188"/>
        <v>5.051499999999578</v>
      </c>
      <c r="BW92" s="34">
        <f t="shared" si="189"/>
        <v>2544.4558481709764</v>
      </c>
      <c r="BX92" s="34">
        <f t="shared" si="190"/>
        <v>-25.544151829023576</v>
      </c>
      <c r="BY92" s="34">
        <f t="shared" si="191"/>
        <v>25.544151829023576</v>
      </c>
    </row>
    <row r="93" spans="1:77" ht="16" x14ac:dyDescent="0.2">
      <c r="A93" s="206" t="s">
        <v>465</v>
      </c>
      <c r="B93" t="s">
        <v>840</v>
      </c>
      <c r="C93" s="224" t="s">
        <v>824</v>
      </c>
      <c r="D93" s="35" t="s">
        <v>148</v>
      </c>
      <c r="E93" s="225" t="s">
        <v>293</v>
      </c>
      <c r="F93" s="29" t="s">
        <v>580</v>
      </c>
      <c r="G93" s="147">
        <v>2645</v>
      </c>
      <c r="H93" s="147">
        <v>2645</v>
      </c>
      <c r="I93" s="35" t="s">
        <v>627</v>
      </c>
      <c r="J93" s="147">
        <v>590</v>
      </c>
      <c r="K93" s="147">
        <v>560</v>
      </c>
      <c r="L93" s="28"/>
      <c r="M93" s="35" t="s">
        <v>488</v>
      </c>
      <c r="N93" s="33">
        <f t="shared" si="128"/>
        <v>2483.4959999999996</v>
      </c>
      <c r="O93" s="33">
        <f t="shared" si="129"/>
        <v>2907.1400000000003</v>
      </c>
      <c r="P93" s="33">
        <f t="shared" si="130"/>
        <v>3072.1779972052809</v>
      </c>
      <c r="Q93" s="33">
        <f t="shared" si="131"/>
        <v>2642.2649999999999</v>
      </c>
      <c r="R93" s="33">
        <f t="shared" si="132"/>
        <v>2723.0466220474482</v>
      </c>
      <c r="S93" s="33">
        <f t="shared" si="133"/>
        <v>2619.7169808334784</v>
      </c>
      <c r="T93" s="33">
        <f t="shared" si="134"/>
        <v>2692.7428497888218</v>
      </c>
      <c r="U93" s="33">
        <f t="shared" si="135"/>
        <v>2458.3333333333335</v>
      </c>
      <c r="V93" s="33">
        <f t="shared" si="136"/>
        <v>2503.7990000000004</v>
      </c>
      <c r="W93" s="33">
        <f t="shared" si="137"/>
        <v>2477.342170340602</v>
      </c>
      <c r="X93" s="34">
        <f t="shared" si="138"/>
        <v>2450.9779999999996</v>
      </c>
      <c r="Y93" s="34">
        <f t="shared" si="139"/>
        <v>-194.02200000000039</v>
      </c>
      <c r="Z93" s="34">
        <f t="shared" si="140"/>
        <v>194.02200000000039</v>
      </c>
      <c r="AA93" s="113">
        <f t="shared" si="141"/>
        <v>-7.3354253308128694</v>
      </c>
      <c r="AB93" s="113">
        <f t="shared" si="142"/>
        <v>7.3354253308128694</v>
      </c>
      <c r="AC93" s="113">
        <f t="shared" si="143"/>
        <v>2.2900836059249383</v>
      </c>
      <c r="AD93" s="34">
        <f t="shared" si="144"/>
        <v>2768.1740000000004</v>
      </c>
      <c r="AE93" s="34">
        <f t="shared" si="145"/>
        <v>123.17400000000043</v>
      </c>
      <c r="AF93" s="34">
        <f t="shared" si="146"/>
        <v>123.17400000000043</v>
      </c>
      <c r="AG93" s="113">
        <f t="shared" si="147"/>
        <v>4.6568620037807342</v>
      </c>
      <c r="AH93" s="113">
        <f t="shared" si="148"/>
        <v>4.6568620037807342</v>
      </c>
      <c r="AI93" s="113">
        <f t="shared" si="149"/>
        <v>2.0940306712142274</v>
      </c>
      <c r="AJ93" s="34">
        <f t="shared" si="150"/>
        <v>2745.2723049121623</v>
      </c>
      <c r="AK93" s="34">
        <f t="shared" si="151"/>
        <v>100.27230491216233</v>
      </c>
      <c r="AL93" s="34">
        <f t="shared" si="152"/>
        <v>100.27230491216233</v>
      </c>
      <c r="AM93" s="113">
        <f t="shared" si="153"/>
        <v>3.7910134182291992</v>
      </c>
      <c r="AN93" s="113">
        <f t="shared" si="154"/>
        <v>3.7910134182291992</v>
      </c>
      <c r="AO93" s="113">
        <f t="shared" si="155"/>
        <v>2.0054906944391822</v>
      </c>
      <c r="AP93" s="34">
        <f t="shared" si="156"/>
        <v>2763.7159999999999</v>
      </c>
      <c r="AQ93" s="34">
        <f t="shared" si="157"/>
        <v>118.71599999999989</v>
      </c>
      <c r="AR93" s="34">
        <f t="shared" si="158"/>
        <v>118.71599999999989</v>
      </c>
      <c r="AS93" s="113">
        <f t="shared" si="159"/>
        <v>4.4883175803402606</v>
      </c>
      <c r="AT93" s="113">
        <f t="shared" si="160"/>
        <v>4.4883175803402606</v>
      </c>
      <c r="AU93" s="113">
        <f t="shared" si="161"/>
        <v>2.078152197585553</v>
      </c>
      <c r="AV93" s="34">
        <f t="shared" si="162"/>
        <v>2726.2189541205153</v>
      </c>
      <c r="AW93" s="34">
        <f t="shared" si="163"/>
        <v>81.218954120515264</v>
      </c>
      <c r="AX93" s="34">
        <f t="shared" si="164"/>
        <v>81.218954120515264</v>
      </c>
      <c r="AY93" s="113">
        <f t="shared" si="165"/>
        <v>3.0706598911347927</v>
      </c>
      <c r="AZ93" s="113">
        <f t="shared" si="166"/>
        <v>3.0706598911347927</v>
      </c>
      <c r="BA93" s="113">
        <f t="shared" si="167"/>
        <v>1.9149719479663703</v>
      </c>
      <c r="BB93" s="34">
        <f t="shared" si="168"/>
        <v>2617.1793982802774</v>
      </c>
      <c r="BC93" s="34">
        <f t="shared" si="169"/>
        <v>-27.820601719722617</v>
      </c>
      <c r="BD93" s="34">
        <f t="shared" si="170"/>
        <v>27.820601719722617</v>
      </c>
      <c r="BE93" s="113">
        <f t="shared" si="171"/>
        <v>-1.0518185905377171</v>
      </c>
      <c r="BF93" s="113">
        <f t="shared" si="172"/>
        <v>1.0518185905377171</v>
      </c>
      <c r="BG93" s="113">
        <f t="shared" si="173"/>
        <v>1.4597030438210377</v>
      </c>
      <c r="BH93" s="34">
        <f t="shared" si="174"/>
        <v>2689.789322527281</v>
      </c>
      <c r="BI93" s="34">
        <f t="shared" si="175"/>
        <v>44.789322527281001</v>
      </c>
      <c r="BJ93" s="34">
        <f t="shared" si="176"/>
        <v>44.789322527281001</v>
      </c>
      <c r="BK93" s="113">
        <f t="shared" si="177"/>
        <v>1.6933581295758413</v>
      </c>
      <c r="BL93" s="113">
        <f t="shared" si="178"/>
        <v>1.6933581295758413</v>
      </c>
      <c r="BM93" s="113">
        <f t="shared" si="179"/>
        <v>1.6607642180015985</v>
      </c>
      <c r="BN93" s="34">
        <f t="shared" si="180"/>
        <v>2434.782608695652</v>
      </c>
      <c r="BO93" s="34">
        <f t="shared" si="181"/>
        <v>-210.21739130434798</v>
      </c>
      <c r="BP93" s="34">
        <f t="shared" si="182"/>
        <v>210.21739130434798</v>
      </c>
      <c r="BQ93" s="113">
        <f t="shared" si="183"/>
        <v>-7.9477274595216629</v>
      </c>
      <c r="BR93" s="113">
        <f t="shared" si="184"/>
        <v>7.9477274595216629</v>
      </c>
      <c r="BS93" s="113">
        <f t="shared" si="185"/>
        <v>2.3247296744515191</v>
      </c>
      <c r="BT93" s="34">
        <f t="shared" si="186"/>
        <v>2495.7520000000004</v>
      </c>
      <c r="BU93" s="34">
        <f t="shared" si="187"/>
        <v>-149.24799999999959</v>
      </c>
      <c r="BV93" s="34">
        <f t="shared" si="188"/>
        <v>149.24799999999959</v>
      </c>
      <c r="BW93" s="34">
        <f t="shared" si="189"/>
        <v>2474.8384266667244</v>
      </c>
      <c r="BX93" s="34">
        <f t="shared" si="190"/>
        <v>-170.16157333327556</v>
      </c>
      <c r="BY93" s="34">
        <f t="shared" si="191"/>
        <v>170.16157333327556</v>
      </c>
    </row>
    <row r="94" spans="1:77" ht="15" x14ac:dyDescent="0.2">
      <c r="A94" s="206" t="s">
        <v>465</v>
      </c>
      <c r="B94" s="28" t="s">
        <v>425</v>
      </c>
      <c r="C94" s="28" t="s">
        <v>458</v>
      </c>
      <c r="D94" s="208" t="s">
        <v>82</v>
      </c>
      <c r="E94" s="35" t="s">
        <v>293</v>
      </c>
      <c r="F94" s="35" t="s">
        <v>580</v>
      </c>
      <c r="G94" s="141">
        <v>2690</v>
      </c>
      <c r="H94" s="141">
        <v>2690</v>
      </c>
      <c r="I94" s="35" t="s">
        <v>627</v>
      </c>
      <c r="J94" s="141">
        <v>620</v>
      </c>
      <c r="K94" s="141">
        <v>603</v>
      </c>
      <c r="L94" s="28">
        <v>767</v>
      </c>
      <c r="M94" s="35" t="s">
        <v>37</v>
      </c>
      <c r="N94" s="33">
        <f t="shared" si="128"/>
        <v>2603.598</v>
      </c>
      <c r="O94" s="33">
        <f t="shared" si="129"/>
        <v>3074.8100000000004</v>
      </c>
      <c r="P94" s="33">
        <f t="shared" si="130"/>
        <v>3260.1691887446077</v>
      </c>
      <c r="Q94" s="33">
        <f t="shared" si="131"/>
        <v>2785.806</v>
      </c>
      <c r="R94" s="33">
        <f t="shared" si="132"/>
        <v>2891.5591991350962</v>
      </c>
      <c r="S94" s="33">
        <f t="shared" si="133"/>
        <v>2766.1988840513136</v>
      </c>
      <c r="T94" s="33">
        <f t="shared" si="134"/>
        <v>2849.8023032990063</v>
      </c>
      <c r="U94" s="33">
        <f t="shared" si="135"/>
        <v>2583.3333333333335</v>
      </c>
      <c r="V94" s="33">
        <f t="shared" si="136"/>
        <v>2635.3520000000003</v>
      </c>
      <c r="W94" s="33">
        <f t="shared" si="137"/>
        <v>2608.8148840839503</v>
      </c>
      <c r="X94" s="34">
        <f t="shared" si="138"/>
        <v>2629.8493999999996</v>
      </c>
      <c r="Y94" s="34">
        <f t="shared" si="139"/>
        <v>-60.150600000000395</v>
      </c>
      <c r="Z94" s="34">
        <f t="shared" si="140"/>
        <v>60.150600000000395</v>
      </c>
      <c r="AA94" s="113">
        <f t="shared" si="141"/>
        <v>-2.2360817843866321</v>
      </c>
      <c r="AB94" s="113">
        <f t="shared" si="142"/>
        <v>2.2360817843866321</v>
      </c>
      <c r="AC94" s="113">
        <f t="shared" si="143"/>
        <v>1.7864007226218699</v>
      </c>
      <c r="AD94" s="34">
        <f t="shared" si="144"/>
        <v>3002.9497000000001</v>
      </c>
      <c r="AE94" s="34">
        <f t="shared" si="145"/>
        <v>312.94970000000012</v>
      </c>
      <c r="AF94" s="34">
        <f t="shared" si="146"/>
        <v>312.94970000000012</v>
      </c>
      <c r="AG94" s="113">
        <f t="shared" si="147"/>
        <v>11.633817843866176</v>
      </c>
      <c r="AH94" s="113">
        <f t="shared" si="148"/>
        <v>11.633817843866176</v>
      </c>
      <c r="AI94" s="113">
        <f t="shared" si="149"/>
        <v>2.4968600723970535</v>
      </c>
      <c r="AJ94" s="34">
        <f t="shared" si="150"/>
        <v>3011.8308079334615</v>
      </c>
      <c r="AK94" s="34">
        <f t="shared" si="151"/>
        <v>321.83080793346153</v>
      </c>
      <c r="AL94" s="34">
        <f t="shared" si="152"/>
        <v>321.83080793346153</v>
      </c>
      <c r="AM94" s="113">
        <f t="shared" si="153"/>
        <v>11.963970555147268</v>
      </c>
      <c r="AN94" s="113">
        <f t="shared" si="154"/>
        <v>11.963970555147268</v>
      </c>
      <c r="AO94" s="113">
        <f t="shared" si="155"/>
        <v>2.5089749730050013</v>
      </c>
      <c r="AP94" s="34">
        <f t="shared" si="156"/>
        <v>2989.8056999999999</v>
      </c>
      <c r="AQ94" s="34">
        <f t="shared" si="157"/>
        <v>299.80569999999989</v>
      </c>
      <c r="AR94" s="34">
        <f t="shared" si="158"/>
        <v>299.80569999999989</v>
      </c>
      <c r="AS94" s="113">
        <f t="shared" si="159"/>
        <v>11.145193308550182</v>
      </c>
      <c r="AT94" s="113">
        <f t="shared" si="160"/>
        <v>11.145193308550182</v>
      </c>
      <c r="AU94" s="113">
        <f t="shared" si="161"/>
        <v>2.478286061491056</v>
      </c>
      <c r="AV94" s="34">
        <f t="shared" si="162"/>
        <v>2981.7367442818527</v>
      </c>
      <c r="AW94" s="34">
        <f t="shared" si="163"/>
        <v>291.73674428185268</v>
      </c>
      <c r="AX94" s="34">
        <f t="shared" si="164"/>
        <v>291.73674428185268</v>
      </c>
      <c r="AY94" s="113">
        <f t="shared" si="165"/>
        <v>10.845232129436901</v>
      </c>
      <c r="AZ94" s="113">
        <f t="shared" si="166"/>
        <v>10.845232129436901</v>
      </c>
      <c r="BA94" s="113">
        <f t="shared" si="167"/>
        <v>2.4664772384477831</v>
      </c>
      <c r="BB94" s="34">
        <f t="shared" si="168"/>
        <v>2838.4373883432436</v>
      </c>
      <c r="BC94" s="34">
        <f t="shared" si="169"/>
        <v>148.43738834324358</v>
      </c>
      <c r="BD94" s="34">
        <f t="shared" si="170"/>
        <v>148.43738834324358</v>
      </c>
      <c r="BE94" s="113">
        <f t="shared" si="171"/>
        <v>5.5181185257711363</v>
      </c>
      <c r="BF94" s="113">
        <f t="shared" si="172"/>
        <v>5.5181185257711363</v>
      </c>
      <c r="BG94" s="113">
        <f t="shared" si="173"/>
        <v>2.1744592689634463</v>
      </c>
      <c r="BH94" s="34">
        <f t="shared" si="174"/>
        <v>2927.1301845291105</v>
      </c>
      <c r="BI94" s="34">
        <f t="shared" si="175"/>
        <v>237.13018452911047</v>
      </c>
      <c r="BJ94" s="34">
        <f t="shared" si="176"/>
        <v>237.13018452911047</v>
      </c>
      <c r="BK94" s="113">
        <f t="shared" si="177"/>
        <v>8.8152484955059656</v>
      </c>
      <c r="BL94" s="113">
        <f t="shared" si="178"/>
        <v>8.8152484955059656</v>
      </c>
      <c r="BM94" s="113">
        <f t="shared" si="179"/>
        <v>2.376814448506825</v>
      </c>
      <c r="BN94" s="34">
        <f t="shared" si="180"/>
        <v>2621.7391304347825</v>
      </c>
      <c r="BO94" s="34">
        <f t="shared" si="181"/>
        <v>-68.26086956521749</v>
      </c>
      <c r="BP94" s="34">
        <f t="shared" si="182"/>
        <v>68.26086956521749</v>
      </c>
      <c r="BQ94" s="113">
        <f t="shared" si="183"/>
        <v>-2.5375787942460035</v>
      </c>
      <c r="BR94" s="113">
        <f t="shared" si="184"/>
        <v>2.5375787942460035</v>
      </c>
      <c r="BS94" s="113">
        <f t="shared" si="185"/>
        <v>1.8404879397835392</v>
      </c>
      <c r="BT94" s="34">
        <f t="shared" si="186"/>
        <v>2694.1153000000004</v>
      </c>
      <c r="BU94" s="34">
        <f t="shared" si="187"/>
        <v>4.1153000000003885</v>
      </c>
      <c r="BV94" s="34">
        <f t="shared" si="188"/>
        <v>4.1153000000003885</v>
      </c>
      <c r="BW94" s="34">
        <f t="shared" si="189"/>
        <v>2674.6473909074411</v>
      </c>
      <c r="BX94" s="34">
        <f t="shared" si="190"/>
        <v>-15.352609092558851</v>
      </c>
      <c r="BY94" s="34">
        <f t="shared" si="191"/>
        <v>15.352609092558851</v>
      </c>
    </row>
    <row r="95" spans="1:77" ht="15" x14ac:dyDescent="0.2">
      <c r="A95" s="206" t="s">
        <v>465</v>
      </c>
      <c r="B95" s="206" t="s">
        <v>460</v>
      </c>
      <c r="C95" s="206" t="s">
        <v>403</v>
      </c>
      <c r="D95" s="35" t="s">
        <v>82</v>
      </c>
      <c r="E95" s="35" t="s">
        <v>203</v>
      </c>
      <c r="F95" s="35" t="s">
        <v>581</v>
      </c>
      <c r="G95" s="141">
        <v>4340</v>
      </c>
      <c r="H95" s="141">
        <v>4340</v>
      </c>
      <c r="I95" s="35" t="s">
        <v>627</v>
      </c>
      <c r="J95" s="141">
        <v>913</v>
      </c>
      <c r="K95" s="141">
        <v>879</v>
      </c>
      <c r="L95" s="141">
        <v>1247.5</v>
      </c>
      <c r="M95" s="35" t="s">
        <v>37</v>
      </c>
      <c r="N95" s="33">
        <f t="shared" si="128"/>
        <v>3776.5942</v>
      </c>
      <c r="O95" s="33">
        <f t="shared" si="129"/>
        <v>4712.3870000000006</v>
      </c>
      <c r="P95" s="33">
        <f t="shared" si="130"/>
        <v>5182.2080736060016</v>
      </c>
      <c r="Q95" s="33">
        <f t="shared" si="131"/>
        <v>4187.7231000000002</v>
      </c>
      <c r="R95" s="33">
        <f t="shared" si="132"/>
        <v>4619.7347021333508</v>
      </c>
      <c r="S95" s="33">
        <f t="shared" si="133"/>
        <v>4229.2772999640147</v>
      </c>
      <c r="T95" s="33">
        <f t="shared" si="134"/>
        <v>4435.362606988142</v>
      </c>
      <c r="U95" s="33">
        <f t="shared" si="135"/>
        <v>3804.166666666667</v>
      </c>
      <c r="V95" s="33">
        <f t="shared" si="136"/>
        <v>3920.1863000000008</v>
      </c>
      <c r="W95" s="33">
        <f t="shared" si="137"/>
        <v>3905.552865402989</v>
      </c>
      <c r="X95" s="34">
        <f t="shared" si="138"/>
        <v>3777.9541999999997</v>
      </c>
      <c r="Y95" s="34">
        <f t="shared" si="139"/>
        <v>-562.04580000000033</v>
      </c>
      <c r="Z95" s="34">
        <f t="shared" si="140"/>
        <v>562.04580000000033</v>
      </c>
      <c r="AA95" s="113">
        <f t="shared" si="141"/>
        <v>-12.950364055299545</v>
      </c>
      <c r="AB95" s="113">
        <f t="shared" si="142"/>
        <v>12.950364055299545</v>
      </c>
      <c r="AC95" s="113">
        <f t="shared" si="143"/>
        <v>2.7505437232319188</v>
      </c>
      <c r="AD95" s="34">
        <f t="shared" si="144"/>
        <v>4509.8821000000007</v>
      </c>
      <c r="AE95" s="34">
        <f t="shared" si="145"/>
        <v>169.88210000000072</v>
      </c>
      <c r="AF95" s="34">
        <f t="shared" si="146"/>
        <v>169.88210000000072</v>
      </c>
      <c r="AG95" s="113">
        <f t="shared" si="147"/>
        <v>3.9143341013825053</v>
      </c>
      <c r="AH95" s="113">
        <f t="shared" si="148"/>
        <v>3.9143341013825053</v>
      </c>
      <c r="AI95" s="113">
        <f t="shared" si="149"/>
        <v>2.2326965725020691</v>
      </c>
      <c r="AJ95" s="34">
        <f t="shared" si="150"/>
        <v>4828.8706377658327</v>
      </c>
      <c r="AK95" s="34">
        <f t="shared" si="151"/>
        <v>488.87063776583273</v>
      </c>
      <c r="AL95" s="34">
        <f t="shared" si="152"/>
        <v>488.87063776583273</v>
      </c>
      <c r="AM95" s="113">
        <f t="shared" si="153"/>
        <v>11.264300409350984</v>
      </c>
      <c r="AN95" s="113">
        <f t="shared" si="154"/>
        <v>11.264300409350984</v>
      </c>
      <c r="AO95" s="113">
        <f t="shared" si="155"/>
        <v>2.6900814091676333</v>
      </c>
      <c r="AP95" s="34">
        <f t="shared" si="156"/>
        <v>4440.986100000001</v>
      </c>
      <c r="AQ95" s="34">
        <f t="shared" si="157"/>
        <v>100.98610000000099</v>
      </c>
      <c r="AR95" s="34">
        <f t="shared" si="158"/>
        <v>100.98610000000099</v>
      </c>
      <c r="AS95" s="113">
        <f t="shared" si="159"/>
        <v>2.3268686635944928</v>
      </c>
      <c r="AT95" s="113">
        <f t="shared" si="160"/>
        <v>2.3268686635944928</v>
      </c>
      <c r="AU95" s="113">
        <f t="shared" si="161"/>
        <v>2.0085409844613382</v>
      </c>
      <c r="AV95" s="34">
        <f t="shared" si="162"/>
        <v>4706.2561376313961</v>
      </c>
      <c r="AW95" s="34">
        <f t="shared" si="163"/>
        <v>366.25613763139609</v>
      </c>
      <c r="AX95" s="34">
        <f t="shared" si="164"/>
        <v>366.25613763139609</v>
      </c>
      <c r="AY95" s="113">
        <f t="shared" si="165"/>
        <v>8.4390815122441492</v>
      </c>
      <c r="AZ95" s="113">
        <f t="shared" si="166"/>
        <v>8.4390815122441492</v>
      </c>
      <c r="BA95" s="113">
        <f t="shared" si="167"/>
        <v>2.5649690625076955</v>
      </c>
      <c r="BB95" s="34">
        <f t="shared" si="168"/>
        <v>4291.6769471356674</v>
      </c>
      <c r="BC95" s="34">
        <f t="shared" si="169"/>
        <v>-48.323052864332567</v>
      </c>
      <c r="BD95" s="34">
        <f t="shared" si="170"/>
        <v>48.323052864332567</v>
      </c>
      <c r="BE95" s="113">
        <f t="shared" si="171"/>
        <v>-1.1134343977956813</v>
      </c>
      <c r="BF95" s="113">
        <f t="shared" si="172"/>
        <v>1.1134343977956813</v>
      </c>
      <c r="BG95" s="113">
        <f t="shared" si="173"/>
        <v>1.6930499495356384</v>
      </c>
      <c r="BH95" s="34">
        <f t="shared" si="174"/>
        <v>4503.1730298196908</v>
      </c>
      <c r="BI95" s="34">
        <f t="shared" si="175"/>
        <v>163.17302981969078</v>
      </c>
      <c r="BJ95" s="34">
        <f t="shared" si="176"/>
        <v>163.17302981969078</v>
      </c>
      <c r="BK95" s="113">
        <f t="shared" si="177"/>
        <v>3.7597472308684514</v>
      </c>
      <c r="BL95" s="113">
        <f t="shared" si="178"/>
        <v>3.7597472308684514</v>
      </c>
      <c r="BM95" s="113">
        <f t="shared" si="179"/>
        <v>2.2153018131821338</v>
      </c>
      <c r="BN95" s="34">
        <f t="shared" si="180"/>
        <v>3821.7391304347825</v>
      </c>
      <c r="BO95" s="34">
        <f t="shared" si="181"/>
        <v>-518.26086956521749</v>
      </c>
      <c r="BP95" s="34">
        <f t="shared" si="182"/>
        <v>518.26086956521749</v>
      </c>
      <c r="BQ95" s="113">
        <f t="shared" si="183"/>
        <v>-11.9414946904428</v>
      </c>
      <c r="BR95" s="113">
        <f t="shared" si="184"/>
        <v>11.9414946904428</v>
      </c>
      <c r="BS95" s="113">
        <f t="shared" si="185"/>
        <v>2.7153855962861675</v>
      </c>
      <c r="BT95" s="34">
        <f t="shared" si="186"/>
        <v>3967.3309000000004</v>
      </c>
      <c r="BU95" s="34">
        <f t="shared" si="187"/>
        <v>-372.66909999999962</v>
      </c>
      <c r="BV95" s="34">
        <f t="shared" si="188"/>
        <v>372.66909999999962</v>
      </c>
      <c r="BW95" s="34">
        <f t="shared" si="189"/>
        <v>3972.2798815429051</v>
      </c>
      <c r="BX95" s="34">
        <f t="shared" si="190"/>
        <v>-367.72011845709494</v>
      </c>
      <c r="BY95" s="34">
        <f t="shared" si="191"/>
        <v>367.72011845709494</v>
      </c>
    </row>
    <row r="96" spans="1:77" ht="15" x14ac:dyDescent="0.2">
      <c r="A96" s="207" t="s">
        <v>19</v>
      </c>
      <c r="B96" s="28" t="s">
        <v>601</v>
      </c>
      <c r="C96" s="207" t="s">
        <v>403</v>
      </c>
      <c r="D96" s="35" t="s">
        <v>82</v>
      </c>
      <c r="E96" s="35" t="s">
        <v>203</v>
      </c>
      <c r="F96" s="35" t="s">
        <v>581</v>
      </c>
      <c r="G96" s="141">
        <v>5182</v>
      </c>
      <c r="H96" s="141">
        <v>5182</v>
      </c>
      <c r="I96" s="35" t="s">
        <v>627</v>
      </c>
      <c r="J96" s="141">
        <v>1066</v>
      </c>
      <c r="K96" s="141">
        <v>1015</v>
      </c>
      <c r="L96" s="28">
        <v>1316</v>
      </c>
      <c r="M96" s="35" t="s">
        <v>37</v>
      </c>
      <c r="N96" s="33">
        <f t="shared" si="128"/>
        <v>4389.1143999999995</v>
      </c>
      <c r="O96" s="33">
        <f t="shared" si="129"/>
        <v>5567.5040000000008</v>
      </c>
      <c r="P96" s="33">
        <f t="shared" si="130"/>
        <v>6238.6459998153305</v>
      </c>
      <c r="Q96" s="33">
        <f t="shared" si="131"/>
        <v>4919.7822000000006</v>
      </c>
      <c r="R96" s="33">
        <f t="shared" si="132"/>
        <v>5572.8499408908046</v>
      </c>
      <c r="S96" s="33">
        <f t="shared" si="133"/>
        <v>5012.7883930999242</v>
      </c>
      <c r="T96" s="33">
        <f t="shared" si="134"/>
        <v>5294.6531748829857</v>
      </c>
      <c r="U96" s="33">
        <f t="shared" si="135"/>
        <v>4441.666666666667</v>
      </c>
      <c r="V96" s="33">
        <f t="shared" si="136"/>
        <v>4591.106600000001</v>
      </c>
      <c r="W96" s="33">
        <f t="shared" si="137"/>
        <v>4590.2395410232821</v>
      </c>
      <c r="X96" s="34">
        <f t="shared" si="138"/>
        <v>4343.6869999999999</v>
      </c>
      <c r="Y96" s="34">
        <f t="shared" si="139"/>
        <v>-838.3130000000001</v>
      </c>
      <c r="Z96" s="34">
        <f t="shared" si="140"/>
        <v>838.3130000000001</v>
      </c>
      <c r="AA96" s="113">
        <f t="shared" si="141"/>
        <v>-16.177402547279048</v>
      </c>
      <c r="AB96" s="113">
        <f t="shared" si="142"/>
        <v>16.177402547279048</v>
      </c>
      <c r="AC96" s="113">
        <f t="shared" si="143"/>
        <v>2.9239239498908258</v>
      </c>
      <c r="AD96" s="34">
        <f t="shared" si="144"/>
        <v>5252.4285</v>
      </c>
      <c r="AE96" s="34">
        <f t="shared" si="145"/>
        <v>70.428499999999985</v>
      </c>
      <c r="AF96" s="34">
        <f t="shared" si="146"/>
        <v>70.428499999999985</v>
      </c>
      <c r="AG96" s="113">
        <f t="shared" si="147"/>
        <v>1.3590988035507523</v>
      </c>
      <c r="AH96" s="113">
        <f t="shared" si="148"/>
        <v>1.3590988035507523</v>
      </c>
      <c r="AI96" s="113">
        <f t="shared" si="149"/>
        <v>1.8538715300270627</v>
      </c>
      <c r="AJ96" s="34">
        <f t="shared" si="150"/>
        <v>5782.3512668407357</v>
      </c>
      <c r="AK96" s="34">
        <f t="shared" si="151"/>
        <v>600.35126684073566</v>
      </c>
      <c r="AL96" s="34">
        <f t="shared" si="152"/>
        <v>600.35126684073566</v>
      </c>
      <c r="AM96" s="113">
        <f t="shared" si="153"/>
        <v>11.58531969974403</v>
      </c>
      <c r="AN96" s="113">
        <f t="shared" si="154"/>
        <v>11.58531969974403</v>
      </c>
      <c r="AO96" s="113">
        <f t="shared" si="155"/>
        <v>2.7791282302165903</v>
      </c>
      <c r="AP96" s="34">
        <f t="shared" si="156"/>
        <v>5156.0605000000005</v>
      </c>
      <c r="AQ96" s="34">
        <f t="shared" si="157"/>
        <v>-25.939499999999498</v>
      </c>
      <c r="AR96" s="34">
        <f t="shared" si="158"/>
        <v>25.939499999999498</v>
      </c>
      <c r="AS96" s="113">
        <f t="shared" si="159"/>
        <v>-0.50056927827092823</v>
      </c>
      <c r="AT96" s="113">
        <f t="shared" si="160"/>
        <v>0.50056927827092823</v>
      </c>
      <c r="AU96" s="113">
        <f t="shared" si="161"/>
        <v>1.4303895309097472</v>
      </c>
      <c r="AV96" s="34">
        <f t="shared" si="162"/>
        <v>5601.9007410168369</v>
      </c>
      <c r="AW96" s="34">
        <f t="shared" si="163"/>
        <v>419.90074101683695</v>
      </c>
      <c r="AX96" s="34">
        <f t="shared" si="164"/>
        <v>419.90074101683695</v>
      </c>
      <c r="AY96" s="113">
        <f t="shared" si="165"/>
        <v>8.1030633156471819</v>
      </c>
      <c r="AZ96" s="113">
        <f t="shared" si="166"/>
        <v>8.1030633156471819</v>
      </c>
      <c r="BA96" s="113">
        <f t="shared" si="167"/>
        <v>2.6241796903458843</v>
      </c>
      <c r="BB96" s="34">
        <f t="shared" si="168"/>
        <v>5025.3287239968904</v>
      </c>
      <c r="BC96" s="34">
        <f t="shared" si="169"/>
        <v>-156.6712760031096</v>
      </c>
      <c r="BD96" s="34">
        <f t="shared" si="170"/>
        <v>156.6712760031096</v>
      </c>
      <c r="BE96" s="113">
        <f t="shared" si="171"/>
        <v>-3.023374681650127</v>
      </c>
      <c r="BF96" s="113">
        <f t="shared" si="172"/>
        <v>3.023374681650127</v>
      </c>
      <c r="BG96" s="113">
        <f t="shared" si="173"/>
        <v>2.1977525822979915</v>
      </c>
      <c r="BH96" s="34">
        <f t="shared" si="174"/>
        <v>5307.9892750274566</v>
      </c>
      <c r="BI96" s="34">
        <f t="shared" si="175"/>
        <v>125.98927502745664</v>
      </c>
      <c r="BJ96" s="34">
        <f t="shared" si="176"/>
        <v>125.98927502745664</v>
      </c>
      <c r="BK96" s="113">
        <f t="shared" si="177"/>
        <v>2.4312866659100085</v>
      </c>
      <c r="BL96" s="113">
        <f t="shared" si="178"/>
        <v>2.4312866659100085</v>
      </c>
      <c r="BM96" s="113">
        <f t="shared" si="179"/>
        <v>2.103767043845111</v>
      </c>
      <c r="BN96" s="34">
        <f t="shared" si="180"/>
        <v>4413.0434782608691</v>
      </c>
      <c r="BO96" s="34">
        <f t="shared" si="181"/>
        <v>-768.95652173913095</v>
      </c>
      <c r="BP96" s="34">
        <f t="shared" si="182"/>
        <v>768.95652173913095</v>
      </c>
      <c r="BQ96" s="113">
        <f t="shared" si="183"/>
        <v>-14.838991156679485</v>
      </c>
      <c r="BR96" s="113">
        <f t="shared" si="184"/>
        <v>14.838991156679485</v>
      </c>
      <c r="BS96" s="113">
        <f t="shared" si="185"/>
        <v>2.8864662019232648</v>
      </c>
      <c r="BT96" s="34">
        <f t="shared" si="186"/>
        <v>4594.7125000000005</v>
      </c>
      <c r="BU96" s="34">
        <f t="shared" si="187"/>
        <v>-587.28749999999945</v>
      </c>
      <c r="BV96" s="34">
        <f t="shared" si="188"/>
        <v>587.28749999999945</v>
      </c>
      <c r="BW96" s="34">
        <f t="shared" si="189"/>
        <v>4619.655897757716</v>
      </c>
      <c r="BX96" s="34">
        <f t="shared" si="190"/>
        <v>-562.34410224228395</v>
      </c>
      <c r="BY96" s="34">
        <f t="shared" si="191"/>
        <v>562.34410224228395</v>
      </c>
    </row>
    <row r="97" spans="1:77" ht="15" x14ac:dyDescent="0.2">
      <c r="A97" s="207" t="s">
        <v>19</v>
      </c>
      <c r="B97" s="28" t="s">
        <v>597</v>
      </c>
      <c r="C97" s="207" t="s">
        <v>403</v>
      </c>
      <c r="D97" s="35" t="s">
        <v>82</v>
      </c>
      <c r="E97" s="35" t="s">
        <v>203</v>
      </c>
      <c r="F97" s="35" t="s">
        <v>581</v>
      </c>
      <c r="G97" s="141">
        <v>5241.7</v>
      </c>
      <c r="H97" s="141">
        <v>5334</v>
      </c>
      <c r="I97" s="35" t="s">
        <v>627</v>
      </c>
      <c r="J97" s="141">
        <v>1196</v>
      </c>
      <c r="K97" s="141">
        <v>1136</v>
      </c>
      <c r="L97" s="28">
        <v>1483.7</v>
      </c>
      <c r="M97" s="35" t="s">
        <v>37</v>
      </c>
      <c r="N97" s="33">
        <f t="shared" si="128"/>
        <v>4909.5563999999995</v>
      </c>
      <c r="O97" s="33">
        <f t="shared" si="129"/>
        <v>6294.0740000000005</v>
      </c>
      <c r="P97" s="33">
        <f t="shared" si="130"/>
        <v>7160.3487940898021</v>
      </c>
      <c r="Q97" s="33">
        <f t="shared" si="131"/>
        <v>5541.7932000000001</v>
      </c>
      <c r="R97" s="33">
        <f t="shared" si="132"/>
        <v>6405.87325886501</v>
      </c>
      <c r="S97" s="33">
        <f t="shared" si="133"/>
        <v>5687.2303976046314</v>
      </c>
      <c r="T97" s="33">
        <f t="shared" si="134"/>
        <v>6038.8990591526126</v>
      </c>
      <c r="U97" s="33">
        <f t="shared" si="135"/>
        <v>4983.3333333333339</v>
      </c>
      <c r="V97" s="33">
        <f t="shared" si="136"/>
        <v>5161.1696000000011</v>
      </c>
      <c r="W97" s="33">
        <f t="shared" si="137"/>
        <v>5175.3320095647014</v>
      </c>
      <c r="X97" s="34">
        <f t="shared" si="138"/>
        <v>4847.0227999999997</v>
      </c>
      <c r="Y97" s="34">
        <f t="shared" si="139"/>
        <v>-394.67720000000008</v>
      </c>
      <c r="Z97" s="34">
        <f t="shared" si="140"/>
        <v>394.67720000000008</v>
      </c>
      <c r="AA97" s="113">
        <f t="shared" si="141"/>
        <v>-7.5295648358357044</v>
      </c>
      <c r="AB97" s="113">
        <f t="shared" si="142"/>
        <v>7.5295648358357044</v>
      </c>
      <c r="AC97" s="113">
        <f t="shared" si="143"/>
        <v>2.5973410257538481</v>
      </c>
      <c r="AD97" s="34">
        <f t="shared" si="144"/>
        <v>5913.0763999999999</v>
      </c>
      <c r="AE97" s="34">
        <f t="shared" si="145"/>
        <v>671.3764000000001</v>
      </c>
      <c r="AF97" s="34">
        <f t="shared" si="146"/>
        <v>671.3764000000001</v>
      </c>
      <c r="AG97" s="113">
        <f t="shared" si="147"/>
        <v>12.808371329912054</v>
      </c>
      <c r="AH97" s="113">
        <f t="shared" si="148"/>
        <v>12.808371329912054</v>
      </c>
      <c r="AI97" s="113">
        <f t="shared" si="149"/>
        <v>2.8276124615645131</v>
      </c>
      <c r="AJ97" s="34">
        <f t="shared" si="150"/>
        <v>6658.4325402418253</v>
      </c>
      <c r="AK97" s="34">
        <f t="shared" si="151"/>
        <v>1416.7325402418255</v>
      </c>
      <c r="AL97" s="34">
        <f t="shared" si="152"/>
        <v>1416.7325402418255</v>
      </c>
      <c r="AM97" s="113">
        <f t="shared" si="153"/>
        <v>27.028111876716054</v>
      </c>
      <c r="AN97" s="113">
        <f t="shared" si="154"/>
        <v>27.028111876716054</v>
      </c>
      <c r="AO97" s="113">
        <f t="shared" si="155"/>
        <v>3.1515943075374251</v>
      </c>
      <c r="AP97" s="34">
        <f t="shared" si="156"/>
        <v>5792.2664000000004</v>
      </c>
      <c r="AQ97" s="34">
        <f t="shared" si="157"/>
        <v>550.56640000000061</v>
      </c>
      <c r="AR97" s="34">
        <f t="shared" si="158"/>
        <v>550.56640000000061</v>
      </c>
      <c r="AS97" s="113">
        <f t="shared" si="159"/>
        <v>10.503584714882589</v>
      </c>
      <c r="AT97" s="113">
        <f t="shared" si="160"/>
        <v>10.503584714882589</v>
      </c>
      <c r="AU97" s="113">
        <f t="shared" si="161"/>
        <v>2.7415978022118521</v>
      </c>
      <c r="AV97" s="34">
        <f t="shared" si="162"/>
        <v>6420.4902604521876</v>
      </c>
      <c r="AW97" s="34">
        <f t="shared" si="163"/>
        <v>1178.7902604521878</v>
      </c>
      <c r="AX97" s="34">
        <f t="shared" si="164"/>
        <v>1178.7902604521878</v>
      </c>
      <c r="AY97" s="113">
        <f t="shared" si="165"/>
        <v>22.488701384134686</v>
      </c>
      <c r="AZ97" s="113">
        <f t="shared" si="166"/>
        <v>22.488701384134686</v>
      </c>
      <c r="BA97" s="113">
        <f t="shared" si="167"/>
        <v>3.0718048066073869</v>
      </c>
      <c r="BB97" s="34">
        <f t="shared" si="168"/>
        <v>5686.1885551498071</v>
      </c>
      <c r="BC97" s="34">
        <f t="shared" si="169"/>
        <v>444.48855514980733</v>
      </c>
      <c r="BD97" s="34">
        <f t="shared" si="170"/>
        <v>444.48855514980733</v>
      </c>
      <c r="BE97" s="113">
        <f t="shared" si="171"/>
        <v>8.4798549163402583</v>
      </c>
      <c r="BF97" s="113">
        <f t="shared" si="172"/>
        <v>8.4798549163402583</v>
      </c>
      <c r="BG97" s="113">
        <f t="shared" si="173"/>
        <v>2.6488365512480203</v>
      </c>
      <c r="BH97" s="34">
        <f t="shared" si="174"/>
        <v>6037.2169564434416</v>
      </c>
      <c r="BI97" s="34">
        <f t="shared" si="175"/>
        <v>795.51695644344181</v>
      </c>
      <c r="BJ97" s="34">
        <f t="shared" si="176"/>
        <v>795.51695644344181</v>
      </c>
      <c r="BK97" s="113">
        <f t="shared" si="177"/>
        <v>15.176697568411809</v>
      </c>
      <c r="BL97" s="113">
        <f t="shared" si="178"/>
        <v>15.176697568411809</v>
      </c>
      <c r="BM97" s="113">
        <f t="shared" si="179"/>
        <v>2.9011950256003449</v>
      </c>
      <c r="BN97" s="34">
        <f t="shared" si="180"/>
        <v>4939.1304347826081</v>
      </c>
      <c r="BO97" s="34">
        <f t="shared" si="181"/>
        <v>-302.56956521739176</v>
      </c>
      <c r="BP97" s="34">
        <f t="shared" si="182"/>
        <v>302.56956521739176</v>
      </c>
      <c r="BQ97" s="113">
        <f t="shared" si="183"/>
        <v>-5.7723556330463737</v>
      </c>
      <c r="BR97" s="113">
        <f t="shared" si="184"/>
        <v>5.7723556330463737</v>
      </c>
      <c r="BS97" s="113">
        <f t="shared" si="185"/>
        <v>2.4822582286177122</v>
      </c>
      <c r="BT97" s="34">
        <f t="shared" si="186"/>
        <v>5152.8976000000002</v>
      </c>
      <c r="BU97" s="34">
        <f t="shared" si="187"/>
        <v>-88.802399999999579</v>
      </c>
      <c r="BV97" s="34">
        <f t="shared" si="188"/>
        <v>88.802399999999579</v>
      </c>
      <c r="BW97" s="34">
        <f t="shared" si="189"/>
        <v>5199.2784282282955</v>
      </c>
      <c r="BX97" s="34">
        <f t="shared" si="190"/>
        <v>-42.421571771704293</v>
      </c>
      <c r="BY97" s="34">
        <f t="shared" si="191"/>
        <v>42.421571771704293</v>
      </c>
    </row>
    <row r="98" spans="1:77" ht="15" x14ac:dyDescent="0.2">
      <c r="A98" s="207" t="s">
        <v>19</v>
      </c>
      <c r="B98" s="28" t="s">
        <v>734</v>
      </c>
      <c r="C98" s="206" t="s">
        <v>403</v>
      </c>
      <c r="D98" s="35" t="s">
        <v>82</v>
      </c>
      <c r="E98" s="35" t="s">
        <v>203</v>
      </c>
      <c r="F98" s="35" t="s">
        <v>581</v>
      </c>
      <c r="G98" s="141">
        <v>5600</v>
      </c>
      <c r="H98" s="141">
        <v>5600</v>
      </c>
      <c r="I98" s="35" t="s">
        <v>627</v>
      </c>
      <c r="J98" s="141">
        <v>1245.4000000000001</v>
      </c>
      <c r="K98" s="141">
        <v>1189.5999999999999</v>
      </c>
      <c r="L98" s="141">
        <v>1524.5</v>
      </c>
      <c r="M98" s="35" t="s">
        <v>37</v>
      </c>
      <c r="N98" s="33">
        <f t="shared" si="128"/>
        <v>5107.3243600000005</v>
      </c>
      <c r="O98" s="33">
        <f t="shared" si="129"/>
        <v>6570.1706000000013</v>
      </c>
      <c r="P98" s="33">
        <f t="shared" si="130"/>
        <v>7515.9425534525653</v>
      </c>
      <c r="Q98" s="33">
        <f t="shared" si="131"/>
        <v>5778.1573800000006</v>
      </c>
      <c r="R98" s="33">
        <f t="shared" si="132"/>
        <v>6727.5783178461807</v>
      </c>
      <c r="S98" s="33">
        <f t="shared" si="133"/>
        <v>5945.4336844759046</v>
      </c>
      <c r="T98" s="33">
        <f t="shared" si="134"/>
        <v>6324.8329659494721</v>
      </c>
      <c r="U98" s="33">
        <f t="shared" si="135"/>
        <v>5189.166666666667</v>
      </c>
      <c r="V98" s="33">
        <f t="shared" si="136"/>
        <v>5377.7935400000015</v>
      </c>
      <c r="W98" s="33">
        <f t="shared" si="137"/>
        <v>5398.3956007760253</v>
      </c>
      <c r="X98" s="34">
        <f t="shared" si="138"/>
        <v>5069.9880799999992</v>
      </c>
      <c r="Y98" s="34">
        <f t="shared" ref="Y98:Y100" si="192">X98-G98</f>
        <v>-530.01192000000083</v>
      </c>
      <c r="Z98" s="34">
        <f t="shared" ref="Z98:Z100" si="193">ABS(Y98)</f>
        <v>530.01192000000083</v>
      </c>
      <c r="AA98" s="113">
        <f t="shared" si="141"/>
        <v>-9.464498571428587</v>
      </c>
      <c r="AB98" s="113">
        <f t="shared" ref="AB98:AB100" si="194">ABS(AA98)</f>
        <v>9.464498571428587</v>
      </c>
      <c r="AC98" s="113">
        <f t="shared" si="143"/>
        <v>2.7251042701061783</v>
      </c>
      <c r="AD98" s="34">
        <f t="shared" si="144"/>
        <v>6205.7270399999998</v>
      </c>
      <c r="AE98" s="34">
        <f t="shared" ref="AE98:AE100" si="195">AD98-G98</f>
        <v>605.72703999999976</v>
      </c>
      <c r="AF98" s="34">
        <f t="shared" ref="AF98:AF100" si="196">ABS(AE98)</f>
        <v>605.72703999999976</v>
      </c>
      <c r="AG98" s="113">
        <f t="shared" si="147"/>
        <v>10.816554285714282</v>
      </c>
      <c r="AH98" s="113">
        <f t="shared" ref="AH98:AH100" si="197">ABS(AG98)</f>
        <v>10.816554285714282</v>
      </c>
      <c r="AI98" s="113">
        <f t="shared" si="149"/>
        <v>2.7829933505746802</v>
      </c>
      <c r="AJ98" s="34">
        <f t="shared" si="150"/>
        <v>7054.2743030895599</v>
      </c>
      <c r="AK98" s="34">
        <f t="shared" ref="AK98:AK100" si="198">AJ98-G98</f>
        <v>1454.2743030895599</v>
      </c>
      <c r="AL98" s="34">
        <f t="shared" ref="AL98:AL100" si="199">ABS(AK98)</f>
        <v>1454.2743030895599</v>
      </c>
      <c r="AM98" s="113">
        <f t="shared" si="153"/>
        <v>25.969183983742138</v>
      </c>
      <c r="AN98" s="113">
        <f t="shared" ref="AN98:AN100" si="200">ABS(AM98)</f>
        <v>25.969183983742138</v>
      </c>
      <c r="AO98" s="113">
        <f t="shared" si="155"/>
        <v>3.1629448607379227</v>
      </c>
      <c r="AP98" s="34">
        <f t="shared" si="156"/>
        <v>6074.0898400000005</v>
      </c>
      <c r="AQ98" s="34">
        <f t="shared" ref="AQ98:AQ100" si="201">AP98-G98</f>
        <v>474.08984000000055</v>
      </c>
      <c r="AR98" s="34">
        <f t="shared" ref="AR98:AR100" si="202">ABS(AQ98)</f>
        <v>474.08984000000055</v>
      </c>
      <c r="AS98" s="113">
        <f t="shared" si="159"/>
        <v>8.4658900000000088</v>
      </c>
      <c r="AT98" s="113">
        <f t="shared" ref="AT98:AT100" si="203">ABS(AS98)</f>
        <v>8.4658900000000088</v>
      </c>
      <c r="AU98" s="113">
        <f t="shared" si="161"/>
        <v>2.6767757429447445</v>
      </c>
      <c r="AV98" s="34">
        <f t="shared" si="162"/>
        <v>6789.1528955379608</v>
      </c>
      <c r="AW98" s="34">
        <f t="shared" ref="AW98:AW100" si="204">AV98-G98</f>
        <v>1189.1528955379608</v>
      </c>
      <c r="AX98" s="34">
        <f t="shared" ref="AX98:AX100" si="205">ABS(AW98)</f>
        <v>1189.1528955379608</v>
      </c>
      <c r="AY98" s="113">
        <f t="shared" si="165"/>
        <v>21.234873134606445</v>
      </c>
      <c r="AZ98" s="113">
        <f t="shared" ref="AZ98:AZ100" si="206">ABS(AY98)</f>
        <v>21.234873134606445</v>
      </c>
      <c r="BA98" s="113">
        <f t="shared" si="167"/>
        <v>3.0756027575463492</v>
      </c>
      <c r="BB98" s="34">
        <f t="shared" si="168"/>
        <v>5981.1690253284078</v>
      </c>
      <c r="BC98" s="34">
        <f t="shared" ref="BC98:BC100" si="207">BB98-G98</f>
        <v>381.16902532840777</v>
      </c>
      <c r="BD98" s="34">
        <f t="shared" ref="BD98:BD100" si="208">ABS(BC98)</f>
        <v>381.16902532840777</v>
      </c>
      <c r="BE98" s="113">
        <f t="shared" si="171"/>
        <v>6.8065897380072817</v>
      </c>
      <c r="BF98" s="113">
        <f t="shared" ref="BF98:BF100" si="209">ABS(BE98)</f>
        <v>6.8065897380072817</v>
      </c>
      <c r="BG98" s="113">
        <f t="shared" si="173"/>
        <v>2.5822554847229662</v>
      </c>
      <c r="BH98" s="34">
        <f t="shared" si="174"/>
        <v>6363.889682017787</v>
      </c>
      <c r="BI98" s="34">
        <f t="shared" ref="BI98:BI100" si="210">BH98-G98</f>
        <v>763.88968201778698</v>
      </c>
      <c r="BJ98" s="34">
        <f t="shared" ref="BJ98:BJ100" si="211">ABS(BI98)</f>
        <v>763.88968201778698</v>
      </c>
      <c r="BK98" s="113">
        <f t="shared" si="177"/>
        <v>13.640887178889052</v>
      </c>
      <c r="BL98" s="113">
        <f t="shared" ref="BL98:BL100" si="212">ABS(BK98)</f>
        <v>13.640887178889052</v>
      </c>
      <c r="BM98" s="113">
        <f t="shared" si="179"/>
        <v>2.8835988025447752</v>
      </c>
      <c r="BN98" s="34">
        <f t="shared" si="180"/>
        <v>5172.173913043478</v>
      </c>
      <c r="BO98" s="34">
        <f t="shared" ref="BO98:BO100" si="213">BN98-G98</f>
        <v>-427.82608695652198</v>
      </c>
      <c r="BP98" s="34">
        <f t="shared" ref="BP98:BP100" si="214">ABS(BO98)</f>
        <v>427.82608695652198</v>
      </c>
      <c r="BQ98" s="113">
        <f t="shared" si="183"/>
        <v>-7.639751552795035</v>
      </c>
      <c r="BR98" s="113">
        <f t="shared" ref="BR98:BR100" si="215">ABS(BQ98)</f>
        <v>7.639751552795035</v>
      </c>
      <c r="BS98" s="113">
        <f t="shared" si="185"/>
        <v>2.6322811971060207</v>
      </c>
      <c r="BT98" s="34">
        <f t="shared" si="186"/>
        <v>5400.1597599999996</v>
      </c>
      <c r="BU98" s="34">
        <f t="shared" ref="BU98:BU100" si="216">BT98-G98</f>
        <v>-199.84024000000045</v>
      </c>
      <c r="BV98" s="34">
        <f t="shared" ref="BV98:BV100" si="217">ABS(BU98)</f>
        <v>199.84024000000045</v>
      </c>
      <c r="BW98" s="34">
        <f t="shared" si="189"/>
        <v>5457.0360038364697</v>
      </c>
      <c r="BX98" s="34">
        <f t="shared" ref="BX98:BX100" si="218">BW98-G98</f>
        <v>-142.96399616353028</v>
      </c>
      <c r="BY98" s="34">
        <f t="shared" ref="BY98:BY100" si="219">ABS(BX98)</f>
        <v>142.96399616353028</v>
      </c>
    </row>
    <row r="99" spans="1:77" ht="15" x14ac:dyDescent="0.2">
      <c r="A99" s="206" t="s">
        <v>465</v>
      </c>
      <c r="B99" s="28" t="s">
        <v>152</v>
      </c>
      <c r="C99" s="207" t="s">
        <v>403</v>
      </c>
      <c r="D99" s="35" t="s">
        <v>82</v>
      </c>
      <c r="E99" s="35" t="s">
        <v>203</v>
      </c>
      <c r="F99" s="35" t="s">
        <v>581</v>
      </c>
      <c r="G99" s="141">
        <v>5810</v>
      </c>
      <c r="H99" s="141">
        <v>5810</v>
      </c>
      <c r="I99" s="35" t="s">
        <v>627</v>
      </c>
      <c r="J99" s="141">
        <v>1518.6</v>
      </c>
      <c r="K99" s="141">
        <v>1421.1</v>
      </c>
      <c r="L99" s="28">
        <v>1829</v>
      </c>
      <c r="M99" s="35" t="s">
        <v>37</v>
      </c>
      <c r="N99" s="33">
        <f t="shared" si="128"/>
        <v>6201.0532399999993</v>
      </c>
      <c r="O99" s="33">
        <f t="shared" si="129"/>
        <v>8097.0854000000008</v>
      </c>
      <c r="P99" s="33">
        <f t="shared" si="130"/>
        <v>9530.8044002059778</v>
      </c>
      <c r="Q99" s="33">
        <f t="shared" si="131"/>
        <v>7085.3374199999998</v>
      </c>
      <c r="R99" s="33">
        <f t="shared" si="132"/>
        <v>8553.3754542770639</v>
      </c>
      <c r="S99" s="33">
        <f t="shared" si="133"/>
        <v>7390.4881216519134</v>
      </c>
      <c r="T99" s="33">
        <f t="shared" si="134"/>
        <v>7934.1577886664045</v>
      </c>
      <c r="U99" s="33">
        <f t="shared" si="135"/>
        <v>6327.5</v>
      </c>
      <c r="V99" s="33">
        <f t="shared" si="136"/>
        <v>6575.8028600000007</v>
      </c>
      <c r="W99" s="33">
        <f t="shared" si="137"/>
        <v>6638.4787944243599</v>
      </c>
      <c r="X99" s="34">
        <f t="shared" si="138"/>
        <v>6032.9817799999992</v>
      </c>
      <c r="Y99" s="34">
        <f t="shared" si="192"/>
        <v>222.98177999999916</v>
      </c>
      <c r="Z99" s="34">
        <f t="shared" si="193"/>
        <v>222.98177999999916</v>
      </c>
      <c r="AA99" s="113">
        <f t="shared" si="141"/>
        <v>3.837896385542154</v>
      </c>
      <c r="AB99" s="113">
        <f t="shared" si="194"/>
        <v>3.837896385542154</v>
      </c>
      <c r="AC99" s="113">
        <f t="shared" si="143"/>
        <v>2.3502126916944723</v>
      </c>
      <c r="AD99" s="34">
        <f t="shared" si="144"/>
        <v>7469.6938899999996</v>
      </c>
      <c r="AE99" s="34">
        <f t="shared" si="195"/>
        <v>1659.6938899999996</v>
      </c>
      <c r="AF99" s="34">
        <f t="shared" si="196"/>
        <v>1659.6938899999996</v>
      </c>
      <c r="AG99" s="113">
        <f t="shared" si="147"/>
        <v>28.566159896729772</v>
      </c>
      <c r="AH99" s="113">
        <f t="shared" si="197"/>
        <v>28.566159896729772</v>
      </c>
      <c r="AI99" s="113">
        <f t="shared" si="149"/>
        <v>3.2202895878183644</v>
      </c>
      <c r="AJ99" s="34">
        <f t="shared" si="150"/>
        <v>8814.1965261720907</v>
      </c>
      <c r="AK99" s="34">
        <f t="shared" si="198"/>
        <v>3004.1965261720907</v>
      </c>
      <c r="AL99" s="34">
        <f t="shared" si="199"/>
        <v>3004.1965261720907</v>
      </c>
      <c r="AM99" s="113">
        <f t="shared" si="153"/>
        <v>51.707341242204663</v>
      </c>
      <c r="AN99" s="113">
        <f t="shared" si="200"/>
        <v>51.707341242204663</v>
      </c>
      <c r="AO99" s="113">
        <f t="shared" si="155"/>
        <v>3.4778728781494967</v>
      </c>
      <c r="AP99" s="34">
        <f t="shared" si="156"/>
        <v>7291.2936900000004</v>
      </c>
      <c r="AQ99" s="34">
        <f t="shared" si="201"/>
        <v>1481.2936900000004</v>
      </c>
      <c r="AR99" s="34">
        <f t="shared" si="202"/>
        <v>1481.2936900000004</v>
      </c>
      <c r="AS99" s="113">
        <f t="shared" si="159"/>
        <v>25.495588468158353</v>
      </c>
      <c r="AT99" s="113">
        <f t="shared" si="203"/>
        <v>25.495588468158353</v>
      </c>
      <c r="AU99" s="113">
        <f t="shared" si="161"/>
        <v>3.1709342598578054</v>
      </c>
      <c r="AV99" s="34">
        <f t="shared" si="162"/>
        <v>8420.4145028977055</v>
      </c>
      <c r="AW99" s="34">
        <f t="shared" si="204"/>
        <v>2610.4145028977055</v>
      </c>
      <c r="AX99" s="34">
        <f t="shared" si="205"/>
        <v>2610.4145028977055</v>
      </c>
      <c r="AY99" s="113">
        <f t="shared" si="165"/>
        <v>44.929681633351215</v>
      </c>
      <c r="AZ99" s="113">
        <f t="shared" si="206"/>
        <v>44.929681633351215</v>
      </c>
      <c r="BA99" s="113">
        <f t="shared" si="167"/>
        <v>3.4168758117056308</v>
      </c>
      <c r="BB99" s="34">
        <f t="shared" si="168"/>
        <v>7269.4316389592077</v>
      </c>
      <c r="BC99" s="34">
        <f t="shared" si="207"/>
        <v>1459.4316389592077</v>
      </c>
      <c r="BD99" s="34">
        <f t="shared" si="208"/>
        <v>1459.4316389592077</v>
      </c>
      <c r="BE99" s="113">
        <f t="shared" si="171"/>
        <v>25.119305317714417</v>
      </c>
      <c r="BF99" s="113">
        <f t="shared" si="209"/>
        <v>25.119305317714417</v>
      </c>
      <c r="BG99" s="113">
        <f t="shared" si="173"/>
        <v>3.1644812329852745</v>
      </c>
      <c r="BH99" s="34">
        <f t="shared" si="174"/>
        <v>7798.1092142346288</v>
      </c>
      <c r="BI99" s="34">
        <f t="shared" si="210"/>
        <v>1988.1092142346288</v>
      </c>
      <c r="BJ99" s="34">
        <f t="shared" si="211"/>
        <v>1988.1092142346288</v>
      </c>
      <c r="BK99" s="113">
        <f t="shared" si="177"/>
        <v>34.218747232954023</v>
      </c>
      <c r="BL99" s="113">
        <f t="shared" si="212"/>
        <v>34.218747232954023</v>
      </c>
      <c r="BM99" s="113">
        <f t="shared" si="179"/>
        <v>3.2986586291964772</v>
      </c>
      <c r="BN99" s="34">
        <f t="shared" si="180"/>
        <v>6178.6956521739121</v>
      </c>
      <c r="BO99" s="34">
        <f t="shared" si="213"/>
        <v>368.69565217391209</v>
      </c>
      <c r="BP99" s="34">
        <f t="shared" si="214"/>
        <v>368.69565217391209</v>
      </c>
      <c r="BQ99" s="113">
        <f t="shared" si="183"/>
        <v>6.3458804160742188</v>
      </c>
      <c r="BR99" s="113">
        <f t="shared" si="215"/>
        <v>6.3458804160742188</v>
      </c>
      <c r="BS99" s="113">
        <f t="shared" si="185"/>
        <v>2.5678443430589559</v>
      </c>
      <c r="BT99" s="34">
        <f t="shared" si="186"/>
        <v>6468.0924100000002</v>
      </c>
      <c r="BU99" s="34">
        <f t="shared" si="216"/>
        <v>658.0924100000002</v>
      </c>
      <c r="BV99" s="34">
        <f t="shared" si="217"/>
        <v>658.0924100000002</v>
      </c>
      <c r="BW99" s="34">
        <f t="shared" si="189"/>
        <v>6576.624945234772</v>
      </c>
      <c r="BX99" s="34">
        <f t="shared" si="218"/>
        <v>766.62494523477199</v>
      </c>
      <c r="BY99" s="34">
        <f t="shared" si="219"/>
        <v>766.62494523477199</v>
      </c>
    </row>
    <row r="100" spans="1:77" ht="15" x14ac:dyDescent="0.2">
      <c r="A100" s="206" t="s">
        <v>465</v>
      </c>
      <c r="B100" s="28" t="s">
        <v>157</v>
      </c>
      <c r="C100" s="207" t="s">
        <v>403</v>
      </c>
      <c r="D100" s="35" t="s">
        <v>82</v>
      </c>
      <c r="E100" s="35" t="s">
        <v>203</v>
      </c>
      <c r="F100" s="35" t="s">
        <v>581</v>
      </c>
      <c r="G100" s="141">
        <v>6408.96</v>
      </c>
      <c r="H100" s="141"/>
      <c r="I100" s="35" t="s">
        <v>627</v>
      </c>
      <c r="J100" s="141">
        <v>1408.5</v>
      </c>
      <c r="K100" s="141">
        <v>1366.3</v>
      </c>
      <c r="L100" s="28">
        <v>1852.2</v>
      </c>
      <c r="M100" s="35" t="s">
        <v>37</v>
      </c>
      <c r="N100" s="33">
        <f t="shared" si="128"/>
        <v>5760.2789000000002</v>
      </c>
      <c r="O100" s="33">
        <f t="shared" si="129"/>
        <v>7481.7365000000009</v>
      </c>
      <c r="P100" s="33">
        <f t="shared" si="130"/>
        <v>8709.3836143707558</v>
      </c>
      <c r="Q100" s="33">
        <f t="shared" si="131"/>
        <v>6558.5419500000007</v>
      </c>
      <c r="R100" s="33">
        <f t="shared" si="132"/>
        <v>7808.4632603970113</v>
      </c>
      <c r="S100" s="33">
        <f t="shared" si="133"/>
        <v>6804.8096978359818</v>
      </c>
      <c r="T100" s="33">
        <f t="shared" si="134"/>
        <v>7280.1464045025705</v>
      </c>
      <c r="U100" s="33">
        <f t="shared" si="135"/>
        <v>5868.75</v>
      </c>
      <c r="V100" s="33">
        <f t="shared" si="136"/>
        <v>6093.0033500000009</v>
      </c>
      <c r="W100" s="33">
        <f t="shared" si="137"/>
        <v>6137.4728123214391</v>
      </c>
      <c r="X100" s="34">
        <f t="shared" si="138"/>
        <v>5805.0247399999989</v>
      </c>
      <c r="Y100" s="34">
        <f t="shared" si="192"/>
        <v>-603.93526000000111</v>
      </c>
      <c r="Z100" s="34">
        <f t="shared" si="193"/>
        <v>603.93526000000111</v>
      </c>
      <c r="AA100" s="113">
        <f t="shared" si="141"/>
        <v>-9.4232958233473312</v>
      </c>
      <c r="AB100" s="113">
        <f t="shared" si="194"/>
        <v>9.4232958233473312</v>
      </c>
      <c r="AC100" s="113">
        <f t="shared" si="143"/>
        <v>2.7817088990670151</v>
      </c>
      <c r="AD100" s="34">
        <f t="shared" si="144"/>
        <v>7170.4913699999997</v>
      </c>
      <c r="AE100" s="34">
        <f t="shared" si="195"/>
        <v>761.5313699999997</v>
      </c>
      <c r="AF100" s="34">
        <f t="shared" si="196"/>
        <v>761.5313699999997</v>
      </c>
      <c r="AG100" s="113">
        <f t="shared" si="147"/>
        <v>11.882292446824442</v>
      </c>
      <c r="AH100" s="113">
        <f t="shared" si="197"/>
        <v>11.882292446824442</v>
      </c>
      <c r="AI100" s="113">
        <f t="shared" si="149"/>
        <v>2.8822577149534547</v>
      </c>
      <c r="AJ100" s="34">
        <f t="shared" si="150"/>
        <v>8390.5438492698722</v>
      </c>
      <c r="AK100" s="34">
        <f t="shared" si="198"/>
        <v>1981.5838492698722</v>
      </c>
      <c r="AL100" s="34">
        <f t="shared" si="199"/>
        <v>1981.5838492698722</v>
      </c>
      <c r="AM100" s="113">
        <f t="shared" si="153"/>
        <v>30.918961099302727</v>
      </c>
      <c r="AN100" s="113">
        <f t="shared" si="200"/>
        <v>30.918961099302727</v>
      </c>
      <c r="AO100" s="113">
        <f t="shared" si="155"/>
        <v>3.2972315639619754</v>
      </c>
      <c r="AP100" s="34">
        <f t="shared" si="156"/>
        <v>7003.1607700000004</v>
      </c>
      <c r="AQ100" s="34">
        <f t="shared" si="201"/>
        <v>594.20077000000038</v>
      </c>
      <c r="AR100" s="34">
        <f t="shared" si="202"/>
        <v>594.20077000000038</v>
      </c>
      <c r="AS100" s="113">
        <f t="shared" si="159"/>
        <v>9.271407061364096</v>
      </c>
      <c r="AT100" s="113">
        <f t="shared" si="203"/>
        <v>9.271407061364096</v>
      </c>
      <c r="AU100" s="113">
        <f t="shared" si="161"/>
        <v>2.7746634843767586</v>
      </c>
      <c r="AV100" s="34">
        <f t="shared" si="162"/>
        <v>8028.812595795288</v>
      </c>
      <c r="AW100" s="34">
        <f t="shared" si="204"/>
        <v>1619.8525957952879</v>
      </c>
      <c r="AX100" s="34">
        <f t="shared" si="205"/>
        <v>1619.8525957952879</v>
      </c>
      <c r="AY100" s="113">
        <f t="shared" si="165"/>
        <v>25.274812072400017</v>
      </c>
      <c r="AZ100" s="113">
        <f t="shared" si="206"/>
        <v>25.274812072400017</v>
      </c>
      <c r="BA100" s="113">
        <f t="shared" si="167"/>
        <v>3.2097435208673</v>
      </c>
      <c r="BB100" s="34">
        <f t="shared" si="168"/>
        <v>6962.5009001588614</v>
      </c>
      <c r="BC100" s="34">
        <f t="shared" si="207"/>
        <v>553.5409001588614</v>
      </c>
      <c r="BD100" s="34">
        <f t="shared" si="208"/>
        <v>553.5409001588614</v>
      </c>
      <c r="BE100" s="113">
        <f t="shared" si="171"/>
        <v>8.6369847862814151</v>
      </c>
      <c r="BF100" s="113">
        <f t="shared" si="209"/>
        <v>8.6369847862814151</v>
      </c>
      <c r="BG100" s="113">
        <f t="shared" si="173"/>
        <v>2.7439335830518914</v>
      </c>
      <c r="BH100" s="34">
        <f t="shared" si="174"/>
        <v>7455.3580645186266</v>
      </c>
      <c r="BI100" s="34">
        <f t="shared" si="210"/>
        <v>1046.3980645186266</v>
      </c>
      <c r="BJ100" s="34">
        <f t="shared" si="211"/>
        <v>1046.3980645186266</v>
      </c>
      <c r="BK100" s="113">
        <f t="shared" si="177"/>
        <v>16.327111801581324</v>
      </c>
      <c r="BL100" s="113">
        <f t="shared" si="212"/>
        <v>16.327111801581324</v>
      </c>
      <c r="BM100" s="113">
        <f t="shared" si="179"/>
        <v>3.0201117670357203</v>
      </c>
      <c r="BN100" s="34">
        <f t="shared" si="180"/>
        <v>5940.4347826086951</v>
      </c>
      <c r="BO100" s="34">
        <f t="shared" si="213"/>
        <v>-468.52521739130498</v>
      </c>
      <c r="BP100" s="34">
        <f t="shared" si="214"/>
        <v>468.52521739130498</v>
      </c>
      <c r="BQ100" s="113">
        <f t="shared" si="183"/>
        <v>-7.3104718611335535</v>
      </c>
      <c r="BR100" s="113">
        <f t="shared" si="215"/>
        <v>7.3104718611335535</v>
      </c>
      <c r="BS100" s="113">
        <f t="shared" si="185"/>
        <v>2.6716589224376697</v>
      </c>
      <c r="BT100" s="34">
        <f t="shared" si="186"/>
        <v>6215.2945300000001</v>
      </c>
      <c r="BU100" s="34">
        <f t="shared" si="216"/>
        <v>-193.66546999999991</v>
      </c>
      <c r="BV100" s="34">
        <f t="shared" si="217"/>
        <v>193.66546999999991</v>
      </c>
      <c r="BW100" s="34">
        <f t="shared" si="189"/>
        <v>6310.7229588793089</v>
      </c>
      <c r="BX100" s="34">
        <f t="shared" si="218"/>
        <v>-98.237041120691174</v>
      </c>
      <c r="BY100" s="34">
        <f t="shared" si="219"/>
        <v>98.237041120691174</v>
      </c>
    </row>
    <row r="101" spans="1:77" ht="16" x14ac:dyDescent="0.2">
      <c r="A101" s="206"/>
      <c r="C101" s="224"/>
      <c r="D101" s="35"/>
      <c r="E101" s="35"/>
      <c r="F101" s="35"/>
      <c r="G101" s="147"/>
      <c r="H101" s="147"/>
      <c r="I101" s="35"/>
      <c r="J101" s="147"/>
      <c r="K101" s="147"/>
      <c r="L101" s="28"/>
      <c r="M101" s="35"/>
      <c r="N101" s="35"/>
      <c r="O101" s="35"/>
      <c r="P101" s="147"/>
      <c r="Q101" s="147"/>
      <c r="R101" s="147"/>
      <c r="S101" s="147"/>
      <c r="T101" s="147"/>
      <c r="U101" s="147"/>
      <c r="V101" s="28"/>
    </row>
    <row r="102" spans="1:77" ht="16" x14ac:dyDescent="0.2">
      <c r="A102" s="206"/>
      <c r="C102" s="224"/>
      <c r="D102" s="35"/>
      <c r="E102" s="225"/>
      <c r="F102" s="35"/>
      <c r="G102" s="147"/>
      <c r="H102" s="147"/>
      <c r="I102" s="35"/>
      <c r="J102" s="147"/>
      <c r="K102" s="147"/>
      <c r="L102" s="28"/>
      <c r="M102" s="35"/>
      <c r="N102" s="35"/>
      <c r="O102" s="35"/>
      <c r="P102" s="147"/>
      <c r="Q102" s="147"/>
      <c r="R102" s="147"/>
      <c r="S102" s="147"/>
      <c r="T102" s="147"/>
      <c r="U102" s="147"/>
      <c r="V102" s="28"/>
    </row>
    <row r="103" spans="1:77" ht="16" x14ac:dyDescent="0.2">
      <c r="A103" s="206"/>
      <c r="C103" s="224"/>
      <c r="D103" s="35"/>
      <c r="E103" s="225"/>
      <c r="F103" s="35"/>
      <c r="G103" s="147"/>
      <c r="H103" s="147"/>
      <c r="I103" s="35"/>
      <c r="J103" s="147"/>
      <c r="K103" s="147"/>
      <c r="L103" s="28"/>
      <c r="M103" s="35"/>
      <c r="N103" s="35"/>
      <c r="O103" s="35"/>
      <c r="P103" s="147"/>
      <c r="Q103" s="147"/>
      <c r="R103" s="147"/>
      <c r="S103" s="147"/>
      <c r="T103" s="147"/>
      <c r="U103" s="147"/>
      <c r="V103" s="28"/>
    </row>
    <row r="104" spans="1:77" ht="16" x14ac:dyDescent="0.2">
      <c r="A104" s="206"/>
      <c r="C104" s="224"/>
      <c r="D104" s="35"/>
      <c r="E104" s="225"/>
      <c r="F104" s="35"/>
      <c r="G104" s="147"/>
      <c r="H104" s="147"/>
      <c r="I104" s="35"/>
      <c r="J104" s="147"/>
      <c r="K104" s="147"/>
      <c r="L104" s="28"/>
      <c r="M104" s="35"/>
      <c r="N104" s="35"/>
      <c r="O104" s="35"/>
      <c r="P104" s="147"/>
      <c r="Q104" s="147"/>
      <c r="R104" s="147"/>
      <c r="S104" s="147"/>
      <c r="T104" s="147"/>
      <c r="U104" s="147"/>
      <c r="V104" s="28"/>
    </row>
    <row r="105" spans="1:77" ht="16" x14ac:dyDescent="0.2">
      <c r="A105" s="206"/>
      <c r="C105" s="224"/>
      <c r="D105" s="35"/>
      <c r="E105" s="225"/>
      <c r="F105" s="35"/>
      <c r="G105" s="147"/>
      <c r="H105" s="147"/>
      <c r="I105" s="35"/>
      <c r="J105" s="147"/>
      <c r="K105" s="147"/>
      <c r="L105" s="28"/>
      <c r="M105" s="35"/>
      <c r="N105" s="35"/>
      <c r="O105" s="35"/>
      <c r="P105" s="147"/>
      <c r="Q105" s="147"/>
      <c r="R105" s="147"/>
      <c r="S105" s="147"/>
      <c r="T105" s="147"/>
      <c r="U105" s="147"/>
      <c r="V105" s="28"/>
    </row>
    <row r="106" spans="1:77" ht="16" x14ac:dyDescent="0.2">
      <c r="A106" s="206"/>
      <c r="C106" s="224"/>
      <c r="D106" s="35"/>
      <c r="E106" s="35"/>
      <c r="F106" s="35"/>
      <c r="G106" s="147"/>
      <c r="H106" s="147"/>
      <c r="I106" s="35"/>
      <c r="J106" s="147"/>
      <c r="K106" s="147"/>
      <c r="L106" s="28"/>
      <c r="M106" s="35"/>
      <c r="N106" s="35"/>
      <c r="O106" s="35"/>
      <c r="P106" s="147"/>
      <c r="Q106" s="147"/>
      <c r="R106" s="147"/>
      <c r="S106" s="147"/>
      <c r="T106" s="147"/>
      <c r="U106" s="147"/>
      <c r="V106" s="28"/>
    </row>
    <row r="107" spans="1:77" ht="16" x14ac:dyDescent="0.2">
      <c r="A107" s="206"/>
      <c r="C107" s="224"/>
      <c r="D107" s="35"/>
      <c r="E107" s="35"/>
      <c r="F107" s="35"/>
      <c r="G107" s="147"/>
      <c r="H107" s="147"/>
      <c r="I107" s="35"/>
      <c r="J107" s="147"/>
      <c r="K107" s="147"/>
      <c r="L107" s="28"/>
      <c r="M107" s="35"/>
      <c r="N107" s="35"/>
      <c r="O107" s="35"/>
      <c r="P107" s="147"/>
      <c r="Q107" s="147"/>
      <c r="R107" s="147"/>
      <c r="S107" s="147"/>
      <c r="T107" s="147"/>
      <c r="U107" s="147"/>
      <c r="V107" s="28"/>
    </row>
    <row r="108" spans="1:77" ht="16" x14ac:dyDescent="0.2">
      <c r="A108" s="206"/>
      <c r="C108" s="224"/>
      <c r="D108" s="35"/>
      <c r="E108" s="35"/>
      <c r="F108" s="35"/>
      <c r="G108" s="147"/>
      <c r="H108" s="147"/>
      <c r="I108" s="35"/>
      <c r="J108" s="147"/>
      <c r="K108" s="147"/>
      <c r="L108" s="28"/>
      <c r="M108" s="35"/>
      <c r="N108" s="35"/>
      <c r="O108" s="35"/>
      <c r="P108" s="147"/>
      <c r="Q108" s="147"/>
      <c r="R108" s="147"/>
      <c r="S108" s="147"/>
      <c r="T108" s="147"/>
      <c r="U108" s="147"/>
      <c r="V108" s="28"/>
    </row>
    <row r="109" spans="1:77" ht="16" x14ac:dyDescent="0.2">
      <c r="A109" s="206"/>
      <c r="C109" s="224"/>
      <c r="D109" s="35"/>
      <c r="E109" s="35"/>
      <c r="F109" s="35"/>
      <c r="G109" s="147"/>
      <c r="H109" s="147"/>
      <c r="I109" s="35"/>
      <c r="J109" s="147"/>
      <c r="K109" s="147"/>
      <c r="L109" s="28"/>
      <c r="M109" s="35"/>
      <c r="N109" s="35"/>
      <c r="O109" s="35"/>
      <c r="P109" s="147"/>
      <c r="Q109" s="147"/>
      <c r="R109" s="147"/>
      <c r="S109" s="147"/>
      <c r="T109" s="147"/>
      <c r="U109" s="147"/>
      <c r="V109" s="28"/>
    </row>
    <row r="110" spans="1:77" ht="16" x14ac:dyDescent="0.2">
      <c r="A110" s="206"/>
      <c r="C110" s="224"/>
      <c r="D110" s="35"/>
      <c r="E110" s="225"/>
      <c r="F110" s="35"/>
      <c r="G110" s="147"/>
      <c r="H110" s="147"/>
      <c r="I110" s="35"/>
      <c r="J110" s="147"/>
      <c r="K110" s="147"/>
      <c r="L110" s="28"/>
      <c r="M110" s="35"/>
      <c r="N110" s="35"/>
      <c r="O110" s="35"/>
      <c r="P110" s="147"/>
      <c r="Q110" s="147"/>
      <c r="R110" s="147"/>
      <c r="S110" s="147"/>
      <c r="T110" s="147"/>
      <c r="U110" s="147"/>
      <c r="V110" s="28"/>
    </row>
    <row r="111" spans="1:77" ht="16" x14ac:dyDescent="0.2">
      <c r="A111" s="206"/>
      <c r="C111" s="224"/>
      <c r="D111" s="35"/>
      <c r="E111" s="35"/>
      <c r="F111" s="35"/>
      <c r="G111" s="147"/>
      <c r="H111" s="147"/>
      <c r="I111" s="35"/>
      <c r="J111" s="147"/>
      <c r="K111" s="147"/>
      <c r="L111" s="28"/>
      <c r="M111" s="35"/>
      <c r="N111" s="35"/>
      <c r="O111" s="35"/>
      <c r="P111" s="147"/>
      <c r="Q111" s="147"/>
      <c r="R111" s="147"/>
      <c r="S111" s="147"/>
      <c r="T111" s="147"/>
      <c r="U111" s="147"/>
      <c r="V111" s="28"/>
    </row>
    <row r="112" spans="1:77" ht="16" x14ac:dyDescent="0.2">
      <c r="A112" s="206"/>
      <c r="C112" s="224"/>
      <c r="D112" s="35"/>
      <c r="E112" s="35"/>
      <c r="F112" s="35"/>
      <c r="G112" s="147"/>
      <c r="H112" s="147"/>
      <c r="I112" s="35"/>
      <c r="J112" s="147"/>
      <c r="K112" s="147"/>
      <c r="L112" s="28"/>
      <c r="M112" s="35"/>
      <c r="N112" s="35"/>
      <c r="O112" s="35"/>
      <c r="P112" s="147"/>
      <c r="Q112" s="147"/>
      <c r="R112" s="147"/>
      <c r="S112" s="147"/>
      <c r="T112" s="147"/>
      <c r="U112" s="147"/>
      <c r="V112" s="28"/>
    </row>
    <row r="113" spans="1:22" ht="16" x14ac:dyDescent="0.2">
      <c r="A113" s="206"/>
      <c r="C113" s="224"/>
      <c r="D113" s="35"/>
      <c r="E113" s="35"/>
      <c r="F113" s="35"/>
      <c r="G113" s="147"/>
      <c r="H113" s="147"/>
      <c r="I113" s="35"/>
      <c r="J113" s="147"/>
      <c r="K113" s="147"/>
      <c r="L113" s="28"/>
      <c r="M113" s="35"/>
      <c r="N113" s="35"/>
      <c r="O113" s="35"/>
      <c r="P113" s="147"/>
      <c r="Q113" s="147"/>
      <c r="R113" s="147"/>
      <c r="S113" s="147"/>
      <c r="T113" s="147"/>
      <c r="U113" s="147"/>
      <c r="V113" s="28"/>
    </row>
    <row r="114" spans="1:22" ht="15" x14ac:dyDescent="0.2">
      <c r="A114" s="206"/>
      <c r="B114" s="28"/>
      <c r="C114" s="28"/>
      <c r="D114" s="35"/>
      <c r="E114" s="35"/>
      <c r="F114" s="35"/>
      <c r="G114" s="141"/>
      <c r="H114" s="141"/>
      <c r="I114" s="35"/>
      <c r="J114" s="141"/>
      <c r="K114" s="141"/>
      <c r="L114" s="207"/>
      <c r="M114" s="35"/>
      <c r="N114" s="35"/>
      <c r="O114" s="35"/>
      <c r="P114" s="141"/>
      <c r="Q114" s="141"/>
      <c r="R114" s="141"/>
      <c r="S114" s="141"/>
      <c r="T114" s="141"/>
      <c r="U114" s="141"/>
      <c r="V114" s="207"/>
    </row>
    <row r="115" spans="1:22" ht="15" x14ac:dyDescent="0.2">
      <c r="A115" s="206"/>
      <c r="B115" s="28"/>
      <c r="C115" s="28"/>
      <c r="D115" s="35"/>
      <c r="E115" s="35"/>
      <c r="F115" s="35"/>
      <c r="G115" s="141"/>
      <c r="H115" s="141"/>
      <c r="I115" s="35"/>
      <c r="J115" s="141"/>
      <c r="K115" s="73"/>
      <c r="L115" s="207"/>
      <c r="M115" s="35"/>
      <c r="N115" s="35"/>
      <c r="O115" s="35"/>
      <c r="P115" s="141"/>
      <c r="Q115" s="141"/>
      <c r="R115" s="141"/>
      <c r="S115" s="141"/>
      <c r="T115" s="141"/>
      <c r="U115" s="73"/>
      <c r="V115" s="207"/>
    </row>
    <row r="116" spans="1:22" ht="15" x14ac:dyDescent="0.2">
      <c r="A116" s="206"/>
      <c r="B116" s="28"/>
      <c r="C116" s="28"/>
      <c r="D116" s="35"/>
      <c r="E116" s="35"/>
      <c r="F116" s="35"/>
      <c r="G116" s="141"/>
      <c r="H116" s="141"/>
      <c r="I116" s="35"/>
      <c r="J116" s="141"/>
      <c r="K116" s="73"/>
      <c r="L116" s="207"/>
      <c r="M116" s="35"/>
      <c r="N116" s="35"/>
      <c r="O116" s="35"/>
      <c r="P116" s="141"/>
      <c r="Q116" s="141"/>
      <c r="R116" s="141"/>
      <c r="S116" s="141"/>
      <c r="T116" s="141"/>
      <c r="U116" s="73"/>
      <c r="V116" s="207"/>
    </row>
    <row r="117" spans="1:22" ht="15" x14ac:dyDescent="0.2">
      <c r="A117" s="206"/>
      <c r="B117" s="28"/>
      <c r="C117" s="28"/>
      <c r="D117" s="208"/>
      <c r="E117" s="35"/>
      <c r="F117" s="35"/>
      <c r="G117" s="141"/>
      <c r="H117" s="141"/>
      <c r="I117" s="35"/>
      <c r="J117" s="141"/>
      <c r="K117" s="141"/>
      <c r="L117" s="28"/>
      <c r="M117" s="35"/>
      <c r="N117" s="35"/>
      <c r="O117" s="35"/>
      <c r="P117" s="141"/>
      <c r="Q117" s="141"/>
      <c r="R117" s="141"/>
      <c r="S117" s="141"/>
      <c r="T117" s="141"/>
      <c r="U117" s="141"/>
      <c r="V117" s="28"/>
    </row>
    <row r="118" spans="1:22" ht="15" x14ac:dyDescent="0.2">
      <c r="A118" s="206"/>
      <c r="B118" s="28"/>
      <c r="C118" s="28"/>
      <c r="D118" s="208"/>
      <c r="E118" s="35"/>
      <c r="F118" s="35"/>
      <c r="G118" s="141"/>
      <c r="H118" s="141"/>
      <c r="I118" s="35"/>
      <c r="J118" s="141"/>
      <c r="K118" s="141"/>
      <c r="L118" s="28"/>
      <c r="M118" s="35"/>
      <c r="N118" s="35"/>
      <c r="O118" s="35"/>
      <c r="P118" s="141"/>
      <c r="Q118" s="141"/>
      <c r="R118" s="141"/>
      <c r="S118" s="141"/>
      <c r="T118" s="141"/>
      <c r="U118" s="141"/>
      <c r="V118" s="28"/>
    </row>
    <row r="119" spans="1:22" ht="15" x14ac:dyDescent="0.2">
      <c r="A119" s="206"/>
      <c r="B119" s="28"/>
      <c r="C119" s="28"/>
      <c r="D119" s="208"/>
      <c r="E119" s="35"/>
      <c r="F119" s="35"/>
      <c r="G119" s="141"/>
      <c r="H119" s="141"/>
      <c r="I119" s="35"/>
      <c r="J119" s="141"/>
      <c r="K119" s="141"/>
      <c r="L119" s="141"/>
      <c r="M119" s="35"/>
      <c r="N119" s="35"/>
      <c r="O119" s="35"/>
      <c r="P119" s="141"/>
      <c r="Q119" s="141"/>
      <c r="R119" s="141"/>
      <c r="S119" s="141"/>
      <c r="T119" s="141"/>
      <c r="U119" s="141"/>
      <c r="V119" s="141"/>
    </row>
    <row r="120" spans="1:22" ht="15" x14ac:dyDescent="0.2">
      <c r="A120" s="206"/>
      <c r="B120" s="28"/>
      <c r="C120" s="28"/>
      <c r="D120" s="208"/>
      <c r="E120" s="35"/>
      <c r="F120" s="35"/>
      <c r="G120" s="141"/>
      <c r="H120" s="141"/>
      <c r="I120" s="35"/>
      <c r="J120" s="141"/>
      <c r="K120" s="141"/>
      <c r="L120" s="141"/>
      <c r="M120" s="35"/>
      <c r="N120" s="35"/>
      <c r="O120" s="35"/>
      <c r="P120" s="141"/>
      <c r="Q120" s="141"/>
      <c r="R120" s="141"/>
      <c r="S120" s="141"/>
      <c r="T120" s="141"/>
      <c r="U120" s="141"/>
      <c r="V120" s="141"/>
    </row>
    <row r="121" spans="1:22" ht="15" x14ac:dyDescent="0.2">
      <c r="A121" s="206"/>
      <c r="B121" s="28"/>
      <c r="C121" s="28"/>
      <c r="D121" s="208"/>
      <c r="E121" s="35"/>
      <c r="F121" s="35"/>
      <c r="G121" s="141"/>
      <c r="H121" s="141"/>
      <c r="I121" s="35"/>
      <c r="J121" s="141"/>
      <c r="K121" s="141"/>
      <c r="L121" s="141"/>
      <c r="M121" s="35"/>
      <c r="N121" s="35"/>
      <c r="O121" s="35"/>
      <c r="P121" s="141"/>
      <c r="Q121" s="141"/>
      <c r="R121" s="141"/>
      <c r="S121" s="141"/>
      <c r="T121" s="141"/>
      <c r="U121" s="141"/>
      <c r="V121" s="141"/>
    </row>
    <row r="122" spans="1:22" ht="15" x14ac:dyDescent="0.2">
      <c r="A122" s="206"/>
      <c r="B122" s="28"/>
      <c r="C122" s="28"/>
      <c r="D122" s="208"/>
      <c r="E122" s="35"/>
      <c r="F122" s="35"/>
      <c r="G122" s="141"/>
      <c r="H122" s="141"/>
      <c r="I122" s="35"/>
      <c r="J122" s="141"/>
      <c r="K122" s="141"/>
      <c r="L122" s="28"/>
      <c r="M122" s="35"/>
      <c r="N122" s="35"/>
      <c r="O122" s="35"/>
      <c r="P122" s="141"/>
      <c r="Q122" s="141"/>
      <c r="R122" s="141"/>
      <c r="S122" s="141"/>
      <c r="T122" s="141"/>
      <c r="U122" s="141"/>
      <c r="V122" s="28"/>
    </row>
    <row r="123" spans="1:22" ht="15" x14ac:dyDescent="0.2">
      <c r="A123" s="206"/>
      <c r="B123" s="28"/>
      <c r="C123" s="28"/>
      <c r="D123" s="208"/>
      <c r="E123" s="35"/>
      <c r="F123" s="35"/>
      <c r="G123" s="141"/>
      <c r="H123" s="141"/>
      <c r="I123" s="35"/>
      <c r="J123" s="141"/>
      <c r="K123" s="141"/>
      <c r="L123" s="141"/>
      <c r="M123" s="35"/>
      <c r="N123" s="35"/>
      <c r="O123" s="35"/>
      <c r="P123" s="141"/>
      <c r="Q123" s="141"/>
      <c r="R123" s="141"/>
      <c r="S123" s="141"/>
      <c r="T123" s="141"/>
      <c r="U123" s="141"/>
      <c r="V123" s="141"/>
    </row>
    <row r="124" spans="1:22" ht="15" x14ac:dyDescent="0.2">
      <c r="A124" s="206"/>
      <c r="B124" s="28"/>
      <c r="C124" s="28"/>
      <c r="D124" s="208"/>
      <c r="E124" s="35"/>
      <c r="F124" s="35"/>
      <c r="G124" s="141"/>
      <c r="H124" s="141"/>
      <c r="I124" s="35"/>
      <c r="J124" s="141"/>
      <c r="K124" s="141"/>
      <c r="L124" s="141"/>
      <c r="M124" s="35"/>
      <c r="N124" s="35"/>
      <c r="O124" s="35"/>
      <c r="P124" s="141"/>
      <c r="Q124" s="141"/>
      <c r="R124" s="141"/>
      <c r="S124" s="141"/>
      <c r="T124" s="141"/>
      <c r="U124" s="141"/>
      <c r="V124" s="141"/>
    </row>
    <row r="125" spans="1:22" ht="15" x14ac:dyDescent="0.2">
      <c r="A125" s="206"/>
      <c r="B125" s="28"/>
      <c r="C125" s="28"/>
      <c r="D125" s="208"/>
      <c r="E125" s="35"/>
      <c r="F125" s="35"/>
      <c r="G125" s="141"/>
      <c r="H125" s="141"/>
      <c r="I125" s="35"/>
      <c r="J125" s="141"/>
      <c r="K125" s="141"/>
      <c r="L125" s="141"/>
      <c r="M125" s="35"/>
      <c r="N125" s="35"/>
      <c r="O125" s="35"/>
      <c r="P125" s="141"/>
      <c r="Q125" s="141"/>
      <c r="R125" s="141"/>
      <c r="S125" s="141"/>
      <c r="T125" s="141"/>
      <c r="U125" s="141"/>
      <c r="V125" s="141"/>
    </row>
    <row r="126" spans="1:22" ht="15" x14ac:dyDescent="0.2">
      <c r="A126" s="207"/>
      <c r="B126" s="28"/>
      <c r="C126" s="206"/>
      <c r="D126" s="35"/>
      <c r="E126" s="35"/>
      <c r="F126" s="35"/>
      <c r="G126" s="141"/>
      <c r="H126" s="141"/>
      <c r="I126" s="35"/>
      <c r="J126" s="141"/>
      <c r="K126" s="141"/>
      <c r="L126" s="141"/>
      <c r="M126" s="35"/>
      <c r="N126" s="35"/>
      <c r="O126" s="35"/>
      <c r="P126" s="141"/>
      <c r="Q126" s="141"/>
      <c r="R126" s="141"/>
      <c r="S126" s="141"/>
      <c r="T126" s="141"/>
      <c r="U126" s="141"/>
      <c r="V126" s="141"/>
    </row>
    <row r="127" spans="1:22" ht="15" x14ac:dyDescent="0.2">
      <c r="A127" s="206"/>
      <c r="B127" s="206"/>
      <c r="C127" s="206"/>
      <c r="D127" s="35"/>
      <c r="E127" s="35"/>
      <c r="F127" s="35"/>
      <c r="G127" s="141"/>
      <c r="H127" s="141"/>
      <c r="I127" s="35"/>
      <c r="J127" s="141"/>
      <c r="K127" s="141"/>
      <c r="L127" s="141"/>
      <c r="M127" s="35"/>
      <c r="N127" s="35"/>
      <c r="O127" s="35"/>
      <c r="P127" s="141"/>
      <c r="Q127" s="141"/>
      <c r="R127" s="141"/>
      <c r="S127" s="141"/>
      <c r="T127" s="141"/>
      <c r="U127" s="141"/>
      <c r="V127" s="141"/>
    </row>
    <row r="128" spans="1:22" ht="15" x14ac:dyDescent="0.2">
      <c r="A128" s="206"/>
      <c r="B128" s="28"/>
      <c r="C128" s="207"/>
      <c r="D128" s="35"/>
      <c r="E128" s="35"/>
      <c r="F128" s="35"/>
      <c r="G128" s="141"/>
      <c r="H128" s="141"/>
      <c r="I128" s="35"/>
      <c r="J128" s="141"/>
      <c r="K128" s="141"/>
      <c r="L128" s="28"/>
      <c r="M128" s="35"/>
      <c r="N128" s="35"/>
      <c r="O128" s="35"/>
      <c r="P128" s="141"/>
      <c r="Q128" s="141"/>
      <c r="R128" s="141"/>
      <c r="S128" s="141"/>
      <c r="T128" s="141"/>
      <c r="U128" s="141"/>
      <c r="V128" s="28"/>
    </row>
    <row r="129" spans="1:22" ht="15" x14ac:dyDescent="0.2">
      <c r="A129" s="207"/>
      <c r="B129" s="28"/>
      <c r="C129" s="207"/>
      <c r="D129" s="35"/>
      <c r="E129" s="35"/>
      <c r="F129" s="35"/>
      <c r="G129" s="141"/>
      <c r="H129" s="141"/>
      <c r="I129" s="35"/>
      <c r="J129" s="141"/>
      <c r="K129" s="141"/>
      <c r="L129" s="28"/>
      <c r="M129" s="35"/>
      <c r="N129" s="35"/>
      <c r="O129" s="35"/>
      <c r="P129" s="141"/>
      <c r="Q129" s="141"/>
      <c r="R129" s="141"/>
      <c r="S129" s="141"/>
      <c r="T129" s="141"/>
      <c r="U129" s="141"/>
      <c r="V129" s="28"/>
    </row>
    <row r="130" spans="1:22" ht="15" x14ac:dyDescent="0.2">
      <c r="A130" s="207"/>
      <c r="B130" s="28"/>
      <c r="C130" s="207"/>
      <c r="D130" s="35"/>
      <c r="E130" s="35"/>
      <c r="F130" s="35"/>
      <c r="G130" s="141"/>
      <c r="H130" s="141"/>
      <c r="I130" s="35"/>
      <c r="J130" s="141"/>
      <c r="K130" s="141"/>
      <c r="L130" s="28"/>
      <c r="M130" s="35"/>
      <c r="N130" s="35"/>
      <c r="O130" s="35"/>
      <c r="P130" s="141"/>
      <c r="Q130" s="141"/>
      <c r="R130" s="141"/>
      <c r="S130" s="141"/>
      <c r="T130" s="141"/>
      <c r="U130" s="141"/>
      <c r="V130" s="28"/>
    </row>
    <row r="131" spans="1:22" ht="15" x14ac:dyDescent="0.2">
      <c r="A131" s="206"/>
      <c r="B131" s="28"/>
      <c r="C131" s="207"/>
      <c r="D131" s="35"/>
      <c r="E131" s="35"/>
      <c r="F131" s="35"/>
      <c r="G131" s="141"/>
      <c r="H131" s="141"/>
      <c r="I131" s="35"/>
      <c r="J131" s="141"/>
      <c r="K131" s="141"/>
      <c r="L131" s="28"/>
      <c r="M131" s="35"/>
      <c r="N131" s="35"/>
      <c r="O131" s="35"/>
      <c r="P131" s="141"/>
      <c r="Q131" s="141"/>
      <c r="R131" s="141"/>
      <c r="S131" s="141"/>
      <c r="T131" s="141"/>
      <c r="U131" s="141"/>
      <c r="V131" s="28"/>
    </row>
    <row r="132" spans="1:22" ht="15" x14ac:dyDescent="0.2">
      <c r="A132" s="206"/>
      <c r="B132" s="28"/>
      <c r="C132" s="207"/>
      <c r="D132" s="35"/>
      <c r="E132" s="35"/>
      <c r="F132" s="35"/>
      <c r="G132" s="141"/>
      <c r="H132" s="141"/>
      <c r="I132" s="35"/>
      <c r="J132" s="141"/>
      <c r="K132" s="141"/>
      <c r="L132" s="28"/>
      <c r="M132" s="35"/>
      <c r="N132" s="35"/>
      <c r="O132" s="35"/>
      <c r="P132" s="141"/>
      <c r="Q132" s="141"/>
      <c r="R132" s="141"/>
      <c r="S132" s="141"/>
      <c r="T132" s="141"/>
      <c r="U132" s="141"/>
      <c r="V132" s="28"/>
    </row>
    <row r="133" spans="1:22" ht="15" x14ac:dyDescent="0.2">
      <c r="A133" s="206"/>
      <c r="B133" s="28"/>
      <c r="C133" s="207"/>
      <c r="D133" s="35"/>
      <c r="E133" s="35"/>
      <c r="F133" s="35"/>
      <c r="G133" s="141"/>
      <c r="H133" s="141"/>
      <c r="I133" s="35"/>
      <c r="J133" s="141"/>
      <c r="K133" s="141"/>
      <c r="L133" s="28"/>
      <c r="M133" s="35"/>
      <c r="N133" s="35"/>
      <c r="O133" s="35"/>
      <c r="P133" s="141"/>
      <c r="Q133" s="141"/>
      <c r="R133" s="141"/>
      <c r="S133" s="141"/>
      <c r="T133" s="141"/>
      <c r="U133" s="141"/>
      <c r="V133" s="28"/>
    </row>
    <row r="134" spans="1:22" ht="15" x14ac:dyDescent="0.2">
      <c r="A134" s="206"/>
      <c r="B134" s="28"/>
      <c r="C134" s="207"/>
      <c r="D134" s="35"/>
      <c r="E134" s="35"/>
      <c r="F134" s="35"/>
      <c r="G134" s="141"/>
      <c r="H134" s="141"/>
      <c r="I134" s="35"/>
      <c r="J134" s="141"/>
      <c r="K134" s="141"/>
      <c r="L134" s="28"/>
      <c r="M134" s="35"/>
      <c r="N134" s="35"/>
      <c r="O134" s="35"/>
      <c r="P134" s="141"/>
      <c r="Q134" s="141"/>
      <c r="R134" s="141"/>
      <c r="S134" s="141"/>
      <c r="T134" s="141"/>
      <c r="U134" s="141"/>
      <c r="V134" s="28"/>
    </row>
    <row r="135" spans="1:22" ht="15" x14ac:dyDescent="0.2">
      <c r="A135" s="206"/>
      <c r="B135" s="28"/>
      <c r="C135" s="207"/>
      <c r="D135" s="35"/>
      <c r="E135" s="35"/>
      <c r="F135" s="35"/>
      <c r="G135" s="141"/>
      <c r="H135" s="141"/>
      <c r="I135" s="35"/>
      <c r="J135" s="141"/>
      <c r="K135" s="141"/>
      <c r="L135" s="28"/>
      <c r="M135" s="35"/>
      <c r="N135" s="35"/>
      <c r="O135" s="35"/>
      <c r="P135" s="141"/>
      <c r="Q135" s="141"/>
      <c r="R135" s="141"/>
      <c r="S135" s="141"/>
      <c r="T135" s="141"/>
      <c r="U135" s="141"/>
      <c r="V135" s="28"/>
    </row>
    <row r="136" spans="1:22" ht="15" x14ac:dyDescent="0.2">
      <c r="A136" s="206"/>
      <c r="B136" s="218"/>
      <c r="C136" s="207"/>
      <c r="D136" s="35"/>
      <c r="E136" s="35"/>
      <c r="F136" s="35"/>
      <c r="G136" s="141"/>
      <c r="H136" s="141"/>
      <c r="I136" s="35"/>
      <c r="J136" s="141"/>
      <c r="K136" s="141"/>
      <c r="L136" s="28"/>
      <c r="M136" s="35"/>
      <c r="N136" s="35"/>
      <c r="O136" s="35"/>
      <c r="P136" s="141"/>
      <c r="Q136" s="141"/>
      <c r="R136" s="141"/>
      <c r="S136" s="142"/>
      <c r="T136" s="141"/>
      <c r="U136" s="141"/>
      <c r="V136" s="28"/>
    </row>
    <row r="137" spans="1:22" ht="15" x14ac:dyDescent="0.2">
      <c r="A137" s="206"/>
      <c r="B137" s="28"/>
      <c r="C137" s="207"/>
      <c r="D137" s="35"/>
      <c r="E137" s="35"/>
      <c r="F137" s="35"/>
      <c r="G137" s="141"/>
      <c r="H137" s="141"/>
      <c r="I137" s="35"/>
      <c r="J137" s="141"/>
      <c r="K137" s="141"/>
      <c r="L137" s="28"/>
      <c r="M137" s="35"/>
      <c r="N137" s="35"/>
      <c r="O137" s="35"/>
      <c r="P137" s="141"/>
      <c r="Q137" s="141"/>
      <c r="R137" s="141"/>
      <c r="S137" s="141"/>
      <c r="T137" s="141"/>
      <c r="U137" s="141"/>
      <c r="V137" s="28"/>
    </row>
    <row r="138" spans="1:22" ht="15" x14ac:dyDescent="0.2">
      <c r="A138" s="206"/>
      <c r="B138" s="28"/>
      <c r="C138" s="207"/>
      <c r="D138" s="35"/>
      <c r="E138" s="35"/>
      <c r="F138" s="35"/>
      <c r="G138" s="141"/>
      <c r="H138" s="141"/>
      <c r="I138" s="35"/>
      <c r="J138" s="141"/>
      <c r="K138" s="141"/>
      <c r="L138" s="28"/>
      <c r="M138" s="35"/>
      <c r="N138" s="35"/>
      <c r="O138" s="35"/>
      <c r="P138" s="141"/>
      <c r="Q138" s="141"/>
      <c r="R138" s="141"/>
      <c r="S138" s="141"/>
      <c r="T138" s="141"/>
      <c r="U138" s="141"/>
      <c r="V138" s="28"/>
    </row>
    <row r="139" spans="1:22" ht="15" x14ac:dyDescent="0.2">
      <c r="A139" s="206"/>
      <c r="B139" s="28"/>
      <c r="C139" s="207"/>
      <c r="D139" s="35"/>
      <c r="E139" s="35"/>
      <c r="F139" s="35"/>
      <c r="G139" s="141"/>
      <c r="H139" s="141"/>
      <c r="I139" s="35"/>
      <c r="J139" s="141"/>
      <c r="K139" s="141"/>
      <c r="L139" s="28"/>
      <c r="M139" s="35"/>
      <c r="N139" s="35"/>
      <c r="O139" s="35"/>
      <c r="P139" s="141"/>
      <c r="Q139" s="141"/>
      <c r="R139" s="141"/>
      <c r="S139" s="141"/>
      <c r="T139" s="141"/>
      <c r="U139" s="141"/>
      <c r="V139" s="28"/>
    </row>
    <row r="140" spans="1:22" ht="15" x14ac:dyDescent="0.2">
      <c r="A140" s="206"/>
      <c r="B140" s="28"/>
      <c r="C140" s="207"/>
      <c r="D140" s="35"/>
      <c r="E140" s="35"/>
      <c r="F140" s="35"/>
      <c r="G140" s="141"/>
      <c r="H140" s="141"/>
      <c r="I140" s="35"/>
      <c r="J140" s="141"/>
      <c r="K140" s="141"/>
      <c r="L140" s="28"/>
      <c r="M140" s="35"/>
      <c r="N140" s="35"/>
      <c r="O140" s="35"/>
      <c r="P140" s="141"/>
      <c r="Q140" s="141"/>
      <c r="R140" s="141"/>
      <c r="S140" s="141"/>
      <c r="T140" s="141"/>
      <c r="U140" s="141"/>
      <c r="V140" s="28"/>
    </row>
    <row r="141" spans="1:22" ht="15" x14ac:dyDescent="0.2">
      <c r="A141" s="206"/>
      <c r="B141" s="28"/>
      <c r="C141" s="207"/>
      <c r="D141" s="35"/>
      <c r="E141" s="35"/>
      <c r="F141" s="35"/>
      <c r="G141" s="141"/>
      <c r="H141" s="141"/>
      <c r="I141" s="35"/>
      <c r="J141" s="141"/>
      <c r="K141" s="141"/>
      <c r="L141" s="28"/>
      <c r="M141" s="35"/>
      <c r="N141" s="35"/>
      <c r="O141" s="35"/>
      <c r="P141" s="141"/>
      <c r="Q141" s="141"/>
      <c r="R141" s="141"/>
      <c r="S141" s="141"/>
      <c r="T141" s="141"/>
      <c r="U141" s="141"/>
      <c r="V141" s="28"/>
    </row>
    <row r="142" spans="1:22" ht="15" x14ac:dyDescent="0.2">
      <c r="A142" s="207"/>
      <c r="B142" s="28"/>
      <c r="C142" s="207"/>
      <c r="D142" s="35"/>
      <c r="E142" s="35"/>
      <c r="F142" s="35"/>
      <c r="G142" s="141"/>
      <c r="H142" s="141"/>
      <c r="I142" s="35"/>
      <c r="J142" s="141"/>
      <c r="K142" s="141"/>
      <c r="L142" s="28"/>
      <c r="M142" s="35"/>
      <c r="N142" s="35"/>
      <c r="O142" s="35"/>
      <c r="P142" s="141"/>
      <c r="Q142" s="141"/>
      <c r="R142" s="141"/>
      <c r="S142" s="141"/>
      <c r="T142" s="141"/>
      <c r="U142" s="141"/>
      <c r="V142" s="28"/>
    </row>
    <row r="143" spans="1:22" ht="15" x14ac:dyDescent="0.2">
      <c r="A143" s="206"/>
      <c r="B143" s="28"/>
      <c r="C143" s="207"/>
      <c r="D143" s="35"/>
      <c r="E143" s="35"/>
      <c r="F143" s="35"/>
      <c r="G143" s="141"/>
      <c r="H143" s="141"/>
      <c r="I143" s="35"/>
      <c r="J143" s="141"/>
      <c r="K143" s="141"/>
      <c r="L143" s="28"/>
      <c r="M143" s="35"/>
      <c r="N143" s="35"/>
      <c r="O143" s="35"/>
      <c r="P143" s="141"/>
      <c r="Q143" s="141"/>
      <c r="R143" s="141"/>
      <c r="S143" s="142"/>
      <c r="T143" s="141"/>
      <c r="U143" s="141"/>
      <c r="V143" s="28"/>
    </row>
    <row r="144" spans="1:22" ht="15" x14ac:dyDescent="0.2">
      <c r="A144" s="206"/>
      <c r="B144" s="28"/>
      <c r="C144" s="207"/>
      <c r="D144" s="35"/>
      <c r="E144" s="35"/>
      <c r="F144" s="35"/>
      <c r="G144" s="142"/>
      <c r="H144" s="141"/>
      <c r="I144" s="35"/>
      <c r="J144" s="141"/>
      <c r="K144" s="141"/>
      <c r="L144" s="28"/>
      <c r="M144" s="35"/>
      <c r="N144" s="35"/>
      <c r="O144" s="35"/>
      <c r="P144" s="142"/>
      <c r="Q144" s="141"/>
      <c r="R144" s="142"/>
      <c r="S144" s="142"/>
      <c r="T144" s="141"/>
      <c r="U144" s="141"/>
      <c r="V144" s="28"/>
    </row>
    <row r="145" spans="1:22" ht="15" x14ac:dyDescent="0.2">
      <c r="A145" s="206"/>
      <c r="B145" s="28"/>
      <c r="C145" s="207"/>
      <c r="D145" s="35"/>
      <c r="E145" s="35"/>
      <c r="F145" s="35"/>
      <c r="G145" s="141"/>
      <c r="H145" s="141"/>
      <c r="I145" s="35"/>
      <c r="J145" s="141"/>
      <c r="K145" s="141"/>
      <c r="L145" s="28"/>
      <c r="M145" s="35"/>
      <c r="N145" s="35"/>
      <c r="O145" s="35"/>
      <c r="P145" s="141"/>
      <c r="Q145" s="141"/>
      <c r="R145" s="141"/>
      <c r="S145" s="142"/>
      <c r="T145" s="141"/>
      <c r="U145" s="141"/>
      <c r="V145" s="28"/>
    </row>
    <row r="146" spans="1:22" ht="15" x14ac:dyDescent="0.2">
      <c r="A146" s="206"/>
      <c r="B146" s="28"/>
      <c r="C146" s="207"/>
      <c r="D146" s="35"/>
      <c r="E146" s="35"/>
      <c r="F146" s="35"/>
      <c r="G146" s="141"/>
      <c r="H146" s="141"/>
      <c r="I146" s="35"/>
      <c r="J146" s="141"/>
      <c r="K146" s="141"/>
      <c r="L146" s="28"/>
      <c r="M146" s="35"/>
      <c r="N146" s="35"/>
      <c r="O146" s="35"/>
      <c r="P146" s="141"/>
      <c r="Q146" s="141"/>
      <c r="R146" s="141"/>
      <c r="S146" s="141"/>
      <c r="T146" s="141"/>
      <c r="U146" s="141"/>
      <c r="V146" s="28"/>
    </row>
    <row r="147" spans="1:22" ht="15" x14ac:dyDescent="0.2">
      <c r="A147" s="206"/>
      <c r="B147" s="28"/>
      <c r="C147" s="207"/>
      <c r="D147" s="35"/>
      <c r="E147" s="35"/>
      <c r="F147" s="35"/>
      <c r="G147" s="141"/>
      <c r="H147" s="141"/>
      <c r="I147" s="35"/>
      <c r="J147" s="141"/>
      <c r="K147" s="141"/>
      <c r="L147" s="28"/>
      <c r="M147" s="35"/>
      <c r="N147" s="35"/>
      <c r="O147" s="35"/>
      <c r="P147" s="141"/>
      <c r="Q147" s="141"/>
      <c r="R147" s="141"/>
      <c r="S147" s="142"/>
      <c r="T147" s="141"/>
      <c r="U147" s="141"/>
      <c r="V147" s="28"/>
    </row>
    <row r="148" spans="1:22" ht="15" x14ac:dyDescent="0.2">
      <c r="A148" s="207"/>
      <c r="B148" s="28"/>
      <c r="C148" s="207"/>
      <c r="D148" s="35"/>
      <c r="E148" s="35"/>
      <c r="F148" s="35"/>
      <c r="G148" s="141"/>
      <c r="H148" s="141"/>
      <c r="I148" s="35"/>
      <c r="J148" s="141"/>
      <c r="K148" s="141"/>
      <c r="L148" s="28"/>
      <c r="M148" s="35"/>
      <c r="N148" s="35"/>
      <c r="O148" s="35"/>
      <c r="P148" s="141"/>
      <c r="Q148" s="141"/>
      <c r="R148" s="141"/>
      <c r="S148" s="141"/>
      <c r="T148" s="141"/>
      <c r="U148" s="141"/>
      <c r="V148" s="28"/>
    </row>
    <row r="149" spans="1:22" ht="15" x14ac:dyDescent="0.2">
      <c r="A149" s="207"/>
      <c r="B149" s="206"/>
      <c r="C149" s="28"/>
      <c r="D149" s="35"/>
      <c r="E149" s="35"/>
      <c r="F149" s="35"/>
      <c r="G149" s="141"/>
      <c r="H149" s="141"/>
      <c r="I149" s="35"/>
      <c r="J149" s="141"/>
      <c r="K149" s="141"/>
      <c r="L149" s="28"/>
      <c r="M149" s="35"/>
      <c r="N149" s="35"/>
      <c r="O149" s="35"/>
      <c r="P149" s="141"/>
      <c r="Q149" s="141"/>
      <c r="R149" s="141"/>
      <c r="S149" s="141"/>
      <c r="T149" s="141"/>
      <c r="U149" s="141"/>
      <c r="V149" s="28"/>
    </row>
  </sheetData>
  <sortState xmlns:xlrd2="http://schemas.microsoft.com/office/spreadsheetml/2017/richdata2" ref="A2:BY149">
    <sortCondition ref="G1:G149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97D5-6B6B-8B4F-9A85-315EE2E78AB7}">
  <dimension ref="A1:AD794"/>
  <sheetViews>
    <sheetView topLeftCell="A774" zoomScale="125" zoomScaleNormal="125" workbookViewId="0">
      <pane xSplit="2" topLeftCell="G1" activePane="topRight" state="frozen"/>
      <selection activeCell="A296" sqref="A296"/>
      <selection pane="topRight" activeCell="P799" sqref="P799"/>
    </sheetView>
  </sheetViews>
  <sheetFormatPr baseColWidth="10" defaultRowHeight="13" x14ac:dyDescent="0.15"/>
  <cols>
    <col min="1" max="1" width="12.6640625" bestFit="1" customWidth="1"/>
    <col min="2" max="2" width="14.33203125" style="20" bestFit="1" customWidth="1"/>
    <col min="3" max="5" width="14.33203125" style="20" customWidth="1"/>
    <col min="6" max="6" width="14.33203125" customWidth="1"/>
    <col min="7" max="10" width="11.6640625" bestFit="1" customWidth="1"/>
    <col min="11" max="11" width="13.1640625" bestFit="1" customWidth="1"/>
    <col min="12" max="12" width="12.5" customWidth="1"/>
    <col min="13" max="13" width="11.6640625" bestFit="1" customWidth="1"/>
    <col min="14" max="17" width="9" customWidth="1"/>
    <col min="18" max="18" width="10.83203125" style="34" bestFit="1" customWidth="1"/>
    <col min="19" max="19" width="12.83203125" bestFit="1" customWidth="1"/>
    <col min="20" max="20" width="10.6640625" bestFit="1" customWidth="1"/>
  </cols>
  <sheetData>
    <row r="1" spans="1:24" x14ac:dyDescent="0.15">
      <c r="A1" s="24" t="s">
        <v>402</v>
      </c>
      <c r="B1" s="29" t="s">
        <v>511</v>
      </c>
      <c r="C1" s="29" t="s">
        <v>784</v>
      </c>
      <c r="D1" s="29" t="s">
        <v>81</v>
      </c>
      <c r="E1" s="29" t="s">
        <v>660</v>
      </c>
      <c r="F1" s="29" t="s">
        <v>442</v>
      </c>
      <c r="G1" s="29" t="s">
        <v>510</v>
      </c>
      <c r="H1" s="29" t="s">
        <v>583</v>
      </c>
      <c r="I1" s="24" t="s">
        <v>517</v>
      </c>
      <c r="J1" s="32" t="s">
        <v>541</v>
      </c>
      <c r="K1" s="32" t="s">
        <v>542</v>
      </c>
      <c r="L1" s="3" t="s">
        <v>602</v>
      </c>
      <c r="M1" s="3" t="s">
        <v>641</v>
      </c>
      <c r="N1" s="3" t="s">
        <v>644</v>
      </c>
      <c r="O1" s="3" t="s">
        <v>983</v>
      </c>
      <c r="P1" s="3" t="s">
        <v>682</v>
      </c>
      <c r="Q1" s="3" t="s">
        <v>683</v>
      </c>
      <c r="R1" s="130" t="s">
        <v>543</v>
      </c>
      <c r="S1" s="3" t="s">
        <v>544</v>
      </c>
      <c r="T1" s="3" t="s">
        <v>603</v>
      </c>
      <c r="U1" s="3" t="s">
        <v>642</v>
      </c>
      <c r="V1" s="3" t="s">
        <v>646</v>
      </c>
      <c r="W1" s="3" t="s">
        <v>684</v>
      </c>
      <c r="X1" s="3" t="s">
        <v>685</v>
      </c>
    </row>
    <row r="2" spans="1:24" ht="16" x14ac:dyDescent="0.2">
      <c r="A2" t="s">
        <v>867</v>
      </c>
      <c r="B2" s="224" t="s">
        <v>513</v>
      </c>
      <c r="C2" s="224" t="s">
        <v>824</v>
      </c>
      <c r="D2" s="35" t="s">
        <v>148</v>
      </c>
      <c r="E2" s="35" t="s">
        <v>661</v>
      </c>
      <c r="F2" s="35" t="s">
        <v>374</v>
      </c>
      <c r="G2" s="35" t="s">
        <v>627</v>
      </c>
      <c r="H2" s="35" t="s">
        <v>580</v>
      </c>
      <c r="I2" s="147">
        <v>1842</v>
      </c>
      <c r="J2" s="34">
        <v>1807.2316000000001</v>
      </c>
      <c r="K2" s="34">
        <f t="shared" ref="K2:K65" si="0">J2-I2</f>
        <v>-34.768399999999929</v>
      </c>
      <c r="L2" s="56">
        <f t="shared" ref="L2:L65" si="1">K2^2</f>
        <v>1208.8416385599951</v>
      </c>
      <c r="M2" s="56">
        <f t="shared" ref="M2:M65" si="2">SQRT(L2)</f>
        <v>34.768399999999929</v>
      </c>
      <c r="N2" s="56">
        <f t="shared" ref="N2:N65" si="3">LOG10(M2+1)</f>
        <v>1.5534995136263974</v>
      </c>
      <c r="O2" s="56">
        <f>N2*SIGN(K2)</f>
        <v>-1.5534995136263974</v>
      </c>
      <c r="P2" s="143">
        <f t="shared" ref="P2:P65" si="4">100*K2/I2</f>
        <v>-1.8875352877307237</v>
      </c>
      <c r="Q2" s="143">
        <f t="shared" ref="Q2:Q65" si="5">ABS(P2)</f>
        <v>1.8875352877307237</v>
      </c>
      <c r="R2" s="34">
        <v>1873.1750000000002</v>
      </c>
      <c r="S2" s="56">
        <f t="shared" ref="S2:S65" si="6">R2-I2</f>
        <v>31.175000000000182</v>
      </c>
      <c r="T2" s="56">
        <f t="shared" ref="T2:T65" si="7">S2^2</f>
        <v>971.88062500001138</v>
      </c>
      <c r="U2" s="56">
        <f t="shared" ref="U2:U65" si="8">SQRT(T2)</f>
        <v>31.175000000000182</v>
      </c>
      <c r="V2" s="56">
        <f t="shared" ref="V2:V65" si="9">LOG10(U2+1)</f>
        <v>1.5075185555764268</v>
      </c>
      <c r="W2" s="33">
        <f t="shared" ref="W2:W65" si="10">100*S2/I2</f>
        <v>1.6924538545059817</v>
      </c>
      <c r="X2" s="143">
        <f t="shared" ref="X2:X65" si="11">ABS(W2)</f>
        <v>1.6924538545059817</v>
      </c>
    </row>
    <row r="3" spans="1:24" ht="16" x14ac:dyDescent="0.2">
      <c r="A3" t="s">
        <v>868</v>
      </c>
      <c r="B3" s="224" t="s">
        <v>513</v>
      </c>
      <c r="C3" s="224" t="s">
        <v>824</v>
      </c>
      <c r="D3" s="35" t="s">
        <v>148</v>
      </c>
      <c r="E3" s="35" t="s">
        <v>661</v>
      </c>
      <c r="F3" s="35" t="s">
        <v>374</v>
      </c>
      <c r="G3" s="35" t="s">
        <v>627</v>
      </c>
      <c r="H3" s="35" t="s">
        <v>580</v>
      </c>
      <c r="I3" s="147">
        <v>1530</v>
      </c>
      <c r="J3" s="34">
        <v>1632.5147999999999</v>
      </c>
      <c r="K3" s="34">
        <f t="shared" si="0"/>
        <v>102.51479999999992</v>
      </c>
      <c r="L3" s="56">
        <f t="shared" si="1"/>
        <v>10509.284219039984</v>
      </c>
      <c r="M3" s="56">
        <f t="shared" si="2"/>
        <v>102.51479999999992</v>
      </c>
      <c r="N3" s="56">
        <f t="shared" si="3"/>
        <v>2.0150024473660868</v>
      </c>
      <c r="O3" s="56">
        <f t="shared" ref="O3:O66" si="12">N3*SIGN(K3)</f>
        <v>2.0150024473660868</v>
      </c>
      <c r="P3" s="143">
        <f t="shared" si="4"/>
        <v>6.700313725490191</v>
      </c>
      <c r="Q3" s="143">
        <f t="shared" si="5"/>
        <v>6.700313725490191</v>
      </c>
      <c r="R3" s="34">
        <v>1705.5050000000001</v>
      </c>
      <c r="S3" s="56">
        <f t="shared" si="6"/>
        <v>175.50500000000011</v>
      </c>
      <c r="T3" s="56">
        <f t="shared" si="7"/>
        <v>30802.005025000039</v>
      </c>
      <c r="U3" s="56">
        <f t="shared" si="8"/>
        <v>175.50500000000011</v>
      </c>
      <c r="V3" s="56">
        <f t="shared" si="9"/>
        <v>2.2467570125094092</v>
      </c>
      <c r="W3" s="33">
        <f t="shared" si="10"/>
        <v>11.470915032679745</v>
      </c>
      <c r="X3" s="143">
        <f t="shared" si="11"/>
        <v>11.470915032679745</v>
      </c>
    </row>
    <row r="4" spans="1:24" ht="16" x14ac:dyDescent="0.2">
      <c r="A4" t="s">
        <v>869</v>
      </c>
      <c r="B4" s="224" t="s">
        <v>513</v>
      </c>
      <c r="C4" s="224" t="s">
        <v>824</v>
      </c>
      <c r="D4" s="35" t="s">
        <v>148</v>
      </c>
      <c r="E4" s="35" t="s">
        <v>661</v>
      </c>
      <c r="F4" s="35" t="s">
        <v>374</v>
      </c>
      <c r="G4" s="35" t="s">
        <v>627</v>
      </c>
      <c r="H4" s="35" t="s">
        <v>580</v>
      </c>
      <c r="I4" s="147">
        <v>1686</v>
      </c>
      <c r="J4" s="34">
        <v>1736.2529</v>
      </c>
      <c r="K4" s="34">
        <f t="shared" si="0"/>
        <v>50.252899999999954</v>
      </c>
      <c r="L4" s="56">
        <f t="shared" si="1"/>
        <v>2525.3539584099954</v>
      </c>
      <c r="M4" s="56">
        <f t="shared" si="2"/>
        <v>50.252899999999954</v>
      </c>
      <c r="N4" s="56">
        <f t="shared" si="3"/>
        <v>1.70971844374468</v>
      </c>
      <c r="O4" s="56">
        <f t="shared" si="12"/>
        <v>1.70971844374468</v>
      </c>
      <c r="P4" s="143">
        <f t="shared" si="4"/>
        <v>2.9805990510083009</v>
      </c>
      <c r="Q4" s="143">
        <f t="shared" si="5"/>
        <v>2.9805990510083009</v>
      </c>
      <c r="R4" s="34">
        <v>1789.3400000000001</v>
      </c>
      <c r="S4" s="56">
        <f t="shared" si="6"/>
        <v>103.34000000000015</v>
      </c>
      <c r="T4" s="56">
        <f t="shared" si="7"/>
        <v>10679.155600000031</v>
      </c>
      <c r="U4" s="56">
        <f t="shared" si="8"/>
        <v>103.34000000000015</v>
      </c>
      <c r="V4" s="56">
        <f t="shared" si="9"/>
        <v>2.0184508323863568</v>
      </c>
      <c r="W4" s="33">
        <f t="shared" si="10"/>
        <v>6.1293001186239708</v>
      </c>
      <c r="X4" s="143">
        <f t="shared" si="11"/>
        <v>6.1293001186239708</v>
      </c>
    </row>
    <row r="5" spans="1:24" ht="16" x14ac:dyDescent="0.2">
      <c r="A5" t="s">
        <v>870</v>
      </c>
      <c r="B5" s="224" t="s">
        <v>513</v>
      </c>
      <c r="C5" s="224" t="s">
        <v>824</v>
      </c>
      <c r="D5" s="35" t="s">
        <v>148</v>
      </c>
      <c r="E5" s="35" t="s">
        <v>661</v>
      </c>
      <c r="F5" s="35" t="s">
        <v>374</v>
      </c>
      <c r="G5" s="35" t="s">
        <v>627</v>
      </c>
      <c r="H5" s="35" t="s">
        <v>580</v>
      </c>
      <c r="I5" s="147">
        <v>1582</v>
      </c>
      <c r="J5" s="34">
        <v>1654.3544000000002</v>
      </c>
      <c r="K5" s="34">
        <f t="shared" si="0"/>
        <v>72.354400000000169</v>
      </c>
      <c r="L5" s="56">
        <f t="shared" si="1"/>
        <v>5235.1591993600241</v>
      </c>
      <c r="M5" s="56">
        <f t="shared" si="2"/>
        <v>72.354400000000169</v>
      </c>
      <c r="N5" s="56">
        <f t="shared" si="3"/>
        <v>1.8654261691460212</v>
      </c>
      <c r="O5" s="56">
        <f t="shared" si="12"/>
        <v>1.8654261691460212</v>
      </c>
      <c r="P5" s="143">
        <f t="shared" si="4"/>
        <v>4.5736030341340186</v>
      </c>
      <c r="Q5" s="143">
        <f t="shared" si="5"/>
        <v>4.5736030341340186</v>
      </c>
      <c r="R5" s="34">
        <v>1699.9160000000002</v>
      </c>
      <c r="S5" s="56">
        <f t="shared" si="6"/>
        <v>117.91600000000017</v>
      </c>
      <c r="T5" s="56">
        <f t="shared" si="7"/>
        <v>13904.18305600004</v>
      </c>
      <c r="U5" s="56">
        <f t="shared" si="8"/>
        <v>117.91600000000017</v>
      </c>
      <c r="V5" s="56">
        <f t="shared" si="9"/>
        <v>2.0752402923328992</v>
      </c>
      <c r="W5" s="33">
        <f t="shared" si="10"/>
        <v>7.4536030341340185</v>
      </c>
      <c r="X5" s="143">
        <f t="shared" si="11"/>
        <v>7.4536030341340185</v>
      </c>
    </row>
    <row r="6" spans="1:24" ht="16" x14ac:dyDescent="0.2">
      <c r="A6" t="s">
        <v>871</v>
      </c>
      <c r="B6" s="224" t="s">
        <v>513</v>
      </c>
      <c r="C6" s="224" t="s">
        <v>824</v>
      </c>
      <c r="D6" s="35" t="s">
        <v>148</v>
      </c>
      <c r="E6" s="35" t="s">
        <v>661</v>
      </c>
      <c r="F6" s="35" t="s">
        <v>374</v>
      </c>
      <c r="G6" s="35" t="s">
        <v>627</v>
      </c>
      <c r="H6" s="35" t="s">
        <v>580</v>
      </c>
      <c r="I6" s="147">
        <v>1575</v>
      </c>
      <c r="J6" s="34">
        <v>1599.7554</v>
      </c>
      <c r="K6" s="34">
        <f t="shared" si="0"/>
        <v>24.755400000000009</v>
      </c>
      <c r="L6" s="56">
        <f t="shared" si="1"/>
        <v>612.82982916000049</v>
      </c>
      <c r="M6" s="56">
        <f t="shared" si="2"/>
        <v>24.755400000000009</v>
      </c>
      <c r="N6" s="56">
        <f t="shared" si="3"/>
        <v>1.410868299176558</v>
      </c>
      <c r="O6" s="56">
        <f t="shared" si="12"/>
        <v>1.410868299176558</v>
      </c>
      <c r="P6" s="143">
        <f t="shared" si="4"/>
        <v>1.571771428571429</v>
      </c>
      <c r="Q6" s="143">
        <f t="shared" si="5"/>
        <v>1.571771428571429</v>
      </c>
      <c r="R6" s="34">
        <v>1649.6150000000002</v>
      </c>
      <c r="S6" s="56">
        <f t="shared" si="6"/>
        <v>74.615000000000236</v>
      </c>
      <c r="T6" s="56">
        <f t="shared" si="7"/>
        <v>5567.3982250000354</v>
      </c>
      <c r="U6" s="56">
        <f t="shared" si="8"/>
        <v>74.615000000000236</v>
      </c>
      <c r="V6" s="56">
        <f t="shared" si="9"/>
        <v>1.8786079564938332</v>
      </c>
      <c r="W6" s="33">
        <f t="shared" si="10"/>
        <v>4.7374603174603322</v>
      </c>
      <c r="X6" s="143">
        <f t="shared" si="11"/>
        <v>4.7374603174603322</v>
      </c>
    </row>
    <row r="7" spans="1:24" ht="16" x14ac:dyDescent="0.2">
      <c r="A7" t="s">
        <v>872</v>
      </c>
      <c r="B7" s="224" t="s">
        <v>513</v>
      </c>
      <c r="C7" s="224" t="s">
        <v>824</v>
      </c>
      <c r="D7" s="35" t="s">
        <v>148</v>
      </c>
      <c r="E7" s="35" t="s">
        <v>661</v>
      </c>
      <c r="F7" s="35" t="s">
        <v>374</v>
      </c>
      <c r="G7" s="35" t="s">
        <v>627</v>
      </c>
      <c r="H7" s="35" t="s">
        <v>580</v>
      </c>
      <c r="I7" s="147">
        <v>1684</v>
      </c>
      <c r="J7" s="34">
        <v>1758.0925000000002</v>
      </c>
      <c r="K7" s="34">
        <f t="shared" si="0"/>
        <v>74.0925000000002</v>
      </c>
      <c r="L7" s="56">
        <f t="shared" si="1"/>
        <v>5489.6985562500295</v>
      </c>
      <c r="M7" s="56">
        <f t="shared" si="2"/>
        <v>74.0925000000002</v>
      </c>
      <c r="N7" s="56">
        <f t="shared" si="3"/>
        <v>1.8755965632189675</v>
      </c>
      <c r="O7" s="56">
        <f t="shared" si="12"/>
        <v>1.8755965632189675</v>
      </c>
      <c r="P7" s="143">
        <f t="shared" si="4"/>
        <v>4.3997921615202022</v>
      </c>
      <c r="Q7" s="143">
        <f t="shared" si="5"/>
        <v>4.3997921615202022</v>
      </c>
      <c r="R7" s="34">
        <v>1755.8060000000005</v>
      </c>
      <c r="S7" s="56">
        <f t="shared" si="6"/>
        <v>71.806000000000495</v>
      </c>
      <c r="T7" s="56">
        <f t="shared" si="7"/>
        <v>5156.1016360000713</v>
      </c>
      <c r="U7" s="56">
        <f t="shared" si="8"/>
        <v>71.806000000000495</v>
      </c>
      <c r="V7" s="56">
        <f t="shared" si="9"/>
        <v>1.8621671713393699</v>
      </c>
      <c r="W7" s="33">
        <f t="shared" si="10"/>
        <v>4.2640142517815018</v>
      </c>
      <c r="X7" s="143">
        <f t="shared" si="11"/>
        <v>4.2640142517815018</v>
      </c>
    </row>
    <row r="8" spans="1:24" ht="16" x14ac:dyDescent="0.2">
      <c r="A8" t="s">
        <v>873</v>
      </c>
      <c r="B8" s="224" t="s">
        <v>513</v>
      </c>
      <c r="C8" s="224" t="s">
        <v>824</v>
      </c>
      <c r="D8" s="35" t="s">
        <v>148</v>
      </c>
      <c r="E8" s="35" t="s">
        <v>661</v>
      </c>
      <c r="F8" s="35" t="s">
        <v>374</v>
      </c>
      <c r="G8" s="35" t="s">
        <v>627</v>
      </c>
      <c r="H8" s="35" t="s">
        <v>580</v>
      </c>
      <c r="I8" s="147">
        <v>1646</v>
      </c>
      <c r="J8" s="34">
        <v>1730.7930000000001</v>
      </c>
      <c r="K8" s="34">
        <f t="shared" si="0"/>
        <v>84.79300000000012</v>
      </c>
      <c r="L8" s="56">
        <f t="shared" si="1"/>
        <v>7189.8528490000208</v>
      </c>
      <c r="M8" s="56">
        <f t="shared" si="2"/>
        <v>84.79300000000012</v>
      </c>
      <c r="N8" s="56">
        <f t="shared" si="3"/>
        <v>1.9334518544525301</v>
      </c>
      <c r="O8" s="56">
        <f t="shared" si="12"/>
        <v>1.9334518544525301</v>
      </c>
      <c r="P8" s="143">
        <f t="shared" si="4"/>
        <v>5.1514580801944181</v>
      </c>
      <c r="Q8" s="143">
        <f t="shared" si="5"/>
        <v>5.1514580801944181</v>
      </c>
      <c r="R8" s="34">
        <v>1789.3400000000001</v>
      </c>
      <c r="S8" s="56">
        <f t="shared" si="6"/>
        <v>143.34000000000015</v>
      </c>
      <c r="T8" s="56">
        <f t="shared" si="7"/>
        <v>20546.355600000043</v>
      </c>
      <c r="U8" s="56">
        <f t="shared" si="8"/>
        <v>143.34000000000015</v>
      </c>
      <c r="V8" s="56">
        <f t="shared" si="9"/>
        <v>2.1593867009617549</v>
      </c>
      <c r="W8" s="33">
        <f t="shared" si="10"/>
        <v>8.7083839611178711</v>
      </c>
      <c r="X8" s="143">
        <f t="shared" si="11"/>
        <v>8.7083839611178711</v>
      </c>
    </row>
    <row r="9" spans="1:24" ht="16" x14ac:dyDescent="0.2">
      <c r="A9" t="s">
        <v>874</v>
      </c>
      <c r="B9" s="224" t="s">
        <v>513</v>
      </c>
      <c r="C9" s="224" t="s">
        <v>824</v>
      </c>
      <c r="D9" s="35" t="s">
        <v>148</v>
      </c>
      <c r="E9" s="35" t="s">
        <v>661</v>
      </c>
      <c r="F9" s="35" t="s">
        <v>374</v>
      </c>
      <c r="G9" s="35" t="s">
        <v>627</v>
      </c>
      <c r="H9" s="35" t="s">
        <v>580</v>
      </c>
      <c r="I9" s="147">
        <v>1540</v>
      </c>
      <c r="J9" s="34">
        <v>1621.5950000000003</v>
      </c>
      <c r="K9" s="34">
        <f t="shared" si="0"/>
        <v>81.595000000000255</v>
      </c>
      <c r="L9" s="56">
        <f t="shared" si="1"/>
        <v>6657.7440250000418</v>
      </c>
      <c r="M9" s="56">
        <f t="shared" si="2"/>
        <v>81.595000000000255</v>
      </c>
      <c r="N9" s="56">
        <f t="shared" si="3"/>
        <v>1.9169537575124573</v>
      </c>
      <c r="O9" s="56">
        <f t="shared" si="12"/>
        <v>1.9169537575124573</v>
      </c>
      <c r="P9" s="143">
        <f t="shared" si="4"/>
        <v>5.2983766233766403</v>
      </c>
      <c r="Q9" s="143">
        <f t="shared" si="5"/>
        <v>5.2983766233766403</v>
      </c>
      <c r="R9" s="34">
        <v>1666.3820000000001</v>
      </c>
      <c r="S9" s="56">
        <f t="shared" si="6"/>
        <v>126.38200000000006</v>
      </c>
      <c r="T9" s="56">
        <f t="shared" si="7"/>
        <v>15972.409924000016</v>
      </c>
      <c r="U9" s="56">
        <f t="shared" si="8"/>
        <v>126.38200000000006</v>
      </c>
      <c r="V9" s="56">
        <f t="shared" si="9"/>
        <v>2.1051080633763424</v>
      </c>
      <c r="W9" s="33">
        <f t="shared" si="10"/>
        <v>8.20662337662338</v>
      </c>
      <c r="X9" s="143">
        <f t="shared" si="11"/>
        <v>8.20662337662338</v>
      </c>
    </row>
    <row r="10" spans="1:24" ht="16" x14ac:dyDescent="0.2">
      <c r="A10" t="s">
        <v>875</v>
      </c>
      <c r="B10" s="224" t="s">
        <v>513</v>
      </c>
      <c r="C10" s="224" t="s">
        <v>824</v>
      </c>
      <c r="D10" s="35" t="s">
        <v>148</v>
      </c>
      <c r="E10" s="35" t="s">
        <v>661</v>
      </c>
      <c r="F10" s="35" t="s">
        <v>374</v>
      </c>
      <c r="G10" s="35" t="s">
        <v>626</v>
      </c>
      <c r="H10" s="35" t="s">
        <v>580</v>
      </c>
      <c r="I10" s="147">
        <v>1490</v>
      </c>
      <c r="J10" s="34">
        <v>1610.6752000000001</v>
      </c>
      <c r="K10" s="34">
        <f t="shared" si="0"/>
        <v>120.67520000000013</v>
      </c>
      <c r="L10" s="56">
        <f t="shared" si="1"/>
        <v>14562.503895040032</v>
      </c>
      <c r="M10" s="56">
        <f t="shared" si="2"/>
        <v>120.67520000000013</v>
      </c>
      <c r="N10" s="56">
        <f t="shared" si="3"/>
        <v>2.0852020687748007</v>
      </c>
      <c r="O10" s="56">
        <f t="shared" si="12"/>
        <v>2.0852020687748007</v>
      </c>
      <c r="P10" s="143">
        <f t="shared" si="4"/>
        <v>8.0990067114094053</v>
      </c>
      <c r="Q10" s="143">
        <f t="shared" si="5"/>
        <v>8.0990067114094053</v>
      </c>
      <c r="R10" s="34">
        <v>1610.4920000000002</v>
      </c>
      <c r="S10" s="56">
        <f t="shared" si="6"/>
        <v>120.49200000000019</v>
      </c>
      <c r="T10" s="56">
        <f t="shared" si="7"/>
        <v>14518.322064000045</v>
      </c>
      <c r="U10" s="56">
        <f t="shared" si="8"/>
        <v>120.49200000000019</v>
      </c>
      <c r="V10" s="56">
        <f t="shared" si="9"/>
        <v>2.0845476814714319</v>
      </c>
      <c r="W10" s="33">
        <f t="shared" si="10"/>
        <v>8.0867114093959866</v>
      </c>
      <c r="X10" s="143">
        <f t="shared" si="11"/>
        <v>8.0867114093959866</v>
      </c>
    </row>
    <row r="11" spans="1:24" ht="16" x14ac:dyDescent="0.2">
      <c r="A11" t="s">
        <v>876</v>
      </c>
      <c r="B11" s="224" t="s">
        <v>513</v>
      </c>
      <c r="C11" s="224" t="s">
        <v>824</v>
      </c>
      <c r="D11" s="35" t="s">
        <v>148</v>
      </c>
      <c r="E11" s="35" t="s">
        <v>661</v>
      </c>
      <c r="F11" s="35" t="s">
        <v>374</v>
      </c>
      <c r="G11" s="35" t="s">
        <v>627</v>
      </c>
      <c r="H11" s="35" t="s">
        <v>580</v>
      </c>
      <c r="I11" s="147">
        <v>1668</v>
      </c>
      <c r="J11" s="34">
        <v>1850.9108000000001</v>
      </c>
      <c r="K11" s="34">
        <f t="shared" si="0"/>
        <v>182.91080000000011</v>
      </c>
      <c r="L11" s="56">
        <f t="shared" si="1"/>
        <v>33456.360756640039</v>
      </c>
      <c r="M11" s="56">
        <f t="shared" si="2"/>
        <v>182.91080000000011</v>
      </c>
      <c r="N11" s="56">
        <f t="shared" si="3"/>
        <v>2.2646072335484781</v>
      </c>
      <c r="O11" s="56">
        <f t="shared" si="12"/>
        <v>2.2646072335484781</v>
      </c>
      <c r="P11" s="143">
        <f t="shared" si="4"/>
        <v>10.965875299760198</v>
      </c>
      <c r="Q11" s="143">
        <f t="shared" si="5"/>
        <v>10.965875299760198</v>
      </c>
      <c r="R11" s="34">
        <v>1889.9420000000005</v>
      </c>
      <c r="S11" s="56">
        <f t="shared" si="6"/>
        <v>221.94200000000046</v>
      </c>
      <c r="T11" s="56">
        <f t="shared" si="7"/>
        <v>49258.251364000207</v>
      </c>
      <c r="U11" s="56">
        <f t="shared" si="8"/>
        <v>221.94200000000046</v>
      </c>
      <c r="V11" s="56">
        <f t="shared" si="9"/>
        <v>2.3481918928408594</v>
      </c>
      <c r="W11" s="33">
        <f t="shared" si="10"/>
        <v>13.305875299760221</v>
      </c>
      <c r="X11" s="143">
        <f t="shared" si="11"/>
        <v>13.305875299760221</v>
      </c>
    </row>
    <row r="12" spans="1:24" ht="16" x14ac:dyDescent="0.2">
      <c r="A12" t="s">
        <v>877</v>
      </c>
      <c r="B12" s="224" t="s">
        <v>513</v>
      </c>
      <c r="C12" s="224" t="s">
        <v>824</v>
      </c>
      <c r="D12" s="35" t="s">
        <v>148</v>
      </c>
      <c r="E12" s="35" t="s">
        <v>661</v>
      </c>
      <c r="F12" s="35" t="s">
        <v>374</v>
      </c>
      <c r="G12" s="35" t="s">
        <v>627</v>
      </c>
      <c r="H12" s="35" t="s">
        <v>580</v>
      </c>
      <c r="I12" s="147">
        <v>1647</v>
      </c>
      <c r="J12" s="34">
        <v>1637.9747000000002</v>
      </c>
      <c r="K12" s="34">
        <f t="shared" si="0"/>
        <v>-9.0252999999997883</v>
      </c>
      <c r="L12" s="56">
        <f t="shared" si="1"/>
        <v>81.456040089996179</v>
      </c>
      <c r="M12" s="56">
        <f t="shared" si="2"/>
        <v>9.0252999999997883</v>
      </c>
      <c r="N12" s="56">
        <f t="shared" si="3"/>
        <v>1.0010973774413536</v>
      </c>
      <c r="O12" s="56">
        <f t="shared" si="12"/>
        <v>-1.0010973774413536</v>
      </c>
      <c r="P12" s="143">
        <f t="shared" si="4"/>
        <v>-0.54798421372190576</v>
      </c>
      <c r="Q12" s="143">
        <f t="shared" si="5"/>
        <v>0.54798421372190576</v>
      </c>
      <c r="R12" s="34">
        <v>1677.5600000000004</v>
      </c>
      <c r="S12" s="56">
        <f t="shared" si="6"/>
        <v>30.5600000000004</v>
      </c>
      <c r="T12" s="56">
        <f t="shared" si="7"/>
        <v>933.91360000002442</v>
      </c>
      <c r="U12" s="56">
        <f t="shared" si="8"/>
        <v>30.5600000000004</v>
      </c>
      <c r="V12" s="56">
        <f t="shared" si="9"/>
        <v>1.4991369945373882</v>
      </c>
      <c r="W12" s="33">
        <f t="shared" si="10"/>
        <v>1.8554948391014208</v>
      </c>
      <c r="X12" s="143">
        <f t="shared" si="11"/>
        <v>1.8554948391014208</v>
      </c>
    </row>
    <row r="13" spans="1:24" ht="16" x14ac:dyDescent="0.2">
      <c r="A13" t="s">
        <v>878</v>
      </c>
      <c r="B13" s="224" t="s">
        <v>513</v>
      </c>
      <c r="C13" s="224" t="s">
        <v>824</v>
      </c>
      <c r="D13" s="35" t="s">
        <v>148</v>
      </c>
      <c r="E13" s="35" t="s">
        <v>661</v>
      </c>
      <c r="F13" s="35" t="s">
        <v>374</v>
      </c>
      <c r="G13" s="35" t="s">
        <v>627</v>
      </c>
      <c r="H13" s="35" t="s">
        <v>580</v>
      </c>
      <c r="I13" s="147">
        <v>1520</v>
      </c>
      <c r="J13" s="34">
        <v>1561.5361000000003</v>
      </c>
      <c r="K13" s="34">
        <f t="shared" si="0"/>
        <v>41.53610000000026</v>
      </c>
      <c r="L13" s="56">
        <f t="shared" si="1"/>
        <v>1725.2476032100217</v>
      </c>
      <c r="M13" s="56">
        <f t="shared" si="2"/>
        <v>41.53610000000026</v>
      </c>
      <c r="N13" s="56">
        <f t="shared" si="3"/>
        <v>1.6287576683094429</v>
      </c>
      <c r="O13" s="56">
        <f t="shared" si="12"/>
        <v>1.6287576683094429</v>
      </c>
      <c r="P13" s="143">
        <f t="shared" si="4"/>
        <v>2.7326381578947538</v>
      </c>
      <c r="Q13" s="143">
        <f t="shared" si="5"/>
        <v>2.7326381578947538</v>
      </c>
      <c r="R13" s="34">
        <v>1599.3140000000003</v>
      </c>
      <c r="S13" s="56">
        <f t="shared" si="6"/>
        <v>79.314000000000306</v>
      </c>
      <c r="T13" s="56">
        <f t="shared" si="7"/>
        <v>6290.7105960000481</v>
      </c>
      <c r="U13" s="56">
        <f t="shared" si="8"/>
        <v>79.314000000000306</v>
      </c>
      <c r="V13" s="56">
        <f t="shared" si="9"/>
        <v>1.9047912562722702</v>
      </c>
      <c r="W13" s="33">
        <f t="shared" si="10"/>
        <v>5.2180263157894942</v>
      </c>
      <c r="X13" s="143">
        <f t="shared" si="11"/>
        <v>5.2180263157894942</v>
      </c>
    </row>
    <row r="14" spans="1:24" ht="16" x14ac:dyDescent="0.2">
      <c r="A14" t="s">
        <v>879</v>
      </c>
      <c r="B14" s="224" t="s">
        <v>513</v>
      </c>
      <c r="C14" s="224" t="s">
        <v>824</v>
      </c>
      <c r="D14" s="35" t="s">
        <v>148</v>
      </c>
      <c r="E14" s="35" t="s">
        <v>661</v>
      </c>
      <c r="F14" s="35" t="s">
        <v>374</v>
      </c>
      <c r="G14" s="35" t="s">
        <v>627</v>
      </c>
      <c r="H14" s="35" t="s">
        <v>580</v>
      </c>
      <c r="I14" s="147">
        <v>1550</v>
      </c>
      <c r="J14" s="34">
        <v>1648.8944999999999</v>
      </c>
      <c r="K14" s="34">
        <f t="shared" si="0"/>
        <v>98.89449999999988</v>
      </c>
      <c r="L14" s="56">
        <f t="shared" si="1"/>
        <v>9780.1221302499762</v>
      </c>
      <c r="M14" s="56">
        <f t="shared" si="2"/>
        <v>98.89449999999988</v>
      </c>
      <c r="N14" s="56">
        <f t="shared" si="3"/>
        <v>1.9995415774611602</v>
      </c>
      <c r="O14" s="56">
        <f t="shared" si="12"/>
        <v>1.9995415774611602</v>
      </c>
      <c r="P14" s="143">
        <f t="shared" si="4"/>
        <v>6.3802903225806373</v>
      </c>
      <c r="Q14" s="143">
        <f t="shared" si="5"/>
        <v>6.3802903225806373</v>
      </c>
      <c r="R14" s="34">
        <v>1677.5600000000004</v>
      </c>
      <c r="S14" s="56">
        <f t="shared" si="6"/>
        <v>127.5600000000004</v>
      </c>
      <c r="T14" s="56">
        <f t="shared" si="7"/>
        <v>16271.553600000103</v>
      </c>
      <c r="U14" s="56">
        <f t="shared" si="8"/>
        <v>127.5600000000004</v>
      </c>
      <c r="V14" s="56">
        <f t="shared" si="9"/>
        <v>2.1091058637552895</v>
      </c>
      <c r="W14" s="33">
        <f t="shared" si="10"/>
        <v>8.2296774193548643</v>
      </c>
      <c r="X14" s="143">
        <f t="shared" si="11"/>
        <v>8.2296774193548643</v>
      </c>
    </row>
    <row r="15" spans="1:24" ht="16" x14ac:dyDescent="0.2">
      <c r="A15" t="s">
        <v>880</v>
      </c>
      <c r="B15" s="224" t="s">
        <v>513</v>
      </c>
      <c r="C15" s="224" t="s">
        <v>824</v>
      </c>
      <c r="D15" s="35" t="s">
        <v>148</v>
      </c>
      <c r="E15" s="35" t="s">
        <v>661</v>
      </c>
      <c r="F15" s="35" t="s">
        <v>374</v>
      </c>
      <c r="G15" s="35" t="s">
        <v>627</v>
      </c>
      <c r="H15" s="35" t="s">
        <v>580</v>
      </c>
      <c r="I15" s="147">
        <v>1695</v>
      </c>
      <c r="J15" s="34">
        <v>1758.0925000000002</v>
      </c>
      <c r="K15" s="34">
        <f t="shared" si="0"/>
        <v>63.0925000000002</v>
      </c>
      <c r="L15" s="56">
        <f t="shared" si="1"/>
        <v>3980.6635562500251</v>
      </c>
      <c r="M15" s="56">
        <f t="shared" si="2"/>
        <v>63.0925000000002</v>
      </c>
      <c r="N15" s="56">
        <f t="shared" si="3"/>
        <v>1.8068072120588583</v>
      </c>
      <c r="O15" s="56">
        <f t="shared" si="12"/>
        <v>1.8068072120588583</v>
      </c>
      <c r="P15" s="143">
        <f t="shared" si="4"/>
        <v>3.7222713864306902</v>
      </c>
      <c r="Q15" s="143">
        <f t="shared" si="5"/>
        <v>3.7222713864306902</v>
      </c>
      <c r="R15" s="34">
        <v>1761.3950000000004</v>
      </c>
      <c r="S15" s="56">
        <f t="shared" si="6"/>
        <v>66.395000000000437</v>
      </c>
      <c r="T15" s="56">
        <f t="shared" si="7"/>
        <v>4408.2960250000579</v>
      </c>
      <c r="U15" s="56">
        <f t="shared" si="8"/>
        <v>66.395000000000437</v>
      </c>
      <c r="V15" s="56">
        <f t="shared" si="9"/>
        <v>1.8286276776487094</v>
      </c>
      <c r="W15" s="33">
        <f t="shared" si="10"/>
        <v>3.9171091445427986</v>
      </c>
      <c r="X15" s="143">
        <f t="shared" si="11"/>
        <v>3.9171091445427986</v>
      </c>
    </row>
    <row r="16" spans="1:24" ht="16" x14ac:dyDescent="0.2">
      <c r="A16" t="s">
        <v>881</v>
      </c>
      <c r="B16" s="224" t="s">
        <v>513</v>
      </c>
      <c r="C16" s="224" t="s">
        <v>824</v>
      </c>
      <c r="D16" s="35" t="s">
        <v>148</v>
      </c>
      <c r="E16" s="35" t="s">
        <v>661</v>
      </c>
      <c r="F16" s="35" t="s">
        <v>374</v>
      </c>
      <c r="G16" s="35" t="s">
        <v>627</v>
      </c>
      <c r="H16" s="35" t="s">
        <v>580</v>
      </c>
      <c r="I16" s="147">
        <v>1835</v>
      </c>
      <c r="J16" s="34">
        <v>1812.6915000000004</v>
      </c>
      <c r="K16" s="34">
        <f t="shared" si="0"/>
        <v>-22.30849999999964</v>
      </c>
      <c r="L16" s="56">
        <f t="shared" si="1"/>
        <v>497.66917224998394</v>
      </c>
      <c r="M16" s="56">
        <f t="shared" si="2"/>
        <v>22.30849999999964</v>
      </c>
      <c r="N16" s="56">
        <f t="shared" si="3"/>
        <v>1.3675143257434823</v>
      </c>
      <c r="O16" s="56">
        <f t="shared" si="12"/>
        <v>-1.3675143257434823</v>
      </c>
      <c r="P16" s="143">
        <f t="shared" si="4"/>
        <v>-1.215722070844667</v>
      </c>
      <c r="Q16" s="143">
        <f t="shared" si="5"/>
        <v>1.215722070844667</v>
      </c>
      <c r="R16" s="34">
        <v>1845.2300000000005</v>
      </c>
      <c r="S16" s="56">
        <f t="shared" si="6"/>
        <v>10.230000000000473</v>
      </c>
      <c r="T16" s="56">
        <f t="shared" si="7"/>
        <v>104.65290000000968</v>
      </c>
      <c r="U16" s="56">
        <f t="shared" si="8"/>
        <v>10.230000000000473</v>
      </c>
      <c r="V16" s="56">
        <f t="shared" si="9"/>
        <v>1.0503797562614761</v>
      </c>
      <c r="W16" s="33">
        <f t="shared" si="10"/>
        <v>0.55749318801092496</v>
      </c>
      <c r="X16" s="143">
        <f t="shared" si="11"/>
        <v>0.55749318801092496</v>
      </c>
    </row>
    <row r="17" spans="1:24" ht="16" x14ac:dyDescent="0.2">
      <c r="A17" t="s">
        <v>882</v>
      </c>
      <c r="B17" s="224" t="s">
        <v>513</v>
      </c>
      <c r="C17" s="224" t="s">
        <v>824</v>
      </c>
      <c r="D17" s="35" t="s">
        <v>148</v>
      </c>
      <c r="E17" s="35" t="s">
        <v>661</v>
      </c>
      <c r="F17" s="35" t="s">
        <v>374</v>
      </c>
      <c r="G17" s="35" t="s">
        <v>627</v>
      </c>
      <c r="H17" s="35" t="s">
        <v>580</v>
      </c>
      <c r="I17" s="147">
        <v>1643</v>
      </c>
      <c r="J17" s="34">
        <v>1763.5524</v>
      </c>
      <c r="K17" s="34">
        <f t="shared" si="0"/>
        <v>120.55240000000003</v>
      </c>
      <c r="L17" s="56">
        <f t="shared" si="1"/>
        <v>14532.881145760008</v>
      </c>
      <c r="M17" s="56">
        <f t="shared" si="2"/>
        <v>120.55240000000003</v>
      </c>
      <c r="N17" s="56">
        <f t="shared" si="3"/>
        <v>2.0847635382222718</v>
      </c>
      <c r="O17" s="56">
        <f t="shared" si="12"/>
        <v>2.0847635382222718</v>
      </c>
      <c r="P17" s="143">
        <f t="shared" si="4"/>
        <v>7.3373341448569711</v>
      </c>
      <c r="Q17" s="143">
        <f t="shared" si="5"/>
        <v>7.3373341448569711</v>
      </c>
      <c r="R17" s="34">
        <v>1800.5180000000005</v>
      </c>
      <c r="S17" s="56">
        <f t="shared" si="6"/>
        <v>157.51800000000048</v>
      </c>
      <c r="T17" s="56">
        <f t="shared" si="7"/>
        <v>24811.920324000152</v>
      </c>
      <c r="U17" s="56">
        <f t="shared" si="8"/>
        <v>157.51800000000048</v>
      </c>
      <c r="V17" s="56">
        <f t="shared" si="9"/>
        <v>2.2000785842624357</v>
      </c>
      <c r="W17" s="33">
        <f t="shared" si="10"/>
        <v>9.5872185027389225</v>
      </c>
      <c r="X17" s="143">
        <f t="shared" si="11"/>
        <v>9.5872185027389225</v>
      </c>
    </row>
    <row r="18" spans="1:24" ht="16" x14ac:dyDescent="0.2">
      <c r="A18" t="s">
        <v>883</v>
      </c>
      <c r="B18" s="224" t="s">
        <v>513</v>
      </c>
      <c r="C18" s="224" t="s">
        <v>824</v>
      </c>
      <c r="D18" s="35" t="s">
        <v>148</v>
      </c>
      <c r="E18" s="35" t="s">
        <v>661</v>
      </c>
      <c r="F18" s="35" t="s">
        <v>374</v>
      </c>
      <c r="G18" s="35" t="s">
        <v>627</v>
      </c>
      <c r="H18" s="35" t="s">
        <v>580</v>
      </c>
      <c r="I18" s="147">
        <v>1670</v>
      </c>
      <c r="J18" s="34">
        <v>1845.4509000000003</v>
      </c>
      <c r="K18" s="34">
        <f t="shared" si="0"/>
        <v>175.45090000000027</v>
      </c>
      <c r="L18" s="56">
        <f t="shared" si="1"/>
        <v>30783.018310810097</v>
      </c>
      <c r="M18" s="56">
        <f t="shared" si="2"/>
        <v>175.45090000000027</v>
      </c>
      <c r="N18" s="56">
        <f t="shared" si="3"/>
        <v>2.2466238778506327</v>
      </c>
      <c r="O18" s="56">
        <f t="shared" si="12"/>
        <v>2.2466238778506327</v>
      </c>
      <c r="P18" s="143">
        <f t="shared" si="4"/>
        <v>10.50604191616768</v>
      </c>
      <c r="Q18" s="143">
        <f t="shared" si="5"/>
        <v>10.50604191616768</v>
      </c>
      <c r="R18" s="34">
        <v>1873.1750000000002</v>
      </c>
      <c r="S18" s="56">
        <f t="shared" si="6"/>
        <v>203.17500000000018</v>
      </c>
      <c r="T18" s="56">
        <f t="shared" si="7"/>
        <v>41280.080625000075</v>
      </c>
      <c r="U18" s="56">
        <f t="shared" si="8"/>
        <v>203.17500000000018</v>
      </c>
      <c r="V18" s="56">
        <f t="shared" si="9"/>
        <v>2.3100025642605404</v>
      </c>
      <c r="W18" s="33">
        <f t="shared" si="10"/>
        <v>12.16616766467067</v>
      </c>
      <c r="X18" s="143">
        <f t="shared" si="11"/>
        <v>12.16616766467067</v>
      </c>
    </row>
    <row r="19" spans="1:24" ht="15" x14ac:dyDescent="0.2">
      <c r="A19" t="s">
        <v>884</v>
      </c>
      <c r="B19" s="224" t="s">
        <v>513</v>
      </c>
      <c r="C19" s="224" t="s">
        <v>824</v>
      </c>
      <c r="D19" s="35" t="s">
        <v>148</v>
      </c>
      <c r="E19" s="35" t="s">
        <v>661</v>
      </c>
      <c r="F19" s="35" t="s">
        <v>374</v>
      </c>
      <c r="G19" s="35" t="s">
        <v>627</v>
      </c>
      <c r="H19" s="35" t="s">
        <v>580</v>
      </c>
      <c r="I19">
        <v>1733</v>
      </c>
      <c r="J19" s="34">
        <v>1949.1890000000003</v>
      </c>
      <c r="K19" s="34">
        <f t="shared" si="0"/>
        <v>216.18900000000031</v>
      </c>
      <c r="L19" s="56">
        <f t="shared" si="1"/>
        <v>46737.683721000132</v>
      </c>
      <c r="M19" s="56">
        <f t="shared" si="2"/>
        <v>216.18900000000031</v>
      </c>
      <c r="N19" s="56">
        <f t="shared" si="3"/>
        <v>2.3368378257037548</v>
      </c>
      <c r="O19" s="56">
        <f t="shared" si="12"/>
        <v>2.3368378257037548</v>
      </c>
      <c r="P19" s="143">
        <f t="shared" si="4"/>
        <v>12.47484131563764</v>
      </c>
      <c r="Q19" s="143">
        <f t="shared" si="5"/>
        <v>12.47484131563764</v>
      </c>
      <c r="R19" s="34">
        <v>2012.9</v>
      </c>
      <c r="S19" s="56">
        <f t="shared" si="6"/>
        <v>279.90000000000009</v>
      </c>
      <c r="T19" s="56">
        <f t="shared" si="7"/>
        <v>78344.010000000053</v>
      </c>
      <c r="U19" s="56">
        <f t="shared" si="8"/>
        <v>279.90000000000009</v>
      </c>
      <c r="V19" s="56">
        <f t="shared" si="9"/>
        <v>2.4485517392015783</v>
      </c>
      <c r="W19" s="33">
        <f t="shared" si="10"/>
        <v>16.151182919792273</v>
      </c>
      <c r="X19" s="143">
        <f t="shared" si="11"/>
        <v>16.151182919792273</v>
      </c>
    </row>
    <row r="20" spans="1:24" ht="15" x14ac:dyDescent="0.2">
      <c r="A20" t="s">
        <v>885</v>
      </c>
      <c r="B20" s="224" t="s">
        <v>513</v>
      </c>
      <c r="C20" s="224" t="s">
        <v>824</v>
      </c>
      <c r="D20" s="35" t="s">
        <v>148</v>
      </c>
      <c r="E20" s="35" t="s">
        <v>661</v>
      </c>
      <c r="F20" s="35" t="s">
        <v>374</v>
      </c>
      <c r="G20" s="35" t="s">
        <v>627</v>
      </c>
      <c r="H20" s="35" t="s">
        <v>580</v>
      </c>
      <c r="I20">
        <v>1714</v>
      </c>
      <c r="J20" s="34">
        <v>1725.3331000000003</v>
      </c>
      <c r="K20" s="34">
        <f t="shared" si="0"/>
        <v>11.333100000000286</v>
      </c>
      <c r="L20" s="56">
        <f t="shared" si="1"/>
        <v>128.43915561000648</v>
      </c>
      <c r="M20" s="56">
        <f t="shared" si="2"/>
        <v>11.333100000000286</v>
      </c>
      <c r="N20" s="56">
        <f t="shared" si="3"/>
        <v>1.091072252887529</v>
      </c>
      <c r="O20" s="56">
        <f t="shared" si="12"/>
        <v>1.091072252887529</v>
      </c>
      <c r="P20" s="143">
        <f t="shared" si="4"/>
        <v>0.66120770128356399</v>
      </c>
      <c r="Q20" s="143">
        <f t="shared" si="5"/>
        <v>0.66120770128356399</v>
      </c>
      <c r="R20" s="34">
        <v>1761.3950000000004</v>
      </c>
      <c r="S20" s="56">
        <f t="shared" si="6"/>
        <v>47.395000000000437</v>
      </c>
      <c r="T20" s="56">
        <f t="shared" si="7"/>
        <v>2246.2860250000413</v>
      </c>
      <c r="U20" s="56">
        <f t="shared" si="8"/>
        <v>47.395000000000437</v>
      </c>
      <c r="V20" s="56">
        <f t="shared" si="9"/>
        <v>1.6848004941944148</v>
      </c>
      <c r="W20" s="33">
        <f t="shared" si="10"/>
        <v>2.7651691948658366</v>
      </c>
      <c r="X20" s="143">
        <f t="shared" si="11"/>
        <v>2.7651691948658366</v>
      </c>
    </row>
    <row r="21" spans="1:24" ht="15" x14ac:dyDescent="0.2">
      <c r="A21" t="s">
        <v>886</v>
      </c>
      <c r="B21" s="224" t="s">
        <v>513</v>
      </c>
      <c r="C21" s="224" t="s">
        <v>824</v>
      </c>
      <c r="D21" s="35" t="s">
        <v>148</v>
      </c>
      <c r="E21" s="35" t="s">
        <v>661</v>
      </c>
      <c r="F21" s="35" t="s">
        <v>374</v>
      </c>
      <c r="G21" s="35" t="s">
        <v>627</v>
      </c>
      <c r="H21" s="35" t="s">
        <v>580</v>
      </c>
      <c r="I21">
        <v>2100</v>
      </c>
      <c r="J21" s="34">
        <v>2238.5637000000002</v>
      </c>
      <c r="K21" s="34">
        <f t="shared" si="0"/>
        <v>138.56370000000015</v>
      </c>
      <c r="L21" s="56">
        <f t="shared" si="1"/>
        <v>19199.898957690042</v>
      </c>
      <c r="M21" s="56">
        <f t="shared" si="2"/>
        <v>138.56370000000015</v>
      </c>
      <c r="N21" s="56">
        <f t="shared" si="3"/>
        <v>2.1447724745929451</v>
      </c>
      <c r="O21" s="56">
        <f t="shared" si="12"/>
        <v>2.1447724745929451</v>
      </c>
      <c r="P21" s="143">
        <f t="shared" si="4"/>
        <v>6.5982714285714357</v>
      </c>
      <c r="Q21" s="143">
        <f t="shared" si="5"/>
        <v>6.5982714285714357</v>
      </c>
      <c r="R21" s="34">
        <v>2309.1170000000002</v>
      </c>
      <c r="S21" s="56">
        <f t="shared" si="6"/>
        <v>209.11700000000019</v>
      </c>
      <c r="T21" s="56">
        <f t="shared" si="7"/>
        <v>43729.919689000082</v>
      </c>
      <c r="U21" s="56">
        <f t="shared" si="8"/>
        <v>209.11700000000019</v>
      </c>
      <c r="V21" s="56">
        <f t="shared" si="9"/>
        <v>2.3224611914231579</v>
      </c>
      <c r="W21" s="33">
        <f t="shared" si="10"/>
        <v>9.9579523809523902</v>
      </c>
      <c r="X21" s="143">
        <f t="shared" si="11"/>
        <v>9.9579523809523902</v>
      </c>
    </row>
    <row r="22" spans="1:24" ht="15" x14ac:dyDescent="0.2">
      <c r="A22" t="s">
        <v>887</v>
      </c>
      <c r="B22" s="224" t="s">
        <v>513</v>
      </c>
      <c r="C22" s="224" t="s">
        <v>824</v>
      </c>
      <c r="D22" s="35" t="s">
        <v>148</v>
      </c>
      <c r="E22" s="35" t="s">
        <v>661</v>
      </c>
      <c r="F22" s="225" t="s">
        <v>494</v>
      </c>
      <c r="G22" s="35" t="s">
        <v>626</v>
      </c>
      <c r="H22" s="35" t="s">
        <v>580</v>
      </c>
      <c r="I22">
        <v>1056</v>
      </c>
      <c r="J22" s="34">
        <v>1042.8456000000001</v>
      </c>
      <c r="K22" s="34">
        <f t="shared" si="0"/>
        <v>-13.154399999999896</v>
      </c>
      <c r="L22" s="56">
        <f t="shared" si="1"/>
        <v>173.03823935999725</v>
      </c>
      <c r="M22" s="56">
        <f t="shared" si="2"/>
        <v>13.154399999999896</v>
      </c>
      <c r="N22" s="56">
        <f t="shared" si="3"/>
        <v>1.1508914645021118</v>
      </c>
      <c r="O22" s="56">
        <f t="shared" si="12"/>
        <v>-1.1508914645021118</v>
      </c>
      <c r="P22" s="143">
        <f t="shared" si="4"/>
        <v>-1.2456818181818083</v>
      </c>
      <c r="Q22" s="143">
        <f t="shared" si="5"/>
        <v>1.2456818181818083</v>
      </c>
      <c r="R22" s="34">
        <v>1046.0030000000002</v>
      </c>
      <c r="S22" s="56">
        <f t="shared" si="6"/>
        <v>-9.9969999999998436</v>
      </c>
      <c r="T22" s="56">
        <f t="shared" si="7"/>
        <v>99.940008999996877</v>
      </c>
      <c r="U22" s="56">
        <f t="shared" si="8"/>
        <v>9.9969999999998436</v>
      </c>
      <c r="V22" s="56">
        <f t="shared" si="9"/>
        <v>1.041274225054224</v>
      </c>
      <c r="W22" s="33">
        <f t="shared" si="10"/>
        <v>-0.94668560606059127</v>
      </c>
      <c r="X22" s="143">
        <f t="shared" si="11"/>
        <v>0.94668560606059127</v>
      </c>
    </row>
    <row r="23" spans="1:24" ht="15" x14ac:dyDescent="0.2">
      <c r="A23" t="s">
        <v>888</v>
      </c>
      <c r="B23" s="224" t="s">
        <v>513</v>
      </c>
      <c r="C23" s="224" t="s">
        <v>824</v>
      </c>
      <c r="D23" s="35" t="s">
        <v>148</v>
      </c>
      <c r="E23" s="35" t="s">
        <v>661</v>
      </c>
      <c r="F23" s="35" t="s">
        <v>374</v>
      </c>
      <c r="G23" s="35" t="s">
        <v>627</v>
      </c>
      <c r="H23" s="35" t="s">
        <v>580</v>
      </c>
      <c r="I23">
        <v>2150</v>
      </c>
      <c r="J23" s="34">
        <v>2123.9058</v>
      </c>
      <c r="K23" s="34">
        <f t="shared" si="0"/>
        <v>-26.094200000000001</v>
      </c>
      <c r="L23" s="56">
        <f t="shared" si="1"/>
        <v>680.90727364000008</v>
      </c>
      <c r="M23" s="56">
        <f t="shared" si="2"/>
        <v>26.094200000000001</v>
      </c>
      <c r="N23" s="56">
        <f t="shared" si="3"/>
        <v>1.4328763322919502</v>
      </c>
      <c r="O23" s="56">
        <f t="shared" si="12"/>
        <v>-1.4328763322919502</v>
      </c>
      <c r="P23" s="143">
        <f t="shared" si="4"/>
        <v>-1.2136837209302327</v>
      </c>
      <c r="Q23" s="143">
        <f t="shared" si="5"/>
        <v>1.2136837209302327</v>
      </c>
      <c r="R23" s="34">
        <v>2158.2140000000004</v>
      </c>
      <c r="S23" s="56">
        <f t="shared" si="6"/>
        <v>8.2140000000003965</v>
      </c>
      <c r="T23" s="56">
        <f t="shared" si="7"/>
        <v>67.469796000006511</v>
      </c>
      <c r="U23" s="56">
        <f t="shared" si="8"/>
        <v>8.2140000000003965</v>
      </c>
      <c r="V23" s="56">
        <f t="shared" si="9"/>
        <v>0.96444820791667951</v>
      </c>
      <c r="W23" s="33">
        <f t="shared" si="10"/>
        <v>0.38204651162792541</v>
      </c>
      <c r="X23" s="143">
        <f t="shared" si="11"/>
        <v>0.38204651162792541</v>
      </c>
    </row>
    <row r="24" spans="1:24" ht="15" x14ac:dyDescent="0.2">
      <c r="A24" t="s">
        <v>889</v>
      </c>
      <c r="B24" s="224" t="s">
        <v>513</v>
      </c>
      <c r="C24" s="224" t="s">
        <v>824</v>
      </c>
      <c r="D24" s="35" t="s">
        <v>148</v>
      </c>
      <c r="E24" s="35" t="s">
        <v>661</v>
      </c>
      <c r="F24" s="35" t="s">
        <v>374</v>
      </c>
      <c r="G24" s="35" t="s">
        <v>627</v>
      </c>
      <c r="H24" s="35" t="s">
        <v>580</v>
      </c>
      <c r="I24">
        <v>1895</v>
      </c>
      <c r="J24" s="34">
        <v>2058.3870000000002</v>
      </c>
      <c r="K24" s="34">
        <f t="shared" si="0"/>
        <v>163.38700000000017</v>
      </c>
      <c r="L24" s="56">
        <f t="shared" si="1"/>
        <v>26695.311769000054</v>
      </c>
      <c r="M24" s="56">
        <f t="shared" si="2"/>
        <v>163.38700000000017</v>
      </c>
      <c r="N24" s="56">
        <f t="shared" si="3"/>
        <v>2.2158674698250804</v>
      </c>
      <c r="O24" s="56">
        <f t="shared" si="12"/>
        <v>2.2158674698250804</v>
      </c>
      <c r="P24" s="143">
        <f t="shared" si="4"/>
        <v>8.6220052770448632</v>
      </c>
      <c r="Q24" s="143">
        <f t="shared" si="5"/>
        <v>8.6220052770448632</v>
      </c>
      <c r="R24" s="34">
        <v>2085.5570000000002</v>
      </c>
      <c r="S24" s="56">
        <f t="shared" si="6"/>
        <v>190.55700000000024</v>
      </c>
      <c r="T24" s="56">
        <f t="shared" si="7"/>
        <v>36311.970249000093</v>
      </c>
      <c r="U24" s="56">
        <f t="shared" si="8"/>
        <v>190.55700000000024</v>
      </c>
      <c r="V24" s="56">
        <f t="shared" si="9"/>
        <v>2.2822980268794035</v>
      </c>
      <c r="W24" s="33">
        <f t="shared" si="10"/>
        <v>10.055778364116108</v>
      </c>
      <c r="X24" s="143">
        <f t="shared" si="11"/>
        <v>10.055778364116108</v>
      </c>
    </row>
    <row r="25" spans="1:24" ht="15" x14ac:dyDescent="0.2">
      <c r="A25" t="s">
        <v>890</v>
      </c>
      <c r="B25" s="224" t="s">
        <v>513</v>
      </c>
      <c r="C25" s="224" t="s">
        <v>824</v>
      </c>
      <c r="D25" s="35" t="s">
        <v>148</v>
      </c>
      <c r="E25" s="35" t="s">
        <v>661</v>
      </c>
      <c r="F25" s="35" t="s">
        <v>374</v>
      </c>
      <c r="G25" s="35" t="s">
        <v>626</v>
      </c>
      <c r="H25" s="35" t="s">
        <v>580</v>
      </c>
      <c r="I25">
        <v>1316</v>
      </c>
      <c r="J25" s="34">
        <v>1304.9207999999999</v>
      </c>
      <c r="K25" s="34">
        <f t="shared" si="0"/>
        <v>-11.079200000000128</v>
      </c>
      <c r="L25" s="56">
        <f t="shared" si="1"/>
        <v>122.74867264000284</v>
      </c>
      <c r="M25" s="56">
        <f t="shared" si="2"/>
        <v>11.079200000000128</v>
      </c>
      <c r="N25" s="56">
        <f t="shared" si="3"/>
        <v>1.08203817210875</v>
      </c>
      <c r="O25" s="56">
        <f t="shared" si="12"/>
        <v>-1.08203817210875</v>
      </c>
      <c r="P25" s="143">
        <f t="shared" si="4"/>
        <v>-0.84188449848025293</v>
      </c>
      <c r="Q25" s="143">
        <f t="shared" si="5"/>
        <v>0.84188449848025293</v>
      </c>
      <c r="R25" s="34">
        <v>1319.864</v>
      </c>
      <c r="S25" s="56">
        <f t="shared" si="6"/>
        <v>3.8640000000000327</v>
      </c>
      <c r="T25" s="56">
        <f t="shared" si="7"/>
        <v>14.930496000000254</v>
      </c>
      <c r="U25" s="56">
        <f t="shared" si="8"/>
        <v>3.8640000000000327</v>
      </c>
      <c r="V25" s="56">
        <f t="shared" si="9"/>
        <v>0.68699356626468144</v>
      </c>
      <c r="W25" s="33">
        <f t="shared" si="10"/>
        <v>0.29361702127659822</v>
      </c>
      <c r="X25" s="143">
        <f t="shared" si="11"/>
        <v>0.29361702127659822</v>
      </c>
    </row>
    <row r="26" spans="1:24" ht="15" x14ac:dyDescent="0.2">
      <c r="A26" t="s">
        <v>891</v>
      </c>
      <c r="B26" s="224" t="s">
        <v>513</v>
      </c>
      <c r="C26" s="224" t="s">
        <v>824</v>
      </c>
      <c r="D26" s="35" t="s">
        <v>148</v>
      </c>
      <c r="E26" s="35" t="s">
        <v>661</v>
      </c>
      <c r="F26" s="35" t="s">
        <v>374</v>
      </c>
      <c r="G26" s="35" t="s">
        <v>627</v>
      </c>
      <c r="H26" s="35" t="s">
        <v>580</v>
      </c>
      <c r="I26">
        <v>1704</v>
      </c>
      <c r="J26" s="34">
        <v>1741.7128000000002</v>
      </c>
      <c r="K26" s="34">
        <f t="shared" si="0"/>
        <v>37.712800000000243</v>
      </c>
      <c r="L26" s="56">
        <f t="shared" si="1"/>
        <v>1422.2552838400184</v>
      </c>
      <c r="M26" s="56">
        <f t="shared" si="2"/>
        <v>37.712800000000243</v>
      </c>
      <c r="N26" s="56">
        <f t="shared" si="3"/>
        <v>1.5878545838886364</v>
      </c>
      <c r="O26" s="56">
        <f t="shared" si="12"/>
        <v>1.5878545838886364</v>
      </c>
      <c r="P26" s="143">
        <f t="shared" si="4"/>
        <v>2.213192488262925</v>
      </c>
      <c r="Q26" s="143">
        <f t="shared" si="5"/>
        <v>2.213192488262925</v>
      </c>
      <c r="R26" s="34">
        <v>1783.7510000000002</v>
      </c>
      <c r="S26" s="56">
        <f t="shared" si="6"/>
        <v>79.751000000000204</v>
      </c>
      <c r="T26" s="56">
        <f t="shared" si="7"/>
        <v>6360.2220010000328</v>
      </c>
      <c r="U26" s="56">
        <f t="shared" si="8"/>
        <v>79.751000000000204</v>
      </c>
      <c r="V26" s="56">
        <f t="shared" si="9"/>
        <v>1.9071479092296777</v>
      </c>
      <c r="W26" s="33">
        <f t="shared" si="10"/>
        <v>4.6802230046948479</v>
      </c>
      <c r="X26" s="143">
        <f t="shared" si="11"/>
        <v>4.6802230046948479</v>
      </c>
    </row>
    <row r="27" spans="1:24" ht="15" x14ac:dyDescent="0.2">
      <c r="A27" t="s">
        <v>892</v>
      </c>
      <c r="B27" s="224" t="s">
        <v>513</v>
      </c>
      <c r="C27" s="224" t="s">
        <v>824</v>
      </c>
      <c r="D27" s="35" t="s">
        <v>148</v>
      </c>
      <c r="E27" s="35" t="s">
        <v>661</v>
      </c>
      <c r="F27" s="35" t="s">
        <v>494</v>
      </c>
      <c r="G27" s="35" t="s">
        <v>626</v>
      </c>
      <c r="H27" s="35" t="s">
        <v>580</v>
      </c>
      <c r="I27">
        <v>1090</v>
      </c>
      <c r="J27" s="34">
        <v>1064.6851999999999</v>
      </c>
      <c r="K27" s="34">
        <f t="shared" si="0"/>
        <v>-25.314800000000105</v>
      </c>
      <c r="L27" s="56">
        <f t="shared" si="1"/>
        <v>640.83909904000529</v>
      </c>
      <c r="M27" s="56">
        <f t="shared" si="2"/>
        <v>25.314800000000105</v>
      </c>
      <c r="N27" s="56">
        <f t="shared" si="3"/>
        <v>1.4202000736036702</v>
      </c>
      <c r="O27" s="56">
        <f t="shared" si="12"/>
        <v>-1.4202000736036702</v>
      </c>
      <c r="P27" s="143">
        <f t="shared" si="4"/>
        <v>-2.3224587155963401</v>
      </c>
      <c r="Q27" s="143">
        <f t="shared" si="5"/>
        <v>2.3224587155963401</v>
      </c>
      <c r="R27" s="34">
        <v>1046.0030000000002</v>
      </c>
      <c r="S27" s="56">
        <f t="shared" si="6"/>
        <v>-43.996999999999844</v>
      </c>
      <c r="T27" s="56">
        <f t="shared" si="7"/>
        <v>1935.7360089999863</v>
      </c>
      <c r="U27" s="56">
        <f t="shared" si="8"/>
        <v>43.996999999999844</v>
      </c>
      <c r="V27" s="56">
        <f t="shared" si="9"/>
        <v>1.6531835598447402</v>
      </c>
      <c r="W27" s="33">
        <f t="shared" si="10"/>
        <v>-4.0364220183486097</v>
      </c>
      <c r="X27" s="143">
        <f t="shared" si="11"/>
        <v>4.0364220183486097</v>
      </c>
    </row>
    <row r="28" spans="1:24" ht="15" x14ac:dyDescent="0.2">
      <c r="A28" t="s">
        <v>893</v>
      </c>
      <c r="B28" s="224" t="s">
        <v>513</v>
      </c>
      <c r="C28" s="224" t="s">
        <v>824</v>
      </c>
      <c r="D28" s="35" t="s">
        <v>148</v>
      </c>
      <c r="E28" s="35" t="s">
        <v>661</v>
      </c>
      <c r="F28" s="35" t="s">
        <v>374</v>
      </c>
      <c r="G28" s="35" t="s">
        <v>626</v>
      </c>
      <c r="H28" s="35" t="s">
        <v>580</v>
      </c>
      <c r="I28">
        <v>1274</v>
      </c>
      <c r="J28" s="34">
        <v>1223.0223000000001</v>
      </c>
      <c r="K28" s="34">
        <f t="shared" si="0"/>
        <v>-50.977699999999913</v>
      </c>
      <c r="L28" s="56">
        <f t="shared" si="1"/>
        <v>2598.7258972899913</v>
      </c>
      <c r="M28" s="56">
        <f t="shared" si="2"/>
        <v>50.977699999999913</v>
      </c>
      <c r="N28" s="56">
        <f t="shared" si="3"/>
        <v>1.7158170581698395</v>
      </c>
      <c r="O28" s="56">
        <f t="shared" si="12"/>
        <v>-1.7158170581698395</v>
      </c>
      <c r="P28" s="143">
        <f t="shared" si="4"/>
        <v>-4.0013893249607468</v>
      </c>
      <c r="Q28" s="143">
        <f t="shared" si="5"/>
        <v>4.0013893249607468</v>
      </c>
      <c r="R28" s="34">
        <v>1213.6730000000002</v>
      </c>
      <c r="S28" s="56">
        <f t="shared" si="6"/>
        <v>-60.326999999999771</v>
      </c>
      <c r="T28" s="56">
        <f t="shared" si="7"/>
        <v>3639.3469289999725</v>
      </c>
      <c r="U28" s="56">
        <f t="shared" si="8"/>
        <v>60.326999999999771</v>
      </c>
      <c r="V28" s="56">
        <f t="shared" si="9"/>
        <v>1.7876517203484652</v>
      </c>
      <c r="W28" s="33">
        <f t="shared" si="10"/>
        <v>-4.7352433281004531</v>
      </c>
      <c r="X28" s="143">
        <f t="shared" si="11"/>
        <v>4.7352433281004531</v>
      </c>
    </row>
    <row r="29" spans="1:24" ht="15" x14ac:dyDescent="0.2">
      <c r="A29" t="s">
        <v>894</v>
      </c>
      <c r="B29" s="224" t="s">
        <v>513</v>
      </c>
      <c r="C29" s="224" t="s">
        <v>824</v>
      </c>
      <c r="D29" s="35" t="s">
        <v>148</v>
      </c>
      <c r="E29" s="35" t="s">
        <v>661</v>
      </c>
      <c r="F29" s="35" t="s">
        <v>494</v>
      </c>
      <c r="G29" s="35" t="s">
        <v>626</v>
      </c>
      <c r="H29" s="35" t="s">
        <v>580</v>
      </c>
      <c r="I29">
        <v>1111</v>
      </c>
      <c r="J29" s="34">
        <v>1097.4446000000003</v>
      </c>
      <c r="K29" s="34">
        <f t="shared" si="0"/>
        <v>-13.555399999999736</v>
      </c>
      <c r="L29" s="56">
        <f t="shared" si="1"/>
        <v>183.74886915999284</v>
      </c>
      <c r="M29" s="56">
        <f t="shared" si="2"/>
        <v>13.555399999999736</v>
      </c>
      <c r="N29" s="56">
        <f t="shared" si="3"/>
        <v>1.1630241448765566</v>
      </c>
      <c r="O29" s="56">
        <f t="shared" si="12"/>
        <v>-1.1630241448765566</v>
      </c>
      <c r="P29" s="143">
        <f t="shared" si="4"/>
        <v>-1.2201080108010562</v>
      </c>
      <c r="Q29" s="143">
        <f t="shared" si="5"/>
        <v>1.2201080108010562</v>
      </c>
      <c r="R29" s="34">
        <v>1085.1260000000002</v>
      </c>
      <c r="S29" s="56">
        <f t="shared" si="6"/>
        <v>-25.873999999999796</v>
      </c>
      <c r="T29" s="56">
        <f t="shared" si="7"/>
        <v>669.46387599998945</v>
      </c>
      <c r="U29" s="56">
        <f t="shared" si="8"/>
        <v>25.873999999999796</v>
      </c>
      <c r="V29" s="56">
        <f t="shared" si="9"/>
        <v>1.4293323128283282</v>
      </c>
      <c r="W29" s="33">
        <f t="shared" si="10"/>
        <v>-2.3288928892889107</v>
      </c>
      <c r="X29" s="143">
        <f t="shared" si="11"/>
        <v>2.3288928892889107</v>
      </c>
    </row>
    <row r="30" spans="1:24" ht="15" x14ac:dyDescent="0.2">
      <c r="A30" t="s">
        <v>895</v>
      </c>
      <c r="B30" s="224" t="s">
        <v>513</v>
      </c>
      <c r="C30" s="224" t="s">
        <v>824</v>
      </c>
      <c r="D30" s="35" t="s">
        <v>148</v>
      </c>
      <c r="E30" s="35" t="s">
        <v>661</v>
      </c>
      <c r="F30" s="35" t="s">
        <v>494</v>
      </c>
      <c r="G30" s="35" t="s">
        <v>626</v>
      </c>
      <c r="H30" s="35" t="s">
        <v>580</v>
      </c>
      <c r="I30">
        <v>1185</v>
      </c>
      <c r="J30" s="34">
        <v>1201.1826999999998</v>
      </c>
      <c r="K30" s="34">
        <f t="shared" si="0"/>
        <v>16.182699999999841</v>
      </c>
      <c r="L30" s="56">
        <f t="shared" si="1"/>
        <v>261.87977928999481</v>
      </c>
      <c r="M30" s="56">
        <f t="shared" si="2"/>
        <v>16.182699999999841</v>
      </c>
      <c r="N30" s="56">
        <f t="shared" si="3"/>
        <v>1.2350914076307591</v>
      </c>
      <c r="O30" s="56">
        <f t="shared" si="12"/>
        <v>1.2350914076307591</v>
      </c>
      <c r="P30" s="143">
        <f t="shared" si="4"/>
        <v>1.3656286919831089</v>
      </c>
      <c r="Q30" s="143">
        <f t="shared" si="5"/>
        <v>1.3656286919831089</v>
      </c>
      <c r="R30" s="34">
        <v>1202.4949999999999</v>
      </c>
      <c r="S30" s="56">
        <f t="shared" si="6"/>
        <v>17.494999999999891</v>
      </c>
      <c r="T30" s="56">
        <f t="shared" si="7"/>
        <v>306.07502499999617</v>
      </c>
      <c r="U30" s="56">
        <f t="shared" si="8"/>
        <v>17.494999999999891</v>
      </c>
      <c r="V30" s="56">
        <f t="shared" si="9"/>
        <v>1.2670543356514103</v>
      </c>
      <c r="W30" s="33">
        <f t="shared" si="10"/>
        <v>1.4763713080168683</v>
      </c>
      <c r="X30" s="143">
        <f t="shared" si="11"/>
        <v>1.4763713080168683</v>
      </c>
    </row>
    <row r="31" spans="1:24" ht="15" x14ac:dyDescent="0.2">
      <c r="A31" t="s">
        <v>896</v>
      </c>
      <c r="B31" s="224" t="s">
        <v>513</v>
      </c>
      <c r="C31" s="224" t="s">
        <v>824</v>
      </c>
      <c r="D31" s="35" t="s">
        <v>148</v>
      </c>
      <c r="E31" s="35" t="s">
        <v>661</v>
      </c>
      <c r="F31" s="35" t="s">
        <v>374</v>
      </c>
      <c r="G31" s="35" t="s">
        <v>627</v>
      </c>
      <c r="H31" s="35" t="s">
        <v>580</v>
      </c>
      <c r="I31">
        <v>1750</v>
      </c>
      <c r="J31" s="34">
        <v>1736.2529</v>
      </c>
      <c r="K31" s="34">
        <f t="shared" si="0"/>
        <v>-13.747100000000046</v>
      </c>
      <c r="L31" s="56">
        <f t="shared" si="1"/>
        <v>188.98275841000125</v>
      </c>
      <c r="M31" s="56">
        <f t="shared" si="2"/>
        <v>13.747100000000046</v>
      </c>
      <c r="N31" s="56">
        <f t="shared" si="3"/>
        <v>1.1687066252074385</v>
      </c>
      <c r="O31" s="56">
        <f t="shared" si="12"/>
        <v>-1.1687066252074385</v>
      </c>
      <c r="P31" s="143">
        <f t="shared" si="4"/>
        <v>-0.78554857142857404</v>
      </c>
      <c r="Q31" s="143">
        <f t="shared" si="5"/>
        <v>0.78554857142857404</v>
      </c>
      <c r="R31" s="34">
        <v>1772.5730000000003</v>
      </c>
      <c r="S31" s="56">
        <f t="shared" si="6"/>
        <v>22.57300000000032</v>
      </c>
      <c r="T31" s="56">
        <f t="shared" si="7"/>
        <v>509.54032900001448</v>
      </c>
      <c r="U31" s="56">
        <f t="shared" si="8"/>
        <v>22.57300000000032</v>
      </c>
      <c r="V31" s="56">
        <f t="shared" si="9"/>
        <v>1.3724148562000595</v>
      </c>
      <c r="W31" s="33">
        <f t="shared" si="10"/>
        <v>1.2898857142857325</v>
      </c>
      <c r="X31" s="143">
        <f t="shared" si="11"/>
        <v>1.2898857142857325</v>
      </c>
    </row>
    <row r="32" spans="1:24" ht="15" x14ac:dyDescent="0.2">
      <c r="A32" t="s">
        <v>897</v>
      </c>
      <c r="B32" s="224" t="s">
        <v>513</v>
      </c>
      <c r="C32" s="224" t="s">
        <v>824</v>
      </c>
      <c r="D32" s="35" t="s">
        <v>148</v>
      </c>
      <c r="E32" s="35" t="s">
        <v>661</v>
      </c>
      <c r="F32" s="35" t="s">
        <v>494</v>
      </c>
      <c r="G32" s="35" t="s">
        <v>626</v>
      </c>
      <c r="H32" s="35" t="s">
        <v>580</v>
      </c>
      <c r="I32">
        <v>1031</v>
      </c>
      <c r="J32" s="34">
        <v>988.24660000000006</v>
      </c>
      <c r="K32" s="34">
        <f t="shared" si="0"/>
        <v>-42.753399999999942</v>
      </c>
      <c r="L32" s="56">
        <f t="shared" si="1"/>
        <v>1827.8532115599951</v>
      </c>
      <c r="M32" s="56">
        <f t="shared" si="2"/>
        <v>42.753399999999942</v>
      </c>
      <c r="N32" s="56">
        <f t="shared" si="3"/>
        <v>1.6410118069323871</v>
      </c>
      <c r="O32" s="56">
        <f t="shared" si="12"/>
        <v>-1.6410118069323871</v>
      </c>
      <c r="P32" s="143">
        <f t="shared" si="4"/>
        <v>-4.1467895247332631</v>
      </c>
      <c r="Q32" s="143">
        <f t="shared" si="5"/>
        <v>4.1467895247332631</v>
      </c>
      <c r="R32" s="34">
        <v>973.34600000000012</v>
      </c>
      <c r="S32" s="56">
        <f t="shared" si="6"/>
        <v>-57.653999999999883</v>
      </c>
      <c r="T32" s="56">
        <f t="shared" si="7"/>
        <v>3323.9837159999865</v>
      </c>
      <c r="U32" s="56">
        <f t="shared" si="8"/>
        <v>57.653999999999883</v>
      </c>
      <c r="V32" s="56">
        <f t="shared" si="9"/>
        <v>1.7682976348435591</v>
      </c>
      <c r="W32" s="33">
        <f t="shared" si="10"/>
        <v>-5.5920465567410176</v>
      </c>
      <c r="X32" s="143">
        <f t="shared" si="11"/>
        <v>5.5920465567410176</v>
      </c>
    </row>
    <row r="33" spans="1:30" ht="15" x14ac:dyDescent="0.2">
      <c r="A33" t="s">
        <v>898</v>
      </c>
      <c r="B33" s="224" t="s">
        <v>513</v>
      </c>
      <c r="C33" s="224" t="s">
        <v>824</v>
      </c>
      <c r="D33" s="35" t="s">
        <v>148</v>
      </c>
      <c r="E33" s="35" t="s">
        <v>661</v>
      </c>
      <c r="F33" s="225" t="s">
        <v>494</v>
      </c>
      <c r="G33" s="35" t="s">
        <v>626</v>
      </c>
      <c r="H33" s="35" t="s">
        <v>580</v>
      </c>
      <c r="I33">
        <v>874</v>
      </c>
      <c r="J33" s="34">
        <v>895.42830000000015</v>
      </c>
      <c r="K33" s="34">
        <f t="shared" si="0"/>
        <v>21.428300000000149</v>
      </c>
      <c r="L33" s="56">
        <f t="shared" si="1"/>
        <v>459.17204089000643</v>
      </c>
      <c r="M33" s="56">
        <f t="shared" si="2"/>
        <v>21.428300000000149</v>
      </c>
      <c r="N33" s="56">
        <f t="shared" si="3"/>
        <v>1.3507963565700838</v>
      </c>
      <c r="O33" s="56">
        <f t="shared" si="12"/>
        <v>1.3507963565700838</v>
      </c>
      <c r="P33" s="143">
        <f t="shared" si="4"/>
        <v>2.4517505720823971</v>
      </c>
      <c r="Q33" s="143">
        <f t="shared" si="5"/>
        <v>2.4517505720823971</v>
      </c>
      <c r="R33" s="34">
        <v>883.92200000000014</v>
      </c>
      <c r="S33" s="56">
        <f t="shared" si="6"/>
        <v>9.9220000000001392</v>
      </c>
      <c r="T33" s="56">
        <f t="shared" si="7"/>
        <v>98.446084000002756</v>
      </c>
      <c r="U33" s="56">
        <f t="shared" si="8"/>
        <v>9.9220000000001392</v>
      </c>
      <c r="V33" s="56">
        <f t="shared" si="9"/>
        <v>1.03830217219953</v>
      </c>
      <c r="W33" s="33">
        <f t="shared" si="10"/>
        <v>1.1352402745995582</v>
      </c>
      <c r="X33" s="143">
        <f t="shared" si="11"/>
        <v>1.1352402745995582</v>
      </c>
    </row>
    <row r="34" spans="1:30" ht="15" x14ac:dyDescent="0.2">
      <c r="A34" t="s">
        <v>899</v>
      </c>
      <c r="B34" s="224" t="s">
        <v>513</v>
      </c>
      <c r="C34" s="224" t="s">
        <v>824</v>
      </c>
      <c r="D34" s="35" t="s">
        <v>148</v>
      </c>
      <c r="E34" s="35" t="s">
        <v>661</v>
      </c>
      <c r="F34" s="35" t="s">
        <v>374</v>
      </c>
      <c r="G34" s="35" t="s">
        <v>627</v>
      </c>
      <c r="H34" s="35" t="s">
        <v>580</v>
      </c>
      <c r="I34">
        <v>2060</v>
      </c>
      <c r="J34" s="34">
        <v>2118.4459000000002</v>
      </c>
      <c r="K34" s="34">
        <f t="shared" si="0"/>
        <v>58.445900000000165</v>
      </c>
      <c r="L34" s="56">
        <f t="shared" si="1"/>
        <v>3415.9232268100195</v>
      </c>
      <c r="M34" s="56">
        <f t="shared" si="2"/>
        <v>58.445900000000165</v>
      </c>
      <c r="N34" s="56">
        <f t="shared" si="3"/>
        <v>1.7741219065782796</v>
      </c>
      <c r="O34" s="56">
        <f t="shared" si="12"/>
        <v>1.7741219065782796</v>
      </c>
      <c r="P34" s="143">
        <f t="shared" si="4"/>
        <v>2.8371796116504933</v>
      </c>
      <c r="Q34" s="143">
        <f t="shared" si="5"/>
        <v>2.8371796116504933</v>
      </c>
      <c r="R34" s="34">
        <v>2158.2140000000004</v>
      </c>
      <c r="S34" s="56">
        <f t="shared" si="6"/>
        <v>98.214000000000397</v>
      </c>
      <c r="T34" s="56">
        <f t="shared" si="7"/>
        <v>9645.9897960000781</v>
      </c>
      <c r="U34" s="56">
        <f t="shared" si="8"/>
        <v>98.214000000000397</v>
      </c>
      <c r="V34" s="56">
        <f t="shared" si="9"/>
        <v>1.9965729593895241</v>
      </c>
      <c r="W34" s="33">
        <f t="shared" si="10"/>
        <v>4.7676699029126404</v>
      </c>
      <c r="X34" s="143">
        <f t="shared" si="11"/>
        <v>4.7676699029126404</v>
      </c>
    </row>
    <row r="35" spans="1:30" ht="15" x14ac:dyDescent="0.2">
      <c r="A35" t="s">
        <v>836</v>
      </c>
      <c r="B35" s="224" t="s">
        <v>513</v>
      </c>
      <c r="C35" s="224" t="s">
        <v>824</v>
      </c>
      <c r="D35" s="35" t="s">
        <v>148</v>
      </c>
      <c r="E35" s="35" t="s">
        <v>661</v>
      </c>
      <c r="F35" s="35" t="s">
        <v>374</v>
      </c>
      <c r="G35" s="35" t="s">
        <v>627</v>
      </c>
      <c r="H35" s="35" t="s">
        <v>580</v>
      </c>
      <c r="I35">
        <v>2190</v>
      </c>
      <c r="J35" s="34">
        <v>2385.9810000000002</v>
      </c>
      <c r="K35" s="34">
        <f t="shared" si="0"/>
        <v>195.98100000000022</v>
      </c>
      <c r="L35" s="56">
        <f t="shared" si="1"/>
        <v>38408.552361000089</v>
      </c>
      <c r="M35" s="56">
        <f t="shared" si="2"/>
        <v>195.98100000000022</v>
      </c>
      <c r="N35" s="56">
        <f t="shared" si="3"/>
        <v>2.2944243378717388</v>
      </c>
      <c r="O35" s="56">
        <f t="shared" si="12"/>
        <v>2.2944243378717388</v>
      </c>
      <c r="P35" s="143">
        <f t="shared" si="4"/>
        <v>8.9489041095890496</v>
      </c>
      <c r="Q35" s="143">
        <f t="shared" si="5"/>
        <v>8.9489041095890496</v>
      </c>
      <c r="R35" s="34">
        <v>2515.9100000000003</v>
      </c>
      <c r="S35" s="56">
        <f t="shared" si="6"/>
        <v>325.91000000000031</v>
      </c>
      <c r="T35" s="56">
        <f t="shared" si="7"/>
        <v>106217.3281000002</v>
      </c>
      <c r="U35" s="56">
        <f t="shared" si="8"/>
        <v>325.91000000000031</v>
      </c>
      <c r="V35" s="56">
        <f t="shared" si="9"/>
        <v>2.5144282056167544</v>
      </c>
      <c r="W35" s="33">
        <f t="shared" si="10"/>
        <v>14.881735159817365</v>
      </c>
      <c r="X35" s="143">
        <f t="shared" si="11"/>
        <v>14.881735159817365</v>
      </c>
    </row>
    <row r="36" spans="1:30" ht="15" x14ac:dyDescent="0.2">
      <c r="A36" t="s">
        <v>837</v>
      </c>
      <c r="B36" s="224" t="s">
        <v>513</v>
      </c>
      <c r="C36" s="224" t="s">
        <v>824</v>
      </c>
      <c r="D36" s="35" t="s">
        <v>148</v>
      </c>
      <c r="E36" s="35" t="s">
        <v>661</v>
      </c>
      <c r="F36" s="225" t="s">
        <v>293</v>
      </c>
      <c r="G36" s="35" t="s">
        <v>627</v>
      </c>
      <c r="H36" s="29" t="s">
        <v>580</v>
      </c>
      <c r="I36">
        <v>2570</v>
      </c>
      <c r="J36" s="34">
        <v>2850.0725000000002</v>
      </c>
      <c r="K36" s="34">
        <f t="shared" si="0"/>
        <v>280.07250000000022</v>
      </c>
      <c r="L36" s="56">
        <f t="shared" si="1"/>
        <v>78440.605256250128</v>
      </c>
      <c r="M36" s="56">
        <f t="shared" si="2"/>
        <v>280.07250000000022</v>
      </c>
      <c r="N36" s="56">
        <f t="shared" si="3"/>
        <v>2.4488183565199746</v>
      </c>
      <c r="O36" s="56">
        <f t="shared" si="12"/>
        <v>2.4488183565199746</v>
      </c>
      <c r="P36" s="143">
        <f t="shared" si="4"/>
        <v>10.897762645914405</v>
      </c>
      <c r="Q36" s="143">
        <f t="shared" si="5"/>
        <v>10.897762645914405</v>
      </c>
      <c r="R36" s="34">
        <v>3018.9200000000005</v>
      </c>
      <c r="S36" s="56">
        <f t="shared" si="6"/>
        <v>448.92000000000053</v>
      </c>
      <c r="T36" s="56">
        <f t="shared" si="7"/>
        <v>201529.16640000048</v>
      </c>
      <c r="U36" s="56">
        <f t="shared" si="8"/>
        <v>448.92000000000053</v>
      </c>
      <c r="V36" s="56">
        <f t="shared" si="9"/>
        <v>2.6531352990037118</v>
      </c>
      <c r="W36" s="33">
        <f t="shared" si="10"/>
        <v>17.467704280155662</v>
      </c>
      <c r="X36" s="143">
        <f t="shared" si="11"/>
        <v>17.467704280155662</v>
      </c>
    </row>
    <row r="37" spans="1:30" ht="15" x14ac:dyDescent="0.2">
      <c r="A37" t="s">
        <v>838</v>
      </c>
      <c r="B37" s="224" t="s">
        <v>513</v>
      </c>
      <c r="C37" s="224" t="s">
        <v>824</v>
      </c>
      <c r="D37" s="35" t="s">
        <v>148</v>
      </c>
      <c r="E37" s="35" t="s">
        <v>661</v>
      </c>
      <c r="F37" s="35" t="s">
        <v>374</v>
      </c>
      <c r="G37" s="35" t="s">
        <v>627</v>
      </c>
      <c r="H37" s="35" t="s">
        <v>580</v>
      </c>
      <c r="I37">
        <v>2285</v>
      </c>
      <c r="J37" s="34">
        <v>2549.7780000000002</v>
      </c>
      <c r="K37" s="34">
        <f t="shared" si="0"/>
        <v>264.77800000000025</v>
      </c>
      <c r="L37" s="56">
        <f t="shared" si="1"/>
        <v>70107.389284000135</v>
      </c>
      <c r="M37" s="56">
        <f t="shared" si="2"/>
        <v>264.77800000000025</v>
      </c>
      <c r="N37" s="56">
        <f t="shared" si="3"/>
        <v>2.4245190289993737</v>
      </c>
      <c r="O37" s="56">
        <f t="shared" si="12"/>
        <v>2.4245190289993737</v>
      </c>
      <c r="P37" s="143">
        <f t="shared" si="4"/>
        <v>11.58765864332605</v>
      </c>
      <c r="Q37" s="143">
        <f t="shared" si="5"/>
        <v>11.58765864332605</v>
      </c>
      <c r="R37" s="34">
        <v>2683.5800000000004</v>
      </c>
      <c r="S37" s="56">
        <f t="shared" si="6"/>
        <v>398.58000000000038</v>
      </c>
      <c r="T37" s="56">
        <f t="shared" si="7"/>
        <v>158866.01640000031</v>
      </c>
      <c r="U37" s="56">
        <f t="shared" si="8"/>
        <v>398.58000000000038</v>
      </c>
      <c r="V37" s="56">
        <f t="shared" si="9"/>
        <v>2.6016037425494156</v>
      </c>
      <c r="W37" s="33">
        <f t="shared" si="10"/>
        <v>17.443326039387326</v>
      </c>
      <c r="X37" s="143">
        <f t="shared" si="11"/>
        <v>17.443326039387326</v>
      </c>
    </row>
    <row r="38" spans="1:30" ht="16" x14ac:dyDescent="0.2">
      <c r="A38" t="s">
        <v>839</v>
      </c>
      <c r="B38" s="224" t="s">
        <v>513</v>
      </c>
      <c r="C38" s="224" t="s">
        <v>824</v>
      </c>
      <c r="D38" s="35" t="s">
        <v>148</v>
      </c>
      <c r="E38" s="35" t="s">
        <v>661</v>
      </c>
      <c r="F38" s="35" t="s">
        <v>374</v>
      </c>
      <c r="G38" s="35" t="s">
        <v>626</v>
      </c>
      <c r="H38" s="35" t="s">
        <v>580</v>
      </c>
      <c r="I38" s="147">
        <v>1380</v>
      </c>
      <c r="J38" s="34">
        <v>1348.6</v>
      </c>
      <c r="K38" s="34">
        <f t="shared" si="0"/>
        <v>-31.400000000000091</v>
      </c>
      <c r="L38" s="56">
        <f t="shared" si="1"/>
        <v>985.96000000000572</v>
      </c>
      <c r="M38" s="56">
        <f t="shared" si="2"/>
        <v>31.400000000000091</v>
      </c>
      <c r="N38" s="56">
        <f t="shared" si="3"/>
        <v>1.5105450102066134</v>
      </c>
      <c r="O38" s="56">
        <f t="shared" si="12"/>
        <v>-1.5105450102066134</v>
      </c>
      <c r="P38" s="143">
        <f t="shared" si="4"/>
        <v>-2.2753623188405863</v>
      </c>
      <c r="Q38" s="143">
        <f t="shared" si="5"/>
        <v>2.2753623188405863</v>
      </c>
      <c r="R38" s="34">
        <v>1381.3430000000003</v>
      </c>
      <c r="S38" s="56">
        <f t="shared" si="6"/>
        <v>1.343000000000302</v>
      </c>
      <c r="T38" s="56">
        <f t="shared" si="7"/>
        <v>1.803649000000811</v>
      </c>
      <c r="U38" s="56">
        <f t="shared" si="8"/>
        <v>1.343000000000302</v>
      </c>
      <c r="V38" s="56">
        <f t="shared" si="9"/>
        <v>0.36977228859701872</v>
      </c>
      <c r="W38" s="33">
        <f t="shared" si="10"/>
        <v>9.731884057973203E-2</v>
      </c>
      <c r="X38" s="143">
        <f t="shared" si="11"/>
        <v>9.731884057973203E-2</v>
      </c>
    </row>
    <row r="39" spans="1:30" ht="16" x14ac:dyDescent="0.2">
      <c r="A39" t="s">
        <v>840</v>
      </c>
      <c r="B39" s="224" t="s">
        <v>513</v>
      </c>
      <c r="C39" s="224" t="s">
        <v>824</v>
      </c>
      <c r="D39" s="35" t="s">
        <v>148</v>
      </c>
      <c r="E39" s="35" t="s">
        <v>661</v>
      </c>
      <c r="F39" s="225" t="s">
        <v>293</v>
      </c>
      <c r="G39" s="35" t="s">
        <v>627</v>
      </c>
      <c r="H39" s="29" t="s">
        <v>580</v>
      </c>
      <c r="I39" s="147">
        <v>2645</v>
      </c>
      <c r="J39" s="34">
        <v>2768.1740000000004</v>
      </c>
      <c r="K39" s="34">
        <f t="shared" si="0"/>
        <v>123.17400000000043</v>
      </c>
      <c r="L39" s="56">
        <f t="shared" si="1"/>
        <v>15171.834276000107</v>
      </c>
      <c r="M39" s="56">
        <f t="shared" si="2"/>
        <v>123.17400000000043</v>
      </c>
      <c r="N39" s="56">
        <f t="shared" si="3"/>
        <v>2.0940306712142274</v>
      </c>
      <c r="O39" s="56">
        <f t="shared" si="12"/>
        <v>2.0940306712142274</v>
      </c>
      <c r="P39" s="143">
        <f t="shared" si="4"/>
        <v>4.6568620037807351</v>
      </c>
      <c r="Q39" s="143">
        <f t="shared" si="5"/>
        <v>4.6568620037807351</v>
      </c>
      <c r="R39" s="34">
        <v>2907.1400000000003</v>
      </c>
      <c r="S39" s="56">
        <f t="shared" si="6"/>
        <v>262.14000000000033</v>
      </c>
      <c r="T39" s="56">
        <f t="shared" si="7"/>
        <v>68717.379600000175</v>
      </c>
      <c r="U39" s="56">
        <f t="shared" si="8"/>
        <v>262.14000000000033</v>
      </c>
      <c r="V39" s="56">
        <f t="shared" si="9"/>
        <v>2.4201868703542866</v>
      </c>
      <c r="W39" s="33">
        <f t="shared" si="10"/>
        <v>9.9107750472589924</v>
      </c>
      <c r="X39" s="143">
        <f t="shared" si="11"/>
        <v>9.9107750472589924</v>
      </c>
    </row>
    <row r="40" spans="1:30" ht="16" x14ac:dyDescent="0.2">
      <c r="A40" t="s">
        <v>841</v>
      </c>
      <c r="B40" s="224" t="s">
        <v>513</v>
      </c>
      <c r="C40" s="224" t="s">
        <v>824</v>
      </c>
      <c r="D40" s="35" t="s">
        <v>148</v>
      </c>
      <c r="E40" s="35" t="s">
        <v>661</v>
      </c>
      <c r="F40" s="35" t="s">
        <v>374</v>
      </c>
      <c r="G40" s="35" t="s">
        <v>626</v>
      </c>
      <c r="H40" s="35" t="s">
        <v>580</v>
      </c>
      <c r="I40" s="147">
        <v>1325</v>
      </c>
      <c r="J40" s="34">
        <v>1321.3004999999998</v>
      </c>
      <c r="K40" s="34">
        <f t="shared" si="0"/>
        <v>-3.699500000000171</v>
      </c>
      <c r="L40" s="56">
        <f t="shared" si="1"/>
        <v>13.686300250001265</v>
      </c>
      <c r="M40" s="56">
        <f t="shared" si="2"/>
        <v>3.699500000000171</v>
      </c>
      <c r="N40" s="56">
        <f t="shared" si="3"/>
        <v>0.67205165393740218</v>
      </c>
      <c r="O40" s="56">
        <f t="shared" si="12"/>
        <v>-0.67205165393740218</v>
      </c>
      <c r="P40" s="143">
        <f t="shared" si="4"/>
        <v>-0.27920754716982421</v>
      </c>
      <c r="Q40" s="143">
        <f t="shared" si="5"/>
        <v>0.27920754716982421</v>
      </c>
      <c r="R40" s="34">
        <v>1342.2200000000003</v>
      </c>
      <c r="S40" s="56">
        <f t="shared" si="6"/>
        <v>17.220000000000255</v>
      </c>
      <c r="T40" s="56">
        <f t="shared" si="7"/>
        <v>296.52840000000879</v>
      </c>
      <c r="U40" s="56">
        <f t="shared" si="8"/>
        <v>17.220000000000255</v>
      </c>
      <c r="V40" s="56">
        <f t="shared" si="9"/>
        <v>1.2605483726369855</v>
      </c>
      <c r="W40" s="33">
        <f t="shared" si="10"/>
        <v>1.2996226415094532</v>
      </c>
      <c r="X40" s="143">
        <f t="shared" si="11"/>
        <v>1.2996226415094532</v>
      </c>
    </row>
    <row r="41" spans="1:30" ht="16" x14ac:dyDescent="0.2">
      <c r="A41" t="s">
        <v>842</v>
      </c>
      <c r="B41" s="224" t="s">
        <v>513</v>
      </c>
      <c r="C41" s="224" t="s">
        <v>824</v>
      </c>
      <c r="D41" s="35" t="s">
        <v>148</v>
      </c>
      <c r="E41" s="35" t="s">
        <v>661</v>
      </c>
      <c r="F41" s="35" t="s">
        <v>374</v>
      </c>
      <c r="G41" s="35" t="s">
        <v>627</v>
      </c>
      <c r="H41" s="35" t="s">
        <v>580</v>
      </c>
      <c r="I41" s="147">
        <v>2435</v>
      </c>
      <c r="J41" s="34">
        <v>2604.3770000000004</v>
      </c>
      <c r="K41" s="34">
        <f t="shared" si="0"/>
        <v>169.37700000000041</v>
      </c>
      <c r="L41" s="56">
        <f t="shared" si="1"/>
        <v>28688.568129000138</v>
      </c>
      <c r="M41" s="56">
        <f t="shared" si="2"/>
        <v>169.37700000000041</v>
      </c>
      <c r="N41" s="56">
        <f t="shared" si="3"/>
        <v>2.2314109669138431</v>
      </c>
      <c r="O41" s="56">
        <f t="shared" si="12"/>
        <v>2.2314109669138431</v>
      </c>
      <c r="P41" s="143">
        <f t="shared" si="4"/>
        <v>6.9559342915811255</v>
      </c>
      <c r="Q41" s="143">
        <f t="shared" si="5"/>
        <v>6.9559342915811255</v>
      </c>
      <c r="R41" s="34">
        <v>2683.5800000000004</v>
      </c>
      <c r="S41" s="56">
        <f t="shared" si="6"/>
        <v>248.58000000000038</v>
      </c>
      <c r="T41" s="56">
        <f t="shared" si="7"/>
        <v>61792.01640000019</v>
      </c>
      <c r="U41" s="56">
        <f t="shared" si="8"/>
        <v>248.58000000000038</v>
      </c>
      <c r="V41" s="56">
        <f t="shared" si="9"/>
        <v>2.3972097803787804</v>
      </c>
      <c r="W41" s="33">
        <f t="shared" si="10"/>
        <v>10.208624229979481</v>
      </c>
      <c r="X41" s="143">
        <f t="shared" si="11"/>
        <v>10.208624229979481</v>
      </c>
      <c r="Y41" s="34"/>
      <c r="Z41" s="34"/>
      <c r="AA41" s="34"/>
      <c r="AB41" s="34"/>
      <c r="AC41" s="34"/>
      <c r="AD41" s="34"/>
    </row>
    <row r="42" spans="1:30" ht="16" x14ac:dyDescent="0.2">
      <c r="A42" t="s">
        <v>843</v>
      </c>
      <c r="B42" s="224" t="s">
        <v>513</v>
      </c>
      <c r="C42" s="224" t="s">
        <v>824</v>
      </c>
      <c r="D42" s="35" t="s">
        <v>148</v>
      </c>
      <c r="E42" s="35" t="s">
        <v>661</v>
      </c>
      <c r="F42" s="35" t="s">
        <v>494</v>
      </c>
      <c r="G42" s="35" t="s">
        <v>626</v>
      </c>
      <c r="H42" s="35" t="s">
        <v>580</v>
      </c>
      <c r="I42" s="147">
        <v>1126</v>
      </c>
      <c r="J42" s="34">
        <v>1113.8243000000002</v>
      </c>
      <c r="K42" s="34">
        <f t="shared" si="0"/>
        <v>-12.175699999999779</v>
      </c>
      <c r="L42" s="56">
        <f t="shared" si="1"/>
        <v>148.24767048999462</v>
      </c>
      <c r="M42" s="56">
        <f t="shared" si="2"/>
        <v>12.175699999999779</v>
      </c>
      <c r="N42" s="56">
        <f t="shared" si="3"/>
        <v>1.1197736977412414</v>
      </c>
      <c r="O42" s="56">
        <f t="shared" si="12"/>
        <v>-1.1197736977412414</v>
      </c>
      <c r="P42" s="143">
        <f t="shared" si="4"/>
        <v>-1.0813232682060194</v>
      </c>
      <c r="Q42" s="143">
        <f t="shared" si="5"/>
        <v>1.0813232682060194</v>
      </c>
      <c r="R42" s="34">
        <v>1129.8380000000002</v>
      </c>
      <c r="S42" s="56">
        <f t="shared" si="6"/>
        <v>3.8380000000001928</v>
      </c>
      <c r="T42" s="56">
        <f t="shared" si="7"/>
        <v>14.73024400000148</v>
      </c>
      <c r="U42" s="56">
        <f t="shared" si="8"/>
        <v>3.8380000000001928</v>
      </c>
      <c r="V42" s="56">
        <f t="shared" si="9"/>
        <v>0.68466586402587815</v>
      </c>
      <c r="W42" s="33">
        <f t="shared" si="10"/>
        <v>0.34085257548847181</v>
      </c>
      <c r="X42" s="143">
        <f t="shared" si="11"/>
        <v>0.34085257548847181</v>
      </c>
    </row>
    <row r="43" spans="1:30" ht="16" x14ac:dyDescent="0.2">
      <c r="A43" t="s">
        <v>844</v>
      </c>
      <c r="B43" s="224" t="s">
        <v>513</v>
      </c>
      <c r="C43" s="224" t="s">
        <v>824</v>
      </c>
      <c r="D43" s="35" t="s">
        <v>148</v>
      </c>
      <c r="E43" s="35" t="s">
        <v>661</v>
      </c>
      <c r="F43" s="225" t="s">
        <v>494</v>
      </c>
      <c r="G43" s="35" t="s">
        <v>626</v>
      </c>
      <c r="H43" s="35" t="s">
        <v>580</v>
      </c>
      <c r="I43" s="147">
        <v>1028</v>
      </c>
      <c r="J43" s="34">
        <v>1004.6263</v>
      </c>
      <c r="K43" s="34">
        <f t="shared" si="0"/>
        <v>-23.373699999999985</v>
      </c>
      <c r="L43" s="56">
        <f t="shared" si="1"/>
        <v>546.32985168999926</v>
      </c>
      <c r="M43" s="56">
        <f t="shared" si="2"/>
        <v>23.373699999999985</v>
      </c>
      <c r="N43" s="56">
        <f t="shared" si="3"/>
        <v>1.3869214613805207</v>
      </c>
      <c r="O43" s="56">
        <f t="shared" si="12"/>
        <v>-1.3869214613805207</v>
      </c>
      <c r="P43" s="143">
        <f t="shared" si="4"/>
        <v>-2.2737062256809324</v>
      </c>
      <c r="Q43" s="143">
        <f t="shared" si="5"/>
        <v>2.2737062256809324</v>
      </c>
      <c r="R43" s="34">
        <v>995.70200000000011</v>
      </c>
      <c r="S43" s="56">
        <f t="shared" si="6"/>
        <v>-32.297999999999888</v>
      </c>
      <c r="T43" s="56">
        <f t="shared" si="7"/>
        <v>1043.1608039999928</v>
      </c>
      <c r="U43" s="56">
        <f t="shared" si="8"/>
        <v>32.297999999999888</v>
      </c>
      <c r="V43" s="56">
        <f t="shared" si="9"/>
        <v>1.5224181489703243</v>
      </c>
      <c r="W43" s="33">
        <f t="shared" si="10"/>
        <v>-3.1418287937743083</v>
      </c>
      <c r="X43" s="143">
        <f t="shared" si="11"/>
        <v>3.1418287937743083</v>
      </c>
    </row>
    <row r="44" spans="1:30" ht="16" x14ac:dyDescent="0.2">
      <c r="A44" t="s">
        <v>845</v>
      </c>
      <c r="B44" s="224" t="s">
        <v>513</v>
      </c>
      <c r="C44" s="224" t="s">
        <v>824</v>
      </c>
      <c r="D44" s="35" t="s">
        <v>148</v>
      </c>
      <c r="E44" s="35" t="s">
        <v>661</v>
      </c>
      <c r="F44" s="225" t="s">
        <v>494</v>
      </c>
      <c r="G44" s="35" t="s">
        <v>626</v>
      </c>
      <c r="H44" s="35" t="s">
        <v>580</v>
      </c>
      <c r="I44" s="147">
        <v>1059</v>
      </c>
      <c r="J44" s="34">
        <v>1059.2253000000001</v>
      </c>
      <c r="K44" s="34">
        <f t="shared" si="0"/>
        <v>0.22530000000006112</v>
      </c>
      <c r="L44" s="56">
        <f t="shared" si="1"/>
        <v>5.0760090000027541E-2</v>
      </c>
      <c r="M44" s="56">
        <f t="shared" si="2"/>
        <v>0.22530000000006112</v>
      </c>
      <c r="N44" s="56">
        <f t="shared" si="3"/>
        <v>8.824243351159361E-2</v>
      </c>
      <c r="O44" s="56">
        <f t="shared" si="12"/>
        <v>8.824243351159361E-2</v>
      </c>
      <c r="P44" s="143">
        <f t="shared" si="4"/>
        <v>2.1274787535416537E-2</v>
      </c>
      <c r="Q44" s="143">
        <f t="shared" si="5"/>
        <v>2.1274787535416537E-2</v>
      </c>
      <c r="R44" s="34">
        <v>1034.8250000000003</v>
      </c>
      <c r="S44" s="56">
        <f t="shared" si="6"/>
        <v>-24.174999999999727</v>
      </c>
      <c r="T44" s="56">
        <f t="shared" si="7"/>
        <v>584.43062499998678</v>
      </c>
      <c r="U44" s="56">
        <f t="shared" si="8"/>
        <v>24.174999999999727</v>
      </c>
      <c r="V44" s="56">
        <f t="shared" si="9"/>
        <v>1.4009694792256508</v>
      </c>
      <c r="W44" s="33">
        <f t="shared" si="10"/>
        <v>-2.2828139754485104</v>
      </c>
      <c r="X44" s="143">
        <f t="shared" si="11"/>
        <v>2.2828139754485104</v>
      </c>
    </row>
    <row r="45" spans="1:30" ht="16" x14ac:dyDescent="0.2">
      <c r="A45" t="s">
        <v>846</v>
      </c>
      <c r="B45" s="224" t="s">
        <v>513</v>
      </c>
      <c r="C45" s="224" t="s">
        <v>824</v>
      </c>
      <c r="D45" s="35" t="s">
        <v>148</v>
      </c>
      <c r="E45" s="35" t="s">
        <v>661</v>
      </c>
      <c r="F45" s="35" t="s">
        <v>374</v>
      </c>
      <c r="G45" s="35" t="s">
        <v>626</v>
      </c>
      <c r="H45" s="35" t="s">
        <v>580</v>
      </c>
      <c r="I45" s="147">
        <v>1312</v>
      </c>
      <c r="J45" s="34">
        <v>1315.8406</v>
      </c>
      <c r="K45" s="34">
        <f t="shared" si="0"/>
        <v>3.8405999999999949</v>
      </c>
      <c r="L45" s="56">
        <f t="shared" si="1"/>
        <v>14.750208359999961</v>
      </c>
      <c r="M45" s="56">
        <f t="shared" si="2"/>
        <v>3.8405999999999949</v>
      </c>
      <c r="N45" s="56">
        <f t="shared" si="3"/>
        <v>0.68489919646652542</v>
      </c>
      <c r="O45" s="56">
        <f t="shared" si="12"/>
        <v>0.68489919646652542</v>
      </c>
      <c r="P45" s="143">
        <f t="shared" si="4"/>
        <v>0.29272865853658497</v>
      </c>
      <c r="Q45" s="143">
        <f t="shared" si="5"/>
        <v>0.29272865853658497</v>
      </c>
      <c r="R45" s="34">
        <v>1325.453</v>
      </c>
      <c r="S45" s="56">
        <f t="shared" si="6"/>
        <v>13.452999999999975</v>
      </c>
      <c r="T45" s="56">
        <f t="shared" si="7"/>
        <v>180.98320899999931</v>
      </c>
      <c r="U45" s="56">
        <f t="shared" si="8"/>
        <v>13.452999999999975</v>
      </c>
      <c r="V45" s="56">
        <f t="shared" si="9"/>
        <v>1.1599580026785181</v>
      </c>
      <c r="W45" s="33">
        <f t="shared" si="10"/>
        <v>1.0253810975609736</v>
      </c>
      <c r="X45" s="143">
        <f t="shared" si="11"/>
        <v>1.0253810975609736</v>
      </c>
    </row>
    <row r="46" spans="1:30" ht="16" x14ac:dyDescent="0.2">
      <c r="A46" t="s">
        <v>847</v>
      </c>
      <c r="B46" s="224" t="s">
        <v>513</v>
      </c>
      <c r="C46" s="224" t="s">
        <v>824</v>
      </c>
      <c r="D46" s="35" t="s">
        <v>148</v>
      </c>
      <c r="E46" s="35" t="s">
        <v>661</v>
      </c>
      <c r="F46" s="35" t="s">
        <v>494</v>
      </c>
      <c r="G46" s="35" t="s">
        <v>626</v>
      </c>
      <c r="H46" s="35" t="s">
        <v>580</v>
      </c>
      <c r="I46" s="147">
        <v>1170</v>
      </c>
      <c r="J46" s="34">
        <v>1217.5624000000003</v>
      </c>
      <c r="K46" s="34">
        <f t="shared" si="0"/>
        <v>47.562400000000252</v>
      </c>
      <c r="L46" s="56">
        <f t="shared" si="1"/>
        <v>2262.1818937600242</v>
      </c>
      <c r="M46" s="56">
        <f t="shared" si="2"/>
        <v>47.562400000000252</v>
      </c>
      <c r="N46" s="56">
        <f t="shared" si="3"/>
        <v>1.6863001418439796</v>
      </c>
      <c r="O46" s="56">
        <f t="shared" si="12"/>
        <v>1.6863001418439796</v>
      </c>
      <c r="P46" s="143">
        <f t="shared" si="4"/>
        <v>4.0651623931624146</v>
      </c>
      <c r="Q46" s="143">
        <f t="shared" si="5"/>
        <v>4.0651623931624146</v>
      </c>
      <c r="R46" s="34">
        <v>1219.2620000000002</v>
      </c>
      <c r="S46" s="56">
        <f t="shared" si="6"/>
        <v>49.262000000000171</v>
      </c>
      <c r="T46" s="56">
        <f t="shared" si="7"/>
        <v>2426.7446440000167</v>
      </c>
      <c r="U46" s="56">
        <f t="shared" si="8"/>
        <v>49.262000000000171</v>
      </c>
      <c r="V46" s="56">
        <f t="shared" si="9"/>
        <v>1.7012397658260443</v>
      </c>
      <c r="W46" s="33">
        <f t="shared" si="10"/>
        <v>4.2104273504273646</v>
      </c>
      <c r="X46" s="143">
        <f t="shared" si="11"/>
        <v>4.2104273504273646</v>
      </c>
    </row>
    <row r="47" spans="1:30" ht="16" x14ac:dyDescent="0.2">
      <c r="A47" t="s">
        <v>848</v>
      </c>
      <c r="B47" s="224" t="s">
        <v>513</v>
      </c>
      <c r="C47" s="224" t="s">
        <v>824</v>
      </c>
      <c r="D47" s="35" t="s">
        <v>148</v>
      </c>
      <c r="E47" s="35" t="s">
        <v>661</v>
      </c>
      <c r="F47" s="35" t="s">
        <v>374</v>
      </c>
      <c r="G47" s="35" t="s">
        <v>626</v>
      </c>
      <c r="H47" s="35" t="s">
        <v>580</v>
      </c>
      <c r="I47" s="147">
        <v>1244</v>
      </c>
      <c r="J47" s="34">
        <v>1294.0010000000002</v>
      </c>
      <c r="K47" s="34">
        <f t="shared" si="0"/>
        <v>50.001000000000204</v>
      </c>
      <c r="L47" s="56">
        <f t="shared" si="1"/>
        <v>2500.1000010000203</v>
      </c>
      <c r="M47" s="56">
        <f t="shared" si="2"/>
        <v>50.001000000000204</v>
      </c>
      <c r="N47" s="56">
        <f t="shared" si="3"/>
        <v>1.7075786915925297</v>
      </c>
      <c r="O47" s="56">
        <f t="shared" si="12"/>
        <v>1.7075786915925297</v>
      </c>
      <c r="P47" s="143">
        <f t="shared" si="4"/>
        <v>4.0193729903537143</v>
      </c>
      <c r="Q47" s="143">
        <f t="shared" si="5"/>
        <v>4.0193729903537143</v>
      </c>
      <c r="R47" s="34">
        <v>1297.5080000000003</v>
      </c>
      <c r="S47" s="56">
        <f t="shared" si="6"/>
        <v>53.508000000000266</v>
      </c>
      <c r="T47" s="56">
        <f t="shared" si="7"/>
        <v>2863.1060640000283</v>
      </c>
      <c r="U47" s="56">
        <f t="shared" si="8"/>
        <v>53.508000000000266</v>
      </c>
      <c r="V47" s="56">
        <f t="shared" si="9"/>
        <v>1.7364602472469488</v>
      </c>
      <c r="W47" s="33">
        <f t="shared" si="10"/>
        <v>4.3012861736334616</v>
      </c>
      <c r="X47" s="143">
        <f t="shared" si="11"/>
        <v>4.3012861736334616</v>
      </c>
    </row>
    <row r="48" spans="1:30" ht="16" x14ac:dyDescent="0.2">
      <c r="A48" t="s">
        <v>849</v>
      </c>
      <c r="B48" s="224" t="s">
        <v>513</v>
      </c>
      <c r="C48" s="224" t="s">
        <v>824</v>
      </c>
      <c r="D48" s="35" t="s">
        <v>148</v>
      </c>
      <c r="E48" s="35" t="s">
        <v>661</v>
      </c>
      <c r="F48" s="35" t="s">
        <v>374</v>
      </c>
      <c r="G48" s="35" t="s">
        <v>626</v>
      </c>
      <c r="H48" s="35" t="s">
        <v>580</v>
      </c>
      <c r="I48" s="147">
        <v>1413</v>
      </c>
      <c r="J48" s="34">
        <v>1408.6588999999999</v>
      </c>
      <c r="K48" s="34">
        <f t="shared" si="0"/>
        <v>-4.3411000000000968</v>
      </c>
      <c r="L48" s="56">
        <f t="shared" si="1"/>
        <v>18.845149210000841</v>
      </c>
      <c r="M48" s="56">
        <f t="shared" si="2"/>
        <v>4.3411000000000968</v>
      </c>
      <c r="N48" s="56">
        <f t="shared" si="3"/>
        <v>0.72763070922576911</v>
      </c>
      <c r="O48" s="56">
        <f t="shared" si="12"/>
        <v>-0.72763070922576911</v>
      </c>
      <c r="P48" s="143">
        <f t="shared" si="4"/>
        <v>-0.30722576079264663</v>
      </c>
      <c r="Q48" s="143">
        <f t="shared" si="5"/>
        <v>0.30722576079264663</v>
      </c>
      <c r="R48" s="34">
        <v>1437.2330000000002</v>
      </c>
      <c r="S48" s="56">
        <f t="shared" si="6"/>
        <v>24.233000000000175</v>
      </c>
      <c r="T48" s="56">
        <f t="shared" si="7"/>
        <v>587.23828900000842</v>
      </c>
      <c r="U48" s="56">
        <f t="shared" si="8"/>
        <v>24.233000000000175</v>
      </c>
      <c r="V48" s="56">
        <f t="shared" si="9"/>
        <v>1.4019688876952026</v>
      </c>
      <c r="W48" s="33">
        <f t="shared" si="10"/>
        <v>1.7150035385704299</v>
      </c>
      <c r="X48" s="143">
        <f t="shared" si="11"/>
        <v>1.7150035385704299</v>
      </c>
    </row>
    <row r="49" spans="1:24" ht="16" x14ac:dyDescent="0.2">
      <c r="A49" t="s">
        <v>850</v>
      </c>
      <c r="B49" s="224" t="s">
        <v>513</v>
      </c>
      <c r="C49" s="224" t="s">
        <v>824</v>
      </c>
      <c r="D49" s="35" t="s">
        <v>148</v>
      </c>
      <c r="E49" s="35" t="s">
        <v>661</v>
      </c>
      <c r="F49" s="35" t="s">
        <v>374</v>
      </c>
      <c r="G49" s="35" t="s">
        <v>626</v>
      </c>
      <c r="H49" s="35" t="s">
        <v>580</v>
      </c>
      <c r="I49" s="147">
        <v>1240</v>
      </c>
      <c r="J49" s="34">
        <v>1206.6426000000001</v>
      </c>
      <c r="K49" s="34">
        <f t="shared" si="0"/>
        <v>-33.35739999999987</v>
      </c>
      <c r="L49" s="56">
        <f t="shared" si="1"/>
        <v>1112.7161347599913</v>
      </c>
      <c r="M49" s="56">
        <f t="shared" si="2"/>
        <v>33.35739999999987</v>
      </c>
      <c r="N49" s="56">
        <f t="shared" si="3"/>
        <v>1.5360202911202991</v>
      </c>
      <c r="O49" s="56">
        <f t="shared" si="12"/>
        <v>-1.5360202911202991</v>
      </c>
      <c r="P49" s="143">
        <f t="shared" si="4"/>
        <v>-2.690112903225796</v>
      </c>
      <c r="Q49" s="143">
        <f t="shared" si="5"/>
        <v>2.690112903225796</v>
      </c>
      <c r="R49" s="34">
        <v>1202.4949999999999</v>
      </c>
      <c r="S49" s="56">
        <f t="shared" si="6"/>
        <v>-37.505000000000109</v>
      </c>
      <c r="T49" s="56">
        <f t="shared" si="7"/>
        <v>1406.6250250000082</v>
      </c>
      <c r="U49" s="56">
        <f t="shared" si="8"/>
        <v>37.505000000000109</v>
      </c>
      <c r="V49" s="56">
        <f t="shared" si="9"/>
        <v>1.5855171277271258</v>
      </c>
      <c r="W49" s="33">
        <f t="shared" si="10"/>
        <v>-3.0245967741935571</v>
      </c>
      <c r="X49" s="143">
        <f t="shared" si="11"/>
        <v>3.0245967741935571</v>
      </c>
    </row>
    <row r="50" spans="1:24" ht="16" x14ac:dyDescent="0.2">
      <c r="A50" t="s">
        <v>851</v>
      </c>
      <c r="B50" s="224" t="s">
        <v>513</v>
      </c>
      <c r="C50" s="224" t="s">
        <v>824</v>
      </c>
      <c r="D50" s="35" t="s">
        <v>148</v>
      </c>
      <c r="E50" s="35" t="s">
        <v>661</v>
      </c>
      <c r="F50" s="35" t="s">
        <v>374</v>
      </c>
      <c r="G50" s="35" t="s">
        <v>627</v>
      </c>
      <c r="H50" s="35" t="s">
        <v>580</v>
      </c>
      <c r="I50" s="147">
        <v>1622</v>
      </c>
      <c r="J50" s="34">
        <v>1594.2955000000002</v>
      </c>
      <c r="K50" s="34">
        <f t="shared" si="0"/>
        <v>-27.704499999999825</v>
      </c>
      <c r="L50" s="56">
        <f t="shared" si="1"/>
        <v>767.53932024999028</v>
      </c>
      <c r="M50" s="56">
        <f t="shared" si="2"/>
        <v>27.704499999999825</v>
      </c>
      <c r="N50" s="56">
        <f t="shared" si="3"/>
        <v>1.4579499863497016</v>
      </c>
      <c r="O50" s="56">
        <f t="shared" si="12"/>
        <v>-1.4579499863497016</v>
      </c>
      <c r="P50" s="143">
        <f t="shared" si="4"/>
        <v>-1.7080456226880287</v>
      </c>
      <c r="Q50" s="143">
        <f t="shared" si="5"/>
        <v>1.7080456226880287</v>
      </c>
      <c r="R50" s="34">
        <v>1632.848</v>
      </c>
      <c r="S50" s="56">
        <f t="shared" si="6"/>
        <v>10.847999999999956</v>
      </c>
      <c r="T50" s="56">
        <f t="shared" si="7"/>
        <v>117.67910399999906</v>
      </c>
      <c r="U50" s="56">
        <f t="shared" si="8"/>
        <v>10.847999999999956</v>
      </c>
      <c r="V50" s="56">
        <f t="shared" si="9"/>
        <v>1.0736450455131505</v>
      </c>
      <c r="W50" s="33">
        <f t="shared" si="10"/>
        <v>0.66880394574598989</v>
      </c>
      <c r="X50" s="143">
        <f t="shared" si="11"/>
        <v>0.66880394574598989</v>
      </c>
    </row>
    <row r="51" spans="1:24" ht="16" x14ac:dyDescent="0.2">
      <c r="A51" t="s">
        <v>852</v>
      </c>
      <c r="B51" s="224" t="s">
        <v>513</v>
      </c>
      <c r="C51" s="224" t="s">
        <v>824</v>
      </c>
      <c r="D51" s="35" t="s">
        <v>148</v>
      </c>
      <c r="E51" s="35" t="s">
        <v>661</v>
      </c>
      <c r="F51" s="35" t="s">
        <v>374</v>
      </c>
      <c r="G51" s="35" t="s">
        <v>626</v>
      </c>
      <c r="H51" s="35" t="s">
        <v>580</v>
      </c>
      <c r="I51" s="147">
        <v>1210</v>
      </c>
      <c r="J51" s="34">
        <v>1141.1237999999998</v>
      </c>
      <c r="K51" s="34">
        <f t="shared" si="0"/>
        <v>-68.876200000000154</v>
      </c>
      <c r="L51" s="56">
        <f t="shared" si="1"/>
        <v>4743.9309264400208</v>
      </c>
      <c r="M51" s="56">
        <f t="shared" si="2"/>
        <v>68.876200000000154</v>
      </c>
      <c r="N51" s="56">
        <f t="shared" si="3"/>
        <v>1.8443292791972115</v>
      </c>
      <c r="O51" s="56">
        <f t="shared" si="12"/>
        <v>-1.8443292791972115</v>
      </c>
      <c r="P51" s="143">
        <f t="shared" si="4"/>
        <v>-5.6922479338843104</v>
      </c>
      <c r="Q51" s="143">
        <f t="shared" si="5"/>
        <v>5.6922479338843104</v>
      </c>
      <c r="R51" s="34">
        <v>1146.605</v>
      </c>
      <c r="S51" s="56">
        <f t="shared" si="6"/>
        <v>-63.394999999999982</v>
      </c>
      <c r="T51" s="56">
        <f t="shared" si="7"/>
        <v>4018.9260249999975</v>
      </c>
      <c r="U51" s="56">
        <f t="shared" si="8"/>
        <v>63.394999999999982</v>
      </c>
      <c r="V51" s="56">
        <f t="shared" si="9"/>
        <v>1.80885214753512</v>
      </c>
      <c r="W51" s="33">
        <f t="shared" si="10"/>
        <v>-5.239256198347106</v>
      </c>
      <c r="X51" s="143">
        <f t="shared" si="11"/>
        <v>5.239256198347106</v>
      </c>
    </row>
    <row r="52" spans="1:24" ht="16" x14ac:dyDescent="0.2">
      <c r="A52" t="s">
        <v>853</v>
      </c>
      <c r="B52" s="224" t="s">
        <v>513</v>
      </c>
      <c r="C52" s="224" t="s">
        <v>824</v>
      </c>
      <c r="D52" s="35" t="s">
        <v>148</v>
      </c>
      <c r="E52" s="35" t="s">
        <v>661</v>
      </c>
      <c r="F52" s="35" t="s">
        <v>374</v>
      </c>
      <c r="G52" s="35" t="s">
        <v>626</v>
      </c>
      <c r="H52" s="35" t="s">
        <v>580</v>
      </c>
      <c r="I52" s="147">
        <v>1274</v>
      </c>
      <c r="J52" s="34">
        <v>1261.2415999999998</v>
      </c>
      <c r="K52" s="34">
        <f t="shared" si="0"/>
        <v>-12.758400000000165</v>
      </c>
      <c r="L52" s="56">
        <f t="shared" si="1"/>
        <v>162.77677056000422</v>
      </c>
      <c r="M52" s="56">
        <f t="shared" si="2"/>
        <v>12.758400000000165</v>
      </c>
      <c r="N52" s="56">
        <f t="shared" si="3"/>
        <v>1.1385679316049</v>
      </c>
      <c r="O52" s="56">
        <f t="shared" si="12"/>
        <v>-1.1385679316049</v>
      </c>
      <c r="P52" s="143">
        <f t="shared" si="4"/>
        <v>-1.0014442700157116</v>
      </c>
      <c r="Q52" s="143">
        <f t="shared" si="5"/>
        <v>1.0014442700157116</v>
      </c>
      <c r="R52" s="34">
        <v>1263.9740000000002</v>
      </c>
      <c r="S52" s="56">
        <f t="shared" si="6"/>
        <v>-10.02599999999984</v>
      </c>
      <c r="T52" s="56">
        <f t="shared" si="7"/>
        <v>100.5206759999968</v>
      </c>
      <c r="U52" s="56">
        <f t="shared" si="8"/>
        <v>10.02599999999984</v>
      </c>
      <c r="V52" s="56">
        <f t="shared" si="9"/>
        <v>1.0424179881432438</v>
      </c>
      <c r="W52" s="33">
        <f t="shared" si="10"/>
        <v>-0.7869701726844458</v>
      </c>
      <c r="X52" s="143">
        <f t="shared" si="11"/>
        <v>0.7869701726844458</v>
      </c>
    </row>
    <row r="53" spans="1:24" ht="16" x14ac:dyDescent="0.2">
      <c r="A53" t="s">
        <v>854</v>
      </c>
      <c r="B53" s="224" t="s">
        <v>513</v>
      </c>
      <c r="C53" s="224" t="s">
        <v>824</v>
      </c>
      <c r="D53" s="35" t="s">
        <v>148</v>
      </c>
      <c r="E53" s="35" t="s">
        <v>661</v>
      </c>
      <c r="F53" s="35" t="s">
        <v>374</v>
      </c>
      <c r="G53" s="35" t="s">
        <v>626</v>
      </c>
      <c r="H53" s="35" t="s">
        <v>580</v>
      </c>
      <c r="I53" s="147">
        <v>1340</v>
      </c>
      <c r="J53" s="34">
        <v>1326.7604000000001</v>
      </c>
      <c r="K53" s="34">
        <f t="shared" si="0"/>
        <v>-13.239599999999882</v>
      </c>
      <c r="L53" s="56">
        <f t="shared" si="1"/>
        <v>175.28700815999687</v>
      </c>
      <c r="M53" s="56">
        <f t="shared" si="2"/>
        <v>13.239599999999882</v>
      </c>
      <c r="N53" s="56">
        <f t="shared" si="3"/>
        <v>1.153497789846293</v>
      </c>
      <c r="O53" s="56">
        <f t="shared" si="12"/>
        <v>-1.153497789846293</v>
      </c>
      <c r="P53" s="143">
        <f t="shared" si="4"/>
        <v>-0.98802985074625982</v>
      </c>
      <c r="Q53" s="143">
        <f t="shared" si="5"/>
        <v>0.98802985074625982</v>
      </c>
      <c r="R53" s="34">
        <v>1308.6860000000001</v>
      </c>
      <c r="S53" s="56">
        <f t="shared" si="6"/>
        <v>-31.313999999999851</v>
      </c>
      <c r="T53" s="56">
        <f t="shared" si="7"/>
        <v>980.56659599999068</v>
      </c>
      <c r="U53" s="56">
        <f t="shared" si="8"/>
        <v>31.313999999999851</v>
      </c>
      <c r="V53" s="56">
        <f t="shared" si="9"/>
        <v>1.5093907206423582</v>
      </c>
      <c r="W53" s="33">
        <f t="shared" si="10"/>
        <v>-2.3368656716417799</v>
      </c>
      <c r="X53" s="143">
        <f t="shared" si="11"/>
        <v>2.3368656716417799</v>
      </c>
    </row>
    <row r="54" spans="1:24" ht="16" x14ac:dyDescent="0.2">
      <c r="A54" t="s">
        <v>855</v>
      </c>
      <c r="B54" s="224" t="s">
        <v>513</v>
      </c>
      <c r="C54" s="224" t="s">
        <v>824</v>
      </c>
      <c r="D54" s="35" t="s">
        <v>148</v>
      </c>
      <c r="E54" s="35" t="s">
        <v>661</v>
      </c>
      <c r="F54" s="225" t="s">
        <v>494</v>
      </c>
      <c r="G54" s="35" t="s">
        <v>626</v>
      </c>
      <c r="H54" s="35" t="s">
        <v>580</v>
      </c>
      <c r="I54" s="147">
        <v>980</v>
      </c>
      <c r="J54" s="34">
        <v>977.32679999999993</v>
      </c>
      <c r="K54" s="34">
        <f t="shared" si="0"/>
        <v>-2.6732000000000653</v>
      </c>
      <c r="L54" s="56">
        <f t="shared" si="1"/>
        <v>7.145998240000349</v>
      </c>
      <c r="M54" s="56">
        <f t="shared" si="2"/>
        <v>2.6732000000000653</v>
      </c>
      <c r="N54" s="56">
        <f t="shared" si="3"/>
        <v>0.56504457564496724</v>
      </c>
      <c r="O54" s="56">
        <f t="shared" si="12"/>
        <v>-0.56504457564496724</v>
      </c>
      <c r="P54" s="143">
        <f t="shared" si="4"/>
        <v>-0.2727755102040883</v>
      </c>
      <c r="Q54" s="143">
        <f t="shared" si="5"/>
        <v>0.2727755102040883</v>
      </c>
      <c r="R54" s="34">
        <v>967.75700000000018</v>
      </c>
      <c r="S54" s="56">
        <f t="shared" si="6"/>
        <v>-12.242999999999824</v>
      </c>
      <c r="T54" s="56">
        <f t="shared" si="7"/>
        <v>149.89104899999569</v>
      </c>
      <c r="U54" s="56">
        <f t="shared" si="8"/>
        <v>12.242999999999824</v>
      </c>
      <c r="V54" s="56">
        <f t="shared" si="9"/>
        <v>1.1219863790508326</v>
      </c>
      <c r="W54" s="33">
        <f t="shared" si="10"/>
        <v>-1.2492857142856963</v>
      </c>
      <c r="X54" s="143">
        <f t="shared" si="11"/>
        <v>1.2492857142856963</v>
      </c>
    </row>
    <row r="55" spans="1:24" ht="16" x14ac:dyDescent="0.2">
      <c r="A55" t="s">
        <v>856</v>
      </c>
      <c r="B55" s="224" t="s">
        <v>513</v>
      </c>
      <c r="C55" s="224" t="s">
        <v>824</v>
      </c>
      <c r="D55" s="35" t="s">
        <v>148</v>
      </c>
      <c r="E55" s="35" t="s">
        <v>661</v>
      </c>
      <c r="F55" s="225" t="s">
        <v>494</v>
      </c>
      <c r="G55" s="35" t="s">
        <v>626</v>
      </c>
      <c r="H55" s="35" t="s">
        <v>580</v>
      </c>
      <c r="I55" s="147">
        <v>1098</v>
      </c>
      <c r="J55" s="34">
        <v>1124.7440999999999</v>
      </c>
      <c r="K55" s="34">
        <f t="shared" si="0"/>
        <v>26.744099999999889</v>
      </c>
      <c r="L55" s="56">
        <f t="shared" si="1"/>
        <v>715.24688480999407</v>
      </c>
      <c r="M55" s="56">
        <f t="shared" si="2"/>
        <v>26.744099999999889</v>
      </c>
      <c r="N55" s="56">
        <f t="shared" si="3"/>
        <v>1.4431706411569105</v>
      </c>
      <c r="O55" s="56">
        <f t="shared" si="12"/>
        <v>1.4431706411569105</v>
      </c>
      <c r="P55" s="143">
        <f t="shared" si="4"/>
        <v>2.4357103825136512</v>
      </c>
      <c r="Q55" s="143">
        <f t="shared" si="5"/>
        <v>2.4357103825136512</v>
      </c>
      <c r="R55" s="34">
        <v>1135.4270000000001</v>
      </c>
      <c r="S55" s="56">
        <f t="shared" si="6"/>
        <v>37.427000000000135</v>
      </c>
      <c r="T55" s="56">
        <f t="shared" si="7"/>
        <v>1400.7803290000102</v>
      </c>
      <c r="U55" s="56">
        <f t="shared" si="8"/>
        <v>37.427000000000135</v>
      </c>
      <c r="V55" s="56">
        <f t="shared" si="9"/>
        <v>1.5846364803711286</v>
      </c>
      <c r="W55" s="33">
        <f t="shared" si="10"/>
        <v>3.4086520947176808</v>
      </c>
      <c r="X55" s="143">
        <f t="shared" si="11"/>
        <v>3.4086520947176808</v>
      </c>
    </row>
    <row r="56" spans="1:24" ht="16" x14ac:dyDescent="0.2">
      <c r="A56" t="s">
        <v>857</v>
      </c>
      <c r="B56" s="224" t="s">
        <v>513</v>
      </c>
      <c r="C56" s="224" t="s">
        <v>824</v>
      </c>
      <c r="D56" s="35" t="s">
        <v>148</v>
      </c>
      <c r="E56" s="35" t="s">
        <v>661</v>
      </c>
      <c r="F56" s="225" t="s">
        <v>494</v>
      </c>
      <c r="G56" s="35" t="s">
        <v>626</v>
      </c>
      <c r="H56" s="35" t="s">
        <v>580</v>
      </c>
      <c r="I56" s="147">
        <v>1022</v>
      </c>
      <c r="J56" s="34">
        <v>1004.6263</v>
      </c>
      <c r="K56" s="34">
        <f t="shared" si="0"/>
        <v>-17.373699999999985</v>
      </c>
      <c r="L56" s="56">
        <f t="shared" si="1"/>
        <v>301.84545168999949</v>
      </c>
      <c r="M56" s="56">
        <f t="shared" si="2"/>
        <v>17.373699999999985</v>
      </c>
      <c r="N56" s="56">
        <f t="shared" si="3"/>
        <v>1.2641966210732904</v>
      </c>
      <c r="O56" s="56">
        <f t="shared" si="12"/>
        <v>-1.2641966210732904</v>
      </c>
      <c r="P56" s="143">
        <f t="shared" si="4"/>
        <v>-1.6999706457925621</v>
      </c>
      <c r="Q56" s="143">
        <f t="shared" si="5"/>
        <v>1.6999706457925621</v>
      </c>
      <c r="R56" s="34">
        <v>990.11300000000017</v>
      </c>
      <c r="S56" s="56">
        <f t="shared" si="6"/>
        <v>-31.88699999999983</v>
      </c>
      <c r="T56" s="56">
        <f t="shared" si="7"/>
        <v>1016.7807689999892</v>
      </c>
      <c r="U56" s="56">
        <f t="shared" si="8"/>
        <v>31.88699999999983</v>
      </c>
      <c r="V56" s="56">
        <f t="shared" si="9"/>
        <v>1.5170242583148397</v>
      </c>
      <c r="W56" s="33">
        <f t="shared" si="10"/>
        <v>-3.1200587084148563</v>
      </c>
      <c r="X56" s="143">
        <f t="shared" si="11"/>
        <v>3.1200587084148563</v>
      </c>
    </row>
    <row r="57" spans="1:24" ht="16" x14ac:dyDescent="0.2">
      <c r="A57" t="s">
        <v>858</v>
      </c>
      <c r="B57" s="224" t="s">
        <v>513</v>
      </c>
      <c r="C57" s="224" t="s">
        <v>824</v>
      </c>
      <c r="D57" s="35" t="s">
        <v>148</v>
      </c>
      <c r="E57" s="35" t="s">
        <v>661</v>
      </c>
      <c r="F57" s="225" t="s">
        <v>494</v>
      </c>
      <c r="G57" s="35" t="s">
        <v>626</v>
      </c>
      <c r="H57" s="35" t="s">
        <v>580</v>
      </c>
      <c r="I57" s="147">
        <v>1062</v>
      </c>
      <c r="J57" s="34">
        <v>1162.9634000000001</v>
      </c>
      <c r="K57" s="34">
        <f t="shared" si="0"/>
        <v>100.96340000000009</v>
      </c>
      <c r="L57" s="56">
        <f t="shared" si="1"/>
        <v>10193.608139560019</v>
      </c>
      <c r="M57" s="56">
        <f t="shared" si="2"/>
        <v>100.96340000000009</v>
      </c>
      <c r="N57" s="56">
        <f t="shared" si="3"/>
        <v>2.008444308717781</v>
      </c>
      <c r="O57" s="56">
        <f t="shared" si="12"/>
        <v>2.008444308717781</v>
      </c>
      <c r="P57" s="143">
        <f t="shared" si="4"/>
        <v>9.5069114877589538</v>
      </c>
      <c r="Q57" s="143">
        <f t="shared" si="5"/>
        <v>9.5069114877589538</v>
      </c>
      <c r="R57" s="34">
        <v>1146.605</v>
      </c>
      <c r="S57" s="56">
        <f t="shared" si="6"/>
        <v>84.605000000000018</v>
      </c>
      <c r="T57" s="56">
        <f t="shared" si="7"/>
        <v>7158.0060250000033</v>
      </c>
      <c r="U57" s="56">
        <f t="shared" si="8"/>
        <v>84.605000000000018</v>
      </c>
      <c r="V57" s="56">
        <f t="shared" si="9"/>
        <v>1.9324991316046394</v>
      </c>
      <c r="W57" s="33">
        <f t="shared" si="10"/>
        <v>7.9665725047080995</v>
      </c>
      <c r="X57" s="143">
        <f t="shared" si="11"/>
        <v>7.9665725047080995</v>
      </c>
    </row>
    <row r="58" spans="1:24" ht="16" x14ac:dyDescent="0.2">
      <c r="A58" t="s">
        <v>859</v>
      </c>
      <c r="B58" s="224" t="s">
        <v>513</v>
      </c>
      <c r="C58" s="224" t="s">
        <v>824</v>
      </c>
      <c r="D58" s="35" t="s">
        <v>148</v>
      </c>
      <c r="E58" s="35" t="s">
        <v>661</v>
      </c>
      <c r="F58" s="35" t="s">
        <v>494</v>
      </c>
      <c r="G58" s="35" t="s">
        <v>626</v>
      </c>
      <c r="H58" s="35" t="s">
        <v>580</v>
      </c>
      <c r="I58" s="147">
        <v>1135</v>
      </c>
      <c r="J58" s="34">
        <v>1102.9045000000001</v>
      </c>
      <c r="K58" s="34">
        <f t="shared" si="0"/>
        <v>-32.095499999999902</v>
      </c>
      <c r="L58" s="56">
        <f t="shared" si="1"/>
        <v>1030.1211202499937</v>
      </c>
      <c r="M58" s="56">
        <f t="shared" si="2"/>
        <v>32.095499999999902</v>
      </c>
      <c r="N58" s="56">
        <f t="shared" si="3"/>
        <v>1.5197689467054007</v>
      </c>
      <c r="O58" s="56">
        <f t="shared" si="12"/>
        <v>-1.5197689467054007</v>
      </c>
      <c r="P58" s="143">
        <f t="shared" si="4"/>
        <v>-2.8277973568281851</v>
      </c>
      <c r="Q58" s="143">
        <f t="shared" si="5"/>
        <v>2.8277973568281851</v>
      </c>
      <c r="R58" s="34">
        <v>1146.605</v>
      </c>
      <c r="S58" s="56">
        <f t="shared" si="6"/>
        <v>11.605000000000018</v>
      </c>
      <c r="T58" s="56">
        <f t="shared" si="7"/>
        <v>134.67602500000044</v>
      </c>
      <c r="U58" s="56">
        <f t="shared" si="8"/>
        <v>11.605000000000018</v>
      </c>
      <c r="V58" s="56">
        <f t="shared" si="9"/>
        <v>1.1005428500124654</v>
      </c>
      <c r="W58" s="33">
        <f t="shared" si="10"/>
        <v>1.0224669603524246</v>
      </c>
      <c r="X58" s="143">
        <f t="shared" si="11"/>
        <v>1.0224669603524246</v>
      </c>
    </row>
    <row r="59" spans="1:24" ht="16" x14ac:dyDescent="0.2">
      <c r="A59" t="s">
        <v>860</v>
      </c>
      <c r="B59" s="224" t="s">
        <v>513</v>
      </c>
      <c r="C59" s="224" t="s">
        <v>824</v>
      </c>
      <c r="D59" s="35" t="s">
        <v>148</v>
      </c>
      <c r="E59" s="35" t="s">
        <v>661</v>
      </c>
      <c r="F59" s="35" t="s">
        <v>494</v>
      </c>
      <c r="G59" s="35" t="s">
        <v>626</v>
      </c>
      <c r="H59" s="35" t="s">
        <v>580</v>
      </c>
      <c r="I59" s="147">
        <v>1029</v>
      </c>
      <c r="J59" s="34">
        <v>1026.4659000000001</v>
      </c>
      <c r="K59" s="34">
        <f t="shared" si="0"/>
        <v>-2.534099999999853</v>
      </c>
      <c r="L59" s="56">
        <f t="shared" si="1"/>
        <v>6.4216628099992548</v>
      </c>
      <c r="M59" s="56">
        <f t="shared" si="2"/>
        <v>2.534099999999853</v>
      </c>
      <c r="N59" s="56">
        <f t="shared" si="3"/>
        <v>0.54827883403143751</v>
      </c>
      <c r="O59" s="56">
        <f t="shared" si="12"/>
        <v>-0.54827883403143751</v>
      </c>
      <c r="P59" s="143">
        <f t="shared" si="4"/>
        <v>-0.24626822157432973</v>
      </c>
      <c r="Q59" s="143">
        <f t="shared" si="5"/>
        <v>0.24626822157432973</v>
      </c>
      <c r="R59" s="34">
        <v>1006.88</v>
      </c>
      <c r="S59" s="56">
        <f t="shared" si="6"/>
        <v>-22.120000000000005</v>
      </c>
      <c r="T59" s="56">
        <f t="shared" si="7"/>
        <v>489.29440000000022</v>
      </c>
      <c r="U59" s="56">
        <f t="shared" si="8"/>
        <v>22.120000000000005</v>
      </c>
      <c r="V59" s="56">
        <f t="shared" si="9"/>
        <v>1.3639878297484915</v>
      </c>
      <c r="W59" s="33">
        <f t="shared" si="10"/>
        <v>-2.1496598639455788</v>
      </c>
      <c r="X59" s="143">
        <f t="shared" si="11"/>
        <v>2.1496598639455788</v>
      </c>
    </row>
    <row r="60" spans="1:24" ht="16" x14ac:dyDescent="0.2">
      <c r="A60" t="s">
        <v>861</v>
      </c>
      <c r="B60" s="224" t="s">
        <v>513</v>
      </c>
      <c r="C60" s="224" t="s">
        <v>824</v>
      </c>
      <c r="D60" s="35" t="s">
        <v>148</v>
      </c>
      <c r="E60" s="35" t="s">
        <v>661</v>
      </c>
      <c r="F60" s="35" t="s">
        <v>494</v>
      </c>
      <c r="G60" s="35" t="s">
        <v>626</v>
      </c>
      <c r="H60" s="35" t="s">
        <v>580</v>
      </c>
      <c r="I60" s="147">
        <v>1055</v>
      </c>
      <c r="J60" s="34">
        <v>1086.5248000000001</v>
      </c>
      <c r="K60" s="34">
        <f t="shared" si="0"/>
        <v>31.524800000000141</v>
      </c>
      <c r="L60" s="56">
        <f t="shared" si="1"/>
        <v>993.81301504000885</v>
      </c>
      <c r="M60" s="56">
        <f t="shared" si="2"/>
        <v>31.524800000000141</v>
      </c>
      <c r="N60" s="56">
        <f t="shared" si="3"/>
        <v>1.5122146346982397</v>
      </c>
      <c r="O60" s="56">
        <f t="shared" si="12"/>
        <v>1.5122146346982397</v>
      </c>
      <c r="P60" s="143">
        <f t="shared" si="4"/>
        <v>2.9881327014218142</v>
      </c>
      <c r="Q60" s="143">
        <f t="shared" si="5"/>
        <v>2.9881327014218142</v>
      </c>
      <c r="R60" s="34">
        <v>1090.7150000000001</v>
      </c>
      <c r="S60" s="56">
        <f t="shared" si="6"/>
        <v>35.715000000000146</v>
      </c>
      <c r="T60" s="56">
        <f t="shared" si="7"/>
        <v>1275.5612250000104</v>
      </c>
      <c r="U60" s="56">
        <f t="shared" si="8"/>
        <v>35.715000000000146</v>
      </c>
      <c r="V60" s="56">
        <f t="shared" si="9"/>
        <v>1.5648435325438352</v>
      </c>
      <c r="W60" s="33">
        <f t="shared" si="10"/>
        <v>3.3853080568720517</v>
      </c>
      <c r="X60" s="143">
        <f t="shared" si="11"/>
        <v>3.3853080568720517</v>
      </c>
    </row>
    <row r="61" spans="1:24" ht="16" x14ac:dyDescent="0.2">
      <c r="A61" t="s">
        <v>862</v>
      </c>
      <c r="B61" s="224" t="s">
        <v>513</v>
      </c>
      <c r="C61" s="224" t="s">
        <v>824</v>
      </c>
      <c r="D61" s="35" t="s">
        <v>148</v>
      </c>
      <c r="E61" s="35" t="s">
        <v>661</v>
      </c>
      <c r="F61" s="35" t="s">
        <v>374</v>
      </c>
      <c r="G61" s="35" t="s">
        <v>626</v>
      </c>
      <c r="H61" s="35" t="s">
        <v>580</v>
      </c>
      <c r="I61" s="147">
        <v>1280</v>
      </c>
      <c r="J61" s="34">
        <v>1266.7015000000001</v>
      </c>
      <c r="K61" s="34">
        <f t="shared" si="0"/>
        <v>-13.298499999999876</v>
      </c>
      <c r="L61" s="56">
        <f t="shared" si="1"/>
        <v>176.85010224999672</v>
      </c>
      <c r="M61" s="56">
        <f t="shared" si="2"/>
        <v>13.298499999999876</v>
      </c>
      <c r="N61" s="56">
        <f t="shared" si="3"/>
        <v>1.1552904797103889</v>
      </c>
      <c r="O61" s="56">
        <f t="shared" si="12"/>
        <v>-1.1552904797103889</v>
      </c>
      <c r="P61" s="143">
        <f t="shared" si="4"/>
        <v>-1.0389453124999903</v>
      </c>
      <c r="Q61" s="143">
        <f t="shared" si="5"/>
        <v>1.0389453124999903</v>
      </c>
      <c r="R61" s="34">
        <v>1230.44</v>
      </c>
      <c r="S61" s="56">
        <f t="shared" si="6"/>
        <v>-49.559999999999945</v>
      </c>
      <c r="T61" s="56">
        <f t="shared" si="7"/>
        <v>2456.1935999999946</v>
      </c>
      <c r="U61" s="56">
        <f t="shared" si="8"/>
        <v>49.559999999999945</v>
      </c>
      <c r="V61" s="56">
        <f t="shared" si="9"/>
        <v>1.7038070652743282</v>
      </c>
      <c r="W61" s="33">
        <f t="shared" si="10"/>
        <v>-3.8718749999999957</v>
      </c>
      <c r="X61" s="143">
        <f t="shared" si="11"/>
        <v>3.8718749999999957</v>
      </c>
    </row>
    <row r="62" spans="1:24" ht="16" x14ac:dyDescent="0.2">
      <c r="A62" t="s">
        <v>863</v>
      </c>
      <c r="B62" s="224" t="s">
        <v>513</v>
      </c>
      <c r="C62" s="224" t="s">
        <v>824</v>
      </c>
      <c r="D62" s="35" t="s">
        <v>148</v>
      </c>
      <c r="E62" s="35" t="s">
        <v>661</v>
      </c>
      <c r="F62" s="225" t="s">
        <v>494</v>
      </c>
      <c r="G62" s="35" t="s">
        <v>626</v>
      </c>
      <c r="H62" s="35" t="s">
        <v>580</v>
      </c>
      <c r="I62" s="147">
        <v>1110</v>
      </c>
      <c r="J62" s="34">
        <v>1102.9045000000001</v>
      </c>
      <c r="K62" s="34">
        <f t="shared" si="0"/>
        <v>-7.0954999999999018</v>
      </c>
      <c r="L62" s="56">
        <f t="shared" si="1"/>
        <v>50.346120249998606</v>
      </c>
      <c r="M62" s="56">
        <f t="shared" si="2"/>
        <v>7.0954999999999018</v>
      </c>
      <c r="N62" s="56">
        <f t="shared" si="3"/>
        <v>0.90824367712088983</v>
      </c>
      <c r="O62" s="56">
        <f t="shared" si="12"/>
        <v>-0.90824367712088983</v>
      </c>
      <c r="P62" s="143">
        <f t="shared" si="4"/>
        <v>-0.63923423423422543</v>
      </c>
      <c r="Q62" s="143">
        <f t="shared" si="5"/>
        <v>0.63923423423422543</v>
      </c>
      <c r="R62" s="34">
        <v>1090.7150000000001</v>
      </c>
      <c r="S62" s="56">
        <f t="shared" si="6"/>
        <v>-19.284999999999854</v>
      </c>
      <c r="T62" s="56">
        <f t="shared" si="7"/>
        <v>371.91122499999437</v>
      </c>
      <c r="U62" s="56">
        <f t="shared" si="8"/>
        <v>19.284999999999854</v>
      </c>
      <c r="V62" s="56">
        <f t="shared" si="9"/>
        <v>1.3071750120403418</v>
      </c>
      <c r="W62" s="33">
        <f t="shared" si="10"/>
        <v>-1.7373873873873742</v>
      </c>
      <c r="X62" s="143">
        <f t="shared" si="11"/>
        <v>1.7373873873873742</v>
      </c>
    </row>
    <row r="63" spans="1:24" ht="16" x14ac:dyDescent="0.2">
      <c r="A63" t="s">
        <v>864</v>
      </c>
      <c r="B63" s="224" t="s">
        <v>513</v>
      </c>
      <c r="C63" s="224" t="s">
        <v>824</v>
      </c>
      <c r="D63" s="35" t="s">
        <v>148</v>
      </c>
      <c r="E63" s="35" t="s">
        <v>661</v>
      </c>
      <c r="F63" s="35" t="s">
        <v>374</v>
      </c>
      <c r="G63" s="35" t="s">
        <v>626</v>
      </c>
      <c r="H63" s="35" t="s">
        <v>580</v>
      </c>
      <c r="I63" s="147">
        <v>1460</v>
      </c>
      <c r="J63" s="34">
        <v>1435.9584</v>
      </c>
      <c r="K63" s="34">
        <f t="shared" si="0"/>
        <v>-24.041600000000017</v>
      </c>
      <c r="L63" s="56">
        <f t="shared" si="1"/>
        <v>577.99853056000086</v>
      </c>
      <c r="M63" s="56">
        <f t="shared" si="2"/>
        <v>24.041600000000017</v>
      </c>
      <c r="N63" s="56">
        <f t="shared" si="3"/>
        <v>1.3986620740979625</v>
      </c>
      <c r="O63" s="56">
        <f t="shared" si="12"/>
        <v>-1.3986620740979625</v>
      </c>
      <c r="P63" s="143">
        <f t="shared" si="4"/>
        <v>-1.6466849315068504</v>
      </c>
      <c r="Q63" s="143">
        <f t="shared" si="5"/>
        <v>1.6466849315068504</v>
      </c>
      <c r="R63" s="34">
        <v>1459.5889999999999</v>
      </c>
      <c r="S63" s="56">
        <f t="shared" si="6"/>
        <v>-0.41100000000005821</v>
      </c>
      <c r="T63" s="56">
        <f t="shared" si="7"/>
        <v>0.16892100000004784</v>
      </c>
      <c r="U63" s="56">
        <f t="shared" si="8"/>
        <v>0.41100000000005821</v>
      </c>
      <c r="V63" s="56">
        <f t="shared" si="9"/>
        <v>0.14952701375436575</v>
      </c>
      <c r="W63" s="33">
        <f t="shared" si="10"/>
        <v>-2.8150684931510836E-2</v>
      </c>
      <c r="X63" s="143">
        <f t="shared" si="11"/>
        <v>2.8150684931510836E-2</v>
      </c>
    </row>
    <row r="64" spans="1:24" ht="16" x14ac:dyDescent="0.2">
      <c r="A64" t="s">
        <v>865</v>
      </c>
      <c r="B64" s="224" t="s">
        <v>513</v>
      </c>
      <c r="C64" s="224" t="s">
        <v>824</v>
      </c>
      <c r="D64" s="35" t="s">
        <v>148</v>
      </c>
      <c r="E64" s="35" t="s">
        <v>661</v>
      </c>
      <c r="F64" s="35" t="s">
        <v>374</v>
      </c>
      <c r="G64" s="35" t="s">
        <v>627</v>
      </c>
      <c r="H64" s="35" t="s">
        <v>580</v>
      </c>
      <c r="I64" s="147">
        <v>1598</v>
      </c>
      <c r="J64" s="34">
        <v>1670.7341000000001</v>
      </c>
      <c r="K64" s="34">
        <f t="shared" si="0"/>
        <v>72.734100000000126</v>
      </c>
      <c r="L64" s="56">
        <f t="shared" si="1"/>
        <v>5290.249302810018</v>
      </c>
      <c r="M64" s="56">
        <f t="shared" si="2"/>
        <v>72.734100000000126</v>
      </c>
      <c r="N64" s="56">
        <f t="shared" si="3"/>
        <v>1.867668383609723</v>
      </c>
      <c r="O64" s="56">
        <f t="shared" si="12"/>
        <v>1.867668383609723</v>
      </c>
      <c r="P64" s="143">
        <f t="shared" si="4"/>
        <v>4.5515707133917473</v>
      </c>
      <c r="Q64" s="143">
        <f t="shared" si="5"/>
        <v>4.5515707133917473</v>
      </c>
      <c r="R64" s="34">
        <v>1705.5050000000001</v>
      </c>
      <c r="S64" s="56">
        <f t="shared" si="6"/>
        <v>107.50500000000011</v>
      </c>
      <c r="T64" s="56">
        <f t="shared" si="7"/>
        <v>11557.325025000024</v>
      </c>
      <c r="U64" s="56">
        <f t="shared" si="8"/>
        <v>107.50500000000011</v>
      </c>
      <c r="V64" s="56">
        <f t="shared" si="9"/>
        <v>2.0354497512940153</v>
      </c>
      <c r="W64" s="33">
        <f t="shared" si="10"/>
        <v>6.7274718397997564</v>
      </c>
      <c r="X64" s="143">
        <f t="shared" si="11"/>
        <v>6.7274718397997564</v>
      </c>
    </row>
    <row r="65" spans="1:24" ht="16" x14ac:dyDescent="0.2">
      <c r="A65" t="s">
        <v>866</v>
      </c>
      <c r="B65" s="224" t="s">
        <v>513</v>
      </c>
      <c r="C65" s="224" t="s">
        <v>824</v>
      </c>
      <c r="D65" s="35" t="s">
        <v>148</v>
      </c>
      <c r="E65" s="35" t="s">
        <v>661</v>
      </c>
      <c r="F65" s="35" t="s">
        <v>374</v>
      </c>
      <c r="G65" s="35" t="s">
        <v>627</v>
      </c>
      <c r="H65" s="35" t="s">
        <v>580</v>
      </c>
      <c r="I65" s="147">
        <v>1565</v>
      </c>
      <c r="J65" s="34">
        <v>1588.8355999999999</v>
      </c>
      <c r="K65" s="34">
        <f t="shared" si="0"/>
        <v>23.835599999999886</v>
      </c>
      <c r="L65" s="56">
        <f t="shared" si="1"/>
        <v>568.13582735999455</v>
      </c>
      <c r="M65" s="56">
        <f t="shared" si="2"/>
        <v>23.835599999999886</v>
      </c>
      <c r="N65" s="56">
        <f t="shared" si="3"/>
        <v>1.3950746565213548</v>
      </c>
      <c r="O65" s="56">
        <f t="shared" si="12"/>
        <v>1.3950746565213548</v>
      </c>
      <c r="P65" s="143">
        <f t="shared" si="4"/>
        <v>1.5230415335463185</v>
      </c>
      <c r="Q65" s="143">
        <f t="shared" si="5"/>
        <v>1.5230415335463185</v>
      </c>
      <c r="R65" s="34">
        <v>1604.9030000000002</v>
      </c>
      <c r="S65" s="56">
        <f t="shared" si="6"/>
        <v>39.903000000000247</v>
      </c>
      <c r="T65" s="56">
        <f t="shared" si="7"/>
        <v>1592.2494090000198</v>
      </c>
      <c r="U65" s="56">
        <f t="shared" si="8"/>
        <v>39.903000000000247</v>
      </c>
      <c r="V65" s="56">
        <f t="shared" si="9"/>
        <v>1.6117551621800836</v>
      </c>
      <c r="W65" s="33">
        <f t="shared" si="10"/>
        <v>2.5497124600639136</v>
      </c>
      <c r="X65" s="143">
        <f t="shared" si="11"/>
        <v>2.5497124600639136</v>
      </c>
    </row>
    <row r="66" spans="1:24" ht="15" x14ac:dyDescent="0.2">
      <c r="A66" s="28" t="s">
        <v>416</v>
      </c>
      <c r="B66" s="224" t="s">
        <v>513</v>
      </c>
      <c r="C66" s="35" t="s">
        <v>458</v>
      </c>
      <c r="D66" s="35" t="s">
        <v>82</v>
      </c>
      <c r="E66" s="35" t="s">
        <v>661</v>
      </c>
      <c r="F66" s="35" t="s">
        <v>374</v>
      </c>
      <c r="G66" s="35" t="s">
        <v>626</v>
      </c>
      <c r="H66" s="35" t="s">
        <v>580</v>
      </c>
      <c r="I66" s="141">
        <v>1250</v>
      </c>
      <c r="J66" s="34">
        <v>1332.2203</v>
      </c>
      <c r="K66" s="34">
        <f t="shared" ref="K66:K129" si="13">J66-I66</f>
        <v>82.220299999999952</v>
      </c>
      <c r="L66" s="56">
        <f t="shared" ref="L66:L129" si="14">K66^2</f>
        <v>6760.1777320899919</v>
      </c>
      <c r="M66" s="56">
        <f t="shared" ref="M66:M129" si="15">SQRT(L66)</f>
        <v>82.220299999999952</v>
      </c>
      <c r="N66" s="56">
        <f t="shared" ref="N66:N129" si="16">LOG10(M66+1)</f>
        <v>1.9202292770434426</v>
      </c>
      <c r="O66" s="56">
        <f t="shared" si="12"/>
        <v>1.9202292770434426</v>
      </c>
      <c r="P66" s="143">
        <f t="shared" ref="P66:P129" si="17">100*K66/I66</f>
        <v>6.5776239999999966</v>
      </c>
      <c r="Q66" s="143">
        <f t="shared" ref="Q66:Q129" si="18">ABS(P66)</f>
        <v>6.5776239999999966</v>
      </c>
      <c r="R66" s="34">
        <v>1314.2750000000001</v>
      </c>
      <c r="S66" s="56">
        <f t="shared" ref="S66:S129" si="19">R66-I66</f>
        <v>64.275000000000091</v>
      </c>
      <c r="T66" s="56">
        <f t="shared" ref="T66:T129" si="20">S66^2</f>
        <v>4131.275625000012</v>
      </c>
      <c r="U66" s="56">
        <f t="shared" ref="U66:U129" si="21">SQRT(T66)</f>
        <v>64.275000000000091</v>
      </c>
      <c r="V66" s="56">
        <f t="shared" ref="V66:V129" si="22">LOG10(U66+1)</f>
        <v>1.8147468804949827</v>
      </c>
      <c r="W66" s="33">
        <f t="shared" ref="W66:W129" si="23">100*S66/I66</f>
        <v>5.1420000000000075</v>
      </c>
      <c r="X66" s="143">
        <f t="shared" ref="X66:X129" si="24">ABS(W66)</f>
        <v>5.1420000000000075</v>
      </c>
    </row>
    <row r="67" spans="1:24" ht="15" x14ac:dyDescent="0.2">
      <c r="A67" s="28" t="s">
        <v>421</v>
      </c>
      <c r="B67" s="224" t="s">
        <v>513</v>
      </c>
      <c r="C67" s="35" t="s">
        <v>458</v>
      </c>
      <c r="D67" s="35" t="s">
        <v>82</v>
      </c>
      <c r="E67" s="35" t="s">
        <v>661</v>
      </c>
      <c r="F67" s="35" t="s">
        <v>494</v>
      </c>
      <c r="G67" s="35" t="s">
        <v>626</v>
      </c>
      <c r="H67" s="35" t="s">
        <v>580</v>
      </c>
      <c r="I67" s="141">
        <v>825</v>
      </c>
      <c r="J67" s="34">
        <v>764.39070000000004</v>
      </c>
      <c r="K67" s="34">
        <f t="shared" si="13"/>
        <v>-60.609299999999962</v>
      </c>
      <c r="L67" s="56">
        <f t="shared" si="14"/>
        <v>3673.4872464899954</v>
      </c>
      <c r="M67" s="56">
        <f t="shared" si="15"/>
        <v>60.609299999999962</v>
      </c>
      <c r="N67" s="56">
        <f t="shared" si="16"/>
        <v>1.7896462744018435</v>
      </c>
      <c r="O67" s="56">
        <f t="shared" ref="O67:O130" si="25">N67*SIGN(K67)</f>
        <v>-1.7896462744018435</v>
      </c>
      <c r="P67" s="143">
        <f t="shared" si="17"/>
        <v>-7.3465818181818143</v>
      </c>
      <c r="Q67" s="143">
        <f t="shared" si="18"/>
        <v>7.3465818181818143</v>
      </c>
      <c r="R67" s="34">
        <v>755.37500000000011</v>
      </c>
      <c r="S67" s="56">
        <f t="shared" si="19"/>
        <v>-69.624999999999886</v>
      </c>
      <c r="T67" s="56">
        <f t="shared" si="20"/>
        <v>4847.6406249999845</v>
      </c>
      <c r="U67" s="56">
        <f t="shared" si="21"/>
        <v>69.624999999999886</v>
      </c>
      <c r="V67" s="56">
        <f t="shared" si="22"/>
        <v>1.8489584608274943</v>
      </c>
      <c r="W67" s="33">
        <f t="shared" si="23"/>
        <v>-8.439393939393927</v>
      </c>
      <c r="X67" s="143">
        <f t="shared" si="24"/>
        <v>8.439393939393927</v>
      </c>
    </row>
    <row r="68" spans="1:24" ht="15" x14ac:dyDescent="0.2">
      <c r="A68" s="28" t="s">
        <v>422</v>
      </c>
      <c r="B68" s="224" t="s">
        <v>513</v>
      </c>
      <c r="C68" s="35" t="s">
        <v>458</v>
      </c>
      <c r="D68" s="35" t="s">
        <v>82</v>
      </c>
      <c r="E68" s="35" t="s">
        <v>661</v>
      </c>
      <c r="F68" s="35" t="s">
        <v>494</v>
      </c>
      <c r="G68" s="35" t="s">
        <v>626</v>
      </c>
      <c r="H68" s="35" t="s">
        <v>580</v>
      </c>
      <c r="I68" s="141">
        <v>1070</v>
      </c>
      <c r="J68" s="34">
        <v>1113.8243000000002</v>
      </c>
      <c r="K68" s="34">
        <f t="shared" si="13"/>
        <v>43.824300000000221</v>
      </c>
      <c r="L68" s="56">
        <f t="shared" si="14"/>
        <v>1920.5692704900193</v>
      </c>
      <c r="M68" s="56">
        <f t="shared" si="15"/>
        <v>43.824300000000221</v>
      </c>
      <c r="N68" s="56">
        <f t="shared" si="16"/>
        <v>1.6515135161146224</v>
      </c>
      <c r="O68" s="56">
        <f t="shared" si="25"/>
        <v>1.6515135161146224</v>
      </c>
      <c r="P68" s="143">
        <f t="shared" si="17"/>
        <v>4.0957289719626377</v>
      </c>
      <c r="Q68" s="143">
        <f t="shared" si="18"/>
        <v>4.0957289719626377</v>
      </c>
      <c r="R68" s="34">
        <v>1090.7150000000001</v>
      </c>
      <c r="S68" s="56">
        <f t="shared" si="19"/>
        <v>20.715000000000146</v>
      </c>
      <c r="T68" s="56">
        <f t="shared" si="20"/>
        <v>429.11122500000602</v>
      </c>
      <c r="U68" s="56">
        <f t="shared" si="21"/>
        <v>20.715000000000146</v>
      </c>
      <c r="V68" s="56">
        <f t="shared" si="22"/>
        <v>1.3367598336982509</v>
      </c>
      <c r="W68" s="33">
        <f t="shared" si="23"/>
        <v>1.9359813084112285</v>
      </c>
      <c r="X68" s="143">
        <f t="shared" si="24"/>
        <v>1.9359813084112285</v>
      </c>
    </row>
    <row r="69" spans="1:24" ht="15" x14ac:dyDescent="0.2">
      <c r="A69" s="28" t="s">
        <v>423</v>
      </c>
      <c r="B69" s="224" t="s">
        <v>513</v>
      </c>
      <c r="C69" s="35" t="s">
        <v>458</v>
      </c>
      <c r="D69" s="208" t="s">
        <v>82</v>
      </c>
      <c r="E69" s="35" t="s">
        <v>661</v>
      </c>
      <c r="F69" s="35" t="s">
        <v>494</v>
      </c>
      <c r="G69" s="35" t="s">
        <v>626</v>
      </c>
      <c r="H69" s="35" t="s">
        <v>580</v>
      </c>
      <c r="I69" s="141">
        <v>1150</v>
      </c>
      <c r="J69" s="34">
        <v>1173.8832000000002</v>
      </c>
      <c r="K69" s="34">
        <f t="shared" si="13"/>
        <v>23.883200000000215</v>
      </c>
      <c r="L69" s="56">
        <f t="shared" si="14"/>
        <v>570.40724224001031</v>
      </c>
      <c r="M69" s="56">
        <f t="shared" si="15"/>
        <v>23.883200000000215</v>
      </c>
      <c r="N69" s="56">
        <f t="shared" si="16"/>
        <v>1.395906230238128</v>
      </c>
      <c r="O69" s="56">
        <f t="shared" si="25"/>
        <v>1.395906230238128</v>
      </c>
      <c r="P69" s="143">
        <f t="shared" si="17"/>
        <v>2.0768000000000186</v>
      </c>
      <c r="Q69" s="143">
        <f t="shared" si="18"/>
        <v>2.0768000000000186</v>
      </c>
      <c r="R69" s="34">
        <v>1146.605</v>
      </c>
      <c r="S69" s="56">
        <f t="shared" si="19"/>
        <v>-3.3949999999999818</v>
      </c>
      <c r="T69" s="56">
        <f t="shared" si="20"/>
        <v>11.526024999999876</v>
      </c>
      <c r="U69" s="56">
        <f t="shared" si="21"/>
        <v>3.3949999999999818</v>
      </c>
      <c r="V69" s="56">
        <f t="shared" si="22"/>
        <v>0.64295887940978891</v>
      </c>
      <c r="W69" s="33">
        <f t="shared" si="23"/>
        <v>-0.29521739130434627</v>
      </c>
      <c r="X69" s="143">
        <f t="shared" si="24"/>
        <v>0.29521739130434627</v>
      </c>
    </row>
    <row r="70" spans="1:24" ht="15" x14ac:dyDescent="0.2">
      <c r="A70" s="28" t="s">
        <v>424</v>
      </c>
      <c r="B70" s="224" t="s">
        <v>513</v>
      </c>
      <c r="C70" s="35" t="s">
        <v>458</v>
      </c>
      <c r="D70" s="208" t="s">
        <v>82</v>
      </c>
      <c r="E70" s="35" t="s">
        <v>661</v>
      </c>
      <c r="F70" s="35" t="s">
        <v>374</v>
      </c>
      <c r="G70" s="35" t="s">
        <v>627</v>
      </c>
      <c r="H70" s="35" t="s">
        <v>580</v>
      </c>
      <c r="I70" s="141">
        <v>1800</v>
      </c>
      <c r="J70" s="34">
        <v>1883.6702</v>
      </c>
      <c r="K70" s="34">
        <f t="shared" si="13"/>
        <v>83.670200000000023</v>
      </c>
      <c r="L70" s="56">
        <f t="shared" si="14"/>
        <v>7000.7023680400034</v>
      </c>
      <c r="M70" s="56">
        <f t="shared" si="15"/>
        <v>83.670200000000023</v>
      </c>
      <c r="N70" s="56">
        <f t="shared" si="16"/>
        <v>1.9277305856225322</v>
      </c>
      <c r="O70" s="56">
        <f t="shared" si="25"/>
        <v>1.9277305856225322</v>
      </c>
      <c r="P70" s="143">
        <f t="shared" si="17"/>
        <v>4.6483444444444455</v>
      </c>
      <c r="Q70" s="143">
        <f t="shared" si="18"/>
        <v>4.6483444444444455</v>
      </c>
      <c r="R70" s="34">
        <v>1984.9550000000004</v>
      </c>
      <c r="S70" s="56">
        <f t="shared" si="19"/>
        <v>184.95500000000038</v>
      </c>
      <c r="T70" s="56">
        <f t="shared" si="20"/>
        <v>34208.352025000138</v>
      </c>
      <c r="U70" s="56">
        <f t="shared" si="21"/>
        <v>184.95500000000038</v>
      </c>
      <c r="V70" s="56">
        <f t="shared" si="22"/>
        <v>2.2694078602600136</v>
      </c>
      <c r="W70" s="33">
        <f t="shared" si="23"/>
        <v>10.275277777777799</v>
      </c>
      <c r="X70" s="143">
        <f t="shared" si="24"/>
        <v>10.275277777777799</v>
      </c>
    </row>
    <row r="71" spans="1:24" ht="15" x14ac:dyDescent="0.2">
      <c r="A71" s="28" t="s">
        <v>426</v>
      </c>
      <c r="B71" s="224" t="s">
        <v>513</v>
      </c>
      <c r="C71" s="35" t="s">
        <v>458</v>
      </c>
      <c r="D71" s="208" t="s">
        <v>82</v>
      </c>
      <c r="E71" s="35" t="s">
        <v>661</v>
      </c>
      <c r="F71" s="35" t="s">
        <v>374</v>
      </c>
      <c r="G71" s="35" t="s">
        <v>627</v>
      </c>
      <c r="H71" s="35" t="s">
        <v>580</v>
      </c>
      <c r="I71" s="141">
        <v>1620</v>
      </c>
      <c r="J71" s="34">
        <v>1758.0925000000002</v>
      </c>
      <c r="K71" s="34">
        <f t="shared" si="13"/>
        <v>138.0925000000002</v>
      </c>
      <c r="L71" s="56">
        <f t="shared" si="14"/>
        <v>19069.538556250056</v>
      </c>
      <c r="M71" s="56">
        <f t="shared" si="15"/>
        <v>138.0925000000002</v>
      </c>
      <c r="N71" s="56">
        <f t="shared" si="16"/>
        <v>2.1433037130515107</v>
      </c>
      <c r="O71" s="56">
        <f t="shared" si="25"/>
        <v>2.1433037130515107</v>
      </c>
      <c r="P71" s="143">
        <f t="shared" si="17"/>
        <v>8.5242283950617406</v>
      </c>
      <c r="Q71" s="143">
        <f t="shared" si="18"/>
        <v>8.5242283950617406</v>
      </c>
      <c r="R71" s="34">
        <v>1789.3400000000001</v>
      </c>
      <c r="S71" s="56">
        <f t="shared" si="19"/>
        <v>169.34000000000015</v>
      </c>
      <c r="T71" s="56">
        <f t="shared" si="20"/>
        <v>28676.03560000005</v>
      </c>
      <c r="U71" s="56">
        <f t="shared" si="21"/>
        <v>169.34000000000015</v>
      </c>
      <c r="V71" s="56">
        <f t="shared" si="22"/>
        <v>2.2313166429095013</v>
      </c>
      <c r="W71" s="33">
        <f t="shared" si="23"/>
        <v>10.453086419753095</v>
      </c>
      <c r="X71" s="143">
        <f t="shared" si="24"/>
        <v>10.453086419753095</v>
      </c>
    </row>
    <row r="72" spans="1:24" ht="15" x14ac:dyDescent="0.2">
      <c r="A72" s="28" t="s">
        <v>427</v>
      </c>
      <c r="B72" s="224" t="s">
        <v>513</v>
      </c>
      <c r="C72" s="35" t="s">
        <v>458</v>
      </c>
      <c r="D72" s="208" t="s">
        <v>82</v>
      </c>
      <c r="E72" s="35" t="s">
        <v>661</v>
      </c>
      <c r="F72" s="35" t="s">
        <v>374</v>
      </c>
      <c r="G72" s="35" t="s">
        <v>627</v>
      </c>
      <c r="H72" s="35" t="s">
        <v>580</v>
      </c>
      <c r="I72" s="141">
        <v>1650</v>
      </c>
      <c r="J72" s="34">
        <v>1758.0925000000002</v>
      </c>
      <c r="K72" s="34">
        <f t="shared" si="13"/>
        <v>108.0925000000002</v>
      </c>
      <c r="L72" s="56">
        <f t="shared" si="14"/>
        <v>11683.988556250044</v>
      </c>
      <c r="M72" s="56">
        <f t="shared" si="15"/>
        <v>108.0925000000002</v>
      </c>
      <c r="N72" s="56">
        <f t="shared" si="16"/>
        <v>2.037794894304414</v>
      </c>
      <c r="O72" s="56">
        <f t="shared" si="25"/>
        <v>2.037794894304414</v>
      </c>
      <c r="P72" s="143">
        <f t="shared" si="17"/>
        <v>6.5510606060606182</v>
      </c>
      <c r="Q72" s="143">
        <f t="shared" si="18"/>
        <v>6.5510606060606182</v>
      </c>
      <c r="R72" s="34">
        <v>1817.2850000000003</v>
      </c>
      <c r="S72" s="56">
        <f t="shared" si="19"/>
        <v>167.28500000000031</v>
      </c>
      <c r="T72" s="56">
        <f t="shared" si="20"/>
        <v>27984.271225000102</v>
      </c>
      <c r="U72" s="56">
        <f t="shared" si="21"/>
        <v>167.28500000000031</v>
      </c>
      <c r="V72" s="56">
        <f t="shared" si="22"/>
        <v>2.2260454070777285</v>
      </c>
      <c r="W72" s="33">
        <f t="shared" si="23"/>
        <v>10.138484848484866</v>
      </c>
      <c r="X72" s="143">
        <f t="shared" si="24"/>
        <v>10.138484848484866</v>
      </c>
    </row>
    <row r="73" spans="1:24" ht="15" x14ac:dyDescent="0.2">
      <c r="A73" s="28" t="s">
        <v>459</v>
      </c>
      <c r="B73" s="224" t="s">
        <v>513</v>
      </c>
      <c r="C73" s="35" t="s">
        <v>458</v>
      </c>
      <c r="D73" s="208" t="s">
        <v>82</v>
      </c>
      <c r="E73" s="35" t="s">
        <v>661</v>
      </c>
      <c r="F73" s="35" t="s">
        <v>374</v>
      </c>
      <c r="G73" s="35" t="s">
        <v>627</v>
      </c>
      <c r="H73" s="35" t="s">
        <v>580</v>
      </c>
      <c r="I73" s="141">
        <v>1640</v>
      </c>
      <c r="J73" s="34">
        <v>1665.2742000000003</v>
      </c>
      <c r="K73" s="34">
        <f t="shared" si="13"/>
        <v>25.274200000000292</v>
      </c>
      <c r="L73" s="56">
        <f t="shared" si="14"/>
        <v>638.78518564001479</v>
      </c>
      <c r="M73" s="56">
        <f t="shared" si="15"/>
        <v>25.274200000000292</v>
      </c>
      <c r="N73" s="56">
        <f t="shared" si="16"/>
        <v>1.4195295014510041</v>
      </c>
      <c r="O73" s="56">
        <f t="shared" si="25"/>
        <v>1.4195295014510041</v>
      </c>
      <c r="P73" s="143">
        <f t="shared" si="17"/>
        <v>1.5411097560975788</v>
      </c>
      <c r="Q73" s="143">
        <f t="shared" si="18"/>
        <v>1.5411097560975788</v>
      </c>
      <c r="R73" s="34">
        <v>1705.5050000000001</v>
      </c>
      <c r="S73" s="56">
        <f t="shared" si="19"/>
        <v>65.505000000000109</v>
      </c>
      <c r="T73" s="56">
        <f t="shared" si="20"/>
        <v>4290.9050250000146</v>
      </c>
      <c r="U73" s="56">
        <f t="shared" si="21"/>
        <v>65.505000000000109</v>
      </c>
      <c r="V73" s="56">
        <f t="shared" si="22"/>
        <v>1.8228542977960271</v>
      </c>
      <c r="W73" s="33">
        <f t="shared" si="23"/>
        <v>3.9942073170731773</v>
      </c>
      <c r="X73" s="143">
        <f t="shared" si="24"/>
        <v>3.9942073170731773</v>
      </c>
    </row>
    <row r="74" spans="1:24" ht="15" x14ac:dyDescent="0.2">
      <c r="A74" s="28" t="s">
        <v>425</v>
      </c>
      <c r="B74" s="224" t="s">
        <v>513</v>
      </c>
      <c r="C74" s="35" t="s">
        <v>458</v>
      </c>
      <c r="D74" s="208" t="s">
        <v>82</v>
      </c>
      <c r="E74" s="35" t="s">
        <v>661</v>
      </c>
      <c r="F74" s="35" t="s">
        <v>293</v>
      </c>
      <c r="G74" s="35" t="s">
        <v>627</v>
      </c>
      <c r="H74" s="35" t="s">
        <v>580</v>
      </c>
      <c r="I74" s="141">
        <v>2690</v>
      </c>
      <c r="J74" s="34">
        <v>3002.9497000000001</v>
      </c>
      <c r="K74" s="34">
        <f t="shared" si="13"/>
        <v>312.94970000000012</v>
      </c>
      <c r="L74" s="56">
        <f t="shared" si="14"/>
        <v>97937.514730090072</v>
      </c>
      <c r="M74" s="56">
        <f t="shared" si="15"/>
        <v>312.94970000000012</v>
      </c>
      <c r="N74" s="56">
        <f t="shared" si="16"/>
        <v>2.4968600723970535</v>
      </c>
      <c r="O74" s="56">
        <f t="shared" si="25"/>
        <v>2.4968600723970535</v>
      </c>
      <c r="P74" s="143">
        <f t="shared" si="17"/>
        <v>11.633817843866176</v>
      </c>
      <c r="Q74" s="143">
        <f t="shared" si="18"/>
        <v>11.633817843866176</v>
      </c>
      <c r="R74" s="34">
        <v>3074.8100000000004</v>
      </c>
      <c r="S74" s="56">
        <f t="shared" si="19"/>
        <v>384.8100000000004</v>
      </c>
      <c r="T74" s="56">
        <f t="shared" si="20"/>
        <v>148078.7361000003</v>
      </c>
      <c r="U74" s="56">
        <f t="shared" si="21"/>
        <v>384.8100000000004</v>
      </c>
      <c r="V74" s="56">
        <f t="shared" si="22"/>
        <v>2.5863734801469929</v>
      </c>
      <c r="W74" s="33">
        <f t="shared" si="23"/>
        <v>14.305204460966559</v>
      </c>
      <c r="X74" s="143">
        <f t="shared" si="24"/>
        <v>14.305204460966559</v>
      </c>
    </row>
    <row r="75" spans="1:24" ht="15" x14ac:dyDescent="0.2">
      <c r="A75" s="28" t="s">
        <v>433</v>
      </c>
      <c r="B75" s="224" t="s">
        <v>513</v>
      </c>
      <c r="C75" s="35" t="s">
        <v>458</v>
      </c>
      <c r="D75" s="208" t="s">
        <v>82</v>
      </c>
      <c r="E75" s="35" t="s">
        <v>661</v>
      </c>
      <c r="F75" s="35" t="s">
        <v>374</v>
      </c>
      <c r="G75" s="35" t="s">
        <v>627</v>
      </c>
      <c r="H75" s="35" t="s">
        <v>580</v>
      </c>
      <c r="I75" s="141">
        <v>1520</v>
      </c>
      <c r="J75" s="34">
        <v>1474.1777000000002</v>
      </c>
      <c r="K75" s="34">
        <f t="shared" si="13"/>
        <v>-45.822299999999814</v>
      </c>
      <c r="L75" s="56">
        <f t="shared" si="14"/>
        <v>2099.6831772899827</v>
      </c>
      <c r="M75" s="56">
        <f t="shared" si="15"/>
        <v>45.822299999999814</v>
      </c>
      <c r="N75" s="56">
        <f t="shared" si="16"/>
        <v>1.6704527432515608</v>
      </c>
      <c r="O75" s="56">
        <f t="shared" si="25"/>
        <v>-1.6704527432515608</v>
      </c>
      <c r="P75" s="143">
        <f t="shared" si="17"/>
        <v>-3.0146249999999877</v>
      </c>
      <c r="Q75" s="143">
        <f t="shared" si="18"/>
        <v>3.0146249999999877</v>
      </c>
      <c r="R75" s="34">
        <v>1481.9450000000002</v>
      </c>
      <c r="S75" s="56">
        <f t="shared" si="19"/>
        <v>-38.054999999999836</v>
      </c>
      <c r="T75" s="56">
        <f t="shared" si="20"/>
        <v>1448.1830249999875</v>
      </c>
      <c r="U75" s="56">
        <f t="shared" si="21"/>
        <v>38.054999999999836</v>
      </c>
      <c r="V75" s="56">
        <f t="shared" si="22"/>
        <v>1.5916766421416826</v>
      </c>
      <c r="W75" s="33">
        <f t="shared" si="23"/>
        <v>-2.5036184210526207</v>
      </c>
      <c r="X75" s="143">
        <f t="shared" si="24"/>
        <v>2.5036184210526207</v>
      </c>
    </row>
    <row r="76" spans="1:24" ht="15" x14ac:dyDescent="0.2">
      <c r="A76" s="28" t="s">
        <v>434</v>
      </c>
      <c r="B76" s="224" t="s">
        <v>513</v>
      </c>
      <c r="C76" s="35" t="s">
        <v>458</v>
      </c>
      <c r="D76" s="208" t="s">
        <v>82</v>
      </c>
      <c r="E76" s="35" t="s">
        <v>661</v>
      </c>
      <c r="F76" s="35" t="s">
        <v>374</v>
      </c>
      <c r="G76" s="35" t="s">
        <v>627</v>
      </c>
      <c r="H76" s="35" t="s">
        <v>580</v>
      </c>
      <c r="I76" s="141">
        <v>2370</v>
      </c>
      <c r="J76" s="34">
        <v>2577.0775000000003</v>
      </c>
      <c r="K76" s="34">
        <f t="shared" si="13"/>
        <v>207.07750000000033</v>
      </c>
      <c r="L76" s="56">
        <f t="shared" si="14"/>
        <v>42881.091006250135</v>
      </c>
      <c r="M76" s="56">
        <f t="shared" si="15"/>
        <v>207.07750000000033</v>
      </c>
      <c r="N76" s="56">
        <f t="shared" si="16"/>
        <v>2.3182251212777478</v>
      </c>
      <c r="O76" s="56">
        <f t="shared" si="25"/>
        <v>2.3182251212777478</v>
      </c>
      <c r="P76" s="143">
        <f t="shared" si="17"/>
        <v>8.7374472573839803</v>
      </c>
      <c r="Q76" s="143">
        <f t="shared" si="18"/>
        <v>8.7374472573839803</v>
      </c>
      <c r="R76" s="34">
        <v>2683.5800000000004</v>
      </c>
      <c r="S76" s="56">
        <f t="shared" si="19"/>
        <v>313.58000000000038</v>
      </c>
      <c r="T76" s="56">
        <f t="shared" si="20"/>
        <v>98332.416400000235</v>
      </c>
      <c r="U76" s="56">
        <f t="shared" si="21"/>
        <v>313.58000000000038</v>
      </c>
      <c r="V76" s="56">
        <f t="shared" si="22"/>
        <v>2.4977311080973674</v>
      </c>
      <c r="W76" s="33">
        <f t="shared" si="23"/>
        <v>13.231223628691998</v>
      </c>
      <c r="X76" s="143">
        <f t="shared" si="24"/>
        <v>13.231223628691998</v>
      </c>
    </row>
    <row r="77" spans="1:24" ht="15" x14ac:dyDescent="0.2">
      <c r="A77" s="28" t="s">
        <v>435</v>
      </c>
      <c r="B77" s="224" t="s">
        <v>513</v>
      </c>
      <c r="C77" s="35" t="s">
        <v>458</v>
      </c>
      <c r="D77" s="208" t="s">
        <v>82</v>
      </c>
      <c r="E77" s="35" t="s">
        <v>661</v>
      </c>
      <c r="F77" s="35" t="s">
        <v>494</v>
      </c>
      <c r="G77" s="35" t="s">
        <v>626</v>
      </c>
      <c r="H77" s="35" t="s">
        <v>580</v>
      </c>
      <c r="I77" s="141">
        <v>1150</v>
      </c>
      <c r="J77" s="34">
        <v>1119.2842000000001</v>
      </c>
      <c r="K77" s="34">
        <f t="shared" si="13"/>
        <v>-30.715799999999945</v>
      </c>
      <c r="L77" s="56">
        <f t="shared" si="14"/>
        <v>943.46036963999666</v>
      </c>
      <c r="M77" s="56">
        <f t="shared" si="15"/>
        <v>30.715799999999945</v>
      </c>
      <c r="N77" s="56">
        <f t="shared" si="16"/>
        <v>1.5012756705247043</v>
      </c>
      <c r="O77" s="56">
        <f t="shared" si="25"/>
        <v>-1.5012756705247043</v>
      </c>
      <c r="P77" s="143">
        <f t="shared" si="17"/>
        <v>-2.6709391304347778</v>
      </c>
      <c r="Q77" s="143">
        <f t="shared" si="18"/>
        <v>2.6709391304347778</v>
      </c>
      <c r="R77" s="34">
        <v>1118.6600000000003</v>
      </c>
      <c r="S77" s="56">
        <f t="shared" si="19"/>
        <v>-31.339999999999691</v>
      </c>
      <c r="T77" s="56">
        <f t="shared" si="20"/>
        <v>982.19559999998057</v>
      </c>
      <c r="U77" s="56">
        <f t="shared" si="21"/>
        <v>31.339999999999691</v>
      </c>
      <c r="V77" s="56">
        <f t="shared" si="22"/>
        <v>1.5097400155703782</v>
      </c>
      <c r="W77" s="33">
        <f t="shared" si="23"/>
        <v>-2.7252173913043207</v>
      </c>
      <c r="X77" s="143">
        <f t="shared" si="24"/>
        <v>2.7252173913043207</v>
      </c>
    </row>
    <row r="78" spans="1:24" ht="15" x14ac:dyDescent="0.2">
      <c r="A78" s="28" t="s">
        <v>734</v>
      </c>
      <c r="B78" s="224" t="s">
        <v>513</v>
      </c>
      <c r="C78" s="35" t="s">
        <v>403</v>
      </c>
      <c r="D78" s="35" t="s">
        <v>82</v>
      </c>
      <c r="E78" s="35" t="s">
        <v>661</v>
      </c>
      <c r="F78" s="35" t="s">
        <v>203</v>
      </c>
      <c r="G78" s="35" t="s">
        <v>627</v>
      </c>
      <c r="H78" s="35" t="s">
        <v>581</v>
      </c>
      <c r="I78" s="141">
        <v>5600</v>
      </c>
      <c r="J78" s="34">
        <v>6205.7270399999998</v>
      </c>
      <c r="K78" s="34">
        <f t="shared" si="13"/>
        <v>605.72703999999976</v>
      </c>
      <c r="L78" s="56">
        <f t="shared" si="14"/>
        <v>366905.24698716128</v>
      </c>
      <c r="M78" s="56">
        <f t="shared" si="15"/>
        <v>605.72703999999976</v>
      </c>
      <c r="N78" s="56">
        <f t="shared" si="16"/>
        <v>2.7829933505746802</v>
      </c>
      <c r="O78" s="56">
        <f t="shared" si="25"/>
        <v>2.7829933505746802</v>
      </c>
      <c r="P78" s="143">
        <f t="shared" si="17"/>
        <v>10.816554285714281</v>
      </c>
      <c r="Q78" s="143">
        <f t="shared" si="18"/>
        <v>10.816554285714281</v>
      </c>
      <c r="R78" s="34">
        <v>6570.1706000000013</v>
      </c>
      <c r="S78" s="56">
        <f t="shared" si="19"/>
        <v>970.17060000000129</v>
      </c>
      <c r="T78" s="56">
        <f t="shared" si="20"/>
        <v>941230.99310436251</v>
      </c>
      <c r="U78" s="56">
        <f t="shared" si="21"/>
        <v>970.17060000000129</v>
      </c>
      <c r="V78" s="56">
        <f t="shared" si="22"/>
        <v>2.9872955266440422</v>
      </c>
      <c r="W78" s="33">
        <f t="shared" si="23"/>
        <v>17.324475000000024</v>
      </c>
      <c r="X78" s="143">
        <f t="shared" si="24"/>
        <v>17.324475000000024</v>
      </c>
    </row>
    <row r="79" spans="1:24" ht="15" x14ac:dyDescent="0.2">
      <c r="A79" s="206" t="s">
        <v>460</v>
      </c>
      <c r="B79" s="224" t="s">
        <v>513</v>
      </c>
      <c r="C79" s="35" t="s">
        <v>403</v>
      </c>
      <c r="D79" s="35" t="s">
        <v>82</v>
      </c>
      <c r="E79" s="35" t="s">
        <v>661</v>
      </c>
      <c r="F79" s="35" t="s">
        <v>203</v>
      </c>
      <c r="G79" s="35" t="s">
        <v>627</v>
      </c>
      <c r="H79" s="35" t="s">
        <v>581</v>
      </c>
      <c r="I79" s="141">
        <v>4340</v>
      </c>
      <c r="J79" s="34">
        <v>4509.8821000000007</v>
      </c>
      <c r="K79" s="34">
        <f t="shared" si="13"/>
        <v>169.88210000000072</v>
      </c>
      <c r="L79" s="56">
        <f t="shared" si="14"/>
        <v>28859.927900410243</v>
      </c>
      <c r="M79" s="56">
        <f t="shared" si="15"/>
        <v>169.88210000000072</v>
      </c>
      <c r="N79" s="56">
        <f t="shared" si="16"/>
        <v>2.2326965725020691</v>
      </c>
      <c r="O79" s="56">
        <f t="shared" si="25"/>
        <v>2.2326965725020691</v>
      </c>
      <c r="P79" s="143">
        <f t="shared" si="17"/>
        <v>3.9143341013825053</v>
      </c>
      <c r="Q79" s="143">
        <f t="shared" si="18"/>
        <v>3.9143341013825053</v>
      </c>
      <c r="R79" s="34">
        <v>4712.3870000000006</v>
      </c>
      <c r="S79" s="56">
        <f t="shared" si="19"/>
        <v>372.38700000000063</v>
      </c>
      <c r="T79" s="56">
        <f t="shared" si="20"/>
        <v>138672.07776900046</v>
      </c>
      <c r="U79" s="56">
        <f t="shared" si="21"/>
        <v>372.38700000000063</v>
      </c>
      <c r="V79" s="56">
        <f t="shared" si="22"/>
        <v>2.5721591932955792</v>
      </c>
      <c r="W79" s="33">
        <f t="shared" si="23"/>
        <v>8.5803456221198307</v>
      </c>
      <c r="X79" s="143">
        <f t="shared" si="24"/>
        <v>8.5803456221198307</v>
      </c>
    </row>
    <row r="80" spans="1:24" ht="15" x14ac:dyDescent="0.2">
      <c r="A80" s="28" t="s">
        <v>327</v>
      </c>
      <c r="B80" s="224" t="s">
        <v>513</v>
      </c>
      <c r="C80" s="208" t="s">
        <v>403</v>
      </c>
      <c r="D80" s="35" t="s">
        <v>82</v>
      </c>
      <c r="E80" s="35" t="s">
        <v>661</v>
      </c>
      <c r="F80" s="35" t="s">
        <v>374</v>
      </c>
      <c r="G80" s="35" t="s">
        <v>626</v>
      </c>
      <c r="H80" s="35" t="s">
        <v>580</v>
      </c>
      <c r="I80" s="141">
        <v>1217.5999999999999</v>
      </c>
      <c r="J80" s="34">
        <v>1229.5741800000001</v>
      </c>
      <c r="K80" s="34">
        <f t="shared" si="13"/>
        <v>11.97418000000016</v>
      </c>
      <c r="L80" s="56">
        <f t="shared" si="14"/>
        <v>143.38098667240385</v>
      </c>
      <c r="M80" s="56">
        <f t="shared" si="15"/>
        <v>11.97418000000016</v>
      </c>
      <c r="N80" s="56">
        <f t="shared" si="16"/>
        <v>1.1130799189113449</v>
      </c>
      <c r="O80" s="56">
        <f t="shared" si="25"/>
        <v>1.1130799189113449</v>
      </c>
      <c r="P80" s="143">
        <f t="shared" si="17"/>
        <v>0.98342477003943507</v>
      </c>
      <c r="Q80" s="143">
        <f t="shared" si="18"/>
        <v>0.98342477003943507</v>
      </c>
      <c r="R80" s="34">
        <v>1251.1192999999998</v>
      </c>
      <c r="S80" s="56">
        <f t="shared" si="19"/>
        <v>33.51929999999993</v>
      </c>
      <c r="T80" s="56">
        <f t="shared" si="20"/>
        <v>1123.5434724899953</v>
      </c>
      <c r="U80" s="56">
        <f t="shared" si="21"/>
        <v>33.51929999999993</v>
      </c>
      <c r="V80" s="56">
        <f t="shared" si="22"/>
        <v>1.5380619802870961</v>
      </c>
      <c r="W80" s="33">
        <f t="shared" si="23"/>
        <v>2.7528991458607042</v>
      </c>
      <c r="X80" s="143">
        <f t="shared" si="24"/>
        <v>2.7528991458607042</v>
      </c>
    </row>
    <row r="81" spans="1:24" ht="15" x14ac:dyDescent="0.2">
      <c r="A81" s="28" t="s">
        <v>597</v>
      </c>
      <c r="B81" s="224" t="s">
        <v>513</v>
      </c>
      <c r="C81" s="208" t="s">
        <v>403</v>
      </c>
      <c r="D81" s="35" t="s">
        <v>82</v>
      </c>
      <c r="E81" s="35" t="s">
        <v>661</v>
      </c>
      <c r="F81" s="35" t="s">
        <v>203</v>
      </c>
      <c r="G81" s="35" t="s">
        <v>627</v>
      </c>
      <c r="H81" s="35" t="s">
        <v>581</v>
      </c>
      <c r="I81" s="141">
        <v>5241.7</v>
      </c>
      <c r="J81" s="34">
        <v>5913.0763999999999</v>
      </c>
      <c r="K81" s="34">
        <f t="shared" si="13"/>
        <v>671.3764000000001</v>
      </c>
      <c r="L81" s="56">
        <f t="shared" si="14"/>
        <v>450746.27047696011</v>
      </c>
      <c r="M81" s="56">
        <f t="shared" si="15"/>
        <v>671.3764000000001</v>
      </c>
      <c r="N81" s="56">
        <f t="shared" si="16"/>
        <v>2.8276124615645131</v>
      </c>
      <c r="O81" s="56">
        <f t="shared" si="25"/>
        <v>2.8276124615645131</v>
      </c>
      <c r="P81" s="143">
        <f t="shared" si="17"/>
        <v>12.808371329912054</v>
      </c>
      <c r="Q81" s="143">
        <f t="shared" si="18"/>
        <v>12.808371329912054</v>
      </c>
      <c r="R81" s="34">
        <v>6294.0740000000005</v>
      </c>
      <c r="S81" s="56">
        <f t="shared" si="19"/>
        <v>1052.3740000000007</v>
      </c>
      <c r="T81" s="56">
        <f t="shared" si="20"/>
        <v>1107491.0358760015</v>
      </c>
      <c r="U81" s="56">
        <f t="shared" si="21"/>
        <v>1052.3740000000007</v>
      </c>
      <c r="V81" s="56">
        <f t="shared" si="22"/>
        <v>3.0225825946405225</v>
      </c>
      <c r="W81" s="33">
        <f t="shared" si="23"/>
        <v>20.076959764961764</v>
      </c>
      <c r="X81" s="143">
        <f t="shared" si="24"/>
        <v>20.076959764961764</v>
      </c>
    </row>
    <row r="82" spans="1:24" ht="15" x14ac:dyDescent="0.2">
      <c r="A82" s="28" t="s">
        <v>360</v>
      </c>
      <c r="B82" s="224" t="s">
        <v>513</v>
      </c>
      <c r="C82" s="208" t="s">
        <v>403</v>
      </c>
      <c r="D82" s="35" t="s">
        <v>82</v>
      </c>
      <c r="E82" s="35" t="s">
        <v>661</v>
      </c>
      <c r="F82" s="35" t="s">
        <v>494</v>
      </c>
      <c r="G82" s="35" t="s">
        <v>626</v>
      </c>
      <c r="H82" s="35" t="s">
        <v>580</v>
      </c>
      <c r="I82" s="141">
        <v>906.8</v>
      </c>
      <c r="J82" s="34">
        <v>1086.5248000000001</v>
      </c>
      <c r="K82" s="34">
        <f t="shared" si="13"/>
        <v>179.72480000000019</v>
      </c>
      <c r="L82" s="56">
        <f t="shared" si="14"/>
        <v>32301.003735040067</v>
      </c>
      <c r="M82" s="56">
        <f t="shared" si="15"/>
        <v>179.72480000000019</v>
      </c>
      <c r="N82" s="56">
        <f t="shared" si="16"/>
        <v>2.2570177528051221</v>
      </c>
      <c r="O82" s="56">
        <f t="shared" si="25"/>
        <v>2.2570177528051221</v>
      </c>
      <c r="P82" s="143">
        <f t="shared" si="17"/>
        <v>19.819673577415106</v>
      </c>
      <c r="Q82" s="143">
        <f t="shared" si="18"/>
        <v>19.819673577415106</v>
      </c>
      <c r="R82" s="34">
        <v>1062.9376699999998</v>
      </c>
      <c r="S82" s="56">
        <f t="shared" si="19"/>
        <v>156.13766999999984</v>
      </c>
      <c r="T82" s="56">
        <f t="shared" si="20"/>
        <v>24378.971993028852</v>
      </c>
      <c r="U82" s="56">
        <f t="shared" si="21"/>
        <v>156.13766999999984</v>
      </c>
      <c r="V82" s="56">
        <f t="shared" si="22"/>
        <v>2.1962803092413243</v>
      </c>
      <c r="W82" s="33">
        <f t="shared" si="23"/>
        <v>17.21853440670488</v>
      </c>
      <c r="X82" s="143">
        <f t="shared" si="24"/>
        <v>17.21853440670488</v>
      </c>
    </row>
    <row r="83" spans="1:24" ht="15" x14ac:dyDescent="0.2">
      <c r="A83" s="28" t="s">
        <v>136</v>
      </c>
      <c r="B83" s="224" t="s">
        <v>513</v>
      </c>
      <c r="C83" s="208" t="s">
        <v>403</v>
      </c>
      <c r="D83" s="35" t="s">
        <v>96</v>
      </c>
      <c r="E83" s="35" t="s">
        <v>661</v>
      </c>
      <c r="F83" s="35" t="s">
        <v>374</v>
      </c>
      <c r="G83" s="35" t="s">
        <v>627</v>
      </c>
      <c r="H83" s="35" t="s">
        <v>580</v>
      </c>
      <c r="I83" s="141">
        <v>2365.6</v>
      </c>
      <c r="J83" s="34">
        <v>2401.4871160000002</v>
      </c>
      <c r="K83" s="34">
        <f t="shared" si="13"/>
        <v>35.887116000000333</v>
      </c>
      <c r="L83" s="56">
        <f t="shared" si="14"/>
        <v>1287.88509479748</v>
      </c>
      <c r="M83" s="56">
        <f t="shared" si="15"/>
        <v>35.887116000000333</v>
      </c>
      <c r="N83" s="56">
        <f t="shared" si="16"/>
        <v>1.5668747014656859</v>
      </c>
      <c r="O83" s="56">
        <f t="shared" si="25"/>
        <v>1.5668747014656859</v>
      </c>
      <c r="P83" s="143">
        <f t="shared" si="17"/>
        <v>1.5170407507609205</v>
      </c>
      <c r="Q83" s="143">
        <f t="shared" si="18"/>
        <v>1.5170407507609205</v>
      </c>
      <c r="R83" s="34">
        <v>2544.9728000000005</v>
      </c>
      <c r="S83" s="56">
        <f t="shared" si="19"/>
        <v>179.37280000000055</v>
      </c>
      <c r="T83" s="56">
        <f t="shared" si="20"/>
        <v>32174.601379840198</v>
      </c>
      <c r="U83" s="56">
        <f t="shared" si="21"/>
        <v>179.37280000000055</v>
      </c>
      <c r="V83" s="56">
        <f t="shared" si="22"/>
        <v>2.2561710470610143</v>
      </c>
      <c r="W83" s="33">
        <f t="shared" si="23"/>
        <v>7.5825498816368189</v>
      </c>
      <c r="X83" s="143">
        <f t="shared" si="24"/>
        <v>7.5825498816368189</v>
      </c>
    </row>
    <row r="84" spans="1:24" ht="15" x14ac:dyDescent="0.2">
      <c r="A84" s="28" t="s">
        <v>157</v>
      </c>
      <c r="B84" s="224" t="s">
        <v>513</v>
      </c>
      <c r="C84" s="208" t="s">
        <v>403</v>
      </c>
      <c r="D84" s="35" t="s">
        <v>82</v>
      </c>
      <c r="E84" s="35" t="s">
        <v>661</v>
      </c>
      <c r="F84" s="35" t="s">
        <v>203</v>
      </c>
      <c r="G84" s="35" t="s">
        <v>627</v>
      </c>
      <c r="H84" s="35" t="s">
        <v>581</v>
      </c>
      <c r="I84" s="141">
        <v>6408.96</v>
      </c>
      <c r="J84" s="34">
        <v>7170.4913699999997</v>
      </c>
      <c r="K84" s="34">
        <f t="shared" si="13"/>
        <v>761.5313699999997</v>
      </c>
      <c r="L84" s="56">
        <f t="shared" si="14"/>
        <v>579930.02749407641</v>
      </c>
      <c r="M84" s="56">
        <f t="shared" si="15"/>
        <v>761.5313699999997</v>
      </c>
      <c r="N84" s="56">
        <f t="shared" si="16"/>
        <v>2.8822577149534547</v>
      </c>
      <c r="O84" s="56">
        <f t="shared" si="25"/>
        <v>2.8822577149534547</v>
      </c>
      <c r="P84" s="143">
        <f t="shared" si="17"/>
        <v>11.882292446824442</v>
      </c>
      <c r="Q84" s="143">
        <f t="shared" si="18"/>
        <v>11.882292446824442</v>
      </c>
      <c r="R84" s="34">
        <v>7481.7365000000009</v>
      </c>
      <c r="S84" s="56">
        <f t="shared" si="19"/>
        <v>1072.7765000000009</v>
      </c>
      <c r="T84" s="56">
        <f t="shared" si="20"/>
        <v>1150849.4189522518</v>
      </c>
      <c r="U84" s="56">
        <f t="shared" si="21"/>
        <v>1072.7765000000009</v>
      </c>
      <c r="V84" s="56">
        <f t="shared" si="22"/>
        <v>3.0309138950341814</v>
      </c>
      <c r="W84" s="33">
        <f t="shared" si="23"/>
        <v>16.738698634411836</v>
      </c>
      <c r="X84" s="143">
        <f t="shared" si="24"/>
        <v>16.738698634411836</v>
      </c>
    </row>
    <row r="85" spans="1:24" ht="15" x14ac:dyDescent="0.2">
      <c r="A85" s="28" t="s">
        <v>322</v>
      </c>
      <c r="B85" s="224" t="s">
        <v>513</v>
      </c>
      <c r="C85" s="208" t="s">
        <v>403</v>
      </c>
      <c r="D85" s="35" t="s">
        <v>96</v>
      </c>
      <c r="E85" s="35" t="s">
        <v>661</v>
      </c>
      <c r="F85" s="35" t="s">
        <v>374</v>
      </c>
      <c r="G85" s="35" t="s">
        <v>627</v>
      </c>
      <c r="H85" s="35" t="s">
        <v>580</v>
      </c>
      <c r="I85" s="141">
        <f>337.19+626.59+495.45+752.43</f>
        <v>2211.66</v>
      </c>
      <c r="J85" s="34">
        <v>2825.5029500000001</v>
      </c>
      <c r="K85" s="34">
        <f t="shared" si="13"/>
        <v>613.8429500000002</v>
      </c>
      <c r="L85" s="56">
        <f t="shared" si="14"/>
        <v>376803.16726470273</v>
      </c>
      <c r="M85" s="56">
        <f t="shared" si="15"/>
        <v>613.8429500000002</v>
      </c>
      <c r="N85" s="56">
        <f t="shared" si="16"/>
        <v>2.7887641976313504</v>
      </c>
      <c r="O85" s="56">
        <f t="shared" si="25"/>
        <v>2.7887641976313504</v>
      </c>
      <c r="P85" s="143">
        <f t="shared" si="17"/>
        <v>27.754851559462136</v>
      </c>
      <c r="Q85" s="143">
        <f t="shared" si="18"/>
        <v>27.754851559462136</v>
      </c>
      <c r="R85" s="34">
        <v>2955.7084100000006</v>
      </c>
      <c r="S85" s="56">
        <f t="shared" si="19"/>
        <v>744.04841000000079</v>
      </c>
      <c r="T85" s="56">
        <f t="shared" si="20"/>
        <v>553608.03642352927</v>
      </c>
      <c r="U85" s="56">
        <f t="shared" si="21"/>
        <v>744.04841000000079</v>
      </c>
      <c r="V85" s="56">
        <f t="shared" si="22"/>
        <v>2.8721844922285937</v>
      </c>
      <c r="W85" s="33">
        <f t="shared" si="23"/>
        <v>33.642079252688063</v>
      </c>
      <c r="X85" s="143">
        <f t="shared" si="24"/>
        <v>33.642079252688063</v>
      </c>
    </row>
    <row r="86" spans="1:24" ht="15" x14ac:dyDescent="0.2">
      <c r="A86" s="28" t="s">
        <v>152</v>
      </c>
      <c r="B86" s="224" t="s">
        <v>513</v>
      </c>
      <c r="C86" s="208" t="s">
        <v>403</v>
      </c>
      <c r="D86" s="35" t="s">
        <v>82</v>
      </c>
      <c r="E86" s="35" t="s">
        <v>661</v>
      </c>
      <c r="F86" s="35" t="s">
        <v>203</v>
      </c>
      <c r="G86" s="35" t="s">
        <v>627</v>
      </c>
      <c r="H86" s="35" t="s">
        <v>581</v>
      </c>
      <c r="I86" s="141">
        <v>5810</v>
      </c>
      <c r="J86" s="34">
        <v>7469.6938899999996</v>
      </c>
      <c r="K86" s="34">
        <f t="shared" si="13"/>
        <v>1659.6938899999996</v>
      </c>
      <c r="L86" s="56">
        <f t="shared" si="14"/>
        <v>2754583.8085033307</v>
      </c>
      <c r="M86" s="56">
        <f t="shared" si="15"/>
        <v>1659.6938899999996</v>
      </c>
      <c r="N86" s="56">
        <f t="shared" si="16"/>
        <v>3.2202895878183644</v>
      </c>
      <c r="O86" s="56">
        <f t="shared" si="25"/>
        <v>3.2202895878183644</v>
      </c>
      <c r="P86" s="143">
        <f t="shared" si="17"/>
        <v>28.566159896729772</v>
      </c>
      <c r="Q86" s="143">
        <f t="shared" si="18"/>
        <v>28.566159896729772</v>
      </c>
      <c r="R86" s="34">
        <v>8097.0854000000008</v>
      </c>
      <c r="S86" s="56">
        <f t="shared" si="19"/>
        <v>2287.0854000000008</v>
      </c>
      <c r="T86" s="56">
        <f t="shared" si="20"/>
        <v>5230759.6268931637</v>
      </c>
      <c r="U86" s="56">
        <f t="shared" si="21"/>
        <v>2287.0854000000008</v>
      </c>
      <c r="V86" s="56">
        <f t="shared" si="22"/>
        <v>3.3594722299359341</v>
      </c>
      <c r="W86" s="33">
        <f t="shared" si="23"/>
        <v>39.36463683304649</v>
      </c>
      <c r="X86" s="143">
        <f t="shared" si="24"/>
        <v>39.36463683304649</v>
      </c>
    </row>
    <row r="87" spans="1:24" ht="15" x14ac:dyDescent="0.2">
      <c r="A87" s="28" t="s">
        <v>345</v>
      </c>
      <c r="B87" s="224" t="s">
        <v>513</v>
      </c>
      <c r="C87" s="208" t="s">
        <v>403</v>
      </c>
      <c r="D87" s="35" t="s">
        <v>82</v>
      </c>
      <c r="E87" s="35" t="s">
        <v>661</v>
      </c>
      <c r="F87" s="35" t="s">
        <v>374</v>
      </c>
      <c r="G87" s="35" t="s">
        <v>626</v>
      </c>
      <c r="H87" s="35" t="s">
        <v>580</v>
      </c>
      <c r="I87" s="141">
        <v>1499</v>
      </c>
      <c r="J87" s="34">
        <v>1698.0336000000002</v>
      </c>
      <c r="K87" s="34">
        <f t="shared" si="13"/>
        <v>199.03360000000021</v>
      </c>
      <c r="L87" s="56">
        <f t="shared" si="14"/>
        <v>39614.373928960085</v>
      </c>
      <c r="M87" s="56">
        <f t="shared" si="15"/>
        <v>199.03360000000021</v>
      </c>
      <c r="N87" s="56">
        <f t="shared" si="16"/>
        <v>2.3011029510088639</v>
      </c>
      <c r="O87" s="56">
        <f t="shared" si="25"/>
        <v>2.3011029510088639</v>
      </c>
      <c r="P87" s="143">
        <f t="shared" si="17"/>
        <v>13.277758505670462</v>
      </c>
      <c r="Q87" s="143">
        <f t="shared" si="18"/>
        <v>13.277758505670462</v>
      </c>
      <c r="R87" s="34">
        <v>1744.6280000000002</v>
      </c>
      <c r="S87" s="56">
        <f t="shared" si="19"/>
        <v>245.62800000000016</v>
      </c>
      <c r="T87" s="56">
        <f t="shared" si="20"/>
        <v>60333.11438400008</v>
      </c>
      <c r="U87" s="56">
        <f t="shared" si="21"/>
        <v>245.62800000000016</v>
      </c>
      <c r="V87" s="56">
        <f t="shared" si="22"/>
        <v>2.3920423810804059</v>
      </c>
      <c r="W87" s="33">
        <f t="shared" si="23"/>
        <v>16.386124082721825</v>
      </c>
      <c r="X87" s="143">
        <f t="shared" si="24"/>
        <v>16.386124082721825</v>
      </c>
    </row>
    <row r="88" spans="1:24" ht="15" x14ac:dyDescent="0.2">
      <c r="A88" s="218" t="s">
        <v>344</v>
      </c>
      <c r="B88" s="224" t="s">
        <v>513</v>
      </c>
      <c r="C88" s="208" t="s">
        <v>403</v>
      </c>
      <c r="D88" s="35" t="s">
        <v>82</v>
      </c>
      <c r="E88" s="35" t="s">
        <v>661</v>
      </c>
      <c r="F88" s="35" t="s">
        <v>374</v>
      </c>
      <c r="G88" s="35" t="s">
        <v>626</v>
      </c>
      <c r="H88" s="35" t="s">
        <v>580</v>
      </c>
      <c r="I88" s="141">
        <v>1427.7</v>
      </c>
      <c r="J88" s="34">
        <v>1462.4935140000002</v>
      </c>
      <c r="K88" s="34">
        <f t="shared" si="13"/>
        <v>34.793514000000187</v>
      </c>
      <c r="L88" s="56">
        <f t="shared" si="14"/>
        <v>1210.588616468209</v>
      </c>
      <c r="M88" s="56">
        <f t="shared" si="15"/>
        <v>34.793514000000187</v>
      </c>
      <c r="N88" s="56">
        <f t="shared" si="16"/>
        <v>1.5538043370011996</v>
      </c>
      <c r="O88" s="56">
        <f t="shared" si="25"/>
        <v>1.5538043370011996</v>
      </c>
      <c r="P88" s="143">
        <f t="shared" si="17"/>
        <v>2.4370325698676321</v>
      </c>
      <c r="Q88" s="143">
        <f t="shared" si="18"/>
        <v>2.4370325698676321</v>
      </c>
      <c r="R88" s="34">
        <v>1490.3285000000001</v>
      </c>
      <c r="S88" s="56">
        <f t="shared" si="19"/>
        <v>62.628500000000031</v>
      </c>
      <c r="T88" s="56">
        <f t="shared" si="20"/>
        <v>3922.3290122500039</v>
      </c>
      <c r="U88" s="56">
        <f t="shared" si="21"/>
        <v>62.628500000000031</v>
      </c>
      <c r="V88" s="56">
        <f t="shared" si="22"/>
        <v>1.8036516851503932</v>
      </c>
      <c r="W88" s="33">
        <f t="shared" si="23"/>
        <v>4.3866708692302323</v>
      </c>
      <c r="X88" s="143">
        <f t="shared" si="24"/>
        <v>4.3866708692302323</v>
      </c>
    </row>
    <row r="89" spans="1:24" ht="15" x14ac:dyDescent="0.2">
      <c r="A89" s="28" t="s">
        <v>306</v>
      </c>
      <c r="B89" s="224" t="s">
        <v>513</v>
      </c>
      <c r="C89" s="208" t="s">
        <v>403</v>
      </c>
      <c r="D89" s="35" t="s">
        <v>148</v>
      </c>
      <c r="E89" s="35" t="s">
        <v>661</v>
      </c>
      <c r="F89" s="35" t="s">
        <v>494</v>
      </c>
      <c r="G89" s="35" t="s">
        <v>626</v>
      </c>
      <c r="H89" s="35" t="s">
        <v>580</v>
      </c>
      <c r="I89" s="141">
        <v>1098.0999999999999</v>
      </c>
      <c r="J89" s="34">
        <v>1347.1258270000003</v>
      </c>
      <c r="K89" s="34">
        <f t="shared" si="13"/>
        <v>249.02582700000039</v>
      </c>
      <c r="L89" s="56">
        <f t="shared" si="14"/>
        <v>62013.862513034124</v>
      </c>
      <c r="M89" s="56">
        <f t="shared" si="15"/>
        <v>249.02582700000039</v>
      </c>
      <c r="N89" s="56">
        <f t="shared" si="16"/>
        <v>2.3979848724490211</v>
      </c>
      <c r="O89" s="56">
        <f t="shared" si="25"/>
        <v>2.3979848724490211</v>
      </c>
      <c r="P89" s="143">
        <f t="shared" si="17"/>
        <v>22.67788243329391</v>
      </c>
      <c r="Q89" s="143">
        <f t="shared" si="18"/>
        <v>22.67788243329391</v>
      </c>
      <c r="R89" s="34">
        <v>1356.3042799999998</v>
      </c>
      <c r="S89" s="56">
        <f t="shared" si="19"/>
        <v>258.20427999999993</v>
      </c>
      <c r="T89" s="56">
        <f t="shared" si="20"/>
        <v>66669.450210318362</v>
      </c>
      <c r="U89" s="56">
        <f t="shared" si="21"/>
        <v>258.20427999999993</v>
      </c>
      <c r="V89" s="56">
        <f t="shared" si="22"/>
        <v>2.4136421683599609</v>
      </c>
      <c r="W89" s="33">
        <f t="shared" si="23"/>
        <v>23.513730989891627</v>
      </c>
      <c r="X89" s="143">
        <f t="shared" si="24"/>
        <v>23.513730989891627</v>
      </c>
    </row>
    <row r="90" spans="1:24" ht="15" x14ac:dyDescent="0.2">
      <c r="A90" s="28" t="s">
        <v>75</v>
      </c>
      <c r="B90" s="224" t="s">
        <v>513</v>
      </c>
      <c r="C90" s="208" t="s">
        <v>403</v>
      </c>
      <c r="D90" s="35" t="s">
        <v>82</v>
      </c>
      <c r="E90" s="35" t="s">
        <v>661</v>
      </c>
      <c r="F90" s="35" t="s">
        <v>374</v>
      </c>
      <c r="G90" s="35" t="s">
        <v>627</v>
      </c>
      <c r="H90" s="35" t="s">
        <v>580</v>
      </c>
      <c r="I90" s="141">
        <v>2106.6</v>
      </c>
      <c r="J90" s="34">
        <v>1969.8274219999998</v>
      </c>
      <c r="K90" s="34">
        <f t="shared" si="13"/>
        <v>-136.77257800000007</v>
      </c>
      <c r="L90" s="56">
        <f t="shared" si="14"/>
        <v>18706.738092766103</v>
      </c>
      <c r="M90" s="56">
        <f t="shared" si="15"/>
        <v>136.77257800000007</v>
      </c>
      <c r="N90" s="56">
        <f t="shared" si="16"/>
        <v>2.1391627849997708</v>
      </c>
      <c r="O90" s="56">
        <f t="shared" si="25"/>
        <v>-2.1391627849997708</v>
      </c>
      <c r="P90" s="143">
        <f t="shared" si="17"/>
        <v>-6.4925746700845002</v>
      </c>
      <c r="Q90" s="143">
        <f t="shared" si="18"/>
        <v>6.4925746700845002</v>
      </c>
      <c r="R90" s="34">
        <v>2002.3367900000003</v>
      </c>
      <c r="S90" s="56">
        <f t="shared" si="19"/>
        <v>-104.26320999999962</v>
      </c>
      <c r="T90" s="56">
        <f t="shared" si="20"/>
        <v>10870.81695950402</v>
      </c>
      <c r="U90" s="56">
        <f t="shared" si="21"/>
        <v>104.26320999999962</v>
      </c>
      <c r="V90" s="56">
        <f t="shared" si="22"/>
        <v>2.0222766096868661</v>
      </c>
      <c r="W90" s="33">
        <f t="shared" si="23"/>
        <v>-4.9493596316338948</v>
      </c>
      <c r="X90" s="143">
        <f t="shared" si="24"/>
        <v>4.9493596316338948</v>
      </c>
    </row>
    <row r="91" spans="1:24" ht="15" x14ac:dyDescent="0.2">
      <c r="A91" s="28" t="s">
        <v>301</v>
      </c>
      <c r="B91" s="224" t="s">
        <v>513</v>
      </c>
      <c r="C91" s="208" t="s">
        <v>403</v>
      </c>
      <c r="D91" s="35" t="s">
        <v>82</v>
      </c>
      <c r="E91" s="35" t="s">
        <v>661</v>
      </c>
      <c r="F91" s="35" t="s">
        <v>374</v>
      </c>
      <c r="G91" s="35" t="s">
        <v>626</v>
      </c>
      <c r="H91" s="35" t="s">
        <v>580</v>
      </c>
      <c r="I91" s="141">
        <v>1300</v>
      </c>
      <c r="J91" s="34">
        <v>1266.7015000000001</v>
      </c>
      <c r="K91" s="34">
        <f t="shared" si="13"/>
        <v>-33.298499999999876</v>
      </c>
      <c r="L91" s="56">
        <f t="shared" si="14"/>
        <v>1108.7901022499918</v>
      </c>
      <c r="M91" s="56">
        <f t="shared" si="15"/>
        <v>33.298499999999876</v>
      </c>
      <c r="N91" s="56">
        <f t="shared" si="16"/>
        <v>1.5352751271574154</v>
      </c>
      <c r="O91" s="56">
        <f t="shared" si="25"/>
        <v>-1.5352751271574154</v>
      </c>
      <c r="P91" s="143">
        <f t="shared" si="17"/>
        <v>-2.5614230769230675</v>
      </c>
      <c r="Q91" s="143">
        <f t="shared" si="18"/>
        <v>2.5614230769230675</v>
      </c>
      <c r="R91" s="34">
        <v>1286.33</v>
      </c>
      <c r="S91" s="56">
        <f t="shared" si="19"/>
        <v>-13.670000000000073</v>
      </c>
      <c r="T91" s="56">
        <f t="shared" si="20"/>
        <v>186.86890000000199</v>
      </c>
      <c r="U91" s="56">
        <f t="shared" si="21"/>
        <v>13.670000000000073</v>
      </c>
      <c r="V91" s="56">
        <f t="shared" si="22"/>
        <v>1.1664301138432849</v>
      </c>
      <c r="W91" s="33">
        <f t="shared" si="23"/>
        <v>-1.0515384615384671</v>
      </c>
      <c r="X91" s="143">
        <f t="shared" si="24"/>
        <v>1.0515384615384671</v>
      </c>
    </row>
    <row r="92" spans="1:24" ht="15" x14ac:dyDescent="0.2">
      <c r="A92" s="28" t="s">
        <v>664</v>
      </c>
      <c r="B92" s="224" t="s">
        <v>513</v>
      </c>
      <c r="C92" s="208" t="s">
        <v>403</v>
      </c>
      <c r="D92" s="35" t="s">
        <v>82</v>
      </c>
      <c r="E92" s="35" t="s">
        <v>661</v>
      </c>
      <c r="F92" s="35" t="s">
        <v>374</v>
      </c>
      <c r="G92" s="35" t="s">
        <v>627</v>
      </c>
      <c r="H92" s="35" t="s">
        <v>580</v>
      </c>
      <c r="I92" s="141">
        <v>1730.8</v>
      </c>
      <c r="J92" s="34">
        <v>1719.5456060000001</v>
      </c>
      <c r="K92" s="34">
        <f t="shared" si="13"/>
        <v>-11.25439399999982</v>
      </c>
      <c r="L92" s="56">
        <f t="shared" si="14"/>
        <v>126.66138430723196</v>
      </c>
      <c r="M92" s="56">
        <f t="shared" si="15"/>
        <v>11.25439399999982</v>
      </c>
      <c r="N92" s="56">
        <f t="shared" si="16"/>
        <v>1.088291839540491</v>
      </c>
      <c r="O92" s="56">
        <f t="shared" si="25"/>
        <v>-1.088291839540491</v>
      </c>
      <c r="P92" s="143">
        <f t="shared" si="17"/>
        <v>-0.65024231569215507</v>
      </c>
      <c r="Q92" s="143">
        <f t="shared" si="18"/>
        <v>0.65024231569215507</v>
      </c>
      <c r="R92" s="34">
        <v>1835.2815800000003</v>
      </c>
      <c r="S92" s="56">
        <f t="shared" si="19"/>
        <v>104.48158000000035</v>
      </c>
      <c r="T92" s="56">
        <f t="shared" si="20"/>
        <v>10916.400559296473</v>
      </c>
      <c r="U92" s="56">
        <f t="shared" si="21"/>
        <v>104.48158000000035</v>
      </c>
      <c r="V92" s="56">
        <f t="shared" si="22"/>
        <v>2.0231766264318098</v>
      </c>
      <c r="W92" s="33">
        <f t="shared" si="23"/>
        <v>6.0366061936676889</v>
      </c>
      <c r="X92" s="143">
        <f t="shared" si="24"/>
        <v>6.0366061936676889</v>
      </c>
    </row>
    <row r="93" spans="1:24" ht="15" x14ac:dyDescent="0.2">
      <c r="A93" s="28" t="s">
        <v>282</v>
      </c>
      <c r="B93" s="224" t="s">
        <v>513</v>
      </c>
      <c r="C93" s="208" t="s">
        <v>403</v>
      </c>
      <c r="D93" s="35" t="s">
        <v>96</v>
      </c>
      <c r="E93" s="35" t="s">
        <v>661</v>
      </c>
      <c r="F93" s="35" t="s">
        <v>494</v>
      </c>
      <c r="G93" s="35" t="s">
        <v>626</v>
      </c>
      <c r="H93" s="35" t="s">
        <v>580</v>
      </c>
      <c r="I93" s="141">
        <v>872.2</v>
      </c>
      <c r="J93" s="34">
        <v>829.90950000000009</v>
      </c>
      <c r="K93" s="34">
        <f t="shared" si="13"/>
        <v>-42.290499999999952</v>
      </c>
      <c r="L93" s="56">
        <f t="shared" si="14"/>
        <v>1788.486390249996</v>
      </c>
      <c r="M93" s="56">
        <f t="shared" si="15"/>
        <v>42.290499999999952</v>
      </c>
      <c r="N93" s="56">
        <f t="shared" si="16"/>
        <v>1.6363926018904704</v>
      </c>
      <c r="O93" s="56">
        <f t="shared" si="25"/>
        <v>-1.6363926018904704</v>
      </c>
      <c r="P93" s="143">
        <f t="shared" si="17"/>
        <v>-4.8487158908507171</v>
      </c>
      <c r="Q93" s="143">
        <f t="shared" si="18"/>
        <v>4.8487158908507171</v>
      </c>
      <c r="R93" s="34">
        <v>805.11710000000005</v>
      </c>
      <c r="S93" s="56">
        <f t="shared" si="19"/>
        <v>-67.082899999999995</v>
      </c>
      <c r="T93" s="56">
        <f t="shared" si="20"/>
        <v>4500.1154724099997</v>
      </c>
      <c r="U93" s="56">
        <f t="shared" si="21"/>
        <v>67.082899999999995</v>
      </c>
      <c r="V93" s="56">
        <f t="shared" si="22"/>
        <v>1.8330380463005889</v>
      </c>
      <c r="W93" s="33">
        <f t="shared" si="23"/>
        <v>-7.6912290759000213</v>
      </c>
      <c r="X93" s="143">
        <f t="shared" si="24"/>
        <v>7.6912290759000213</v>
      </c>
    </row>
    <row r="94" spans="1:24" ht="15" x14ac:dyDescent="0.2">
      <c r="A94" s="28" t="s">
        <v>600</v>
      </c>
      <c r="B94" s="224" t="s">
        <v>513</v>
      </c>
      <c r="C94" s="208" t="s">
        <v>403</v>
      </c>
      <c r="D94" s="35" t="s">
        <v>82</v>
      </c>
      <c r="E94" s="35" t="s">
        <v>661</v>
      </c>
      <c r="F94" s="35" t="s">
        <v>293</v>
      </c>
      <c r="G94" s="35" t="s">
        <v>627</v>
      </c>
      <c r="H94" s="35" t="s">
        <v>580</v>
      </c>
      <c r="I94" s="141">
        <v>2516.1099999999997</v>
      </c>
      <c r="J94" s="34">
        <v>3288.8846630000003</v>
      </c>
      <c r="K94" s="34">
        <f t="shared" si="13"/>
        <v>772.7746630000006</v>
      </c>
      <c r="L94" s="56">
        <f t="shared" si="14"/>
        <v>597180.67977476446</v>
      </c>
      <c r="M94" s="56">
        <f t="shared" si="15"/>
        <v>772.7746630000006</v>
      </c>
      <c r="N94" s="56">
        <f t="shared" si="16"/>
        <v>2.8886145047863088</v>
      </c>
      <c r="O94" s="56">
        <f t="shared" si="25"/>
        <v>2.8886145047863088</v>
      </c>
      <c r="P94" s="143">
        <f t="shared" si="17"/>
        <v>30.713071487335636</v>
      </c>
      <c r="Q94" s="143">
        <f t="shared" si="18"/>
        <v>30.713071487335636</v>
      </c>
      <c r="R94" s="34">
        <v>3406.5171500000006</v>
      </c>
      <c r="S94" s="56">
        <f t="shared" si="19"/>
        <v>890.40715000000091</v>
      </c>
      <c r="T94" s="56">
        <f t="shared" si="20"/>
        <v>792824.89277112414</v>
      </c>
      <c r="U94" s="56">
        <f t="shared" si="21"/>
        <v>890.40715000000091</v>
      </c>
      <c r="V94" s="56">
        <f t="shared" si="22"/>
        <v>2.9500761132514954</v>
      </c>
      <c r="W94" s="33">
        <f t="shared" si="23"/>
        <v>35.388244154667362</v>
      </c>
      <c r="X94" s="143">
        <f t="shared" si="24"/>
        <v>35.388244154667362</v>
      </c>
    </row>
    <row r="95" spans="1:24" ht="15" x14ac:dyDescent="0.2">
      <c r="A95" s="28" t="s">
        <v>289</v>
      </c>
      <c r="B95" s="224" t="s">
        <v>513</v>
      </c>
      <c r="C95" s="208" t="s">
        <v>403</v>
      </c>
      <c r="D95" s="35" t="s">
        <v>148</v>
      </c>
      <c r="E95" s="35" t="s">
        <v>661</v>
      </c>
      <c r="F95" s="35" t="s">
        <v>494</v>
      </c>
      <c r="G95" s="35" t="s">
        <v>626</v>
      </c>
      <c r="H95" s="35" t="s">
        <v>580</v>
      </c>
      <c r="I95" s="141">
        <v>899.05</v>
      </c>
      <c r="J95" s="34">
        <v>910.17002999999988</v>
      </c>
      <c r="K95" s="34">
        <f t="shared" si="13"/>
        <v>11.120029999999929</v>
      </c>
      <c r="L95" s="56">
        <f t="shared" si="14"/>
        <v>123.65506720089842</v>
      </c>
      <c r="M95" s="56">
        <f t="shared" si="15"/>
        <v>11.120029999999929</v>
      </c>
      <c r="N95" s="56">
        <f t="shared" si="16"/>
        <v>1.0835036948152759</v>
      </c>
      <c r="O95" s="56">
        <f t="shared" si="25"/>
        <v>1.0835036948152759</v>
      </c>
      <c r="P95" s="143">
        <f t="shared" si="17"/>
        <v>1.2368644680496002</v>
      </c>
      <c r="Q95" s="143">
        <f t="shared" si="18"/>
        <v>1.2368644680496002</v>
      </c>
      <c r="R95" s="34">
        <v>885.98993000000007</v>
      </c>
      <c r="S95" s="56">
        <f t="shared" si="19"/>
        <v>-13.060069999999882</v>
      </c>
      <c r="T95" s="56">
        <f t="shared" si="20"/>
        <v>170.56542840489692</v>
      </c>
      <c r="U95" s="56">
        <f t="shared" si="21"/>
        <v>13.060069999999882</v>
      </c>
      <c r="V95" s="56">
        <f t="shared" si="22"/>
        <v>1.1479874828842322</v>
      </c>
      <c r="W95" s="33">
        <f t="shared" si="23"/>
        <v>-1.4526522440353578</v>
      </c>
      <c r="X95" s="143">
        <f t="shared" si="24"/>
        <v>1.4526522440353578</v>
      </c>
    </row>
    <row r="96" spans="1:24" ht="15" x14ac:dyDescent="0.2">
      <c r="A96" s="28" t="s">
        <v>310</v>
      </c>
      <c r="B96" s="224" t="s">
        <v>513</v>
      </c>
      <c r="C96" s="208" t="s">
        <v>403</v>
      </c>
      <c r="D96" s="35" t="s">
        <v>82</v>
      </c>
      <c r="E96" s="35" t="s">
        <v>661</v>
      </c>
      <c r="F96" s="35" t="s">
        <v>374</v>
      </c>
      <c r="G96" s="35" t="s">
        <v>626</v>
      </c>
      <c r="H96" s="35" t="s">
        <v>580</v>
      </c>
      <c r="I96" s="142">
        <f>489.03+252.1+310.1+413</f>
        <v>1464.23</v>
      </c>
      <c r="J96" s="34">
        <v>1853.09476</v>
      </c>
      <c r="K96" s="34">
        <f t="shared" si="13"/>
        <v>388.86475999999993</v>
      </c>
      <c r="L96" s="56">
        <f t="shared" si="14"/>
        <v>151215.80156985755</v>
      </c>
      <c r="M96" s="56">
        <f t="shared" si="15"/>
        <v>388.86475999999993</v>
      </c>
      <c r="N96" s="56">
        <f t="shared" si="16"/>
        <v>2.5909139809453272</v>
      </c>
      <c r="O96" s="56">
        <f t="shared" si="25"/>
        <v>2.5909139809453272</v>
      </c>
      <c r="P96" s="143">
        <f t="shared" si="17"/>
        <v>26.557628241464794</v>
      </c>
      <c r="Q96" s="143">
        <f t="shared" si="18"/>
        <v>26.557628241464794</v>
      </c>
      <c r="R96" s="34">
        <v>1917.8870000000002</v>
      </c>
      <c r="S96" s="56">
        <f t="shared" si="19"/>
        <v>453.65700000000015</v>
      </c>
      <c r="T96" s="56">
        <f t="shared" si="20"/>
        <v>205804.67364900015</v>
      </c>
      <c r="U96" s="56">
        <f t="shared" si="21"/>
        <v>453.65700000000015</v>
      </c>
      <c r="V96" s="56">
        <f t="shared" si="22"/>
        <v>2.657683881968933</v>
      </c>
      <c r="W96" s="33">
        <f t="shared" si="23"/>
        <v>30.982632509919899</v>
      </c>
      <c r="X96" s="143">
        <f t="shared" si="24"/>
        <v>30.982632509919899</v>
      </c>
    </row>
    <row r="97" spans="1:24" ht="15" x14ac:dyDescent="0.2">
      <c r="A97" s="28" t="s">
        <v>290</v>
      </c>
      <c r="B97" s="224" t="s">
        <v>513</v>
      </c>
      <c r="C97" s="208" t="s">
        <v>403</v>
      </c>
      <c r="D97" s="35" t="s">
        <v>82</v>
      </c>
      <c r="E97" s="35" t="s">
        <v>661</v>
      </c>
      <c r="F97" s="35" t="s">
        <v>374</v>
      </c>
      <c r="G97" s="35" t="s">
        <v>626</v>
      </c>
      <c r="H97" s="35" t="s">
        <v>580</v>
      </c>
      <c r="I97" s="141">
        <v>1369.3</v>
      </c>
      <c r="J97" s="34">
        <v>1453.9760700000002</v>
      </c>
      <c r="K97" s="34">
        <f t="shared" si="13"/>
        <v>84.676070000000209</v>
      </c>
      <c r="L97" s="56">
        <f t="shared" si="14"/>
        <v>7170.0368306449354</v>
      </c>
      <c r="M97" s="56">
        <f t="shared" si="15"/>
        <v>84.676070000000209</v>
      </c>
      <c r="N97" s="56">
        <f t="shared" si="16"/>
        <v>1.9328595369967858</v>
      </c>
      <c r="O97" s="56">
        <f t="shared" si="25"/>
        <v>1.9328595369967858</v>
      </c>
      <c r="P97" s="143">
        <f t="shared" si="17"/>
        <v>6.1838946907179011</v>
      </c>
      <c r="Q97" s="143">
        <f t="shared" si="18"/>
        <v>6.1838946907179011</v>
      </c>
      <c r="R97" s="34">
        <v>1454.1676699999998</v>
      </c>
      <c r="S97" s="56">
        <f t="shared" si="19"/>
        <v>84.867669999999862</v>
      </c>
      <c r="T97" s="56">
        <f t="shared" si="20"/>
        <v>7202.5214112288768</v>
      </c>
      <c r="U97" s="56">
        <f t="shared" si="21"/>
        <v>84.867669999999862</v>
      </c>
      <c r="V97" s="56">
        <f t="shared" si="22"/>
        <v>1.9338296785750728</v>
      </c>
      <c r="W97" s="33">
        <f t="shared" si="23"/>
        <v>6.1978872416563098</v>
      </c>
      <c r="X97" s="143">
        <f t="shared" si="24"/>
        <v>6.1978872416563098</v>
      </c>
    </row>
    <row r="98" spans="1:24" ht="15" x14ac:dyDescent="0.2">
      <c r="A98" s="28" t="s">
        <v>365</v>
      </c>
      <c r="B98" s="224" t="s">
        <v>513</v>
      </c>
      <c r="C98" s="208" t="s">
        <v>403</v>
      </c>
      <c r="D98" s="35" t="s">
        <v>148</v>
      </c>
      <c r="E98" s="35" t="s">
        <v>661</v>
      </c>
      <c r="F98" s="35" t="s">
        <v>494</v>
      </c>
      <c r="G98" s="35" t="s">
        <v>626</v>
      </c>
      <c r="H98" s="35" t="s">
        <v>580</v>
      </c>
      <c r="I98" s="141">
        <v>992.24</v>
      </c>
      <c r="J98" s="34">
        <v>939.98108400000012</v>
      </c>
      <c r="K98" s="34">
        <f t="shared" si="13"/>
        <v>-52.258915999999886</v>
      </c>
      <c r="L98" s="56">
        <f t="shared" si="14"/>
        <v>2730.9943014950441</v>
      </c>
      <c r="M98" s="56">
        <f t="shared" si="15"/>
        <v>52.258915999999886</v>
      </c>
      <c r="N98" s="56">
        <f t="shared" si="16"/>
        <v>1.7263923228237386</v>
      </c>
      <c r="O98" s="56">
        <f t="shared" si="25"/>
        <v>-1.7263923228237386</v>
      </c>
      <c r="P98" s="143">
        <f t="shared" si="17"/>
        <v>-5.2667616705635609</v>
      </c>
      <c r="Q98" s="143">
        <f t="shared" si="18"/>
        <v>5.2667616705635609</v>
      </c>
      <c r="R98" s="34">
        <v>961.10609000000011</v>
      </c>
      <c r="S98" s="56">
        <f t="shared" si="19"/>
        <v>-31.133909999999901</v>
      </c>
      <c r="T98" s="56">
        <f t="shared" si="20"/>
        <v>969.3203518880938</v>
      </c>
      <c r="U98" s="56">
        <f t="shared" si="21"/>
        <v>31.133909999999901</v>
      </c>
      <c r="V98" s="56">
        <f t="shared" si="22"/>
        <v>1.5069635729872342</v>
      </c>
      <c r="W98" s="33">
        <f t="shared" si="23"/>
        <v>-3.1377398613238632</v>
      </c>
      <c r="X98" s="143">
        <f t="shared" si="24"/>
        <v>3.1377398613238632</v>
      </c>
    </row>
    <row r="99" spans="1:24" ht="15" x14ac:dyDescent="0.2">
      <c r="A99" s="28" t="s">
        <v>601</v>
      </c>
      <c r="B99" s="224" t="s">
        <v>513</v>
      </c>
      <c r="C99" s="208" t="s">
        <v>403</v>
      </c>
      <c r="D99" s="35" t="s">
        <v>82</v>
      </c>
      <c r="E99" s="35" t="s">
        <v>661</v>
      </c>
      <c r="F99" s="35" t="s">
        <v>203</v>
      </c>
      <c r="G99" s="35" t="s">
        <v>627</v>
      </c>
      <c r="H99" s="35" t="s">
        <v>581</v>
      </c>
      <c r="I99" s="141">
        <v>5182</v>
      </c>
      <c r="J99" s="34">
        <v>5252.4285</v>
      </c>
      <c r="K99" s="34">
        <f t="shared" si="13"/>
        <v>70.428499999999985</v>
      </c>
      <c r="L99" s="56">
        <f t="shared" si="14"/>
        <v>4960.1736122499979</v>
      </c>
      <c r="M99" s="56">
        <f t="shared" si="15"/>
        <v>70.428499999999985</v>
      </c>
      <c r="N99" s="56">
        <f t="shared" si="16"/>
        <v>1.8538715300270627</v>
      </c>
      <c r="O99" s="56">
        <f t="shared" si="25"/>
        <v>1.8538715300270627</v>
      </c>
      <c r="P99" s="143">
        <f t="shared" si="17"/>
        <v>1.3590988035507523</v>
      </c>
      <c r="Q99" s="143">
        <f t="shared" si="18"/>
        <v>1.3590988035507523</v>
      </c>
      <c r="R99" s="34">
        <v>5567.5040000000008</v>
      </c>
      <c r="S99" s="56">
        <f t="shared" si="19"/>
        <v>385.50400000000081</v>
      </c>
      <c r="T99" s="56">
        <f t="shared" si="20"/>
        <v>148613.33401600062</v>
      </c>
      <c r="U99" s="56">
        <f t="shared" si="21"/>
        <v>385.50400000000081</v>
      </c>
      <c r="V99" s="56">
        <f t="shared" si="22"/>
        <v>2.5871539928699678</v>
      </c>
      <c r="W99" s="33">
        <f t="shared" si="23"/>
        <v>7.439289849478981</v>
      </c>
      <c r="X99" s="143">
        <f t="shared" si="24"/>
        <v>7.439289849478981</v>
      </c>
    </row>
    <row r="100" spans="1:24" ht="15" x14ac:dyDescent="0.2">
      <c r="A100" s="206" t="s">
        <v>593</v>
      </c>
      <c r="B100" s="224" t="s">
        <v>513</v>
      </c>
      <c r="C100" s="35" t="s">
        <v>403</v>
      </c>
      <c r="D100" s="35" t="s">
        <v>82</v>
      </c>
      <c r="E100" s="35" t="s">
        <v>661</v>
      </c>
      <c r="F100" s="35" t="s">
        <v>374</v>
      </c>
      <c r="G100" s="35" t="s">
        <v>626</v>
      </c>
      <c r="H100" s="35" t="s">
        <v>580</v>
      </c>
      <c r="I100" s="141">
        <v>1284.8</v>
      </c>
      <c r="J100" s="34">
        <v>1310.1623039999999</v>
      </c>
      <c r="K100" s="34">
        <f t="shared" si="13"/>
        <v>25.362303999999995</v>
      </c>
      <c r="L100" s="56">
        <f t="shared" si="14"/>
        <v>643.24646418841576</v>
      </c>
      <c r="M100" s="56">
        <f t="shared" si="15"/>
        <v>25.362303999999995</v>
      </c>
      <c r="N100" s="56">
        <f t="shared" si="16"/>
        <v>1.4209833638415252</v>
      </c>
      <c r="O100" s="56">
        <f t="shared" si="25"/>
        <v>1.4209833638415252</v>
      </c>
      <c r="P100" s="143">
        <f t="shared" si="17"/>
        <v>1.9740273972602735</v>
      </c>
      <c r="Q100" s="143">
        <f t="shared" si="18"/>
        <v>1.9740273972602735</v>
      </c>
      <c r="R100" s="34">
        <v>1319.0815400000001</v>
      </c>
      <c r="S100" s="56">
        <f t="shared" si="19"/>
        <v>34.281540000000177</v>
      </c>
      <c r="T100" s="56">
        <f t="shared" si="20"/>
        <v>1175.2239847716121</v>
      </c>
      <c r="U100" s="56">
        <f t="shared" si="21"/>
        <v>34.281540000000177</v>
      </c>
      <c r="V100" s="56">
        <f t="shared" si="22"/>
        <v>1.5475475333448589</v>
      </c>
      <c r="W100" s="33">
        <f t="shared" si="23"/>
        <v>2.668239414694908</v>
      </c>
      <c r="X100" s="143">
        <f t="shared" si="24"/>
        <v>2.668239414694908</v>
      </c>
    </row>
    <row r="101" spans="1:24" ht="16" x14ac:dyDescent="0.2">
      <c r="A101" t="s">
        <v>867</v>
      </c>
      <c r="B101" s="224" t="s">
        <v>514</v>
      </c>
      <c r="C101" s="224" t="s">
        <v>824</v>
      </c>
      <c r="D101" s="35" t="s">
        <v>148</v>
      </c>
      <c r="E101" s="35" t="s">
        <v>662</v>
      </c>
      <c r="F101" s="35" t="s">
        <v>374</v>
      </c>
      <c r="G101" s="35" t="s">
        <v>627</v>
      </c>
      <c r="H101" s="35" t="s">
        <v>580</v>
      </c>
      <c r="I101" s="147">
        <v>1842</v>
      </c>
      <c r="J101" s="34">
        <v>1711.3482607860199</v>
      </c>
      <c r="K101" s="34">
        <f t="shared" si="13"/>
        <v>-130.65173921398014</v>
      </c>
      <c r="L101" s="56">
        <f t="shared" si="14"/>
        <v>17069.876959637873</v>
      </c>
      <c r="M101" s="56">
        <f t="shared" si="15"/>
        <v>130.65173921398014</v>
      </c>
      <c r="N101" s="56">
        <f t="shared" si="16"/>
        <v>2.119426600821845</v>
      </c>
      <c r="O101" s="56">
        <f t="shared" si="25"/>
        <v>-2.119426600821845</v>
      </c>
      <c r="P101" s="143">
        <f t="shared" si="17"/>
        <v>-7.0929282960901272</v>
      </c>
      <c r="Q101" s="143">
        <f t="shared" si="18"/>
        <v>7.0929282960901272</v>
      </c>
      <c r="R101" s="34">
        <v>1957.8457865915693</v>
      </c>
      <c r="S101" s="56">
        <f t="shared" si="19"/>
        <v>115.84578659156932</v>
      </c>
      <c r="T101" s="56">
        <f t="shared" si="20"/>
        <v>13420.246271019423</v>
      </c>
      <c r="U101" s="56">
        <f t="shared" si="21"/>
        <v>115.84578659156932</v>
      </c>
      <c r="V101" s="56">
        <f t="shared" si="22"/>
        <v>2.067613056539773</v>
      </c>
      <c r="W101" s="33">
        <f t="shared" si="23"/>
        <v>6.2891306510081062</v>
      </c>
      <c r="X101" s="143">
        <f t="shared" si="24"/>
        <v>6.2891306510081062</v>
      </c>
    </row>
    <row r="102" spans="1:24" ht="16" x14ac:dyDescent="0.2">
      <c r="A102" t="s">
        <v>868</v>
      </c>
      <c r="B102" s="224" t="s">
        <v>514</v>
      </c>
      <c r="C102" s="224" t="s">
        <v>824</v>
      </c>
      <c r="D102" s="35" t="s">
        <v>148</v>
      </c>
      <c r="E102" s="35" t="s">
        <v>662</v>
      </c>
      <c r="F102" s="35" t="s">
        <v>374</v>
      </c>
      <c r="G102" s="35" t="s">
        <v>627</v>
      </c>
      <c r="H102" s="35" t="s">
        <v>580</v>
      </c>
      <c r="I102" s="147">
        <v>1530</v>
      </c>
      <c r="J102" s="34">
        <v>1534.6326947976752</v>
      </c>
      <c r="K102" s="34">
        <f t="shared" si="13"/>
        <v>4.6326947976751853</v>
      </c>
      <c r="L102" s="56">
        <f t="shared" si="14"/>
        <v>21.461861088406728</v>
      </c>
      <c r="M102" s="56">
        <f t="shared" si="15"/>
        <v>4.6326947976751853</v>
      </c>
      <c r="N102" s="56">
        <f t="shared" si="16"/>
        <v>0.7507162200305838</v>
      </c>
      <c r="O102" s="56">
        <f t="shared" si="25"/>
        <v>0.7507162200305838</v>
      </c>
      <c r="P102" s="143">
        <f t="shared" si="17"/>
        <v>0.30279050965197291</v>
      </c>
      <c r="Q102" s="143">
        <f t="shared" si="18"/>
        <v>0.30279050965197291</v>
      </c>
      <c r="R102" s="34">
        <v>1785.4740131564872</v>
      </c>
      <c r="S102" s="56">
        <f t="shared" si="19"/>
        <v>255.47401315648722</v>
      </c>
      <c r="T102" s="56">
        <f t="shared" si="20"/>
        <v>65266.971398281006</v>
      </c>
      <c r="U102" s="56">
        <f t="shared" si="21"/>
        <v>255.47401315648722</v>
      </c>
      <c r="V102" s="56">
        <f t="shared" si="22"/>
        <v>2.4090433674420417</v>
      </c>
      <c r="W102" s="33">
        <f t="shared" si="23"/>
        <v>16.697647918724652</v>
      </c>
      <c r="X102" s="143">
        <f t="shared" si="24"/>
        <v>16.697647918724652</v>
      </c>
    </row>
    <row r="103" spans="1:24" ht="16" x14ac:dyDescent="0.2">
      <c r="A103" t="s">
        <v>869</v>
      </c>
      <c r="B103" s="224" t="s">
        <v>514</v>
      </c>
      <c r="C103" s="224" t="s">
        <v>824</v>
      </c>
      <c r="D103" s="35" t="s">
        <v>148</v>
      </c>
      <c r="E103" s="35" t="s">
        <v>662</v>
      </c>
      <c r="F103" s="35" t="s">
        <v>374</v>
      </c>
      <c r="G103" s="35" t="s">
        <v>627</v>
      </c>
      <c r="H103" s="35" t="s">
        <v>580</v>
      </c>
      <c r="I103" s="147">
        <v>1686</v>
      </c>
      <c r="J103" s="34">
        <v>1639.090244078744</v>
      </c>
      <c r="K103" s="34">
        <f t="shared" si="13"/>
        <v>-46.909755921255964</v>
      </c>
      <c r="L103" s="56">
        <f t="shared" si="14"/>
        <v>2200.5252005918092</v>
      </c>
      <c r="M103" s="56">
        <f t="shared" si="15"/>
        <v>46.909755921255964</v>
      </c>
      <c r="N103" s="56">
        <f t="shared" si="16"/>
        <v>1.6804239583279492</v>
      </c>
      <c r="O103" s="56">
        <f t="shared" si="25"/>
        <v>-1.6804239583279492</v>
      </c>
      <c r="P103" s="143">
        <f t="shared" si="17"/>
        <v>-2.7823105528621568</v>
      </c>
      <c r="Q103" s="143">
        <f t="shared" si="18"/>
        <v>2.7823105528621568</v>
      </c>
      <c r="R103" s="34">
        <v>1871.3324880467017</v>
      </c>
      <c r="S103" s="56">
        <f t="shared" si="19"/>
        <v>185.33248804670166</v>
      </c>
      <c r="T103" s="56">
        <f t="shared" si="20"/>
        <v>34348.13112558081</v>
      </c>
      <c r="U103" s="56">
        <f t="shared" si="21"/>
        <v>185.33248804670166</v>
      </c>
      <c r="V103" s="56">
        <f t="shared" si="22"/>
        <v>2.2702885830192523</v>
      </c>
      <c r="W103" s="33">
        <f t="shared" si="23"/>
        <v>10.992437013446125</v>
      </c>
      <c r="X103" s="143">
        <f t="shared" si="24"/>
        <v>10.992437013446125</v>
      </c>
    </row>
    <row r="104" spans="1:24" ht="16" x14ac:dyDescent="0.2">
      <c r="A104" t="s">
        <v>870</v>
      </c>
      <c r="B104" s="224" t="s">
        <v>514</v>
      </c>
      <c r="C104" s="224" t="s">
        <v>824</v>
      </c>
      <c r="D104" s="35" t="s">
        <v>148</v>
      </c>
      <c r="E104" s="35" t="s">
        <v>662</v>
      </c>
      <c r="F104" s="35" t="s">
        <v>374</v>
      </c>
      <c r="G104" s="35" t="s">
        <v>627</v>
      </c>
      <c r="H104" s="35" t="s">
        <v>580</v>
      </c>
      <c r="I104" s="147">
        <v>1582</v>
      </c>
      <c r="J104" s="34">
        <v>1556.5080590179973</v>
      </c>
      <c r="K104" s="34">
        <f t="shared" si="13"/>
        <v>-25.491940982002689</v>
      </c>
      <c r="L104" s="56">
        <f t="shared" si="14"/>
        <v>649.8390550299082</v>
      </c>
      <c r="M104" s="56">
        <f t="shared" si="15"/>
        <v>25.491940982002689</v>
      </c>
      <c r="N104" s="56">
        <f t="shared" si="16"/>
        <v>1.423113778866957</v>
      </c>
      <c r="O104" s="56">
        <f t="shared" si="25"/>
        <v>-1.423113778866957</v>
      </c>
      <c r="P104" s="143">
        <f t="shared" si="17"/>
        <v>-1.6113742719344304</v>
      </c>
      <c r="Q104" s="143">
        <f t="shared" si="18"/>
        <v>1.6113742719344304</v>
      </c>
      <c r="R104" s="34">
        <v>1779.7739019717164</v>
      </c>
      <c r="S104" s="56">
        <f t="shared" si="19"/>
        <v>197.77390197171644</v>
      </c>
      <c r="T104" s="56">
        <f t="shared" si="20"/>
        <v>39114.516301118107</v>
      </c>
      <c r="U104" s="56">
        <f t="shared" si="21"/>
        <v>197.77390197171644</v>
      </c>
      <c r="V104" s="56">
        <f t="shared" si="22"/>
        <v>2.2983593630909542</v>
      </c>
      <c r="W104" s="33">
        <f t="shared" si="23"/>
        <v>12.501510870525692</v>
      </c>
      <c r="X104" s="143">
        <f t="shared" si="24"/>
        <v>12.501510870525692</v>
      </c>
    </row>
    <row r="105" spans="1:24" ht="16" x14ac:dyDescent="0.2">
      <c r="A105" t="s">
        <v>871</v>
      </c>
      <c r="B105" s="224" t="s">
        <v>514</v>
      </c>
      <c r="C105" s="224" t="s">
        <v>824</v>
      </c>
      <c r="D105" s="35" t="s">
        <v>148</v>
      </c>
      <c r="E105" s="35" t="s">
        <v>662</v>
      </c>
      <c r="F105" s="35" t="s">
        <v>374</v>
      </c>
      <c r="G105" s="35" t="s">
        <v>627</v>
      </c>
      <c r="H105" s="35" t="s">
        <v>580</v>
      </c>
      <c r="I105" s="147">
        <v>1575</v>
      </c>
      <c r="J105" s="34">
        <v>1501.9373849828262</v>
      </c>
      <c r="K105" s="34">
        <f t="shared" si="13"/>
        <v>-73.062615017173812</v>
      </c>
      <c r="L105" s="56">
        <f t="shared" si="14"/>
        <v>5338.1457131477518</v>
      </c>
      <c r="M105" s="56">
        <f t="shared" si="15"/>
        <v>73.062615017173812</v>
      </c>
      <c r="N105" s="56">
        <f t="shared" si="16"/>
        <v>1.8695990421379296</v>
      </c>
      <c r="O105" s="56">
        <f t="shared" si="25"/>
        <v>-1.8695990421379296</v>
      </c>
      <c r="P105" s="143">
        <f t="shared" si="17"/>
        <v>-4.6388961915665909</v>
      </c>
      <c r="Q105" s="143">
        <f t="shared" si="18"/>
        <v>4.6388961915665909</v>
      </c>
      <c r="R105" s="34">
        <v>1728.6091029121608</v>
      </c>
      <c r="S105" s="56">
        <f t="shared" si="19"/>
        <v>153.60910291216078</v>
      </c>
      <c r="T105" s="56">
        <f t="shared" si="20"/>
        <v>23595.7564974788</v>
      </c>
      <c r="U105" s="56">
        <f t="shared" si="21"/>
        <v>153.60910291216078</v>
      </c>
      <c r="V105" s="56">
        <f t="shared" si="22"/>
        <v>2.1892350602688389</v>
      </c>
      <c r="W105" s="33">
        <f t="shared" si="23"/>
        <v>9.7529589150578264</v>
      </c>
      <c r="X105" s="143">
        <f t="shared" si="24"/>
        <v>9.7529589150578264</v>
      </c>
    </row>
    <row r="106" spans="1:24" ht="16" x14ac:dyDescent="0.2">
      <c r="A106" t="s">
        <v>872</v>
      </c>
      <c r="B106" s="224" t="s">
        <v>514</v>
      </c>
      <c r="C106" s="224" t="s">
        <v>824</v>
      </c>
      <c r="D106" s="35" t="s">
        <v>148</v>
      </c>
      <c r="E106" s="35" t="s">
        <v>662</v>
      </c>
      <c r="F106" s="35" t="s">
        <v>374</v>
      </c>
      <c r="G106" s="35" t="s">
        <v>627</v>
      </c>
      <c r="H106" s="35" t="s">
        <v>580</v>
      </c>
      <c r="I106" s="147">
        <v>1684</v>
      </c>
      <c r="J106" s="34">
        <v>1661.2564193478629</v>
      </c>
      <c r="K106" s="34">
        <f t="shared" si="13"/>
        <v>-22.743580652137098</v>
      </c>
      <c r="L106" s="56">
        <f t="shared" si="14"/>
        <v>517.27046088026498</v>
      </c>
      <c r="M106" s="56">
        <f t="shared" si="15"/>
        <v>22.743580652137098</v>
      </c>
      <c r="N106" s="56">
        <f t="shared" si="16"/>
        <v>1.3755462133634584</v>
      </c>
      <c r="O106" s="56">
        <f t="shared" si="25"/>
        <v>-1.3755462133634584</v>
      </c>
      <c r="P106" s="143">
        <f t="shared" si="17"/>
        <v>-1.3505689223359321</v>
      </c>
      <c r="Q106" s="143">
        <f t="shared" si="18"/>
        <v>1.3505689223359321</v>
      </c>
      <c r="R106" s="34">
        <v>1836.9093792755964</v>
      </c>
      <c r="S106" s="56">
        <f t="shared" si="19"/>
        <v>152.90937927559639</v>
      </c>
      <c r="T106" s="56">
        <f t="shared" si="20"/>
        <v>23381.278270448187</v>
      </c>
      <c r="U106" s="56">
        <f t="shared" si="21"/>
        <v>152.90937927559639</v>
      </c>
      <c r="V106" s="56">
        <f t="shared" si="22"/>
        <v>2.187265086650954</v>
      </c>
      <c r="W106" s="33">
        <f t="shared" si="23"/>
        <v>9.0801294106648687</v>
      </c>
      <c r="X106" s="143">
        <f t="shared" si="24"/>
        <v>9.0801294106648687</v>
      </c>
    </row>
    <row r="107" spans="1:24" ht="16" x14ac:dyDescent="0.2">
      <c r="A107" t="s">
        <v>873</v>
      </c>
      <c r="B107" s="224" t="s">
        <v>514</v>
      </c>
      <c r="C107" s="224" t="s">
        <v>824</v>
      </c>
      <c r="D107" s="35" t="s">
        <v>148</v>
      </c>
      <c r="E107" s="35" t="s">
        <v>662</v>
      </c>
      <c r="F107" s="35" t="s">
        <v>374</v>
      </c>
      <c r="G107" s="35" t="s">
        <v>627</v>
      </c>
      <c r="H107" s="35" t="s">
        <v>580</v>
      </c>
      <c r="I107" s="147">
        <v>1646</v>
      </c>
      <c r="J107" s="34">
        <v>1633.5581011621148</v>
      </c>
      <c r="K107" s="34">
        <f t="shared" si="13"/>
        <v>-12.441898837885219</v>
      </c>
      <c r="L107" s="56">
        <f t="shared" si="14"/>
        <v>154.80084669216956</v>
      </c>
      <c r="M107" s="56">
        <f t="shared" si="15"/>
        <v>12.441898837885219</v>
      </c>
      <c r="N107" s="56">
        <f t="shared" si="16"/>
        <v>1.1284606226289959</v>
      </c>
      <c r="O107" s="56">
        <f t="shared" si="25"/>
        <v>-1.1284606226289959</v>
      </c>
      <c r="P107" s="143">
        <f t="shared" si="17"/>
        <v>-0.75588692818257708</v>
      </c>
      <c r="Q107" s="143">
        <f t="shared" si="18"/>
        <v>0.75588692818257708</v>
      </c>
      <c r="R107" s="34">
        <v>1871.3324880467017</v>
      </c>
      <c r="S107" s="56">
        <f t="shared" si="19"/>
        <v>225.33248804670166</v>
      </c>
      <c r="T107" s="56">
        <f t="shared" si="20"/>
        <v>50774.730169316943</v>
      </c>
      <c r="U107" s="56">
        <f t="shared" si="21"/>
        <v>225.33248804670166</v>
      </c>
      <c r="V107" s="56">
        <f t="shared" si="22"/>
        <v>2.3547468975991075</v>
      </c>
      <c r="W107" s="33">
        <f t="shared" si="23"/>
        <v>13.689701582424158</v>
      </c>
      <c r="X107" s="143">
        <f t="shared" si="24"/>
        <v>13.689701582424158</v>
      </c>
    </row>
    <row r="108" spans="1:24" ht="16" x14ac:dyDescent="0.2">
      <c r="A108" t="s">
        <v>874</v>
      </c>
      <c r="B108" s="224" t="s">
        <v>514</v>
      </c>
      <c r="C108" s="224" t="s">
        <v>824</v>
      </c>
      <c r="D108" s="35" t="s">
        <v>148</v>
      </c>
      <c r="E108" s="35" t="s">
        <v>662</v>
      </c>
      <c r="F108" s="35" t="s">
        <v>374</v>
      </c>
      <c r="G108" s="35" t="s">
        <v>627</v>
      </c>
      <c r="H108" s="35" t="s">
        <v>580</v>
      </c>
      <c r="I108" s="147">
        <v>1540</v>
      </c>
      <c r="J108" s="34">
        <v>1523.7184930875339</v>
      </c>
      <c r="K108" s="34">
        <f t="shared" si="13"/>
        <v>-16.281506912466057</v>
      </c>
      <c r="L108" s="56">
        <f t="shared" si="14"/>
        <v>265.08746734068001</v>
      </c>
      <c r="M108" s="56">
        <f t="shared" si="15"/>
        <v>16.281506912466057</v>
      </c>
      <c r="N108" s="56">
        <f t="shared" si="16"/>
        <v>1.2375816093948886</v>
      </c>
      <c r="O108" s="56">
        <f t="shared" si="25"/>
        <v>-1.2375816093948886</v>
      </c>
      <c r="P108" s="143">
        <f t="shared" si="17"/>
        <v>-1.0572407086016919</v>
      </c>
      <c r="Q108" s="143">
        <f t="shared" si="18"/>
        <v>1.0572407086016919</v>
      </c>
      <c r="R108" s="34">
        <v>1745.6366576857342</v>
      </c>
      <c r="S108" s="56">
        <f t="shared" si="19"/>
        <v>205.63665768573424</v>
      </c>
      <c r="T108" s="56">
        <f t="shared" si="20"/>
        <v>42286.434984159838</v>
      </c>
      <c r="U108" s="56">
        <f t="shared" si="21"/>
        <v>205.63665768573424</v>
      </c>
      <c r="V108" s="56">
        <f t="shared" si="22"/>
        <v>2.3152073685795966</v>
      </c>
      <c r="W108" s="33">
        <f t="shared" si="23"/>
        <v>13.353029719852874</v>
      </c>
      <c r="X108" s="143">
        <f t="shared" si="24"/>
        <v>13.353029719852874</v>
      </c>
    </row>
    <row r="109" spans="1:24" ht="16" x14ac:dyDescent="0.2">
      <c r="A109" t="s">
        <v>875</v>
      </c>
      <c r="B109" s="224" t="s">
        <v>514</v>
      </c>
      <c r="C109" s="224" t="s">
        <v>824</v>
      </c>
      <c r="D109" s="35" t="s">
        <v>148</v>
      </c>
      <c r="E109" s="35" t="s">
        <v>662</v>
      </c>
      <c r="F109" s="35" t="s">
        <v>374</v>
      </c>
      <c r="G109" s="35" t="s">
        <v>626</v>
      </c>
      <c r="H109" s="35" t="s">
        <v>580</v>
      </c>
      <c r="I109" s="147">
        <v>1490</v>
      </c>
      <c r="J109" s="34">
        <v>1512.8200339584514</v>
      </c>
      <c r="K109" s="34">
        <f t="shared" si="13"/>
        <v>22.820033958451404</v>
      </c>
      <c r="L109" s="56">
        <f t="shared" si="14"/>
        <v>520.75394986487527</v>
      </c>
      <c r="M109" s="56">
        <f t="shared" si="15"/>
        <v>22.820033958451404</v>
      </c>
      <c r="N109" s="56">
        <f t="shared" si="16"/>
        <v>1.3769423762885533</v>
      </c>
      <c r="O109" s="56">
        <f t="shared" si="25"/>
        <v>1.3769423762885533</v>
      </c>
      <c r="P109" s="143">
        <f t="shared" si="17"/>
        <v>1.531545903251772</v>
      </c>
      <c r="Q109" s="143">
        <f t="shared" si="18"/>
        <v>1.531545903251772</v>
      </c>
      <c r="R109" s="34">
        <v>1688.9858645769036</v>
      </c>
      <c r="S109" s="56">
        <f t="shared" si="19"/>
        <v>198.98586457690362</v>
      </c>
      <c r="T109" s="56">
        <f t="shared" si="20"/>
        <v>39595.374301417825</v>
      </c>
      <c r="U109" s="56">
        <f t="shared" si="21"/>
        <v>198.98586457690362</v>
      </c>
      <c r="V109" s="56">
        <f t="shared" si="22"/>
        <v>2.3009992998979736</v>
      </c>
      <c r="W109" s="33">
        <f t="shared" si="23"/>
        <v>13.354756011872727</v>
      </c>
      <c r="X109" s="143">
        <f t="shared" si="24"/>
        <v>13.354756011872727</v>
      </c>
    </row>
    <row r="110" spans="1:24" ht="16" x14ac:dyDescent="0.2">
      <c r="A110" t="s">
        <v>876</v>
      </c>
      <c r="B110" s="224" t="s">
        <v>514</v>
      </c>
      <c r="C110" s="224" t="s">
        <v>824</v>
      </c>
      <c r="D110" s="35" t="s">
        <v>148</v>
      </c>
      <c r="E110" s="35" t="s">
        <v>662</v>
      </c>
      <c r="F110" s="35" t="s">
        <v>374</v>
      </c>
      <c r="G110" s="35" t="s">
        <v>627</v>
      </c>
      <c r="H110" s="35" t="s">
        <v>580</v>
      </c>
      <c r="I110" s="147">
        <v>1668</v>
      </c>
      <c r="J110" s="34">
        <v>1756.1242245066667</v>
      </c>
      <c r="K110" s="34">
        <f t="shared" si="13"/>
        <v>88.124224506666678</v>
      </c>
      <c r="L110" s="56">
        <f t="shared" si="14"/>
        <v>7765.8789449013921</v>
      </c>
      <c r="M110" s="56">
        <f t="shared" si="15"/>
        <v>88.124224506666678</v>
      </c>
      <c r="N110" s="56">
        <f t="shared" si="16"/>
        <v>1.949995763965777</v>
      </c>
      <c r="O110" s="56">
        <f t="shared" si="25"/>
        <v>1.949995763965777</v>
      </c>
      <c r="P110" s="143">
        <f t="shared" si="17"/>
        <v>5.2832268888888905</v>
      </c>
      <c r="Q110" s="143">
        <f t="shared" si="18"/>
        <v>5.2832268888888905</v>
      </c>
      <c r="R110" s="34">
        <v>1975.225282263835</v>
      </c>
      <c r="S110" s="56">
        <f t="shared" si="19"/>
        <v>307.22528226383497</v>
      </c>
      <c r="T110" s="56">
        <f t="shared" si="20"/>
        <v>94387.374062093077</v>
      </c>
      <c r="U110" s="56">
        <f t="shared" si="21"/>
        <v>307.22528226383497</v>
      </c>
      <c r="V110" s="56">
        <f t="shared" si="22"/>
        <v>2.4888682589682039</v>
      </c>
      <c r="W110" s="33">
        <f t="shared" si="23"/>
        <v>18.418781910301856</v>
      </c>
      <c r="X110" s="143">
        <f t="shared" si="24"/>
        <v>18.418781910301856</v>
      </c>
    </row>
    <row r="111" spans="1:24" ht="16" x14ac:dyDescent="0.2">
      <c r="A111" t="s">
        <v>877</v>
      </c>
      <c r="B111" s="224" t="s">
        <v>514</v>
      </c>
      <c r="C111" s="224" t="s">
        <v>824</v>
      </c>
      <c r="D111" s="35" t="s">
        <v>148</v>
      </c>
      <c r="E111" s="35" t="s">
        <v>662</v>
      </c>
      <c r="F111" s="35" t="s">
        <v>374</v>
      </c>
      <c r="G111" s="35" t="s">
        <v>627</v>
      </c>
      <c r="H111" s="35" t="s">
        <v>580</v>
      </c>
      <c r="I111" s="147">
        <v>1647</v>
      </c>
      <c r="J111" s="34">
        <v>1540.0956781881343</v>
      </c>
      <c r="K111" s="34">
        <f t="shared" si="13"/>
        <v>-106.90432181186566</v>
      </c>
      <c r="L111" s="56">
        <f t="shared" si="14"/>
        <v>11428.534022054935</v>
      </c>
      <c r="M111" s="56">
        <f t="shared" si="15"/>
        <v>106.90432181186566</v>
      </c>
      <c r="N111" s="56">
        <f t="shared" si="16"/>
        <v>2.0330388395064207</v>
      </c>
      <c r="O111" s="56">
        <f t="shared" si="25"/>
        <v>-2.0330388395064207</v>
      </c>
      <c r="P111" s="143">
        <f t="shared" si="17"/>
        <v>-6.4908513546973685</v>
      </c>
      <c r="Q111" s="143">
        <f t="shared" si="18"/>
        <v>6.4908513546973685</v>
      </c>
      <c r="R111" s="34">
        <v>1757.003615057326</v>
      </c>
      <c r="S111" s="56">
        <f t="shared" si="19"/>
        <v>110.00361505732599</v>
      </c>
      <c r="T111" s="56">
        <f t="shared" si="20"/>
        <v>12100.795325680358</v>
      </c>
      <c r="U111" s="56">
        <f t="shared" si="21"/>
        <v>110.00361505732599</v>
      </c>
      <c r="V111" s="56">
        <f t="shared" si="22"/>
        <v>2.0453371226955137</v>
      </c>
      <c r="W111" s="33">
        <f t="shared" si="23"/>
        <v>6.6790294509608978</v>
      </c>
      <c r="X111" s="143">
        <f t="shared" si="24"/>
        <v>6.6790294509608978</v>
      </c>
    </row>
    <row r="112" spans="1:24" ht="16" x14ac:dyDescent="0.2">
      <c r="A112" t="s">
        <v>878</v>
      </c>
      <c r="B112" s="224" t="s">
        <v>514</v>
      </c>
      <c r="C112" s="224" t="s">
        <v>824</v>
      </c>
      <c r="D112" s="35" t="s">
        <v>148</v>
      </c>
      <c r="E112" s="35" t="s">
        <v>662</v>
      </c>
      <c r="F112" s="35" t="s">
        <v>374</v>
      </c>
      <c r="G112" s="35" t="s">
        <v>627</v>
      </c>
      <c r="H112" s="35" t="s">
        <v>580</v>
      </c>
      <c r="I112" s="147">
        <v>1520</v>
      </c>
      <c r="J112" s="34">
        <v>1463.9736102327165</v>
      </c>
      <c r="K112" s="34">
        <f t="shared" si="13"/>
        <v>-56.02638976728349</v>
      </c>
      <c r="L112" s="56">
        <f t="shared" si="14"/>
        <v>3138.9563503555682</v>
      </c>
      <c r="M112" s="56">
        <f t="shared" si="15"/>
        <v>56.02638976728349</v>
      </c>
      <c r="N112" s="56">
        <f t="shared" si="16"/>
        <v>1.7560758780943702</v>
      </c>
      <c r="O112" s="56">
        <f t="shared" si="25"/>
        <v>-1.7560758780943702</v>
      </c>
      <c r="P112" s="143">
        <f t="shared" si="17"/>
        <v>-3.6859466952160189</v>
      </c>
      <c r="Q112" s="143">
        <f t="shared" si="18"/>
        <v>3.6859466952160189</v>
      </c>
      <c r="R112" s="34">
        <v>1677.6928863474357</v>
      </c>
      <c r="S112" s="56">
        <f t="shared" si="19"/>
        <v>157.69288634743566</v>
      </c>
      <c r="T112" s="56">
        <f t="shared" si="20"/>
        <v>24867.04640458526</v>
      </c>
      <c r="U112" s="56">
        <f t="shared" si="21"/>
        <v>157.69288634743566</v>
      </c>
      <c r="V112" s="56">
        <f t="shared" si="22"/>
        <v>2.2005574592734503</v>
      </c>
      <c r="W112" s="33">
        <f t="shared" si="23"/>
        <v>10.374531996541821</v>
      </c>
      <c r="X112" s="143">
        <f t="shared" si="24"/>
        <v>10.374531996541821</v>
      </c>
    </row>
    <row r="113" spans="1:24" ht="16" x14ac:dyDescent="0.2">
      <c r="A113" t="s">
        <v>879</v>
      </c>
      <c r="B113" s="224" t="s">
        <v>514</v>
      </c>
      <c r="C113" s="224" t="s">
        <v>824</v>
      </c>
      <c r="D113" s="35" t="s">
        <v>148</v>
      </c>
      <c r="E113" s="35" t="s">
        <v>662</v>
      </c>
      <c r="F113" s="35" t="s">
        <v>374</v>
      </c>
      <c r="G113" s="35" t="s">
        <v>627</v>
      </c>
      <c r="H113" s="35" t="s">
        <v>580</v>
      </c>
      <c r="I113" s="147">
        <v>1550</v>
      </c>
      <c r="J113" s="34">
        <v>1551.0333685373969</v>
      </c>
      <c r="K113" s="34">
        <f t="shared" si="13"/>
        <v>1.0333685373968819</v>
      </c>
      <c r="L113" s="56">
        <f t="shared" si="14"/>
        <v>1.067850534081771</v>
      </c>
      <c r="M113" s="56">
        <f t="shared" si="15"/>
        <v>1.0333685373968819</v>
      </c>
      <c r="N113" s="56">
        <f t="shared" si="16"/>
        <v>0.30821609937218114</v>
      </c>
      <c r="O113" s="56">
        <f t="shared" si="25"/>
        <v>0.30821609937218114</v>
      </c>
      <c r="P113" s="143">
        <f t="shared" si="17"/>
        <v>6.6668937896573036E-2</v>
      </c>
      <c r="Q113" s="143">
        <f t="shared" si="18"/>
        <v>6.6668937896573036E-2</v>
      </c>
      <c r="R113" s="34">
        <v>1757.003615057326</v>
      </c>
      <c r="S113" s="56">
        <f t="shared" si="19"/>
        <v>207.00361505732599</v>
      </c>
      <c r="T113" s="56">
        <f t="shared" si="20"/>
        <v>42850.496646801599</v>
      </c>
      <c r="U113" s="56">
        <f t="shared" si="21"/>
        <v>207.00361505732599</v>
      </c>
      <c r="V113" s="56">
        <f t="shared" si="22"/>
        <v>2.3180708829714405</v>
      </c>
      <c r="W113" s="33">
        <f t="shared" si="23"/>
        <v>13.355071939182322</v>
      </c>
      <c r="X113" s="143">
        <f t="shared" si="24"/>
        <v>13.355071939182322</v>
      </c>
    </row>
    <row r="114" spans="1:24" ht="16" x14ac:dyDescent="0.2">
      <c r="A114" t="s">
        <v>880</v>
      </c>
      <c r="B114" s="224" t="s">
        <v>514</v>
      </c>
      <c r="C114" s="224" t="s">
        <v>824</v>
      </c>
      <c r="D114" s="35" t="s">
        <v>148</v>
      </c>
      <c r="E114" s="35" t="s">
        <v>662</v>
      </c>
      <c r="F114" s="35" t="s">
        <v>374</v>
      </c>
      <c r="G114" s="35" t="s">
        <v>627</v>
      </c>
      <c r="H114" s="35" t="s">
        <v>580</v>
      </c>
      <c r="I114" s="147">
        <v>1695</v>
      </c>
      <c r="J114" s="34">
        <v>1661.2564193478629</v>
      </c>
      <c r="K114" s="34">
        <f t="shared" si="13"/>
        <v>-33.743580652137098</v>
      </c>
      <c r="L114" s="56">
        <f t="shared" si="14"/>
        <v>1138.629235227281</v>
      </c>
      <c r="M114" s="56">
        <f t="shared" si="15"/>
        <v>33.743580652137098</v>
      </c>
      <c r="N114" s="56">
        <f t="shared" si="16"/>
        <v>1.5408745745408543</v>
      </c>
      <c r="O114" s="56">
        <f t="shared" si="25"/>
        <v>-1.5408745745408543</v>
      </c>
      <c r="P114" s="143">
        <f t="shared" si="17"/>
        <v>-1.9907717198900943</v>
      </c>
      <c r="Q114" s="143">
        <f t="shared" si="18"/>
        <v>1.9907717198900943</v>
      </c>
      <c r="R114" s="34">
        <v>1842.639234134667</v>
      </c>
      <c r="S114" s="56">
        <f t="shared" si="19"/>
        <v>147.63923413466705</v>
      </c>
      <c r="T114" s="56">
        <f t="shared" si="20"/>
        <v>21797.343455871036</v>
      </c>
      <c r="U114" s="56">
        <f t="shared" si="21"/>
        <v>147.63923413466705</v>
      </c>
      <c r="V114" s="56">
        <f t="shared" si="22"/>
        <v>2.1721334589481076</v>
      </c>
      <c r="W114" s="33">
        <f t="shared" si="23"/>
        <v>8.7102792999803569</v>
      </c>
      <c r="X114" s="143">
        <f t="shared" si="24"/>
        <v>8.7102792999803569</v>
      </c>
    </row>
    <row r="115" spans="1:24" ht="16" x14ac:dyDescent="0.2">
      <c r="A115" t="s">
        <v>881</v>
      </c>
      <c r="B115" s="224" t="s">
        <v>514</v>
      </c>
      <c r="C115" s="224" t="s">
        <v>824</v>
      </c>
      <c r="D115" s="35" t="s">
        <v>148</v>
      </c>
      <c r="E115" s="35" t="s">
        <v>662</v>
      </c>
      <c r="F115" s="35" t="s">
        <v>374</v>
      </c>
      <c r="G115" s="35" t="s">
        <v>627</v>
      </c>
      <c r="H115" s="35" t="s">
        <v>580</v>
      </c>
      <c r="I115" s="147">
        <v>1835</v>
      </c>
      <c r="J115" s="34">
        <v>1716.932478050202</v>
      </c>
      <c r="K115" s="34">
        <f t="shared" si="13"/>
        <v>-118.06752194979799</v>
      </c>
      <c r="L115" s="56">
        <f t="shared" si="14"/>
        <v>13939.939739366031</v>
      </c>
      <c r="M115" s="56">
        <f t="shared" si="15"/>
        <v>118.06752194979799</v>
      </c>
      <c r="N115" s="56">
        <f t="shared" si="16"/>
        <v>2.0757933151223531</v>
      </c>
      <c r="O115" s="56">
        <f t="shared" si="25"/>
        <v>-2.0757933151223531</v>
      </c>
      <c r="P115" s="143">
        <f t="shared" si="17"/>
        <v>-6.4341973814603808</v>
      </c>
      <c r="Q115" s="143">
        <f t="shared" si="18"/>
        <v>6.4341973814603808</v>
      </c>
      <c r="R115" s="34">
        <v>1928.9364958695976</v>
      </c>
      <c r="S115" s="56">
        <f t="shared" si="19"/>
        <v>93.936495869597593</v>
      </c>
      <c r="T115" s="56">
        <f t="shared" si="20"/>
        <v>8824.0652562589257</v>
      </c>
      <c r="U115" s="56">
        <f t="shared" si="21"/>
        <v>93.936495869597593</v>
      </c>
      <c r="V115" s="56">
        <f t="shared" si="22"/>
        <v>1.9774331977574966</v>
      </c>
      <c r="W115" s="33">
        <f t="shared" si="23"/>
        <v>5.1191550882614498</v>
      </c>
      <c r="X115" s="143">
        <f t="shared" si="24"/>
        <v>5.1191550882614498</v>
      </c>
    </row>
    <row r="116" spans="1:24" ht="16" x14ac:dyDescent="0.2">
      <c r="A116" t="s">
        <v>882</v>
      </c>
      <c r="B116" s="224" t="s">
        <v>514</v>
      </c>
      <c r="C116" s="224" t="s">
        <v>824</v>
      </c>
      <c r="D116" s="35" t="s">
        <v>148</v>
      </c>
      <c r="E116" s="35" t="s">
        <v>662</v>
      </c>
      <c r="F116" s="35" t="s">
        <v>374</v>
      </c>
      <c r="G116" s="35" t="s">
        <v>627</v>
      </c>
      <c r="H116" s="35" t="s">
        <v>580</v>
      </c>
      <c r="I116" s="147">
        <v>1643</v>
      </c>
      <c r="J116" s="34">
        <v>1666.8073264665009</v>
      </c>
      <c r="K116" s="34">
        <f t="shared" si="13"/>
        <v>23.807326466500854</v>
      </c>
      <c r="L116" s="56">
        <f t="shared" si="14"/>
        <v>566.78879348255202</v>
      </c>
      <c r="M116" s="56">
        <f t="shared" si="15"/>
        <v>23.807326466500854</v>
      </c>
      <c r="N116" s="56">
        <f t="shared" si="16"/>
        <v>1.3945799620388091</v>
      </c>
      <c r="O116" s="56">
        <f t="shared" si="25"/>
        <v>1.3945799620388091</v>
      </c>
      <c r="P116" s="143">
        <f t="shared" si="17"/>
        <v>1.4490156096470392</v>
      </c>
      <c r="Q116" s="143">
        <f t="shared" si="18"/>
        <v>1.4490156096470392</v>
      </c>
      <c r="R116" s="34">
        <v>1882.8302004901821</v>
      </c>
      <c r="S116" s="56">
        <f t="shared" si="19"/>
        <v>239.83020049018205</v>
      </c>
      <c r="T116" s="56">
        <f t="shared" si="20"/>
        <v>57518.525067160917</v>
      </c>
      <c r="U116" s="56">
        <f t="shared" si="21"/>
        <v>239.83020049018205</v>
      </c>
      <c r="V116" s="56">
        <f t="shared" si="22"/>
        <v>2.3817109472196103</v>
      </c>
      <c r="W116" s="33">
        <f t="shared" si="23"/>
        <v>14.597090717600855</v>
      </c>
      <c r="X116" s="143">
        <f t="shared" si="24"/>
        <v>14.597090717600855</v>
      </c>
    </row>
    <row r="117" spans="1:24" ht="16" x14ac:dyDescent="0.2">
      <c r="A117" t="s">
        <v>883</v>
      </c>
      <c r="B117" s="224" t="s">
        <v>514</v>
      </c>
      <c r="C117" s="224" t="s">
        <v>824</v>
      </c>
      <c r="D117" s="35" t="s">
        <v>148</v>
      </c>
      <c r="E117" s="35" t="s">
        <v>662</v>
      </c>
      <c r="F117" s="35" t="s">
        <v>374</v>
      </c>
      <c r="G117" s="35" t="s">
        <v>627</v>
      </c>
      <c r="H117" s="35" t="s">
        <v>580</v>
      </c>
      <c r="I117" s="147">
        <v>1670</v>
      </c>
      <c r="J117" s="34">
        <v>1750.5144999761148</v>
      </c>
      <c r="K117" s="34">
        <f t="shared" si="13"/>
        <v>80.514499976114848</v>
      </c>
      <c r="L117" s="56">
        <f t="shared" si="14"/>
        <v>6482.584706403798</v>
      </c>
      <c r="M117" s="56">
        <f t="shared" si="15"/>
        <v>80.514499976114848</v>
      </c>
      <c r="N117" s="56">
        <f t="shared" si="16"/>
        <v>1.9112348688564931</v>
      </c>
      <c r="O117" s="56">
        <f t="shared" si="25"/>
        <v>1.9112348688564931</v>
      </c>
      <c r="P117" s="143">
        <f t="shared" si="17"/>
        <v>4.8212275434799308</v>
      </c>
      <c r="Q117" s="143">
        <f t="shared" si="18"/>
        <v>4.8212275434799308</v>
      </c>
      <c r="R117" s="34">
        <v>1957.8457865915693</v>
      </c>
      <c r="S117" s="56">
        <f t="shared" si="19"/>
        <v>287.84578659156932</v>
      </c>
      <c r="T117" s="56">
        <f t="shared" si="20"/>
        <v>82855.196858519266</v>
      </c>
      <c r="U117" s="56">
        <f t="shared" si="21"/>
        <v>287.84578659156932</v>
      </c>
      <c r="V117" s="56">
        <f t="shared" si="22"/>
        <v>2.460666036847563</v>
      </c>
      <c r="W117" s="33">
        <f t="shared" si="23"/>
        <v>17.236274646201757</v>
      </c>
      <c r="X117" s="143">
        <f t="shared" si="24"/>
        <v>17.236274646201757</v>
      </c>
    </row>
    <row r="118" spans="1:24" ht="15" x14ac:dyDescent="0.2">
      <c r="A118" t="s">
        <v>884</v>
      </c>
      <c r="B118" s="224" t="s">
        <v>514</v>
      </c>
      <c r="C118" s="224" t="s">
        <v>824</v>
      </c>
      <c r="D118" s="35" t="s">
        <v>148</v>
      </c>
      <c r="E118" s="35" t="s">
        <v>662</v>
      </c>
      <c r="F118" s="35" t="s">
        <v>374</v>
      </c>
      <c r="G118" s="35" t="s">
        <v>627</v>
      </c>
      <c r="H118" s="35" t="s">
        <v>580</v>
      </c>
      <c r="I118">
        <v>1733</v>
      </c>
      <c r="J118" s="34">
        <v>1857.7110531574942</v>
      </c>
      <c r="K118" s="34">
        <f t="shared" si="13"/>
        <v>124.71105315749423</v>
      </c>
      <c r="L118" s="56">
        <f t="shared" si="14"/>
        <v>15552.846779651352</v>
      </c>
      <c r="M118" s="56">
        <f t="shared" si="15"/>
        <v>124.71105315749423</v>
      </c>
      <c r="N118" s="56">
        <f t="shared" si="16"/>
        <v>2.0993734647525177</v>
      </c>
      <c r="O118" s="56">
        <f t="shared" si="25"/>
        <v>2.0993734647525177</v>
      </c>
      <c r="P118" s="143">
        <f t="shared" si="17"/>
        <v>7.1962523460758367</v>
      </c>
      <c r="Q118" s="143">
        <f t="shared" si="18"/>
        <v>7.1962523460758367</v>
      </c>
      <c r="R118" s="34">
        <v>2103.4372762962903</v>
      </c>
      <c r="S118" s="56">
        <f t="shared" si="19"/>
        <v>370.43727629629029</v>
      </c>
      <c r="T118" s="56">
        <f t="shared" si="20"/>
        <v>137223.77566981412</v>
      </c>
      <c r="U118" s="56">
        <f t="shared" si="21"/>
        <v>370.43727629629029</v>
      </c>
      <c r="V118" s="56">
        <f t="shared" si="22"/>
        <v>2.5698854860419522</v>
      </c>
      <c r="W118" s="33">
        <f t="shared" si="23"/>
        <v>21.375491996323731</v>
      </c>
      <c r="X118" s="143">
        <f t="shared" si="24"/>
        <v>21.375491996323731</v>
      </c>
    </row>
    <row r="119" spans="1:24" ht="15" x14ac:dyDescent="0.2">
      <c r="A119" t="s">
        <v>885</v>
      </c>
      <c r="B119" s="224" t="s">
        <v>514</v>
      </c>
      <c r="C119" s="224" t="s">
        <v>824</v>
      </c>
      <c r="D119" s="35" t="s">
        <v>148</v>
      </c>
      <c r="E119" s="35" t="s">
        <v>662</v>
      </c>
      <c r="F119" s="35" t="s">
        <v>374</v>
      </c>
      <c r="G119" s="35" t="s">
        <v>627</v>
      </c>
      <c r="H119" s="35" t="s">
        <v>580</v>
      </c>
      <c r="I119">
        <v>1714</v>
      </c>
      <c r="J119" s="34">
        <v>1628.0297337694969</v>
      </c>
      <c r="K119" s="34">
        <f t="shared" si="13"/>
        <v>-85.970266230503057</v>
      </c>
      <c r="L119" s="56">
        <f t="shared" si="14"/>
        <v>7390.8866757435744</v>
      </c>
      <c r="M119" s="56">
        <f t="shared" si="15"/>
        <v>85.970266230503057</v>
      </c>
      <c r="N119" s="56">
        <f t="shared" si="16"/>
        <v>1.9393707995246015</v>
      </c>
      <c r="O119" s="56">
        <f t="shared" si="25"/>
        <v>-1.9393707995246015</v>
      </c>
      <c r="P119" s="143">
        <f t="shared" si="17"/>
        <v>-5.0157681581390348</v>
      </c>
      <c r="Q119" s="143">
        <f t="shared" si="18"/>
        <v>5.0157681581390348</v>
      </c>
      <c r="R119" s="34">
        <v>1842.639234134667</v>
      </c>
      <c r="S119" s="56">
        <f t="shared" si="19"/>
        <v>128.63923413466705</v>
      </c>
      <c r="T119" s="56">
        <f t="shared" si="20"/>
        <v>16548.052558753687</v>
      </c>
      <c r="U119" s="56">
        <f t="shared" si="21"/>
        <v>128.63923413466705</v>
      </c>
      <c r="V119" s="56">
        <f t="shared" si="22"/>
        <v>2.1127364567008815</v>
      </c>
      <c r="W119" s="33">
        <f t="shared" si="23"/>
        <v>7.5052061922209488</v>
      </c>
      <c r="X119" s="143">
        <f t="shared" si="24"/>
        <v>7.5052061922209488</v>
      </c>
    </row>
    <row r="120" spans="1:24" ht="15" x14ac:dyDescent="0.2">
      <c r="A120" t="s">
        <v>886</v>
      </c>
      <c r="B120" s="224" t="s">
        <v>514</v>
      </c>
      <c r="C120" s="224" t="s">
        <v>824</v>
      </c>
      <c r="D120" s="35" t="s">
        <v>148</v>
      </c>
      <c r="E120" s="35" t="s">
        <v>662</v>
      </c>
      <c r="F120" s="35" t="s">
        <v>374</v>
      </c>
      <c r="G120" s="35" t="s">
        <v>627</v>
      </c>
      <c r="H120" s="35" t="s">
        <v>580</v>
      </c>
      <c r="I120">
        <v>2100</v>
      </c>
      <c r="J120" s="34">
        <v>2163.2756184793698</v>
      </c>
      <c r="K120" s="34">
        <f t="shared" si="13"/>
        <v>63.275618479369768</v>
      </c>
      <c r="L120" s="56">
        <f t="shared" si="14"/>
        <v>4003.803893946761</v>
      </c>
      <c r="M120" s="56">
        <f t="shared" si="15"/>
        <v>63.275618479369768</v>
      </c>
      <c r="N120" s="56">
        <f t="shared" si="16"/>
        <v>1.8080462642473785</v>
      </c>
      <c r="O120" s="56">
        <f t="shared" si="25"/>
        <v>1.8080462642473785</v>
      </c>
      <c r="P120" s="143">
        <f t="shared" si="17"/>
        <v>3.0131246894937984</v>
      </c>
      <c r="Q120" s="143">
        <f t="shared" si="18"/>
        <v>3.0131246894937984</v>
      </c>
      <c r="R120" s="34">
        <v>2417.5628845175424</v>
      </c>
      <c r="S120" s="56">
        <f t="shared" si="19"/>
        <v>317.56288451754244</v>
      </c>
      <c r="T120" s="56">
        <f t="shared" si="20"/>
        <v>100846.18562310199</v>
      </c>
      <c r="U120" s="56">
        <f t="shared" si="21"/>
        <v>317.56288451754244</v>
      </c>
      <c r="V120" s="56">
        <f t="shared" si="22"/>
        <v>2.503195175143091</v>
      </c>
      <c r="W120" s="33">
        <f t="shared" si="23"/>
        <v>15.122042119882973</v>
      </c>
      <c r="X120" s="143">
        <f t="shared" si="24"/>
        <v>15.122042119882973</v>
      </c>
    </row>
    <row r="121" spans="1:24" ht="15" x14ac:dyDescent="0.2">
      <c r="A121" t="s">
        <v>887</v>
      </c>
      <c r="B121" s="224" t="s">
        <v>514</v>
      </c>
      <c r="C121" s="224" t="s">
        <v>824</v>
      </c>
      <c r="D121" s="35" t="s">
        <v>148</v>
      </c>
      <c r="E121" s="35" t="s">
        <v>662</v>
      </c>
      <c r="F121" s="225" t="s">
        <v>494</v>
      </c>
      <c r="G121" s="35" t="s">
        <v>626</v>
      </c>
      <c r="H121" s="35" t="s">
        <v>580</v>
      </c>
      <c r="I121">
        <v>1056</v>
      </c>
      <c r="J121" s="34">
        <v>969.72725646675701</v>
      </c>
      <c r="K121" s="34">
        <f t="shared" si="13"/>
        <v>-86.272743533242988</v>
      </c>
      <c r="L121" s="56">
        <f t="shared" si="14"/>
        <v>7442.9862767527202</v>
      </c>
      <c r="M121" s="56">
        <f t="shared" si="15"/>
        <v>86.272743533242988</v>
      </c>
      <c r="N121" s="56">
        <f t="shared" si="16"/>
        <v>1.9408786287983928</v>
      </c>
      <c r="O121" s="56">
        <f t="shared" si="25"/>
        <v>-1.9408786287983928</v>
      </c>
      <c r="P121" s="143">
        <f t="shared" si="17"/>
        <v>-8.1697673800419501</v>
      </c>
      <c r="Q121" s="143">
        <f t="shared" si="18"/>
        <v>8.1697673800419501</v>
      </c>
      <c r="R121" s="34">
        <v>1135.6539235579762</v>
      </c>
      <c r="S121" s="56">
        <f t="shared" si="19"/>
        <v>79.653923557976213</v>
      </c>
      <c r="T121" s="56">
        <f t="shared" si="20"/>
        <v>6344.7475381799177</v>
      </c>
      <c r="U121" s="56">
        <f t="shared" si="21"/>
        <v>79.653923557976213</v>
      </c>
      <c r="V121" s="56">
        <f t="shared" si="22"/>
        <v>1.9066254992901535</v>
      </c>
      <c r="W121" s="33">
        <f t="shared" si="23"/>
        <v>7.5429851854144143</v>
      </c>
      <c r="X121" s="143">
        <f t="shared" si="24"/>
        <v>7.5429851854144143</v>
      </c>
    </row>
    <row r="122" spans="1:24" ht="15" x14ac:dyDescent="0.2">
      <c r="A122" t="s">
        <v>888</v>
      </c>
      <c r="B122" s="224" t="s">
        <v>514</v>
      </c>
      <c r="C122" s="224" t="s">
        <v>824</v>
      </c>
      <c r="D122" s="35" t="s">
        <v>148</v>
      </c>
      <c r="E122" s="35" t="s">
        <v>662</v>
      </c>
      <c r="F122" s="35" t="s">
        <v>374</v>
      </c>
      <c r="G122" s="35" t="s">
        <v>627</v>
      </c>
      <c r="H122" s="35" t="s">
        <v>580</v>
      </c>
      <c r="I122">
        <v>2150</v>
      </c>
      <c r="J122" s="34">
        <v>2041.0847635459031</v>
      </c>
      <c r="K122" s="34">
        <f t="shared" si="13"/>
        <v>-108.91523645409688</v>
      </c>
      <c r="L122" s="56">
        <f t="shared" si="14"/>
        <v>11862.528731851835</v>
      </c>
      <c r="M122" s="56">
        <f t="shared" si="15"/>
        <v>108.91523645409688</v>
      </c>
      <c r="N122" s="56">
        <f t="shared" si="16"/>
        <v>2.041057898513436</v>
      </c>
      <c r="O122" s="56">
        <f t="shared" si="25"/>
        <v>-2.041057898513436</v>
      </c>
      <c r="P122" s="143">
        <f t="shared" si="17"/>
        <v>-5.0658249513533438</v>
      </c>
      <c r="Q122" s="143">
        <f t="shared" si="18"/>
        <v>5.0658249513533438</v>
      </c>
      <c r="R122" s="34">
        <v>2256.6358827961403</v>
      </c>
      <c r="S122" s="56">
        <f t="shared" si="19"/>
        <v>106.63588279614032</v>
      </c>
      <c r="T122" s="56">
        <f t="shared" si="20"/>
        <v>11371.211499712175</v>
      </c>
      <c r="U122" s="56">
        <f t="shared" si="21"/>
        <v>106.63588279614032</v>
      </c>
      <c r="V122" s="56">
        <f t="shared" si="22"/>
        <v>2.0319570771155484</v>
      </c>
      <c r="W122" s="33">
        <f t="shared" si="23"/>
        <v>4.9598085021460614</v>
      </c>
      <c r="X122" s="143">
        <f t="shared" si="24"/>
        <v>4.9598085021460614</v>
      </c>
    </row>
    <row r="123" spans="1:24" ht="15" x14ac:dyDescent="0.2">
      <c r="A123" t="s">
        <v>889</v>
      </c>
      <c r="B123" s="224" t="s">
        <v>514</v>
      </c>
      <c r="C123" s="224" t="s">
        <v>824</v>
      </c>
      <c r="D123" s="35" t="s">
        <v>148</v>
      </c>
      <c r="E123" s="35" t="s">
        <v>662</v>
      </c>
      <c r="F123" s="35" t="s">
        <v>374</v>
      </c>
      <c r="G123" s="35" t="s">
        <v>627</v>
      </c>
      <c r="H123" s="35" t="s">
        <v>580</v>
      </c>
      <c r="I123">
        <v>1895</v>
      </c>
      <c r="J123" s="34">
        <v>1971.9127434866753</v>
      </c>
      <c r="K123" s="34">
        <f t="shared" si="13"/>
        <v>76.912743486675254</v>
      </c>
      <c r="L123" s="56">
        <f t="shared" si="14"/>
        <v>5915.570110647107</v>
      </c>
      <c r="M123" s="56">
        <f t="shared" si="15"/>
        <v>76.912743486675254</v>
      </c>
      <c r="N123" s="56">
        <f t="shared" si="16"/>
        <v>1.8916084971245601</v>
      </c>
      <c r="O123" s="56">
        <f t="shared" si="25"/>
        <v>1.8916084971245601</v>
      </c>
      <c r="P123" s="143">
        <f t="shared" si="17"/>
        <v>4.0587199729116232</v>
      </c>
      <c r="Q123" s="143">
        <f t="shared" si="18"/>
        <v>4.0587199729116232</v>
      </c>
      <c r="R123" s="34">
        <v>2179.814577731468</v>
      </c>
      <c r="S123" s="56">
        <f t="shared" si="19"/>
        <v>284.81457773146803</v>
      </c>
      <c r="T123" s="56">
        <f t="shared" si="20"/>
        <v>81119.343688354449</v>
      </c>
      <c r="U123" s="56">
        <f t="shared" si="21"/>
        <v>284.81457773146803</v>
      </c>
      <c r="V123" s="56">
        <f t="shared" si="22"/>
        <v>2.4560843758436084</v>
      </c>
      <c r="W123" s="33">
        <f t="shared" si="23"/>
        <v>15.029793020130239</v>
      </c>
      <c r="X123" s="143">
        <f t="shared" si="24"/>
        <v>15.029793020130239</v>
      </c>
    </row>
    <row r="124" spans="1:24" ht="15" x14ac:dyDescent="0.2">
      <c r="A124" t="s">
        <v>890</v>
      </c>
      <c r="B124" s="224" t="s">
        <v>514</v>
      </c>
      <c r="C124" s="224" t="s">
        <v>824</v>
      </c>
      <c r="D124" s="35" t="s">
        <v>148</v>
      </c>
      <c r="E124" s="35" t="s">
        <v>662</v>
      </c>
      <c r="F124" s="35" t="s">
        <v>374</v>
      </c>
      <c r="G124" s="35" t="s">
        <v>626</v>
      </c>
      <c r="H124" s="35" t="s">
        <v>580</v>
      </c>
      <c r="I124">
        <v>1316</v>
      </c>
      <c r="J124" s="34">
        <v>1214.3494093156928</v>
      </c>
      <c r="K124" s="34">
        <f t="shared" si="13"/>
        <v>-101.65059068430719</v>
      </c>
      <c r="L124" s="56">
        <f t="shared" si="14"/>
        <v>10332.84258646856</v>
      </c>
      <c r="M124" s="56">
        <f t="shared" si="15"/>
        <v>101.65059068430719</v>
      </c>
      <c r="N124" s="56">
        <f t="shared" si="16"/>
        <v>2.0113614527830554</v>
      </c>
      <c r="O124" s="56">
        <f t="shared" si="25"/>
        <v>-2.0113614527830554</v>
      </c>
      <c r="P124" s="143">
        <f t="shared" si="17"/>
        <v>-7.7242090185643759</v>
      </c>
      <c r="Q124" s="143">
        <f t="shared" si="18"/>
        <v>7.7242090185643759</v>
      </c>
      <c r="R124" s="34">
        <v>1399.595375091822</v>
      </c>
      <c r="S124" s="56">
        <f t="shared" si="19"/>
        <v>83.595375091822007</v>
      </c>
      <c r="T124" s="56">
        <f t="shared" si="20"/>
        <v>6988.1867367424147</v>
      </c>
      <c r="U124" s="56">
        <f t="shared" si="21"/>
        <v>83.595375091822007</v>
      </c>
      <c r="V124" s="56">
        <f t="shared" si="22"/>
        <v>1.9273466204030274</v>
      </c>
      <c r="W124" s="33">
        <f t="shared" si="23"/>
        <v>6.3522321498344994</v>
      </c>
      <c r="X124" s="143">
        <f t="shared" si="24"/>
        <v>6.3522321498344994</v>
      </c>
    </row>
    <row r="125" spans="1:24" ht="15" x14ac:dyDescent="0.2">
      <c r="A125" t="s">
        <v>891</v>
      </c>
      <c r="B125" s="224" t="s">
        <v>514</v>
      </c>
      <c r="C125" s="224" t="s">
        <v>824</v>
      </c>
      <c r="D125" s="35" t="s">
        <v>148</v>
      </c>
      <c r="E125" s="35" t="s">
        <v>662</v>
      </c>
      <c r="F125" s="35" t="s">
        <v>374</v>
      </c>
      <c r="G125" s="35" t="s">
        <v>627</v>
      </c>
      <c r="H125" s="35" t="s">
        <v>580</v>
      </c>
      <c r="I125">
        <v>1704</v>
      </c>
      <c r="J125" s="34">
        <v>1644.6261549107726</v>
      </c>
      <c r="K125" s="34">
        <f t="shared" si="13"/>
        <v>-59.373845089227416</v>
      </c>
      <c r="L125" s="56">
        <f t="shared" si="14"/>
        <v>3525.2534806795747</v>
      </c>
      <c r="M125" s="56">
        <f t="shared" si="15"/>
        <v>59.373845089227416</v>
      </c>
      <c r="N125" s="56">
        <f t="shared" si="16"/>
        <v>1.7808488360796852</v>
      </c>
      <c r="O125" s="56">
        <f t="shared" si="25"/>
        <v>-1.7808488360796852</v>
      </c>
      <c r="P125" s="143">
        <f t="shared" si="17"/>
        <v>-3.4843805803537218</v>
      </c>
      <c r="Q125" s="143">
        <f t="shared" si="18"/>
        <v>3.4843805803537218</v>
      </c>
      <c r="R125" s="34">
        <v>1865.5879935538881</v>
      </c>
      <c r="S125" s="56">
        <f t="shared" si="19"/>
        <v>161.58799355388805</v>
      </c>
      <c r="T125" s="56">
        <f t="shared" si="20"/>
        <v>26110.679660771366</v>
      </c>
      <c r="U125" s="56">
        <f t="shared" si="21"/>
        <v>161.58799355388805</v>
      </c>
      <c r="V125" s="56">
        <f t="shared" si="22"/>
        <v>2.2110884716035764</v>
      </c>
      <c r="W125" s="33">
        <f t="shared" si="23"/>
        <v>9.482863471472303</v>
      </c>
      <c r="X125" s="143">
        <f t="shared" si="24"/>
        <v>9.482863471472303</v>
      </c>
    </row>
    <row r="126" spans="1:24" ht="15" x14ac:dyDescent="0.2">
      <c r="A126" t="s">
        <v>892</v>
      </c>
      <c r="B126" s="224" t="s">
        <v>514</v>
      </c>
      <c r="C126" s="224" t="s">
        <v>824</v>
      </c>
      <c r="D126" s="35" t="s">
        <v>148</v>
      </c>
      <c r="E126" s="35" t="s">
        <v>662</v>
      </c>
      <c r="F126" s="35" t="s">
        <v>494</v>
      </c>
      <c r="G126" s="35" t="s">
        <v>626</v>
      </c>
      <c r="H126" s="35" t="s">
        <v>580</v>
      </c>
      <c r="I126">
        <v>1090</v>
      </c>
      <c r="J126" s="34">
        <v>989.68111136019184</v>
      </c>
      <c r="K126" s="34">
        <f t="shared" si="13"/>
        <v>-100.31888863980816</v>
      </c>
      <c r="L126" s="56">
        <f t="shared" si="14"/>
        <v>10063.879417926231</v>
      </c>
      <c r="M126" s="56">
        <f t="shared" si="15"/>
        <v>100.31888863980816</v>
      </c>
      <c r="N126" s="56">
        <f t="shared" si="16"/>
        <v>2.0056904173971737</v>
      </c>
      <c r="O126" s="56">
        <f t="shared" si="25"/>
        <v>-2.0056904173971737</v>
      </c>
      <c r="P126" s="143">
        <f t="shared" si="17"/>
        <v>-9.2035677651200167</v>
      </c>
      <c r="Q126" s="143">
        <f t="shared" si="18"/>
        <v>9.2035677651200167</v>
      </c>
      <c r="R126" s="34">
        <v>1135.6539235579762</v>
      </c>
      <c r="S126" s="56">
        <f t="shared" si="19"/>
        <v>45.653923557976213</v>
      </c>
      <c r="T126" s="56">
        <f t="shared" si="20"/>
        <v>2084.2807362375356</v>
      </c>
      <c r="U126" s="56">
        <f t="shared" si="21"/>
        <v>45.653923557976213</v>
      </c>
      <c r="V126" s="56">
        <f t="shared" si="22"/>
        <v>1.6688881734399641</v>
      </c>
      <c r="W126" s="33">
        <f t="shared" si="23"/>
        <v>4.1884333539427718</v>
      </c>
      <c r="X126" s="143">
        <f t="shared" si="24"/>
        <v>4.1884333539427718</v>
      </c>
    </row>
    <row r="127" spans="1:24" ht="15" x14ac:dyDescent="0.2">
      <c r="A127" t="s">
        <v>893</v>
      </c>
      <c r="B127" s="224" t="s">
        <v>514</v>
      </c>
      <c r="C127" s="224" t="s">
        <v>824</v>
      </c>
      <c r="D127" s="35" t="s">
        <v>148</v>
      </c>
      <c r="E127" s="35" t="s">
        <v>662</v>
      </c>
      <c r="F127" s="35" t="s">
        <v>374</v>
      </c>
      <c r="G127" s="35" t="s">
        <v>626</v>
      </c>
      <c r="H127" s="35" t="s">
        <v>580</v>
      </c>
      <c r="I127">
        <v>1274</v>
      </c>
      <c r="J127" s="34">
        <v>1136.7246162033243</v>
      </c>
      <c r="K127" s="34">
        <f t="shared" si="13"/>
        <v>-137.27538379667567</v>
      </c>
      <c r="L127" s="56">
        <f t="shared" si="14"/>
        <v>18844.530996524605</v>
      </c>
      <c r="M127" s="56">
        <f t="shared" si="15"/>
        <v>137.27538379667567</v>
      </c>
      <c r="N127" s="56">
        <f t="shared" si="16"/>
        <v>2.1407448725691336</v>
      </c>
      <c r="O127" s="56">
        <f t="shared" si="25"/>
        <v>-2.1407448725691336</v>
      </c>
      <c r="P127" s="143">
        <f t="shared" si="17"/>
        <v>-10.775147864731213</v>
      </c>
      <c r="Q127" s="143">
        <f t="shared" si="18"/>
        <v>10.775147864731213</v>
      </c>
      <c r="R127" s="34">
        <v>1296.1780475206035</v>
      </c>
      <c r="S127" s="56">
        <f t="shared" si="19"/>
        <v>22.178047520603513</v>
      </c>
      <c r="T127" s="56">
        <f t="shared" si="20"/>
        <v>491.86579182614764</v>
      </c>
      <c r="U127" s="56">
        <f t="shared" si="21"/>
        <v>22.178047520603513</v>
      </c>
      <c r="V127" s="56">
        <f t="shared" si="22"/>
        <v>1.3650768489381078</v>
      </c>
      <c r="W127" s="33">
        <f t="shared" si="23"/>
        <v>1.7408200565622851</v>
      </c>
      <c r="X127" s="143">
        <f t="shared" si="24"/>
        <v>1.7408200565622851</v>
      </c>
    </row>
    <row r="128" spans="1:24" ht="15" x14ac:dyDescent="0.2">
      <c r="A128" t="s">
        <v>894</v>
      </c>
      <c r="B128" s="224" t="s">
        <v>514</v>
      </c>
      <c r="C128" s="224" t="s">
        <v>824</v>
      </c>
      <c r="D128" s="35" t="s">
        <v>148</v>
      </c>
      <c r="E128" s="35" t="s">
        <v>662</v>
      </c>
      <c r="F128" s="35" t="s">
        <v>494</v>
      </c>
      <c r="G128" s="35" t="s">
        <v>626</v>
      </c>
      <c r="H128" s="35" t="s">
        <v>580</v>
      </c>
      <c r="I128">
        <v>1111</v>
      </c>
      <c r="J128" s="34">
        <v>1019.7643364870888</v>
      </c>
      <c r="K128" s="34">
        <f t="shared" si="13"/>
        <v>-91.235663512911174</v>
      </c>
      <c r="L128" s="56">
        <f t="shared" si="14"/>
        <v>8323.946296641152</v>
      </c>
      <c r="M128" s="56">
        <f t="shared" si="15"/>
        <v>91.235663512911174</v>
      </c>
      <c r="N128" s="56">
        <f t="shared" si="16"/>
        <v>1.9648988762826847</v>
      </c>
      <c r="O128" s="56">
        <f t="shared" si="25"/>
        <v>-1.9648988762826847</v>
      </c>
      <c r="P128" s="143">
        <f t="shared" si="17"/>
        <v>-8.212030919253932</v>
      </c>
      <c r="Q128" s="143">
        <f t="shared" si="18"/>
        <v>8.212030919253932</v>
      </c>
      <c r="R128" s="34">
        <v>1172.7941551727849</v>
      </c>
      <c r="S128" s="56">
        <f t="shared" si="19"/>
        <v>61.79415517278494</v>
      </c>
      <c r="T128" s="56">
        <f t="shared" si="20"/>
        <v>3818.5176135182237</v>
      </c>
      <c r="U128" s="56">
        <f t="shared" si="21"/>
        <v>61.79415517278494</v>
      </c>
      <c r="V128" s="56">
        <f t="shared" si="22"/>
        <v>1.7979192218528255</v>
      </c>
      <c r="W128" s="33">
        <f t="shared" si="23"/>
        <v>5.5620301685675013</v>
      </c>
      <c r="X128" s="143">
        <f t="shared" si="24"/>
        <v>5.5620301685675013</v>
      </c>
    </row>
    <row r="129" spans="1:24" ht="15" x14ac:dyDescent="0.2">
      <c r="A129" t="s">
        <v>895</v>
      </c>
      <c r="B129" s="224" t="s">
        <v>514</v>
      </c>
      <c r="C129" s="224" t="s">
        <v>824</v>
      </c>
      <c r="D129" s="35" t="s">
        <v>148</v>
      </c>
      <c r="E129" s="35" t="s">
        <v>662</v>
      </c>
      <c r="F129" s="35" t="s">
        <v>494</v>
      </c>
      <c r="G129" s="35" t="s">
        <v>626</v>
      </c>
      <c r="H129" s="35" t="s">
        <v>580</v>
      </c>
      <c r="I129">
        <v>1185</v>
      </c>
      <c r="J129" s="34">
        <v>1116.2010786415763</v>
      </c>
      <c r="K129" s="34">
        <f t="shared" si="13"/>
        <v>-68.79892135842374</v>
      </c>
      <c r="L129" s="56">
        <f t="shared" si="14"/>
        <v>4733.291580082574</v>
      </c>
      <c r="M129" s="56">
        <f t="shared" si="15"/>
        <v>68.79892135842374</v>
      </c>
      <c r="N129" s="56">
        <f t="shared" si="16"/>
        <v>1.8438487112806956</v>
      </c>
      <c r="O129" s="56">
        <f t="shared" si="25"/>
        <v>-1.8438487112806956</v>
      </c>
      <c r="P129" s="143">
        <f t="shared" si="17"/>
        <v>-5.8058161483901891</v>
      </c>
      <c r="Q129" s="143">
        <f t="shared" si="18"/>
        <v>5.8058161483901891</v>
      </c>
      <c r="R129" s="34">
        <v>1285.3689668141506</v>
      </c>
      <c r="S129" s="56">
        <f t="shared" si="19"/>
        <v>100.36896681415055</v>
      </c>
      <c r="T129" s="56">
        <f t="shared" si="20"/>
        <v>10073.929499340054</v>
      </c>
      <c r="U129" s="56">
        <f t="shared" si="21"/>
        <v>100.36896681415055</v>
      </c>
      <c r="V129" s="56">
        <f t="shared" si="22"/>
        <v>2.0059050200449202</v>
      </c>
      <c r="W129" s="33">
        <f t="shared" si="23"/>
        <v>8.4699550054135493</v>
      </c>
      <c r="X129" s="143">
        <f t="shared" si="24"/>
        <v>8.4699550054135493</v>
      </c>
    </row>
    <row r="130" spans="1:24" ht="15" x14ac:dyDescent="0.2">
      <c r="A130" t="s">
        <v>896</v>
      </c>
      <c r="B130" s="224" t="s">
        <v>514</v>
      </c>
      <c r="C130" s="224" t="s">
        <v>824</v>
      </c>
      <c r="D130" s="35" t="s">
        <v>148</v>
      </c>
      <c r="E130" s="35" t="s">
        <v>662</v>
      </c>
      <c r="F130" s="35" t="s">
        <v>374</v>
      </c>
      <c r="G130" s="35" t="s">
        <v>627</v>
      </c>
      <c r="H130" s="35" t="s">
        <v>580</v>
      </c>
      <c r="I130">
        <v>1750</v>
      </c>
      <c r="J130" s="34">
        <v>1639.090244078744</v>
      </c>
      <c r="K130" s="34">
        <f t="shared" ref="K130:K193" si="26">J130-I130</f>
        <v>-110.90975592125596</v>
      </c>
      <c r="L130" s="56">
        <f t="shared" ref="L130:L193" si="27">K130^2</f>
        <v>12300.973958512572</v>
      </c>
      <c r="M130" s="56">
        <f t="shared" ref="M130:M193" si="28">SQRT(L130)</f>
        <v>110.90975592125596</v>
      </c>
      <c r="N130" s="56">
        <f t="shared" ref="N130:N193" si="29">LOG10(M130+1)</f>
        <v>2.0488679485308583</v>
      </c>
      <c r="O130" s="56">
        <f t="shared" si="25"/>
        <v>-2.0488679485308583</v>
      </c>
      <c r="P130" s="143">
        <f t="shared" ref="P130:P193" si="30">100*K130/I130</f>
        <v>-6.3377003383574833</v>
      </c>
      <c r="Q130" s="143">
        <f t="shared" ref="Q130:Q193" si="31">ABS(P130)</f>
        <v>6.3377003383574833</v>
      </c>
      <c r="R130" s="34">
        <v>1854.1077580331989</v>
      </c>
      <c r="S130" s="56">
        <f t="shared" ref="S130:S193" si="32">R130-I130</f>
        <v>104.10775803319893</v>
      </c>
      <c r="T130" s="56">
        <f t="shared" ref="T130:T193" si="33">S130^2</f>
        <v>10838.425282699098</v>
      </c>
      <c r="U130" s="56">
        <f t="shared" ref="U130:U193" si="34">SQRT(T130)</f>
        <v>104.10775803319893</v>
      </c>
      <c r="V130" s="56">
        <f t="shared" ref="V130:V193" si="35">LOG10(U130+1)</f>
        <v>2.0216347726092341</v>
      </c>
      <c r="W130" s="33">
        <f t="shared" ref="W130:W193" si="36">100*S130/I130</f>
        <v>5.9490147447542245</v>
      </c>
      <c r="X130" s="143">
        <f t="shared" ref="X130:X193" si="37">ABS(W130)</f>
        <v>5.9490147447542245</v>
      </c>
    </row>
    <row r="131" spans="1:24" ht="15" x14ac:dyDescent="0.2">
      <c r="A131" t="s">
        <v>897</v>
      </c>
      <c r="B131" s="224" t="s">
        <v>514</v>
      </c>
      <c r="C131" s="224" t="s">
        <v>824</v>
      </c>
      <c r="D131" s="35" t="s">
        <v>148</v>
      </c>
      <c r="E131" s="35" t="s">
        <v>662</v>
      </c>
      <c r="F131" s="35" t="s">
        <v>494</v>
      </c>
      <c r="G131" s="35" t="s">
        <v>626</v>
      </c>
      <c r="H131" s="35" t="s">
        <v>580</v>
      </c>
      <c r="I131">
        <v>1031</v>
      </c>
      <c r="J131" s="34">
        <v>920.20563664016095</v>
      </c>
      <c r="K131" s="34">
        <f t="shared" si="26"/>
        <v>-110.79436335983905</v>
      </c>
      <c r="L131" s="56">
        <f t="shared" si="27"/>
        <v>12275.390952312047</v>
      </c>
      <c r="M131" s="56">
        <f t="shared" si="28"/>
        <v>110.79436335983905</v>
      </c>
      <c r="N131" s="56">
        <f t="shared" si="29"/>
        <v>2.0484199070975415</v>
      </c>
      <c r="O131" s="56">
        <f t="shared" ref="O131:O194" si="38">N131*SIGN(K131)</f>
        <v>-2.0484199070975415</v>
      </c>
      <c r="P131" s="143">
        <f t="shared" si="30"/>
        <v>-10.746301004834049</v>
      </c>
      <c r="Q131" s="143">
        <f t="shared" si="31"/>
        <v>10.746301004834049</v>
      </c>
      <c r="R131" s="34">
        <v>1067.2112815134062</v>
      </c>
      <c r="S131" s="56">
        <f t="shared" si="32"/>
        <v>36.21128151340622</v>
      </c>
      <c r="T131" s="56">
        <f t="shared" si="33"/>
        <v>1311.2569088431551</v>
      </c>
      <c r="U131" s="56">
        <f t="shared" si="34"/>
        <v>36.21128151340622</v>
      </c>
      <c r="V131" s="56">
        <f t="shared" si="35"/>
        <v>1.570674626877679</v>
      </c>
      <c r="W131" s="33">
        <f t="shared" si="36"/>
        <v>3.5122484494089448</v>
      </c>
      <c r="X131" s="143">
        <f t="shared" si="37"/>
        <v>3.5122484494089448</v>
      </c>
    </row>
    <row r="132" spans="1:24" ht="15" x14ac:dyDescent="0.2">
      <c r="A132" t="s">
        <v>898</v>
      </c>
      <c r="B132" s="224" t="s">
        <v>514</v>
      </c>
      <c r="C132" s="224" t="s">
        <v>824</v>
      </c>
      <c r="D132" s="35" t="s">
        <v>148</v>
      </c>
      <c r="E132" s="35" t="s">
        <v>662</v>
      </c>
      <c r="F132" s="225" t="s">
        <v>494</v>
      </c>
      <c r="G132" s="35" t="s">
        <v>626</v>
      </c>
      <c r="H132" s="35" t="s">
        <v>580</v>
      </c>
      <c r="I132">
        <v>874</v>
      </c>
      <c r="J132" s="34">
        <v>837.24886755917248</v>
      </c>
      <c r="K132" s="34">
        <f t="shared" si="26"/>
        <v>-36.751132440827519</v>
      </c>
      <c r="L132" s="56">
        <f t="shared" si="27"/>
        <v>1350.6457356832448</v>
      </c>
      <c r="M132" s="56">
        <f t="shared" si="28"/>
        <v>36.751132440827519</v>
      </c>
      <c r="N132" s="56">
        <f t="shared" si="29"/>
        <v>1.5769299839235067</v>
      </c>
      <c r="O132" s="56">
        <f t="shared" si="38"/>
        <v>-1.5769299839235067</v>
      </c>
      <c r="P132" s="143">
        <f t="shared" si="30"/>
        <v>-4.2049350618795787</v>
      </c>
      <c r="Q132" s="143">
        <f t="shared" si="31"/>
        <v>4.2049350618795787</v>
      </c>
      <c r="R132" s="34">
        <v>983.9614181860843</v>
      </c>
      <c r="S132" s="56">
        <f t="shared" si="32"/>
        <v>109.9614181860843</v>
      </c>
      <c r="T132" s="56">
        <f t="shared" si="33"/>
        <v>12091.513489494911</v>
      </c>
      <c r="U132" s="56">
        <f t="shared" si="34"/>
        <v>109.9614181860843</v>
      </c>
      <c r="V132" s="56">
        <f t="shared" si="35"/>
        <v>2.045171998772283</v>
      </c>
      <c r="W132" s="33">
        <f t="shared" si="36"/>
        <v>12.581397961794542</v>
      </c>
      <c r="X132" s="143">
        <f t="shared" si="37"/>
        <v>12.581397961794542</v>
      </c>
    </row>
    <row r="133" spans="1:24" ht="15" x14ac:dyDescent="0.2">
      <c r="A133" t="s">
        <v>899</v>
      </c>
      <c r="B133" s="224" t="s">
        <v>514</v>
      </c>
      <c r="C133" s="224" t="s">
        <v>824</v>
      </c>
      <c r="D133" s="35" t="s">
        <v>148</v>
      </c>
      <c r="E133" s="35" t="s">
        <v>662</v>
      </c>
      <c r="F133" s="35" t="s">
        <v>374</v>
      </c>
      <c r="G133" s="35" t="s">
        <v>627</v>
      </c>
      <c r="H133" s="35" t="s">
        <v>580</v>
      </c>
      <c r="I133">
        <v>2060</v>
      </c>
      <c r="J133" s="34">
        <v>2035.3021124035529</v>
      </c>
      <c r="K133" s="34">
        <f t="shared" si="26"/>
        <v>-24.697887596447117</v>
      </c>
      <c r="L133" s="56">
        <f t="shared" si="27"/>
        <v>609.98565172673636</v>
      </c>
      <c r="M133" s="56">
        <f t="shared" si="28"/>
        <v>24.697887596447117</v>
      </c>
      <c r="N133" s="56">
        <f t="shared" si="29"/>
        <v>1.4098974251635297</v>
      </c>
      <c r="O133" s="56">
        <f t="shared" si="38"/>
        <v>-1.4098974251635297</v>
      </c>
      <c r="P133" s="143">
        <f t="shared" si="30"/>
        <v>-1.1989265823518018</v>
      </c>
      <c r="Q133" s="143">
        <f t="shared" si="31"/>
        <v>1.1989265823518018</v>
      </c>
      <c r="R133" s="34">
        <v>2256.6358827961403</v>
      </c>
      <c r="S133" s="56">
        <f t="shared" si="32"/>
        <v>196.63588279614032</v>
      </c>
      <c r="T133" s="56">
        <f t="shared" si="33"/>
        <v>38665.670403017437</v>
      </c>
      <c r="U133" s="56">
        <f t="shared" si="34"/>
        <v>196.63588279614032</v>
      </c>
      <c r="V133" s="56">
        <f t="shared" si="35"/>
        <v>2.2958657979721764</v>
      </c>
      <c r="W133" s="33">
        <f t="shared" si="36"/>
        <v>9.5454312036961326</v>
      </c>
      <c r="X133" s="143">
        <f t="shared" si="37"/>
        <v>9.5454312036961326</v>
      </c>
    </row>
    <row r="134" spans="1:24" ht="15" x14ac:dyDescent="0.2">
      <c r="A134" t="s">
        <v>836</v>
      </c>
      <c r="B134" s="224" t="s">
        <v>514</v>
      </c>
      <c r="C134" s="224" t="s">
        <v>824</v>
      </c>
      <c r="D134" s="35" t="s">
        <v>148</v>
      </c>
      <c r="E134" s="35" t="s">
        <v>662</v>
      </c>
      <c r="F134" s="35" t="s">
        <v>374</v>
      </c>
      <c r="G134" s="35" t="s">
        <v>627</v>
      </c>
      <c r="H134" s="35" t="s">
        <v>580</v>
      </c>
      <c r="I134">
        <v>2190</v>
      </c>
      <c r="J134" s="34">
        <v>2322.4411399246615</v>
      </c>
      <c r="K134" s="34">
        <f t="shared" si="26"/>
        <v>132.44113992466146</v>
      </c>
      <c r="L134" s="56">
        <f t="shared" si="27"/>
        <v>17540.655544543755</v>
      </c>
      <c r="M134" s="56">
        <f t="shared" si="28"/>
        <v>132.44113992466146</v>
      </c>
      <c r="N134" s="56">
        <f t="shared" si="29"/>
        <v>2.1252897432822406</v>
      </c>
      <c r="O134" s="56">
        <f t="shared" si="38"/>
        <v>2.1252897432822406</v>
      </c>
      <c r="P134" s="143">
        <f t="shared" si="30"/>
        <v>6.0475406358292902</v>
      </c>
      <c r="Q134" s="143">
        <f t="shared" si="31"/>
        <v>6.0475406358292902</v>
      </c>
      <c r="R134" s="34">
        <v>2640.9798915411752</v>
      </c>
      <c r="S134" s="56">
        <f t="shared" si="32"/>
        <v>450.97989154117522</v>
      </c>
      <c r="T134" s="56">
        <f t="shared" si="33"/>
        <v>203382.86257449017</v>
      </c>
      <c r="U134" s="56">
        <f t="shared" si="34"/>
        <v>450.97989154117522</v>
      </c>
      <c r="V134" s="56">
        <f t="shared" si="35"/>
        <v>2.6551191136012746</v>
      </c>
      <c r="W134" s="33">
        <f t="shared" si="36"/>
        <v>20.592689111469188</v>
      </c>
      <c r="X134" s="143">
        <f t="shared" si="37"/>
        <v>20.592689111469188</v>
      </c>
    </row>
    <row r="135" spans="1:24" ht="15" x14ac:dyDescent="0.2">
      <c r="A135" t="s">
        <v>837</v>
      </c>
      <c r="B135" s="224" t="s">
        <v>514</v>
      </c>
      <c r="C135" s="224" t="s">
        <v>824</v>
      </c>
      <c r="D135" s="35" t="s">
        <v>148</v>
      </c>
      <c r="E135" s="35" t="s">
        <v>662</v>
      </c>
      <c r="F135" s="225" t="s">
        <v>293</v>
      </c>
      <c r="G135" s="35" t="s">
        <v>627</v>
      </c>
      <c r="H135" s="29" t="s">
        <v>580</v>
      </c>
      <c r="I135">
        <v>2570</v>
      </c>
      <c r="J135" s="34">
        <v>2837.6906448910595</v>
      </c>
      <c r="K135" s="34">
        <f t="shared" si="26"/>
        <v>267.69064489105949</v>
      </c>
      <c r="L135" s="56">
        <f t="shared" si="27"/>
        <v>71658.281362191308</v>
      </c>
      <c r="M135" s="56">
        <f t="shared" si="28"/>
        <v>267.69064489105949</v>
      </c>
      <c r="N135" s="56">
        <f t="shared" si="29"/>
        <v>2.4292525456928673</v>
      </c>
      <c r="O135" s="56">
        <f t="shared" si="38"/>
        <v>2.4292525456928673</v>
      </c>
      <c r="P135" s="143">
        <f t="shared" si="30"/>
        <v>10.41597840043033</v>
      </c>
      <c r="Q135" s="143">
        <f t="shared" si="31"/>
        <v>10.41597840043033</v>
      </c>
      <c r="R135" s="34">
        <v>3197.3013269680341</v>
      </c>
      <c r="S135" s="56">
        <f t="shared" si="32"/>
        <v>627.30132696803412</v>
      </c>
      <c r="T135" s="56">
        <f t="shared" si="33"/>
        <v>393506.95481585647</v>
      </c>
      <c r="U135" s="56">
        <f t="shared" si="34"/>
        <v>627.30132696803412</v>
      </c>
      <c r="V135" s="56">
        <f t="shared" si="35"/>
        <v>2.7981679769438341</v>
      </c>
      <c r="W135" s="33">
        <f t="shared" si="36"/>
        <v>24.408611944281482</v>
      </c>
      <c r="X135" s="143">
        <f t="shared" si="37"/>
        <v>24.408611944281482</v>
      </c>
    </row>
    <row r="136" spans="1:24" ht="15" x14ac:dyDescent="0.2">
      <c r="A136" t="s">
        <v>838</v>
      </c>
      <c r="B136" s="224" t="s">
        <v>514</v>
      </c>
      <c r="C136" s="224" t="s">
        <v>824</v>
      </c>
      <c r="D136" s="35" t="s">
        <v>148</v>
      </c>
      <c r="E136" s="35" t="s">
        <v>662</v>
      </c>
      <c r="F136" s="35" t="s">
        <v>374</v>
      </c>
      <c r="G136" s="35" t="s">
        <v>627</v>
      </c>
      <c r="H136" s="35" t="s">
        <v>580</v>
      </c>
      <c r="I136">
        <v>2285</v>
      </c>
      <c r="J136" s="34">
        <v>2501.9054572343402</v>
      </c>
      <c r="K136" s="34">
        <f t="shared" si="26"/>
        <v>216.90545723434025</v>
      </c>
      <c r="L136" s="56">
        <f t="shared" si="27"/>
        <v>47047.977378038209</v>
      </c>
      <c r="M136" s="56">
        <f t="shared" si="28"/>
        <v>216.90545723434025</v>
      </c>
      <c r="N136" s="56">
        <f t="shared" si="29"/>
        <v>2.3382681068735267</v>
      </c>
      <c r="O136" s="56">
        <f t="shared" si="38"/>
        <v>2.3382681068735267</v>
      </c>
      <c r="P136" s="143">
        <f t="shared" si="30"/>
        <v>9.4925801853102953</v>
      </c>
      <c r="Q136" s="143">
        <f t="shared" si="31"/>
        <v>9.4925801853102953</v>
      </c>
      <c r="R136" s="34">
        <v>2824.4598863434267</v>
      </c>
      <c r="S136" s="56">
        <f t="shared" si="32"/>
        <v>539.45988634342666</v>
      </c>
      <c r="T136" s="56">
        <f t="shared" si="33"/>
        <v>291016.96897366282</v>
      </c>
      <c r="U136" s="56">
        <f t="shared" si="34"/>
        <v>539.45988634342666</v>
      </c>
      <c r="V136" s="56">
        <f t="shared" si="35"/>
        <v>2.7327634655674182</v>
      </c>
      <c r="W136" s="33">
        <f t="shared" si="36"/>
        <v>23.608747761200291</v>
      </c>
      <c r="X136" s="143">
        <f t="shared" si="37"/>
        <v>23.608747761200291</v>
      </c>
    </row>
    <row r="137" spans="1:24" ht="16" x14ac:dyDescent="0.2">
      <c r="A137" t="s">
        <v>839</v>
      </c>
      <c r="B137" s="224" t="s">
        <v>514</v>
      </c>
      <c r="C137" s="224" t="s">
        <v>824</v>
      </c>
      <c r="D137" s="35" t="s">
        <v>148</v>
      </c>
      <c r="E137" s="35" t="s">
        <v>662</v>
      </c>
      <c r="F137" s="35" t="s">
        <v>374</v>
      </c>
      <c r="G137" s="35" t="s">
        <v>626</v>
      </c>
      <c r="H137" s="35" t="s">
        <v>580</v>
      </c>
      <c r="I137" s="147">
        <v>1380</v>
      </c>
      <c r="J137" s="34">
        <v>1256.1664495956293</v>
      </c>
      <c r="K137" s="34">
        <f t="shared" si="26"/>
        <v>-123.83355040437073</v>
      </c>
      <c r="L137" s="56">
        <f t="shared" si="27"/>
        <v>15334.748205751825</v>
      </c>
      <c r="M137" s="56">
        <f t="shared" si="28"/>
        <v>123.83355040437073</v>
      </c>
      <c r="N137" s="56">
        <f t="shared" si="29"/>
        <v>2.0963313225041147</v>
      </c>
      <c r="O137" s="56">
        <f t="shared" si="38"/>
        <v>-2.0963313225041147</v>
      </c>
      <c r="P137" s="143">
        <f t="shared" si="30"/>
        <v>-8.9734456814761394</v>
      </c>
      <c r="Q137" s="143">
        <f t="shared" si="31"/>
        <v>8.9734456814761394</v>
      </c>
      <c r="R137" s="34">
        <v>1460.0561467896343</v>
      </c>
      <c r="S137" s="56">
        <f t="shared" si="32"/>
        <v>80.05614678963434</v>
      </c>
      <c r="T137" s="56">
        <f t="shared" si="33"/>
        <v>6408.9866388034807</v>
      </c>
      <c r="U137" s="56">
        <f t="shared" si="34"/>
        <v>80.05614678963434</v>
      </c>
      <c r="V137" s="56">
        <f t="shared" si="35"/>
        <v>1.9087859546021444</v>
      </c>
      <c r="W137" s="33">
        <f t="shared" si="36"/>
        <v>5.8011700572198794</v>
      </c>
      <c r="X137" s="143">
        <f t="shared" si="37"/>
        <v>5.8011700572198794</v>
      </c>
    </row>
    <row r="138" spans="1:24" ht="16" x14ac:dyDescent="0.2">
      <c r="A138" t="s">
        <v>840</v>
      </c>
      <c r="B138" s="224" t="s">
        <v>514</v>
      </c>
      <c r="C138" s="224" t="s">
        <v>824</v>
      </c>
      <c r="D138" s="35" t="s">
        <v>148</v>
      </c>
      <c r="E138" s="35" t="s">
        <v>662</v>
      </c>
      <c r="F138" s="225" t="s">
        <v>293</v>
      </c>
      <c r="G138" s="35" t="s">
        <v>627</v>
      </c>
      <c r="H138" s="29" t="s">
        <v>580</v>
      </c>
      <c r="I138" s="147">
        <v>2645</v>
      </c>
      <c r="J138" s="34">
        <v>2745.2723049121623</v>
      </c>
      <c r="K138" s="34">
        <f t="shared" si="26"/>
        <v>100.27230491216233</v>
      </c>
      <c r="L138" s="56">
        <f t="shared" si="27"/>
        <v>10054.535132397654</v>
      </c>
      <c r="M138" s="56">
        <f t="shared" si="28"/>
        <v>100.27230491216233</v>
      </c>
      <c r="N138" s="56">
        <f t="shared" si="29"/>
        <v>2.0054906944391822</v>
      </c>
      <c r="O138" s="56">
        <f t="shared" si="38"/>
        <v>2.0054906944391822</v>
      </c>
      <c r="P138" s="143">
        <f t="shared" si="30"/>
        <v>3.7910134182291997</v>
      </c>
      <c r="Q138" s="143">
        <f t="shared" si="31"/>
        <v>3.7910134182291997</v>
      </c>
      <c r="R138" s="34">
        <v>3072.1779972052809</v>
      </c>
      <c r="S138" s="56">
        <f t="shared" si="32"/>
        <v>427.17799720528092</v>
      </c>
      <c r="T138" s="56">
        <f t="shared" si="33"/>
        <v>182481.041296315</v>
      </c>
      <c r="U138" s="56">
        <f t="shared" si="34"/>
        <v>427.17799720528092</v>
      </c>
      <c r="V138" s="56">
        <f t="shared" si="35"/>
        <v>2.6316243464291151</v>
      </c>
      <c r="W138" s="33">
        <f t="shared" si="36"/>
        <v>16.150396869764872</v>
      </c>
      <c r="X138" s="143">
        <f t="shared" si="37"/>
        <v>16.150396869764872</v>
      </c>
    </row>
    <row r="139" spans="1:24" ht="16" x14ac:dyDescent="0.2">
      <c r="A139" t="s">
        <v>841</v>
      </c>
      <c r="B139" s="224" t="s">
        <v>514</v>
      </c>
      <c r="C139" s="224" t="s">
        <v>824</v>
      </c>
      <c r="D139" s="35" t="s">
        <v>148</v>
      </c>
      <c r="E139" s="35" t="s">
        <v>662</v>
      </c>
      <c r="F139" s="35" t="s">
        <v>374</v>
      </c>
      <c r="G139" s="35" t="s">
        <v>626</v>
      </c>
      <c r="H139" s="35" t="s">
        <v>580</v>
      </c>
      <c r="I139" s="147">
        <v>1325</v>
      </c>
      <c r="J139" s="34">
        <v>1229.9973149639875</v>
      </c>
      <c r="K139" s="34">
        <f t="shared" si="26"/>
        <v>-95.002685036012508</v>
      </c>
      <c r="L139" s="56">
        <f t="shared" si="27"/>
        <v>9025.5101640517951</v>
      </c>
      <c r="M139" s="56">
        <f t="shared" si="28"/>
        <v>95.002685036012508</v>
      </c>
      <c r="N139" s="56">
        <f t="shared" si="29"/>
        <v>1.9822833797064112</v>
      </c>
      <c r="O139" s="56">
        <f t="shared" si="38"/>
        <v>-1.9822833797064112</v>
      </c>
      <c r="P139" s="143">
        <f t="shared" si="30"/>
        <v>-7.1700139649820764</v>
      </c>
      <c r="Q139" s="143">
        <f t="shared" si="31"/>
        <v>7.1700139649820764</v>
      </c>
      <c r="R139" s="34">
        <v>1421.5322564617363</v>
      </c>
      <c r="S139" s="56">
        <f t="shared" si="32"/>
        <v>96.532256461736324</v>
      </c>
      <c r="T139" s="56">
        <f t="shared" si="33"/>
        <v>9318.4765375944335</v>
      </c>
      <c r="U139" s="56">
        <f t="shared" si="34"/>
        <v>96.532256461736324</v>
      </c>
      <c r="V139" s="56">
        <f t="shared" si="35"/>
        <v>1.9891482719707831</v>
      </c>
      <c r="W139" s="33">
        <f t="shared" si="36"/>
        <v>7.2854533178668923</v>
      </c>
      <c r="X139" s="143">
        <f t="shared" si="37"/>
        <v>7.2854533178668923</v>
      </c>
    </row>
    <row r="140" spans="1:24" ht="16" x14ac:dyDescent="0.2">
      <c r="A140" t="s">
        <v>842</v>
      </c>
      <c r="B140" s="224" t="s">
        <v>514</v>
      </c>
      <c r="C140" s="224" t="s">
        <v>824</v>
      </c>
      <c r="D140" s="35" t="s">
        <v>148</v>
      </c>
      <c r="E140" s="35" t="s">
        <v>662</v>
      </c>
      <c r="F140" s="35" t="s">
        <v>374</v>
      </c>
      <c r="G140" s="35" t="s">
        <v>627</v>
      </c>
      <c r="H140" s="35" t="s">
        <v>580</v>
      </c>
      <c r="I140" s="147">
        <v>2435</v>
      </c>
      <c r="J140" s="34">
        <v>2562.3181945372762</v>
      </c>
      <c r="K140" s="34">
        <f t="shared" si="26"/>
        <v>127.31819453727621</v>
      </c>
      <c r="L140" s="56">
        <f t="shared" si="27"/>
        <v>16209.92266023171</v>
      </c>
      <c r="M140" s="56">
        <f t="shared" si="28"/>
        <v>127.31819453727621</v>
      </c>
      <c r="N140" s="56">
        <f t="shared" si="29"/>
        <v>2.108288240372644</v>
      </c>
      <c r="O140" s="56">
        <f t="shared" si="38"/>
        <v>2.108288240372644</v>
      </c>
      <c r="P140" s="143">
        <f t="shared" si="30"/>
        <v>5.2286732869517953</v>
      </c>
      <c r="Q140" s="143">
        <f t="shared" si="31"/>
        <v>5.2286732869517953</v>
      </c>
      <c r="R140" s="34">
        <v>2824.4598863434267</v>
      </c>
      <c r="S140" s="56">
        <f t="shared" si="32"/>
        <v>389.45988634342666</v>
      </c>
      <c r="T140" s="56">
        <f t="shared" si="33"/>
        <v>151679.00307063482</v>
      </c>
      <c r="U140" s="56">
        <f t="shared" si="34"/>
        <v>389.45988634342666</v>
      </c>
      <c r="V140" s="56">
        <f t="shared" si="35"/>
        <v>2.5915764235281893</v>
      </c>
      <c r="W140" s="33">
        <f t="shared" si="36"/>
        <v>15.99424584572594</v>
      </c>
      <c r="X140" s="143">
        <f t="shared" si="37"/>
        <v>15.99424584572594</v>
      </c>
    </row>
    <row r="141" spans="1:24" ht="16" x14ac:dyDescent="0.2">
      <c r="A141" t="s">
        <v>843</v>
      </c>
      <c r="B141" s="224" t="s">
        <v>514</v>
      </c>
      <c r="C141" s="224" t="s">
        <v>824</v>
      </c>
      <c r="D141" s="35" t="s">
        <v>148</v>
      </c>
      <c r="E141" s="35" t="s">
        <v>662</v>
      </c>
      <c r="F141" s="35" t="s">
        <v>494</v>
      </c>
      <c r="G141" s="35" t="s">
        <v>626</v>
      </c>
      <c r="H141" s="35" t="s">
        <v>580</v>
      </c>
      <c r="I141" s="147">
        <v>1126</v>
      </c>
      <c r="J141" s="34">
        <v>1034.8736676381002</v>
      </c>
      <c r="K141" s="34">
        <f t="shared" si="26"/>
        <v>-91.126332361899813</v>
      </c>
      <c r="L141" s="56">
        <f t="shared" si="27"/>
        <v>8304.0084497314292</v>
      </c>
      <c r="M141" s="56">
        <f t="shared" si="28"/>
        <v>91.126332361899813</v>
      </c>
      <c r="N141" s="56">
        <f t="shared" si="29"/>
        <v>1.9643837818249015</v>
      </c>
      <c r="O141" s="56">
        <f t="shared" si="38"/>
        <v>-1.9643837818249015</v>
      </c>
      <c r="P141" s="143">
        <f t="shared" si="30"/>
        <v>-8.0929247213054882</v>
      </c>
      <c r="Q141" s="143">
        <f t="shared" si="31"/>
        <v>8.0929247213054882</v>
      </c>
      <c r="R141" s="34">
        <v>1215.4787010814919</v>
      </c>
      <c r="S141" s="56">
        <f t="shared" si="32"/>
        <v>89.478701081491863</v>
      </c>
      <c r="T141" s="56">
        <f t="shared" si="33"/>
        <v>8006.4379472309729</v>
      </c>
      <c r="U141" s="56">
        <f t="shared" si="34"/>
        <v>89.478701081491863</v>
      </c>
      <c r="V141" s="56">
        <f t="shared" si="35"/>
        <v>1.9565463572004478</v>
      </c>
      <c r="W141" s="33">
        <f t="shared" si="36"/>
        <v>7.9465986750880866</v>
      </c>
      <c r="X141" s="143">
        <f t="shared" si="37"/>
        <v>7.9465986750880866</v>
      </c>
    </row>
    <row r="142" spans="1:24" ht="16" x14ac:dyDescent="0.2">
      <c r="A142" t="s">
        <v>844</v>
      </c>
      <c r="B142" s="224" t="s">
        <v>514</v>
      </c>
      <c r="C142" s="224" t="s">
        <v>824</v>
      </c>
      <c r="D142" s="35" t="s">
        <v>148</v>
      </c>
      <c r="E142" s="35" t="s">
        <v>662</v>
      </c>
      <c r="F142" s="225" t="s">
        <v>494</v>
      </c>
      <c r="G142" s="35" t="s">
        <v>626</v>
      </c>
      <c r="H142" s="35" t="s">
        <v>580</v>
      </c>
      <c r="I142" s="147">
        <v>1028</v>
      </c>
      <c r="J142" s="34">
        <v>935.00704763945078</v>
      </c>
      <c r="K142" s="34">
        <f t="shared" si="26"/>
        <v>-92.992952360549225</v>
      </c>
      <c r="L142" s="56">
        <f t="shared" si="27"/>
        <v>8647.6891887313777</v>
      </c>
      <c r="M142" s="56">
        <f t="shared" si="28"/>
        <v>92.992952360549225</v>
      </c>
      <c r="N142" s="56">
        <f t="shared" si="29"/>
        <v>1.9730952911989605</v>
      </c>
      <c r="O142" s="56">
        <f t="shared" si="38"/>
        <v>-1.9730952911989605</v>
      </c>
      <c r="P142" s="143">
        <f t="shared" si="30"/>
        <v>-9.046007038963932</v>
      </c>
      <c r="Q142" s="143">
        <f t="shared" si="31"/>
        <v>9.046007038963932</v>
      </c>
      <c r="R142" s="34">
        <v>1088.1956318987384</v>
      </c>
      <c r="S142" s="56">
        <f t="shared" si="32"/>
        <v>60.195631898738384</v>
      </c>
      <c r="T142" s="56">
        <f t="shared" si="33"/>
        <v>3623.5140996884102</v>
      </c>
      <c r="U142" s="56">
        <f t="shared" si="34"/>
        <v>60.195631898738384</v>
      </c>
      <c r="V142" s="56">
        <f t="shared" si="35"/>
        <v>1.7867204236165175</v>
      </c>
      <c r="W142" s="33">
        <f t="shared" si="36"/>
        <v>5.8556062158305817</v>
      </c>
      <c r="X142" s="143">
        <f t="shared" si="37"/>
        <v>5.8556062158305817</v>
      </c>
    </row>
    <row r="143" spans="1:24" ht="16" x14ac:dyDescent="0.2">
      <c r="A143" t="s">
        <v>845</v>
      </c>
      <c r="B143" s="224" t="s">
        <v>514</v>
      </c>
      <c r="C143" s="224" t="s">
        <v>824</v>
      </c>
      <c r="D143" s="35" t="s">
        <v>148</v>
      </c>
      <c r="E143" s="35" t="s">
        <v>662</v>
      </c>
      <c r="F143" s="225" t="s">
        <v>494</v>
      </c>
      <c r="G143" s="35" t="s">
        <v>626</v>
      </c>
      <c r="H143" s="35" t="s">
        <v>580</v>
      </c>
      <c r="I143" s="147">
        <v>1059</v>
      </c>
      <c r="J143" s="34">
        <v>984.68497188241361</v>
      </c>
      <c r="K143" s="34">
        <f t="shared" si="26"/>
        <v>-74.315028117586394</v>
      </c>
      <c r="L143" s="56">
        <f t="shared" si="27"/>
        <v>5522.7234041176562</v>
      </c>
      <c r="M143" s="56">
        <f t="shared" si="28"/>
        <v>74.315028117586394</v>
      </c>
      <c r="N143" s="56">
        <f t="shared" si="29"/>
        <v>1.876881642566526</v>
      </c>
      <c r="O143" s="56">
        <f t="shared" si="38"/>
        <v>-1.876881642566526</v>
      </c>
      <c r="P143" s="143">
        <f t="shared" si="30"/>
        <v>-7.0174719657777516</v>
      </c>
      <c r="Q143" s="143">
        <f t="shared" si="31"/>
        <v>7.0174719657777516</v>
      </c>
      <c r="R143" s="34">
        <v>1125.078839543567</v>
      </c>
      <c r="S143" s="56">
        <f t="shared" si="32"/>
        <v>66.078839543567028</v>
      </c>
      <c r="T143" s="56">
        <f t="shared" si="33"/>
        <v>4366.4130354244771</v>
      </c>
      <c r="U143" s="56">
        <f t="shared" si="34"/>
        <v>66.078839543567028</v>
      </c>
      <c r="V143" s="56">
        <f t="shared" si="35"/>
        <v>1.8265855407530001</v>
      </c>
      <c r="W143" s="33">
        <f t="shared" si="36"/>
        <v>6.2397393336701628</v>
      </c>
      <c r="X143" s="143">
        <f t="shared" si="37"/>
        <v>6.2397393336701628</v>
      </c>
    </row>
    <row r="144" spans="1:24" ht="16" x14ac:dyDescent="0.2">
      <c r="A144" t="s">
        <v>846</v>
      </c>
      <c r="B144" s="224" t="s">
        <v>514</v>
      </c>
      <c r="C144" s="224" t="s">
        <v>824</v>
      </c>
      <c r="D144" s="35" t="s">
        <v>148</v>
      </c>
      <c r="E144" s="35" t="s">
        <v>662</v>
      </c>
      <c r="F144" s="35" t="s">
        <v>374</v>
      </c>
      <c r="G144" s="35" t="s">
        <v>626</v>
      </c>
      <c r="H144" s="35" t="s">
        <v>580</v>
      </c>
      <c r="I144" s="147">
        <v>1312</v>
      </c>
      <c r="J144" s="34">
        <v>1224.7768591924016</v>
      </c>
      <c r="K144" s="34">
        <f t="shared" si="26"/>
        <v>-87.223140807598384</v>
      </c>
      <c r="L144" s="56">
        <f t="shared" si="27"/>
        <v>7607.8762923421345</v>
      </c>
      <c r="M144" s="56">
        <f t="shared" si="28"/>
        <v>87.223140807598384</v>
      </c>
      <c r="N144" s="56">
        <f t="shared" si="29"/>
        <v>1.9455825149151622</v>
      </c>
      <c r="O144" s="56">
        <f t="shared" si="38"/>
        <v>-1.9455825149151622</v>
      </c>
      <c r="P144" s="143">
        <f t="shared" si="30"/>
        <v>-6.6481052444815845</v>
      </c>
      <c r="Q144" s="143">
        <f t="shared" si="31"/>
        <v>6.6481052444815845</v>
      </c>
      <c r="R144" s="34">
        <v>1405.0743158125729</v>
      </c>
      <c r="S144" s="56">
        <f t="shared" si="32"/>
        <v>93.074315812572877</v>
      </c>
      <c r="T144" s="56">
        <f t="shared" si="33"/>
        <v>8662.8282639785539</v>
      </c>
      <c r="U144" s="56">
        <f t="shared" si="34"/>
        <v>93.074315812572877</v>
      </c>
      <c r="V144" s="56">
        <f t="shared" si="35"/>
        <v>1.9734710684491998</v>
      </c>
      <c r="W144" s="33">
        <f t="shared" si="36"/>
        <v>7.0940789491290301</v>
      </c>
      <c r="X144" s="143">
        <f t="shared" si="37"/>
        <v>7.0940789491290301</v>
      </c>
    </row>
    <row r="145" spans="1:24" ht="16" x14ac:dyDescent="0.2">
      <c r="A145" t="s">
        <v>847</v>
      </c>
      <c r="B145" s="224" t="s">
        <v>514</v>
      </c>
      <c r="C145" s="224" t="s">
        <v>824</v>
      </c>
      <c r="D145" s="35" t="s">
        <v>148</v>
      </c>
      <c r="E145" s="35" t="s">
        <v>662</v>
      </c>
      <c r="F145" s="35" t="s">
        <v>494</v>
      </c>
      <c r="G145" s="35" t="s">
        <v>626</v>
      </c>
      <c r="H145" s="35" t="s">
        <v>580</v>
      </c>
      <c r="I145" s="147">
        <v>1170</v>
      </c>
      <c r="J145" s="34">
        <v>1131.5866687290327</v>
      </c>
      <c r="K145" s="34">
        <f t="shared" si="26"/>
        <v>-38.413331270967319</v>
      </c>
      <c r="L145" s="56">
        <f t="shared" si="27"/>
        <v>1475.5840193330757</v>
      </c>
      <c r="M145" s="56">
        <f t="shared" si="28"/>
        <v>38.413331270967319</v>
      </c>
      <c r="N145" s="56">
        <f t="shared" si="29"/>
        <v>1.5956431436059306</v>
      </c>
      <c r="O145" s="56">
        <f t="shared" si="38"/>
        <v>-1.5956431436059306</v>
      </c>
      <c r="P145" s="143">
        <f t="shared" si="30"/>
        <v>-3.2831907069202835</v>
      </c>
      <c r="Q145" s="143">
        <f t="shared" si="31"/>
        <v>3.2831907069202835</v>
      </c>
      <c r="R145" s="34">
        <v>1301.5881756790452</v>
      </c>
      <c r="S145" s="56">
        <f t="shared" si="32"/>
        <v>131.58817567904521</v>
      </c>
      <c r="T145" s="56">
        <f t="shared" si="33"/>
        <v>17315.447978539265</v>
      </c>
      <c r="U145" s="56">
        <f t="shared" si="34"/>
        <v>131.58817567904521</v>
      </c>
      <c r="V145" s="56">
        <f t="shared" si="35"/>
        <v>2.1225047950618281</v>
      </c>
      <c r="W145" s="33">
        <f t="shared" si="36"/>
        <v>11.246852622140615</v>
      </c>
      <c r="X145" s="143">
        <f t="shared" si="37"/>
        <v>11.246852622140615</v>
      </c>
    </row>
    <row r="146" spans="1:24" ht="16" x14ac:dyDescent="0.2">
      <c r="A146" t="s">
        <v>848</v>
      </c>
      <c r="B146" s="224" t="s">
        <v>514</v>
      </c>
      <c r="C146" s="224" t="s">
        <v>824</v>
      </c>
      <c r="D146" s="35" t="s">
        <v>148</v>
      </c>
      <c r="E146" s="35" t="s">
        <v>662</v>
      </c>
      <c r="F146" s="35" t="s">
        <v>374</v>
      </c>
      <c r="G146" s="35" t="s">
        <v>626</v>
      </c>
      <c r="H146" s="35" t="s">
        <v>580</v>
      </c>
      <c r="I146" s="147">
        <v>1244</v>
      </c>
      <c r="J146" s="34">
        <v>1203.9399848810897</v>
      </c>
      <c r="K146" s="34">
        <f t="shared" si="26"/>
        <v>-40.060015118910314</v>
      </c>
      <c r="L146" s="56">
        <f t="shared" si="27"/>
        <v>1604.804811327323</v>
      </c>
      <c r="M146" s="56">
        <f t="shared" si="28"/>
        <v>40.060015118910314</v>
      </c>
      <c r="N146" s="56">
        <f t="shared" si="29"/>
        <v>1.6134191049483118</v>
      </c>
      <c r="O146" s="56">
        <f t="shared" si="38"/>
        <v>-1.6134191049483118</v>
      </c>
      <c r="P146" s="143">
        <f t="shared" si="30"/>
        <v>-3.2202584500731763</v>
      </c>
      <c r="Q146" s="143">
        <f t="shared" si="31"/>
        <v>3.2202584500731763</v>
      </c>
      <c r="R146" s="34">
        <v>1377.7150565605041</v>
      </c>
      <c r="S146" s="56">
        <f t="shared" si="32"/>
        <v>133.71505656050408</v>
      </c>
      <c r="T146" s="56">
        <f t="shared" si="33"/>
        <v>17879.716350978804</v>
      </c>
      <c r="U146" s="56">
        <f t="shared" si="34"/>
        <v>133.71505656050408</v>
      </c>
      <c r="V146" s="56">
        <f t="shared" si="35"/>
        <v>2.1294161377846925</v>
      </c>
      <c r="W146" s="33">
        <f t="shared" si="36"/>
        <v>10.748798758882966</v>
      </c>
      <c r="X146" s="143">
        <f t="shared" si="37"/>
        <v>10.748798758882966</v>
      </c>
    </row>
    <row r="147" spans="1:24" ht="16" x14ac:dyDescent="0.2">
      <c r="A147" t="s">
        <v>849</v>
      </c>
      <c r="B147" s="224" t="s">
        <v>514</v>
      </c>
      <c r="C147" s="224" t="s">
        <v>824</v>
      </c>
      <c r="D147" s="35" t="s">
        <v>148</v>
      </c>
      <c r="E147" s="35" t="s">
        <v>662</v>
      </c>
      <c r="F147" s="35" t="s">
        <v>374</v>
      </c>
      <c r="G147" s="35" t="s">
        <v>626</v>
      </c>
      <c r="H147" s="35" t="s">
        <v>580</v>
      </c>
      <c r="I147" s="147">
        <v>1413</v>
      </c>
      <c r="J147" s="34">
        <v>1314.1252785372701</v>
      </c>
      <c r="K147" s="34">
        <f t="shared" si="26"/>
        <v>-98.874721462729894</v>
      </c>
      <c r="L147" s="56">
        <f t="shared" si="27"/>
        <v>9776.2105443324199</v>
      </c>
      <c r="M147" s="56">
        <f t="shared" si="28"/>
        <v>98.874721462729894</v>
      </c>
      <c r="N147" s="56">
        <f t="shared" si="29"/>
        <v>1.9994555811343824</v>
      </c>
      <c r="O147" s="56">
        <f t="shared" si="38"/>
        <v>-1.9994555811343824</v>
      </c>
      <c r="P147" s="143">
        <f t="shared" si="30"/>
        <v>-6.9975032882328314</v>
      </c>
      <c r="Q147" s="143">
        <f t="shared" si="31"/>
        <v>6.9975032882328314</v>
      </c>
      <c r="R147" s="34">
        <v>1515.3816510452377</v>
      </c>
      <c r="S147" s="56">
        <f t="shared" si="32"/>
        <v>102.38165104523773</v>
      </c>
      <c r="T147" s="56">
        <f t="shared" si="33"/>
        <v>10482.002470748828</v>
      </c>
      <c r="U147" s="56">
        <f t="shared" si="34"/>
        <v>102.38165104523773</v>
      </c>
      <c r="V147" s="56">
        <f t="shared" si="35"/>
        <v>2.0144434637391049</v>
      </c>
      <c r="W147" s="33">
        <f t="shared" si="36"/>
        <v>7.2456936337747866</v>
      </c>
      <c r="X147" s="143">
        <f t="shared" si="37"/>
        <v>7.2456936337747866</v>
      </c>
    </row>
    <row r="148" spans="1:24" ht="16" x14ac:dyDescent="0.2">
      <c r="A148" t="s">
        <v>850</v>
      </c>
      <c r="B148" s="224" t="s">
        <v>514</v>
      </c>
      <c r="C148" s="224" t="s">
        <v>824</v>
      </c>
      <c r="D148" s="35" t="s">
        <v>148</v>
      </c>
      <c r="E148" s="35" t="s">
        <v>662</v>
      </c>
      <c r="F148" s="35" t="s">
        <v>374</v>
      </c>
      <c r="G148" s="35" t="s">
        <v>626</v>
      </c>
      <c r="H148" s="35" t="s">
        <v>580</v>
      </c>
      <c r="I148" s="147">
        <v>1240</v>
      </c>
      <c r="J148" s="34">
        <v>1121.3248871389919</v>
      </c>
      <c r="K148" s="34">
        <f t="shared" si="26"/>
        <v>-118.67511286100807</v>
      </c>
      <c r="L148" s="56">
        <f t="shared" si="27"/>
        <v>14083.782412573004</v>
      </c>
      <c r="M148" s="56">
        <f t="shared" si="28"/>
        <v>118.67511286100807</v>
      </c>
      <c r="N148" s="56">
        <f t="shared" si="29"/>
        <v>2.0780038457206453</v>
      </c>
      <c r="O148" s="56">
        <f t="shared" si="38"/>
        <v>-2.0780038457206453</v>
      </c>
      <c r="P148" s="143">
        <f t="shared" si="30"/>
        <v>-9.5705736178232321</v>
      </c>
      <c r="Q148" s="143">
        <f t="shared" si="31"/>
        <v>9.5705736178232321</v>
      </c>
      <c r="R148" s="34">
        <v>1285.3689668141506</v>
      </c>
      <c r="S148" s="56">
        <f t="shared" si="32"/>
        <v>45.368966814150554</v>
      </c>
      <c r="T148" s="56">
        <f t="shared" si="33"/>
        <v>2058.343149783494</v>
      </c>
      <c r="U148" s="56">
        <f t="shared" si="34"/>
        <v>45.368966814150554</v>
      </c>
      <c r="V148" s="56">
        <f t="shared" si="35"/>
        <v>1.6662274191239226</v>
      </c>
      <c r="W148" s="33">
        <f t="shared" si="36"/>
        <v>3.6587876463024638</v>
      </c>
      <c r="X148" s="143">
        <f t="shared" si="37"/>
        <v>3.6587876463024638</v>
      </c>
    </row>
    <row r="149" spans="1:24" ht="16" x14ac:dyDescent="0.2">
      <c r="A149" t="s">
        <v>851</v>
      </c>
      <c r="B149" s="224" t="s">
        <v>514</v>
      </c>
      <c r="C149" s="224" t="s">
        <v>824</v>
      </c>
      <c r="D149" s="35" t="s">
        <v>148</v>
      </c>
      <c r="E149" s="35" t="s">
        <v>662</v>
      </c>
      <c r="F149" s="35" t="s">
        <v>374</v>
      </c>
      <c r="G149" s="35" t="s">
        <v>627</v>
      </c>
      <c r="H149" s="35" t="s">
        <v>580</v>
      </c>
      <c r="I149" s="147">
        <v>1622</v>
      </c>
      <c r="J149" s="34">
        <v>1496.5020106051334</v>
      </c>
      <c r="K149" s="34">
        <f t="shared" si="26"/>
        <v>-125.49798939486664</v>
      </c>
      <c r="L149" s="56">
        <f t="shared" si="27"/>
        <v>15749.745342154059</v>
      </c>
      <c r="M149" s="56">
        <f t="shared" si="28"/>
        <v>125.49798939486664</v>
      </c>
      <c r="N149" s="56">
        <f t="shared" si="29"/>
        <v>2.1020836227319624</v>
      </c>
      <c r="O149" s="56">
        <f t="shared" si="38"/>
        <v>-2.1020836227319624</v>
      </c>
      <c r="P149" s="143">
        <f t="shared" si="30"/>
        <v>-7.7372373239745151</v>
      </c>
      <c r="Q149" s="143">
        <f t="shared" si="31"/>
        <v>7.7372373239745151</v>
      </c>
      <c r="R149" s="34">
        <v>1711.609166616151</v>
      </c>
      <c r="S149" s="56">
        <f t="shared" si="32"/>
        <v>89.609166616151015</v>
      </c>
      <c r="T149" s="56">
        <f t="shared" si="33"/>
        <v>8029.8027416411132</v>
      </c>
      <c r="U149" s="56">
        <f t="shared" si="34"/>
        <v>89.609166616151015</v>
      </c>
      <c r="V149" s="56">
        <f t="shared" si="35"/>
        <v>1.957172135970773</v>
      </c>
      <c r="W149" s="33">
        <f t="shared" si="36"/>
        <v>5.5246095324384106</v>
      </c>
      <c r="X149" s="143">
        <f t="shared" si="37"/>
        <v>5.5246095324384106</v>
      </c>
    </row>
    <row r="150" spans="1:24" ht="16" x14ac:dyDescent="0.2">
      <c r="A150" t="s">
        <v>852</v>
      </c>
      <c r="B150" s="224" t="s">
        <v>514</v>
      </c>
      <c r="C150" s="224" t="s">
        <v>824</v>
      </c>
      <c r="D150" s="35" t="s">
        <v>148</v>
      </c>
      <c r="E150" s="35" t="s">
        <v>662</v>
      </c>
      <c r="F150" s="35" t="s">
        <v>374</v>
      </c>
      <c r="G150" s="35" t="s">
        <v>626</v>
      </c>
      <c r="H150" s="35" t="s">
        <v>580</v>
      </c>
      <c r="I150" s="147">
        <v>1210</v>
      </c>
      <c r="J150" s="34">
        <v>1060.1548480126878</v>
      </c>
      <c r="K150" s="34">
        <f t="shared" si="26"/>
        <v>-149.84515198731219</v>
      </c>
      <c r="L150" s="56">
        <f t="shared" si="27"/>
        <v>22453.569574100689</v>
      </c>
      <c r="M150" s="56">
        <f t="shared" si="28"/>
        <v>149.84515198731219</v>
      </c>
      <c r="N150" s="56">
        <f t="shared" si="29"/>
        <v>2.1785313569439411</v>
      </c>
      <c r="O150" s="56">
        <f t="shared" si="38"/>
        <v>-2.1785313569439411</v>
      </c>
      <c r="P150" s="143">
        <f t="shared" si="30"/>
        <v>-12.383896858455554</v>
      </c>
      <c r="Q150" s="143">
        <f t="shared" si="31"/>
        <v>12.383896858455554</v>
      </c>
      <c r="R150" s="34">
        <v>1231.5498377756001</v>
      </c>
      <c r="S150" s="56">
        <f t="shared" si="32"/>
        <v>21.549837775600054</v>
      </c>
      <c r="T150" s="56">
        <f t="shared" si="33"/>
        <v>464.39550815467908</v>
      </c>
      <c r="U150" s="56">
        <f t="shared" si="34"/>
        <v>21.549837775600054</v>
      </c>
      <c r="V150" s="56">
        <f t="shared" si="35"/>
        <v>1.353143421894017</v>
      </c>
      <c r="W150" s="33">
        <f t="shared" si="36"/>
        <v>1.780978328561988</v>
      </c>
      <c r="X150" s="143">
        <f t="shared" si="37"/>
        <v>1.780978328561988</v>
      </c>
    </row>
    <row r="151" spans="1:24" ht="16" x14ac:dyDescent="0.2">
      <c r="A151" t="s">
        <v>853</v>
      </c>
      <c r="B151" s="224" t="s">
        <v>514</v>
      </c>
      <c r="C151" s="224" t="s">
        <v>824</v>
      </c>
      <c r="D151" s="35" t="s">
        <v>148</v>
      </c>
      <c r="E151" s="35" t="s">
        <v>662</v>
      </c>
      <c r="F151" s="35" t="s">
        <v>374</v>
      </c>
      <c r="G151" s="35" t="s">
        <v>626</v>
      </c>
      <c r="H151" s="35" t="s">
        <v>580</v>
      </c>
      <c r="I151" s="147">
        <v>1274</v>
      </c>
      <c r="J151" s="34">
        <v>1172.820798203333</v>
      </c>
      <c r="K151" s="34">
        <f t="shared" si="26"/>
        <v>-101.17920179666703</v>
      </c>
      <c r="L151" s="56">
        <f t="shared" si="27"/>
        <v>10237.23087621067</v>
      </c>
      <c r="M151" s="56">
        <f t="shared" si="28"/>
        <v>101.17920179666703</v>
      </c>
      <c r="N151" s="56">
        <f t="shared" si="29"/>
        <v>2.0093625057385234</v>
      </c>
      <c r="O151" s="56">
        <f t="shared" si="38"/>
        <v>-2.0093625057385234</v>
      </c>
      <c r="P151" s="143">
        <f t="shared" si="30"/>
        <v>-7.941852574306675</v>
      </c>
      <c r="Q151" s="143">
        <f t="shared" si="31"/>
        <v>7.941852574306675</v>
      </c>
      <c r="R151" s="34">
        <v>1345.0019515523677</v>
      </c>
      <c r="S151" s="56">
        <f t="shared" si="32"/>
        <v>71.0019515523677</v>
      </c>
      <c r="T151" s="56">
        <f t="shared" si="33"/>
        <v>5041.2771242447698</v>
      </c>
      <c r="U151" s="56">
        <f t="shared" si="34"/>
        <v>71.0019515523677</v>
      </c>
      <c r="V151" s="56">
        <f t="shared" si="35"/>
        <v>1.8573442677776335</v>
      </c>
      <c r="W151" s="33">
        <f t="shared" si="36"/>
        <v>5.5731516132156749</v>
      </c>
      <c r="X151" s="143">
        <f t="shared" si="37"/>
        <v>5.5731516132156749</v>
      </c>
    </row>
    <row r="152" spans="1:24" ht="16" x14ac:dyDescent="0.2">
      <c r="A152" t="s">
        <v>854</v>
      </c>
      <c r="B152" s="224" t="s">
        <v>514</v>
      </c>
      <c r="C152" s="224" t="s">
        <v>824</v>
      </c>
      <c r="D152" s="35" t="s">
        <v>148</v>
      </c>
      <c r="E152" s="35" t="s">
        <v>662</v>
      </c>
      <c r="F152" s="35" t="s">
        <v>374</v>
      </c>
      <c r="G152" s="35" t="s">
        <v>626</v>
      </c>
      <c r="H152" s="35" t="s">
        <v>580</v>
      </c>
      <c r="I152" s="147">
        <v>1340</v>
      </c>
      <c r="J152" s="34">
        <v>1235.2222427832821</v>
      </c>
      <c r="K152" s="34">
        <f t="shared" si="26"/>
        <v>-104.77775721671787</v>
      </c>
      <c r="L152" s="56">
        <f t="shared" si="27"/>
        <v>10978.378407365475</v>
      </c>
      <c r="M152" s="56">
        <f t="shared" si="28"/>
        <v>104.77775721671787</v>
      </c>
      <c r="N152" s="56">
        <f t="shared" si="29"/>
        <v>2.0243943545270806</v>
      </c>
      <c r="O152" s="56">
        <f t="shared" si="38"/>
        <v>-2.0243943545270806</v>
      </c>
      <c r="P152" s="143">
        <f t="shared" si="30"/>
        <v>-7.8192356131879013</v>
      </c>
      <c r="Q152" s="143">
        <f t="shared" si="31"/>
        <v>7.8192356131879013</v>
      </c>
      <c r="R152" s="34">
        <v>1388.6481082761675</v>
      </c>
      <c r="S152" s="56">
        <f t="shared" si="32"/>
        <v>48.648108276167477</v>
      </c>
      <c r="T152" s="56">
        <f t="shared" si="33"/>
        <v>2366.6384388497145</v>
      </c>
      <c r="U152" s="56">
        <f t="shared" si="34"/>
        <v>48.648108276167477</v>
      </c>
      <c r="V152" s="56">
        <f t="shared" si="35"/>
        <v>1.6959027053817837</v>
      </c>
      <c r="W152" s="33">
        <f t="shared" si="36"/>
        <v>3.6304558415050354</v>
      </c>
      <c r="X152" s="143">
        <f t="shared" si="37"/>
        <v>3.6304558415050354</v>
      </c>
    </row>
    <row r="153" spans="1:24" ht="16" x14ac:dyDescent="0.2">
      <c r="A153" t="s">
        <v>855</v>
      </c>
      <c r="B153" s="224" t="s">
        <v>514</v>
      </c>
      <c r="C153" s="224" t="s">
        <v>824</v>
      </c>
      <c r="D153" s="35" t="s">
        <v>148</v>
      </c>
      <c r="E153" s="35" t="s">
        <v>662</v>
      </c>
      <c r="F153" s="225" t="s">
        <v>494</v>
      </c>
      <c r="G153" s="35" t="s">
        <v>626</v>
      </c>
      <c r="H153" s="35" t="s">
        <v>580</v>
      </c>
      <c r="I153" s="147">
        <v>980</v>
      </c>
      <c r="J153" s="34">
        <v>910.36458834451139</v>
      </c>
      <c r="K153" s="34">
        <f t="shared" si="26"/>
        <v>-69.63541165548861</v>
      </c>
      <c r="L153" s="56">
        <f t="shared" si="27"/>
        <v>4849.0905564293589</v>
      </c>
      <c r="M153" s="56">
        <f t="shared" si="28"/>
        <v>69.63541165548861</v>
      </c>
      <c r="N153" s="56">
        <f t="shared" si="29"/>
        <v>1.8490224805267352</v>
      </c>
      <c r="O153" s="56">
        <f t="shared" si="38"/>
        <v>-1.8490224805267352</v>
      </c>
      <c r="P153" s="143">
        <f t="shared" si="30"/>
        <v>-7.1056542505600619</v>
      </c>
      <c r="Q153" s="143">
        <f t="shared" si="31"/>
        <v>7.1056542505600619</v>
      </c>
      <c r="R153" s="34">
        <v>1061.9757580542462</v>
      </c>
      <c r="S153" s="56">
        <f t="shared" si="32"/>
        <v>81.975758054246171</v>
      </c>
      <c r="T153" s="56">
        <f t="shared" si="33"/>
        <v>6720.0249085683063</v>
      </c>
      <c r="U153" s="56">
        <f t="shared" si="34"/>
        <v>81.975758054246171</v>
      </c>
      <c r="V153" s="56">
        <f t="shared" si="35"/>
        <v>1.9189512287488819</v>
      </c>
      <c r="W153" s="33">
        <f t="shared" si="36"/>
        <v>8.3648732708414464</v>
      </c>
      <c r="X153" s="143">
        <f t="shared" si="37"/>
        <v>8.3648732708414464</v>
      </c>
    </row>
    <row r="154" spans="1:24" ht="16" x14ac:dyDescent="0.2">
      <c r="A154" t="s">
        <v>856</v>
      </c>
      <c r="B154" s="224" t="s">
        <v>514</v>
      </c>
      <c r="C154" s="224" t="s">
        <v>824</v>
      </c>
      <c r="D154" s="35" t="s">
        <v>148</v>
      </c>
      <c r="E154" s="35" t="s">
        <v>662</v>
      </c>
      <c r="F154" s="225" t="s">
        <v>494</v>
      </c>
      <c r="G154" s="35" t="s">
        <v>626</v>
      </c>
      <c r="H154" s="35" t="s">
        <v>580</v>
      </c>
      <c r="I154" s="147">
        <v>1098</v>
      </c>
      <c r="J154" s="34">
        <v>1044.971367123338</v>
      </c>
      <c r="K154" s="34">
        <f t="shared" si="26"/>
        <v>-53.028632876661959</v>
      </c>
      <c r="L154" s="56">
        <f t="shared" si="27"/>
        <v>2812.0359047677935</v>
      </c>
      <c r="M154" s="56">
        <f t="shared" si="28"/>
        <v>53.028632876661959</v>
      </c>
      <c r="N154" s="56">
        <f t="shared" si="29"/>
        <v>1.7326239784288209</v>
      </c>
      <c r="O154" s="56">
        <f t="shared" si="38"/>
        <v>-1.7326239784288209</v>
      </c>
      <c r="P154" s="143">
        <f t="shared" si="30"/>
        <v>-4.8295658357615627</v>
      </c>
      <c r="Q154" s="143">
        <f t="shared" si="31"/>
        <v>4.8295658357615627</v>
      </c>
      <c r="R154" s="34">
        <v>1220.8318763024647</v>
      </c>
      <c r="S154" s="56">
        <f t="shared" si="32"/>
        <v>122.83187630246471</v>
      </c>
      <c r="T154" s="56">
        <f t="shared" si="33"/>
        <v>15087.66983598399</v>
      </c>
      <c r="U154" s="56">
        <f t="shared" si="34"/>
        <v>122.83187630246471</v>
      </c>
      <c r="V154" s="56">
        <f t="shared" si="35"/>
        <v>2.0928324534103995</v>
      </c>
      <c r="W154" s="33">
        <f t="shared" si="36"/>
        <v>11.186873980188041</v>
      </c>
      <c r="X154" s="143">
        <f t="shared" si="37"/>
        <v>11.186873980188041</v>
      </c>
    </row>
    <row r="155" spans="1:24" ht="16" x14ac:dyDescent="0.2">
      <c r="A155" t="s">
        <v>857</v>
      </c>
      <c r="B155" s="224" t="s">
        <v>514</v>
      </c>
      <c r="C155" s="224" t="s">
        <v>824</v>
      </c>
      <c r="D155" s="35" t="s">
        <v>148</v>
      </c>
      <c r="E155" s="35" t="s">
        <v>662</v>
      </c>
      <c r="F155" s="225" t="s">
        <v>494</v>
      </c>
      <c r="G155" s="35" t="s">
        <v>626</v>
      </c>
      <c r="H155" s="35" t="s">
        <v>580</v>
      </c>
      <c r="I155" s="147">
        <v>1022</v>
      </c>
      <c r="J155" s="34">
        <v>935.00704763945078</v>
      </c>
      <c r="K155" s="34">
        <f t="shared" si="26"/>
        <v>-86.992952360549225</v>
      </c>
      <c r="L155" s="56">
        <f t="shared" si="27"/>
        <v>7567.773760404787</v>
      </c>
      <c r="M155" s="56">
        <f t="shared" si="28"/>
        <v>86.992952360549225</v>
      </c>
      <c r="N155" s="56">
        <f t="shared" si="29"/>
        <v>1.9444478894968351</v>
      </c>
      <c r="O155" s="56">
        <f t="shared" si="38"/>
        <v>-1.9444478894968351</v>
      </c>
      <c r="P155" s="143">
        <f t="shared" si="30"/>
        <v>-8.5120305636545233</v>
      </c>
      <c r="Q155" s="143">
        <f t="shared" si="31"/>
        <v>8.5120305636545233</v>
      </c>
      <c r="R155" s="34">
        <v>1082.943233401508</v>
      </c>
      <c r="S155" s="56">
        <f t="shared" si="32"/>
        <v>60.943233401507996</v>
      </c>
      <c r="T155" s="56">
        <f t="shared" si="33"/>
        <v>3714.07769743068</v>
      </c>
      <c r="U155" s="56">
        <f t="shared" si="34"/>
        <v>60.943233401507996</v>
      </c>
      <c r="V155" s="56">
        <f t="shared" si="35"/>
        <v>1.7919938715370995</v>
      </c>
      <c r="W155" s="33">
        <f t="shared" si="36"/>
        <v>5.963134383709197</v>
      </c>
      <c r="X155" s="143">
        <f t="shared" si="37"/>
        <v>5.963134383709197</v>
      </c>
    </row>
    <row r="156" spans="1:24" ht="16" x14ac:dyDescent="0.2">
      <c r="A156" t="s">
        <v>858</v>
      </c>
      <c r="B156" s="224" t="s">
        <v>514</v>
      </c>
      <c r="C156" s="224" t="s">
        <v>824</v>
      </c>
      <c r="D156" s="35" t="s">
        <v>148</v>
      </c>
      <c r="E156" s="35" t="s">
        <v>662</v>
      </c>
      <c r="F156" s="225" t="s">
        <v>494</v>
      </c>
      <c r="G156" s="35" t="s">
        <v>626</v>
      </c>
      <c r="H156" s="35" t="s">
        <v>580</v>
      </c>
      <c r="I156" s="147">
        <v>1062</v>
      </c>
      <c r="J156" s="34">
        <v>1080.4678388448021</v>
      </c>
      <c r="K156" s="34">
        <f t="shared" si="26"/>
        <v>18.467838844802145</v>
      </c>
      <c r="L156" s="56">
        <f t="shared" si="27"/>
        <v>341.06107159758301</v>
      </c>
      <c r="M156" s="56">
        <f t="shared" si="28"/>
        <v>18.467838844802145</v>
      </c>
      <c r="N156" s="56">
        <f t="shared" si="29"/>
        <v>1.2893177424870821</v>
      </c>
      <c r="O156" s="56">
        <f t="shared" si="38"/>
        <v>1.2893177424870821</v>
      </c>
      <c r="P156" s="143">
        <f t="shared" si="30"/>
        <v>1.738967876158394</v>
      </c>
      <c r="Q156" s="143">
        <f t="shared" si="31"/>
        <v>1.738967876158394</v>
      </c>
      <c r="R156" s="34">
        <v>1231.5498377756001</v>
      </c>
      <c r="S156" s="56">
        <f t="shared" si="32"/>
        <v>169.54983777560005</v>
      </c>
      <c r="T156" s="56">
        <f t="shared" si="33"/>
        <v>28747.147489732295</v>
      </c>
      <c r="U156" s="56">
        <f t="shared" si="34"/>
        <v>169.54983777560005</v>
      </c>
      <c r="V156" s="56">
        <f t="shared" si="35"/>
        <v>2.2318513106493367</v>
      </c>
      <c r="W156" s="33">
        <f t="shared" si="36"/>
        <v>15.96514479996234</v>
      </c>
      <c r="X156" s="143">
        <f t="shared" si="37"/>
        <v>15.96514479996234</v>
      </c>
    </row>
    <row r="157" spans="1:24" ht="16" x14ac:dyDescent="0.2">
      <c r="A157" t="s">
        <v>859</v>
      </c>
      <c r="B157" s="224" t="s">
        <v>514</v>
      </c>
      <c r="C157" s="224" t="s">
        <v>824</v>
      </c>
      <c r="D157" s="35" t="s">
        <v>148</v>
      </c>
      <c r="E157" s="35" t="s">
        <v>662</v>
      </c>
      <c r="F157" s="35" t="s">
        <v>494</v>
      </c>
      <c r="G157" s="35" t="s">
        <v>626</v>
      </c>
      <c r="H157" s="35" t="s">
        <v>580</v>
      </c>
      <c r="I157" s="147">
        <v>1135</v>
      </c>
      <c r="J157" s="34">
        <v>1024.79579847171</v>
      </c>
      <c r="K157" s="34">
        <f t="shared" si="26"/>
        <v>-110.20420152829001</v>
      </c>
      <c r="L157" s="56">
        <f t="shared" si="27"/>
        <v>12144.966034487959</v>
      </c>
      <c r="M157" s="56">
        <f t="shared" si="28"/>
        <v>110.20420152829001</v>
      </c>
      <c r="N157" s="56">
        <f t="shared" si="29"/>
        <v>2.0461211961136732</v>
      </c>
      <c r="O157" s="56">
        <f t="shared" si="38"/>
        <v>-2.0461211961136732</v>
      </c>
      <c r="P157" s="143">
        <f t="shared" si="30"/>
        <v>-9.7096212800255515</v>
      </c>
      <c r="Q157" s="143">
        <f t="shared" si="31"/>
        <v>9.7096212800255515</v>
      </c>
      <c r="R157" s="34">
        <v>1231.5498377756001</v>
      </c>
      <c r="S157" s="56">
        <f t="shared" si="32"/>
        <v>96.549837775600054</v>
      </c>
      <c r="T157" s="56">
        <f t="shared" si="33"/>
        <v>9321.8711744946868</v>
      </c>
      <c r="U157" s="56">
        <f t="shared" si="34"/>
        <v>96.549837775600054</v>
      </c>
      <c r="V157" s="56">
        <f t="shared" si="35"/>
        <v>1.9892265515037781</v>
      </c>
      <c r="W157" s="33">
        <f t="shared" si="36"/>
        <v>8.5065936366167456</v>
      </c>
      <c r="X157" s="143">
        <f t="shared" si="37"/>
        <v>8.5065936366167456</v>
      </c>
    </row>
    <row r="158" spans="1:24" ht="16" x14ac:dyDescent="0.2">
      <c r="A158" t="s">
        <v>860</v>
      </c>
      <c r="B158" s="224" t="s">
        <v>514</v>
      </c>
      <c r="C158" s="224" t="s">
        <v>824</v>
      </c>
      <c r="D158" s="35" t="s">
        <v>148</v>
      </c>
      <c r="E158" s="35" t="s">
        <v>662</v>
      </c>
      <c r="F158" s="35" t="s">
        <v>494</v>
      </c>
      <c r="G158" s="35" t="s">
        <v>626</v>
      </c>
      <c r="H158" s="35" t="s">
        <v>580</v>
      </c>
      <c r="I158" s="147">
        <v>1029</v>
      </c>
      <c r="J158" s="34">
        <v>954.81592474782713</v>
      </c>
      <c r="K158" s="34">
        <f t="shared" si="26"/>
        <v>-74.184075252172875</v>
      </c>
      <c r="L158" s="56">
        <f t="shared" si="27"/>
        <v>5503.2770210200479</v>
      </c>
      <c r="M158" s="56">
        <f t="shared" si="28"/>
        <v>74.184075252172875</v>
      </c>
      <c r="N158" s="56">
        <f t="shared" si="29"/>
        <v>1.8761258623669363</v>
      </c>
      <c r="O158" s="56">
        <f t="shared" si="38"/>
        <v>-1.8761258623669363</v>
      </c>
      <c r="P158" s="143">
        <f t="shared" si="30"/>
        <v>-7.2093367592004745</v>
      </c>
      <c r="Q158" s="143">
        <f t="shared" si="31"/>
        <v>7.2093367592004745</v>
      </c>
      <c r="R158" s="34">
        <v>1098.7129690031593</v>
      </c>
      <c r="S158" s="56">
        <f t="shared" si="32"/>
        <v>69.712969003159287</v>
      </c>
      <c r="T158" s="56">
        <f t="shared" si="33"/>
        <v>4859.8980472354478</v>
      </c>
      <c r="U158" s="56">
        <f t="shared" si="34"/>
        <v>69.712969003159287</v>
      </c>
      <c r="V158" s="56">
        <f t="shared" si="35"/>
        <v>1.8494990722124374</v>
      </c>
      <c r="W158" s="33">
        <f t="shared" si="36"/>
        <v>6.7748269196461894</v>
      </c>
      <c r="X158" s="143">
        <f t="shared" si="37"/>
        <v>6.7748269196461894</v>
      </c>
    </row>
    <row r="159" spans="1:24" ht="16" x14ac:dyDescent="0.2">
      <c r="A159" t="s">
        <v>861</v>
      </c>
      <c r="B159" s="224" t="s">
        <v>514</v>
      </c>
      <c r="C159" s="224" t="s">
        <v>824</v>
      </c>
      <c r="D159" s="35" t="s">
        <v>148</v>
      </c>
      <c r="E159" s="35" t="s">
        <v>662</v>
      </c>
      <c r="F159" s="35" t="s">
        <v>494</v>
      </c>
      <c r="G159" s="35" t="s">
        <v>626</v>
      </c>
      <c r="H159" s="35" t="s">
        <v>580</v>
      </c>
      <c r="I159" s="147">
        <v>1055</v>
      </c>
      <c r="J159" s="34">
        <v>1009.7164310456532</v>
      </c>
      <c r="K159" s="34">
        <f t="shared" si="26"/>
        <v>-45.283568954346833</v>
      </c>
      <c r="L159" s="56">
        <f t="shared" si="27"/>
        <v>2050.6016172430845</v>
      </c>
      <c r="M159" s="56">
        <f t="shared" si="28"/>
        <v>45.283568954346833</v>
      </c>
      <c r="N159" s="56">
        <f t="shared" si="29"/>
        <v>1.6654268402844141</v>
      </c>
      <c r="O159" s="56">
        <f t="shared" si="38"/>
        <v>-1.6654268402844141</v>
      </c>
      <c r="P159" s="143">
        <f t="shared" si="30"/>
        <v>-4.2922814174736335</v>
      </c>
      <c r="Q159" s="143">
        <f t="shared" si="31"/>
        <v>4.2922814174736335</v>
      </c>
      <c r="R159" s="34">
        <v>1178.1159195567418</v>
      </c>
      <c r="S159" s="56">
        <f t="shared" si="32"/>
        <v>123.1159195567418</v>
      </c>
      <c r="T159" s="56">
        <f t="shared" si="33"/>
        <v>15157.529648302117</v>
      </c>
      <c r="U159" s="56">
        <f t="shared" si="34"/>
        <v>123.1159195567418</v>
      </c>
      <c r="V159" s="56">
        <f t="shared" si="35"/>
        <v>2.09382748925244</v>
      </c>
      <c r="W159" s="33">
        <f t="shared" si="36"/>
        <v>11.66975540822197</v>
      </c>
      <c r="X159" s="143">
        <f t="shared" si="37"/>
        <v>11.66975540822197</v>
      </c>
    </row>
    <row r="160" spans="1:24" ht="16" x14ac:dyDescent="0.2">
      <c r="A160" t="s">
        <v>862</v>
      </c>
      <c r="B160" s="224" t="s">
        <v>514</v>
      </c>
      <c r="C160" s="224" t="s">
        <v>824</v>
      </c>
      <c r="D160" s="35" t="s">
        <v>148</v>
      </c>
      <c r="E160" s="35" t="s">
        <v>662</v>
      </c>
      <c r="F160" s="35" t="s">
        <v>374</v>
      </c>
      <c r="G160" s="35" t="s">
        <v>626</v>
      </c>
      <c r="H160" s="35" t="s">
        <v>580</v>
      </c>
      <c r="I160" s="147">
        <v>1280</v>
      </c>
      <c r="J160" s="34">
        <v>1177.995897091685</v>
      </c>
      <c r="K160" s="34">
        <f t="shared" si="26"/>
        <v>-102.00410290831496</v>
      </c>
      <c r="L160" s="56">
        <f t="shared" si="27"/>
        <v>10404.83701013011</v>
      </c>
      <c r="M160" s="56">
        <f t="shared" si="28"/>
        <v>102.00410290831496</v>
      </c>
      <c r="N160" s="56">
        <f t="shared" si="29"/>
        <v>2.0128545240736413</v>
      </c>
      <c r="O160" s="56">
        <f t="shared" si="38"/>
        <v>-2.0128545240736413</v>
      </c>
      <c r="P160" s="143">
        <f t="shared" si="30"/>
        <v>-7.9690705397121064</v>
      </c>
      <c r="Q160" s="143">
        <f t="shared" si="31"/>
        <v>7.9690705397121064</v>
      </c>
      <c r="R160" s="34">
        <v>1312.4195557355961</v>
      </c>
      <c r="S160" s="56">
        <f t="shared" si="32"/>
        <v>32.419555735596077</v>
      </c>
      <c r="T160" s="56">
        <f t="shared" si="33"/>
        <v>1051.0275940934205</v>
      </c>
      <c r="U160" s="56">
        <f t="shared" si="34"/>
        <v>32.419555735596077</v>
      </c>
      <c r="V160" s="56">
        <f t="shared" si="35"/>
        <v>1.5240006722820416</v>
      </c>
      <c r="W160" s="33">
        <f t="shared" si="36"/>
        <v>2.5327777918434435</v>
      </c>
      <c r="X160" s="143">
        <f t="shared" si="37"/>
        <v>2.5327777918434435</v>
      </c>
    </row>
    <row r="161" spans="1:24" ht="16" x14ac:dyDescent="0.2">
      <c r="A161" t="s">
        <v>863</v>
      </c>
      <c r="B161" s="224" t="s">
        <v>514</v>
      </c>
      <c r="C161" s="224" t="s">
        <v>824</v>
      </c>
      <c r="D161" s="35" t="s">
        <v>148</v>
      </c>
      <c r="E161" s="35" t="s">
        <v>662</v>
      </c>
      <c r="F161" s="225" t="s">
        <v>494</v>
      </c>
      <c r="G161" s="35" t="s">
        <v>626</v>
      </c>
      <c r="H161" s="35" t="s">
        <v>580</v>
      </c>
      <c r="I161" s="147">
        <v>1110</v>
      </c>
      <c r="J161" s="34">
        <v>1024.79579847171</v>
      </c>
      <c r="K161" s="34">
        <f t="shared" si="26"/>
        <v>-85.204201528290014</v>
      </c>
      <c r="L161" s="56">
        <f t="shared" si="27"/>
        <v>7259.7559580734587</v>
      </c>
      <c r="M161" s="56">
        <f t="shared" si="28"/>
        <v>85.204201528290014</v>
      </c>
      <c r="N161" s="56">
        <f t="shared" si="29"/>
        <v>1.9355284335287026</v>
      </c>
      <c r="O161" s="56">
        <f t="shared" si="38"/>
        <v>-1.9355284335287026</v>
      </c>
      <c r="P161" s="143">
        <f t="shared" si="30"/>
        <v>-7.6760541917378387</v>
      </c>
      <c r="Q161" s="143">
        <f t="shared" si="31"/>
        <v>7.6760541917378387</v>
      </c>
      <c r="R161" s="34">
        <v>1178.1159195567418</v>
      </c>
      <c r="S161" s="56">
        <f t="shared" si="32"/>
        <v>68.115919556741801</v>
      </c>
      <c r="T161" s="56">
        <f t="shared" si="33"/>
        <v>4639.7784970605198</v>
      </c>
      <c r="U161" s="56">
        <f t="shared" si="34"/>
        <v>68.115919556741801</v>
      </c>
      <c r="V161" s="56">
        <f t="shared" si="35"/>
        <v>1.8395780904907952</v>
      </c>
      <c r="W161" s="33">
        <f t="shared" si="36"/>
        <v>6.136569329436198</v>
      </c>
      <c r="X161" s="143">
        <f t="shared" si="37"/>
        <v>6.136569329436198</v>
      </c>
    </row>
    <row r="162" spans="1:24" ht="16" x14ac:dyDescent="0.2">
      <c r="A162" t="s">
        <v>864</v>
      </c>
      <c r="B162" s="224" t="s">
        <v>514</v>
      </c>
      <c r="C162" s="224" t="s">
        <v>824</v>
      </c>
      <c r="D162" s="35" t="s">
        <v>148</v>
      </c>
      <c r="E162" s="35" t="s">
        <v>662</v>
      </c>
      <c r="F162" s="35" t="s">
        <v>374</v>
      </c>
      <c r="G162" s="35" t="s">
        <v>626</v>
      </c>
      <c r="H162" s="35" t="s">
        <v>580</v>
      </c>
      <c r="I162" s="147">
        <v>1460</v>
      </c>
      <c r="J162" s="34">
        <v>1340.6430029440623</v>
      </c>
      <c r="K162" s="34">
        <f t="shared" si="26"/>
        <v>-119.35699705593765</v>
      </c>
      <c r="L162" s="56">
        <f t="shared" si="27"/>
        <v>14246.09274621111</v>
      </c>
      <c r="M162" s="56">
        <f t="shared" si="28"/>
        <v>119.35699705593765</v>
      </c>
      <c r="N162" s="56">
        <f t="shared" si="29"/>
        <v>2.080471343422436</v>
      </c>
      <c r="O162" s="56">
        <f t="shared" si="38"/>
        <v>-2.080471343422436</v>
      </c>
      <c r="P162" s="143">
        <f t="shared" si="30"/>
        <v>-8.1751367846532634</v>
      </c>
      <c r="Q162" s="143">
        <f t="shared" si="31"/>
        <v>8.1751367846532634</v>
      </c>
      <c r="R162" s="34">
        <v>1537.6061700139076</v>
      </c>
      <c r="S162" s="56">
        <f t="shared" si="32"/>
        <v>77.606170013907558</v>
      </c>
      <c r="T162" s="56">
        <f t="shared" si="33"/>
        <v>6022.7176242275245</v>
      </c>
      <c r="U162" s="56">
        <f t="shared" si="34"/>
        <v>77.606170013907558</v>
      </c>
      <c r="V162" s="56">
        <f t="shared" si="35"/>
        <v>1.895456636342536</v>
      </c>
      <c r="W162" s="33">
        <f t="shared" si="36"/>
        <v>5.3154910968429832</v>
      </c>
      <c r="X162" s="143">
        <f t="shared" si="37"/>
        <v>5.3154910968429832</v>
      </c>
    </row>
    <row r="163" spans="1:24" ht="16" x14ac:dyDescent="0.2">
      <c r="A163" t="s">
        <v>865</v>
      </c>
      <c r="B163" s="224" t="s">
        <v>514</v>
      </c>
      <c r="C163" s="224" t="s">
        <v>824</v>
      </c>
      <c r="D163" s="35" t="s">
        <v>148</v>
      </c>
      <c r="E163" s="35" t="s">
        <v>662</v>
      </c>
      <c r="F163" s="35" t="s">
        <v>374</v>
      </c>
      <c r="G163" s="35" t="s">
        <v>627</v>
      </c>
      <c r="H163" s="35" t="s">
        <v>580</v>
      </c>
      <c r="I163" s="147">
        <v>1598</v>
      </c>
      <c r="J163" s="34">
        <v>1572.955413661964</v>
      </c>
      <c r="K163" s="34">
        <f t="shared" si="26"/>
        <v>-25.04458633803597</v>
      </c>
      <c r="L163" s="56">
        <f t="shared" si="27"/>
        <v>627.23130484333797</v>
      </c>
      <c r="M163" s="56">
        <f t="shared" si="28"/>
        <v>25.04458633803597</v>
      </c>
      <c r="N163" s="56">
        <f t="shared" si="29"/>
        <v>1.415717463994286</v>
      </c>
      <c r="O163" s="56">
        <f t="shared" si="38"/>
        <v>-1.415717463994286</v>
      </c>
      <c r="P163" s="143">
        <f t="shared" si="30"/>
        <v>-1.5672457032563185</v>
      </c>
      <c r="Q163" s="143">
        <f t="shared" si="31"/>
        <v>1.5672457032563185</v>
      </c>
      <c r="R163" s="34">
        <v>1785.4740131564872</v>
      </c>
      <c r="S163" s="56">
        <f t="shared" si="32"/>
        <v>187.47401315648722</v>
      </c>
      <c r="T163" s="56">
        <f t="shared" si="33"/>
        <v>35146.505608998741</v>
      </c>
      <c r="U163" s="56">
        <f t="shared" si="34"/>
        <v>187.47401315648722</v>
      </c>
      <c r="V163" s="56">
        <f t="shared" si="35"/>
        <v>2.2752514780391158</v>
      </c>
      <c r="W163" s="33">
        <f t="shared" si="36"/>
        <v>11.731790560481052</v>
      </c>
      <c r="X163" s="143">
        <f t="shared" si="37"/>
        <v>11.731790560481052</v>
      </c>
    </row>
    <row r="164" spans="1:24" ht="16" x14ac:dyDescent="0.2">
      <c r="A164" t="s">
        <v>866</v>
      </c>
      <c r="B164" s="224" t="s">
        <v>514</v>
      </c>
      <c r="C164" s="224" t="s">
        <v>824</v>
      </c>
      <c r="D164" s="35" t="s">
        <v>148</v>
      </c>
      <c r="E164" s="35" t="s">
        <v>662</v>
      </c>
      <c r="F164" s="35" t="s">
        <v>374</v>
      </c>
      <c r="G164" s="35" t="s">
        <v>627</v>
      </c>
      <c r="H164" s="35" t="s">
        <v>580</v>
      </c>
      <c r="I164" s="147">
        <v>1565</v>
      </c>
      <c r="J164" s="34">
        <v>1491.0706144150934</v>
      </c>
      <c r="K164" s="34">
        <f t="shared" si="26"/>
        <v>-73.92938558490664</v>
      </c>
      <c r="L164" s="56">
        <f t="shared" si="27"/>
        <v>5465.554052961802</v>
      </c>
      <c r="M164" s="56">
        <f t="shared" si="28"/>
        <v>73.92938558490664</v>
      </c>
      <c r="N164" s="56">
        <f t="shared" si="29"/>
        <v>1.8746521714319637</v>
      </c>
      <c r="O164" s="56">
        <f t="shared" si="38"/>
        <v>-1.8746521714319637</v>
      </c>
      <c r="P164" s="143">
        <f t="shared" si="30"/>
        <v>-4.7239224015914782</v>
      </c>
      <c r="Q164" s="143">
        <f t="shared" si="31"/>
        <v>4.7239224015914782</v>
      </c>
      <c r="R164" s="34">
        <v>1683.3378135813773</v>
      </c>
      <c r="S164" s="56">
        <f t="shared" si="32"/>
        <v>118.3378135813773</v>
      </c>
      <c r="T164" s="56">
        <f t="shared" si="33"/>
        <v>14003.838123220807</v>
      </c>
      <c r="U164" s="56">
        <f t="shared" si="34"/>
        <v>118.3378135813773</v>
      </c>
      <c r="V164" s="56">
        <f t="shared" si="35"/>
        <v>2.0767780767606232</v>
      </c>
      <c r="W164" s="33">
        <f t="shared" si="36"/>
        <v>7.5615216345927987</v>
      </c>
      <c r="X164" s="143">
        <f t="shared" si="37"/>
        <v>7.5615216345927987</v>
      </c>
    </row>
    <row r="165" spans="1:24" ht="15" x14ac:dyDescent="0.2">
      <c r="A165" s="28" t="s">
        <v>416</v>
      </c>
      <c r="B165" s="224" t="s">
        <v>514</v>
      </c>
      <c r="C165" s="35" t="s">
        <v>458</v>
      </c>
      <c r="D165" s="35" t="s">
        <v>82</v>
      </c>
      <c r="E165" s="35" t="s">
        <v>662</v>
      </c>
      <c r="F165" s="35" t="s">
        <v>374</v>
      </c>
      <c r="G165" s="35" t="s">
        <v>626</v>
      </c>
      <c r="H165" s="35" t="s">
        <v>580</v>
      </c>
      <c r="I165" s="141">
        <v>1250</v>
      </c>
      <c r="J165" s="34">
        <v>1240.4516313535059</v>
      </c>
      <c r="K165" s="34">
        <f t="shared" si="26"/>
        <v>-9.5483686464940547</v>
      </c>
      <c r="L165" s="56">
        <f t="shared" si="27"/>
        <v>91.171343809350702</v>
      </c>
      <c r="M165" s="56">
        <f t="shared" si="28"/>
        <v>9.5483686464940547</v>
      </c>
      <c r="N165" s="56">
        <f t="shared" si="29"/>
        <v>1.0231852991969073</v>
      </c>
      <c r="O165" s="56">
        <f t="shared" si="38"/>
        <v>-1.0231852991969073</v>
      </c>
      <c r="P165" s="143">
        <f t="shared" si="30"/>
        <v>-0.76386949171952434</v>
      </c>
      <c r="Q165" s="143">
        <f t="shared" si="31"/>
        <v>0.76386949171952434</v>
      </c>
      <c r="R165" s="34">
        <v>1394.1199694802149</v>
      </c>
      <c r="S165" s="56">
        <f t="shared" si="32"/>
        <v>144.11996948021488</v>
      </c>
      <c r="T165" s="56">
        <f t="shared" si="33"/>
        <v>20770.565602978069</v>
      </c>
      <c r="U165" s="56">
        <f t="shared" si="34"/>
        <v>144.11996948021488</v>
      </c>
      <c r="V165" s="56">
        <f t="shared" si="35"/>
        <v>2.1617271783807412</v>
      </c>
      <c r="W165" s="33">
        <f t="shared" si="36"/>
        <v>11.529597558417191</v>
      </c>
      <c r="X165" s="143">
        <f t="shared" si="37"/>
        <v>11.529597558417191</v>
      </c>
    </row>
    <row r="166" spans="1:24" ht="15" x14ac:dyDescent="0.2">
      <c r="A166" s="28" t="s">
        <v>421</v>
      </c>
      <c r="B166" s="224" t="s">
        <v>514</v>
      </c>
      <c r="C166" s="35" t="s">
        <v>458</v>
      </c>
      <c r="D166" s="35" t="s">
        <v>82</v>
      </c>
      <c r="E166" s="35" t="s">
        <v>662</v>
      </c>
      <c r="F166" s="35" t="s">
        <v>494</v>
      </c>
      <c r="G166" s="35" t="s">
        <v>626</v>
      </c>
      <c r="H166" s="35" t="s">
        <v>580</v>
      </c>
      <c r="I166" s="141">
        <v>825</v>
      </c>
      <c r="J166" s="34">
        <v>722.92657767046785</v>
      </c>
      <c r="K166" s="34">
        <f t="shared" si="26"/>
        <v>-102.07342232953215</v>
      </c>
      <c r="L166" s="56">
        <f t="shared" si="27"/>
        <v>10418.983546063033</v>
      </c>
      <c r="M166" s="56">
        <f t="shared" si="28"/>
        <v>102.07342232953215</v>
      </c>
      <c r="N166" s="56">
        <f t="shared" si="29"/>
        <v>2.0131466960921478</v>
      </c>
      <c r="O166" s="56">
        <f t="shared" si="38"/>
        <v>-2.0131466960921478</v>
      </c>
      <c r="P166" s="143">
        <f t="shared" si="30"/>
        <v>-12.372536039943292</v>
      </c>
      <c r="Q166" s="143">
        <f t="shared" si="31"/>
        <v>12.372536039943292</v>
      </c>
      <c r="R166" s="34">
        <v>866.31600726875115</v>
      </c>
      <c r="S166" s="56">
        <f t="shared" si="32"/>
        <v>41.31600726875115</v>
      </c>
      <c r="T166" s="56">
        <f t="shared" si="33"/>
        <v>1707.0124566314978</v>
      </c>
      <c r="U166" s="56">
        <f t="shared" si="34"/>
        <v>41.31600726875115</v>
      </c>
      <c r="V166" s="56">
        <f t="shared" si="35"/>
        <v>1.6265046830594214</v>
      </c>
      <c r="W166" s="33">
        <f t="shared" si="36"/>
        <v>5.0080008810607453</v>
      </c>
      <c r="X166" s="143">
        <f t="shared" si="37"/>
        <v>5.0080008810607453</v>
      </c>
    </row>
    <row r="167" spans="1:24" ht="15" x14ac:dyDescent="0.2">
      <c r="A167" s="28" t="s">
        <v>422</v>
      </c>
      <c r="B167" s="224" t="s">
        <v>514</v>
      </c>
      <c r="C167" s="35" t="s">
        <v>458</v>
      </c>
      <c r="D167" s="35" t="s">
        <v>82</v>
      </c>
      <c r="E167" s="35" t="s">
        <v>662</v>
      </c>
      <c r="F167" s="35" t="s">
        <v>494</v>
      </c>
      <c r="G167" s="35" t="s">
        <v>626</v>
      </c>
      <c r="H167" s="35" t="s">
        <v>580</v>
      </c>
      <c r="I167" s="141">
        <v>1070</v>
      </c>
      <c r="J167" s="34">
        <v>1034.8736676381002</v>
      </c>
      <c r="K167" s="34">
        <f t="shared" si="26"/>
        <v>-35.126332361899813</v>
      </c>
      <c r="L167" s="56">
        <f t="shared" si="27"/>
        <v>1233.8592251986502</v>
      </c>
      <c r="M167" s="56">
        <f t="shared" si="28"/>
        <v>35.126332361899813</v>
      </c>
      <c r="N167" s="56">
        <f t="shared" si="29"/>
        <v>1.5578238731141019</v>
      </c>
      <c r="O167" s="56">
        <f t="shared" si="38"/>
        <v>-1.5578238731141019</v>
      </c>
      <c r="P167" s="143">
        <f t="shared" si="30"/>
        <v>-3.2828348001775525</v>
      </c>
      <c r="Q167" s="143">
        <f t="shared" si="31"/>
        <v>3.2828348001775525</v>
      </c>
      <c r="R167" s="34">
        <v>1178.1159195567418</v>
      </c>
      <c r="S167" s="56">
        <f t="shared" si="32"/>
        <v>108.1159195567418</v>
      </c>
      <c r="T167" s="56">
        <f t="shared" si="33"/>
        <v>11689.052061599865</v>
      </c>
      <c r="U167" s="56">
        <f t="shared" si="34"/>
        <v>108.1159195567418</v>
      </c>
      <c r="V167" s="56">
        <f t="shared" si="35"/>
        <v>2.0378881169611858</v>
      </c>
      <c r="W167" s="33">
        <f t="shared" si="36"/>
        <v>10.104291547359045</v>
      </c>
      <c r="X167" s="143">
        <f t="shared" si="37"/>
        <v>10.104291547359045</v>
      </c>
    </row>
    <row r="168" spans="1:24" ht="15" x14ac:dyDescent="0.2">
      <c r="A168" s="28" t="s">
        <v>423</v>
      </c>
      <c r="B168" s="224" t="s">
        <v>514</v>
      </c>
      <c r="C168" s="35" t="s">
        <v>458</v>
      </c>
      <c r="D168" s="208" t="s">
        <v>82</v>
      </c>
      <c r="E168" s="35" t="s">
        <v>662</v>
      </c>
      <c r="F168" s="35" t="s">
        <v>494</v>
      </c>
      <c r="G168" s="35" t="s">
        <v>626</v>
      </c>
      <c r="H168" s="35" t="s">
        <v>580</v>
      </c>
      <c r="I168" s="141">
        <v>1150</v>
      </c>
      <c r="J168" s="34">
        <v>1090.6533789266634</v>
      </c>
      <c r="K168" s="34">
        <f t="shared" si="26"/>
        <v>-59.346621073336564</v>
      </c>
      <c r="L168" s="56">
        <f t="shared" si="27"/>
        <v>3522.0214328221955</v>
      </c>
      <c r="M168" s="56">
        <f t="shared" si="28"/>
        <v>59.346621073336564</v>
      </c>
      <c r="N168" s="56">
        <f t="shared" si="29"/>
        <v>1.7806529581071606</v>
      </c>
      <c r="O168" s="56">
        <f t="shared" si="38"/>
        <v>-1.7806529581071606</v>
      </c>
      <c r="P168" s="143">
        <f t="shared" si="30"/>
        <v>-5.1605757455075274</v>
      </c>
      <c r="Q168" s="143">
        <f t="shared" si="31"/>
        <v>5.1605757455075274</v>
      </c>
      <c r="R168" s="34">
        <v>1231.5498377756001</v>
      </c>
      <c r="S168" s="56">
        <f t="shared" si="32"/>
        <v>81.549837775600054</v>
      </c>
      <c r="T168" s="56">
        <f t="shared" si="33"/>
        <v>6650.3760412266856</v>
      </c>
      <c r="U168" s="56">
        <f t="shared" si="34"/>
        <v>81.549837775600054</v>
      </c>
      <c r="V168" s="56">
        <f t="shared" si="35"/>
        <v>1.9167162241375046</v>
      </c>
      <c r="W168" s="33">
        <f t="shared" si="36"/>
        <v>7.0912902413565266</v>
      </c>
      <c r="X168" s="143">
        <f t="shared" si="37"/>
        <v>7.0912902413565266</v>
      </c>
    </row>
    <row r="169" spans="1:24" ht="15" x14ac:dyDescent="0.2">
      <c r="A169" s="28" t="s">
        <v>424</v>
      </c>
      <c r="B169" s="224" t="s">
        <v>514</v>
      </c>
      <c r="C169" s="35" t="s">
        <v>458</v>
      </c>
      <c r="D169" s="208" t="s">
        <v>82</v>
      </c>
      <c r="E169" s="35" t="s">
        <v>662</v>
      </c>
      <c r="F169" s="35" t="s">
        <v>374</v>
      </c>
      <c r="G169" s="35" t="s">
        <v>627</v>
      </c>
      <c r="H169" s="35" t="s">
        <v>580</v>
      </c>
      <c r="I169" s="141">
        <v>1800</v>
      </c>
      <c r="J169" s="34">
        <v>1789.858268115197</v>
      </c>
      <c r="K169" s="34">
        <f t="shared" si="26"/>
        <v>-10.141731884802994</v>
      </c>
      <c r="L169" s="56">
        <f t="shared" si="27"/>
        <v>102.85472562322968</v>
      </c>
      <c r="M169" s="56">
        <f t="shared" si="28"/>
        <v>10.141731884802994</v>
      </c>
      <c r="N169" s="56">
        <f t="shared" si="29"/>
        <v>1.0469527033648902</v>
      </c>
      <c r="O169" s="56">
        <f t="shared" si="38"/>
        <v>-1.0469527033648902</v>
      </c>
      <c r="P169" s="143">
        <f t="shared" si="30"/>
        <v>-0.56342954915572185</v>
      </c>
      <c r="Q169" s="143">
        <f t="shared" si="31"/>
        <v>0.56342954915572185</v>
      </c>
      <c r="R169" s="34">
        <v>2074.181871740233</v>
      </c>
      <c r="S169" s="56">
        <f t="shared" si="32"/>
        <v>274.18187174023296</v>
      </c>
      <c r="T169" s="56">
        <f t="shared" si="33"/>
        <v>75175.698790977563</v>
      </c>
      <c r="U169" s="56">
        <f t="shared" si="34"/>
        <v>274.18187174023296</v>
      </c>
      <c r="V169" s="56">
        <f t="shared" si="35"/>
        <v>2.4396198203247237</v>
      </c>
      <c r="W169" s="33">
        <f t="shared" si="36"/>
        <v>15.23232620779072</v>
      </c>
      <c r="X169" s="143">
        <f t="shared" si="37"/>
        <v>15.23232620779072</v>
      </c>
    </row>
    <row r="170" spans="1:24" ht="15" x14ac:dyDescent="0.2">
      <c r="A170" s="28" t="s">
        <v>426</v>
      </c>
      <c r="B170" s="224" t="s">
        <v>514</v>
      </c>
      <c r="C170" s="35" t="s">
        <v>458</v>
      </c>
      <c r="D170" s="208" t="s">
        <v>82</v>
      </c>
      <c r="E170" s="35" t="s">
        <v>662</v>
      </c>
      <c r="F170" s="35" t="s">
        <v>374</v>
      </c>
      <c r="G170" s="35" t="s">
        <v>627</v>
      </c>
      <c r="H170" s="35" t="s">
        <v>580</v>
      </c>
      <c r="I170" s="141">
        <v>1620</v>
      </c>
      <c r="J170" s="34">
        <v>1661.2564193478629</v>
      </c>
      <c r="K170" s="34">
        <f t="shared" si="26"/>
        <v>41.256419347862902</v>
      </c>
      <c r="L170" s="56">
        <f t="shared" si="27"/>
        <v>1702.0921374067163</v>
      </c>
      <c r="M170" s="56">
        <f t="shared" si="28"/>
        <v>41.256419347862902</v>
      </c>
      <c r="N170" s="56">
        <f t="shared" si="29"/>
        <v>1.6258926937729015</v>
      </c>
      <c r="O170" s="56">
        <f t="shared" si="38"/>
        <v>1.6258926937729015</v>
      </c>
      <c r="P170" s="143">
        <f t="shared" si="30"/>
        <v>2.5466925523372161</v>
      </c>
      <c r="Q170" s="143">
        <f t="shared" si="31"/>
        <v>2.5466925523372161</v>
      </c>
      <c r="R170" s="34">
        <v>1871.3324880467017</v>
      </c>
      <c r="S170" s="56">
        <f t="shared" si="32"/>
        <v>251.33248804670166</v>
      </c>
      <c r="T170" s="56">
        <f t="shared" si="33"/>
        <v>63168.019547745433</v>
      </c>
      <c r="U170" s="56">
        <f t="shared" si="34"/>
        <v>251.33248804670166</v>
      </c>
      <c r="V170" s="56">
        <f t="shared" si="35"/>
        <v>2.4019731699431528</v>
      </c>
      <c r="W170" s="33">
        <f t="shared" si="36"/>
        <v>15.514351113993929</v>
      </c>
      <c r="X170" s="143">
        <f t="shared" si="37"/>
        <v>15.514351113993929</v>
      </c>
    </row>
    <row r="171" spans="1:24" ht="15" x14ac:dyDescent="0.2">
      <c r="A171" s="28" t="s">
        <v>427</v>
      </c>
      <c r="B171" s="224" t="s">
        <v>514</v>
      </c>
      <c r="C171" s="35" t="s">
        <v>458</v>
      </c>
      <c r="D171" s="208" t="s">
        <v>82</v>
      </c>
      <c r="E171" s="35" t="s">
        <v>662</v>
      </c>
      <c r="F171" s="35" t="s">
        <v>374</v>
      </c>
      <c r="G171" s="35" t="s">
        <v>627</v>
      </c>
      <c r="H171" s="35" t="s">
        <v>580</v>
      </c>
      <c r="I171" s="141">
        <v>1650</v>
      </c>
      <c r="J171" s="34">
        <v>1661.2564193478629</v>
      </c>
      <c r="K171" s="34">
        <f t="shared" si="26"/>
        <v>11.256419347862902</v>
      </c>
      <c r="L171" s="56">
        <f t="shared" si="27"/>
        <v>126.70697653494229</v>
      </c>
      <c r="M171" s="56">
        <f t="shared" si="28"/>
        <v>11.256419347862902</v>
      </c>
      <c r="N171" s="56">
        <f t="shared" si="29"/>
        <v>1.0883636117326569</v>
      </c>
      <c r="O171" s="56">
        <f t="shared" si="38"/>
        <v>1.0883636117326569</v>
      </c>
      <c r="P171" s="143">
        <f t="shared" si="30"/>
        <v>0.68220723320381227</v>
      </c>
      <c r="Q171" s="143">
        <f t="shared" si="31"/>
        <v>0.68220723320381227</v>
      </c>
      <c r="R171" s="34">
        <v>1900.0984886054553</v>
      </c>
      <c r="S171" s="56">
        <f t="shared" si="32"/>
        <v>250.09848860545526</v>
      </c>
      <c r="T171" s="56">
        <f t="shared" si="33"/>
        <v>62549.254002733032</v>
      </c>
      <c r="U171" s="56">
        <f t="shared" si="34"/>
        <v>250.09848860545526</v>
      </c>
      <c r="V171" s="56">
        <f t="shared" si="35"/>
        <v>2.3998440986456737</v>
      </c>
      <c r="W171" s="33">
        <f t="shared" si="36"/>
        <v>15.15748415790638</v>
      </c>
      <c r="X171" s="143">
        <f t="shared" si="37"/>
        <v>15.15748415790638</v>
      </c>
    </row>
    <row r="172" spans="1:24" ht="15" x14ac:dyDescent="0.2">
      <c r="A172" s="28" t="s">
        <v>459</v>
      </c>
      <c r="B172" s="224" t="s">
        <v>514</v>
      </c>
      <c r="C172" s="35" t="s">
        <v>458</v>
      </c>
      <c r="D172" s="208" t="s">
        <v>82</v>
      </c>
      <c r="E172" s="35" t="s">
        <v>662</v>
      </c>
      <c r="F172" s="35" t="s">
        <v>374</v>
      </c>
      <c r="G172" s="35" t="s">
        <v>627</v>
      </c>
      <c r="H172" s="35" t="s">
        <v>580</v>
      </c>
      <c r="I172" s="141">
        <v>1640</v>
      </c>
      <c r="J172" s="34">
        <v>1567.4690896987781</v>
      </c>
      <c r="K172" s="34">
        <f t="shared" si="26"/>
        <v>-72.530910301221866</v>
      </c>
      <c r="L172" s="56">
        <f t="shared" si="27"/>
        <v>5260.7329491238925</v>
      </c>
      <c r="M172" s="56">
        <f t="shared" si="28"/>
        <v>72.530910301221866</v>
      </c>
      <c r="N172" s="56">
        <f t="shared" si="29"/>
        <v>1.8664699425030935</v>
      </c>
      <c r="O172" s="56">
        <f t="shared" si="38"/>
        <v>-1.8664699425030935</v>
      </c>
      <c r="P172" s="143">
        <f t="shared" si="30"/>
        <v>-4.4226164817818212</v>
      </c>
      <c r="Q172" s="143">
        <f t="shared" si="31"/>
        <v>4.4226164817818212</v>
      </c>
      <c r="R172" s="34">
        <v>1785.4740131564872</v>
      </c>
      <c r="S172" s="56">
        <f t="shared" si="32"/>
        <v>145.47401315648722</v>
      </c>
      <c r="T172" s="56">
        <f t="shared" si="33"/>
        <v>21162.688503853817</v>
      </c>
      <c r="U172" s="56">
        <f t="shared" si="34"/>
        <v>145.47401315648722</v>
      </c>
      <c r="V172" s="56">
        <f t="shared" si="35"/>
        <v>2.1657605807049114</v>
      </c>
      <c r="W172" s="33">
        <f t="shared" si="36"/>
        <v>8.870366655883366</v>
      </c>
      <c r="X172" s="143">
        <f t="shared" si="37"/>
        <v>8.870366655883366</v>
      </c>
    </row>
    <row r="173" spans="1:24" ht="15" x14ac:dyDescent="0.2">
      <c r="A173" s="28" t="s">
        <v>425</v>
      </c>
      <c r="B173" s="224" t="s">
        <v>514</v>
      </c>
      <c r="C173" s="35" t="s">
        <v>458</v>
      </c>
      <c r="D173" s="208" t="s">
        <v>82</v>
      </c>
      <c r="E173" s="35" t="s">
        <v>662</v>
      </c>
      <c r="F173" s="35" t="s">
        <v>293</v>
      </c>
      <c r="G173" s="35" t="s">
        <v>627</v>
      </c>
      <c r="H173" s="35" t="s">
        <v>580</v>
      </c>
      <c r="I173" s="141">
        <v>2690</v>
      </c>
      <c r="J173" s="34">
        <v>3011.8308079334615</v>
      </c>
      <c r="K173" s="34">
        <f t="shared" si="26"/>
        <v>321.83080793346153</v>
      </c>
      <c r="L173" s="56">
        <f t="shared" si="27"/>
        <v>103575.0689351046</v>
      </c>
      <c r="M173" s="56">
        <f t="shared" si="28"/>
        <v>321.83080793346153</v>
      </c>
      <c r="N173" s="56">
        <f t="shared" si="29"/>
        <v>2.5089749730050013</v>
      </c>
      <c r="O173" s="56">
        <f t="shared" si="38"/>
        <v>2.5089749730050013</v>
      </c>
      <c r="P173" s="143">
        <f t="shared" si="30"/>
        <v>11.96397055514727</v>
      </c>
      <c r="Q173" s="143">
        <f t="shared" si="31"/>
        <v>11.96397055514727</v>
      </c>
      <c r="R173" s="34">
        <v>3260.1691887446077</v>
      </c>
      <c r="S173" s="56">
        <f t="shared" si="32"/>
        <v>570.16918874460771</v>
      </c>
      <c r="T173" s="56">
        <f t="shared" si="33"/>
        <v>325092.90379368409</v>
      </c>
      <c r="U173" s="56">
        <f t="shared" si="34"/>
        <v>570.16918874460771</v>
      </c>
      <c r="V173" s="56">
        <f t="shared" si="35"/>
        <v>2.7567647717388661</v>
      </c>
      <c r="W173" s="33">
        <f t="shared" si="36"/>
        <v>21.195880622476121</v>
      </c>
      <c r="X173" s="143">
        <f t="shared" si="37"/>
        <v>21.195880622476121</v>
      </c>
    </row>
    <row r="174" spans="1:24" ht="15" x14ac:dyDescent="0.2">
      <c r="A174" s="28" t="s">
        <v>433</v>
      </c>
      <c r="B174" s="224" t="s">
        <v>514</v>
      </c>
      <c r="C174" s="35" t="s">
        <v>458</v>
      </c>
      <c r="D174" s="208" t="s">
        <v>82</v>
      </c>
      <c r="E174" s="35" t="s">
        <v>662</v>
      </c>
      <c r="F174" s="35" t="s">
        <v>374</v>
      </c>
      <c r="G174" s="35" t="s">
        <v>627</v>
      </c>
      <c r="H174" s="35" t="s">
        <v>580</v>
      </c>
      <c r="I174" s="141">
        <v>1520</v>
      </c>
      <c r="J174" s="34">
        <v>1377.9459594160685</v>
      </c>
      <c r="K174" s="34">
        <f t="shared" si="26"/>
        <v>-142.05404058393151</v>
      </c>
      <c r="L174" s="56">
        <f t="shared" si="27"/>
        <v>20179.350446221262</v>
      </c>
      <c r="M174" s="56">
        <f t="shared" si="28"/>
        <v>142.05404058393151</v>
      </c>
      <c r="N174" s="56">
        <f t="shared" si="29"/>
        <v>2.1555001290306386</v>
      </c>
      <c r="O174" s="56">
        <f t="shared" si="38"/>
        <v>-2.1555001290306386</v>
      </c>
      <c r="P174" s="143">
        <f t="shared" si="30"/>
        <v>-9.3456605647323361</v>
      </c>
      <c r="Q174" s="143">
        <f t="shared" si="31"/>
        <v>9.3456605647323361</v>
      </c>
      <c r="R174" s="34">
        <v>1559.8837969127667</v>
      </c>
      <c r="S174" s="56">
        <f t="shared" si="32"/>
        <v>39.883796912766684</v>
      </c>
      <c r="T174" s="56">
        <f t="shared" si="33"/>
        <v>1590.7172561788173</v>
      </c>
      <c r="U174" s="56">
        <f t="shared" si="34"/>
        <v>39.883796912766684</v>
      </c>
      <c r="V174" s="56">
        <f t="shared" si="35"/>
        <v>1.6115512222951853</v>
      </c>
      <c r="W174" s="33">
        <f t="shared" si="36"/>
        <v>2.6239340074188608</v>
      </c>
      <c r="X174" s="143">
        <f t="shared" si="37"/>
        <v>2.6239340074188608</v>
      </c>
    </row>
    <row r="175" spans="1:24" ht="15" x14ac:dyDescent="0.2">
      <c r="A175" s="28" t="s">
        <v>434</v>
      </c>
      <c r="B175" s="224" t="s">
        <v>514</v>
      </c>
      <c r="C175" s="35" t="s">
        <v>458</v>
      </c>
      <c r="D175" s="208" t="s">
        <v>82</v>
      </c>
      <c r="E175" s="35" t="s">
        <v>662</v>
      </c>
      <c r="F175" s="35" t="s">
        <v>374</v>
      </c>
      <c r="G175" s="35" t="s">
        <v>627</v>
      </c>
      <c r="H175" s="35" t="s">
        <v>580</v>
      </c>
      <c r="I175" s="141">
        <v>2370</v>
      </c>
      <c r="J175" s="34">
        <v>2532.0754914771296</v>
      </c>
      <c r="K175" s="34">
        <f t="shared" si="26"/>
        <v>162.07549147712962</v>
      </c>
      <c r="L175" s="56">
        <f t="shared" si="27"/>
        <v>26268.464937553115</v>
      </c>
      <c r="M175" s="56">
        <f t="shared" si="28"/>
        <v>162.07549147712962</v>
      </c>
      <c r="N175" s="56">
        <f t="shared" si="29"/>
        <v>2.2123886960737753</v>
      </c>
      <c r="O175" s="56">
        <f t="shared" si="38"/>
        <v>2.2123886960737753</v>
      </c>
      <c r="P175" s="143">
        <f t="shared" si="30"/>
        <v>6.8386283323683381</v>
      </c>
      <c r="Q175" s="143">
        <f t="shared" si="31"/>
        <v>6.8386283323683381</v>
      </c>
      <c r="R175" s="34">
        <v>2824.4598863434267</v>
      </c>
      <c r="S175" s="56">
        <f t="shared" si="32"/>
        <v>454.45988634342666</v>
      </c>
      <c r="T175" s="56">
        <f t="shared" si="33"/>
        <v>206533.78829528028</v>
      </c>
      <c r="U175" s="56">
        <f t="shared" si="34"/>
        <v>454.45988634342666</v>
      </c>
      <c r="V175" s="56">
        <f t="shared" si="35"/>
        <v>2.6584501334345032</v>
      </c>
      <c r="W175" s="33">
        <f t="shared" si="36"/>
        <v>19.17552263052433</v>
      </c>
      <c r="X175" s="143">
        <f t="shared" si="37"/>
        <v>19.17552263052433</v>
      </c>
    </row>
    <row r="176" spans="1:24" ht="15" x14ac:dyDescent="0.2">
      <c r="A176" s="28" t="s">
        <v>435</v>
      </c>
      <c r="B176" s="224" t="s">
        <v>514</v>
      </c>
      <c r="C176" s="35" t="s">
        <v>458</v>
      </c>
      <c r="D176" s="208" t="s">
        <v>82</v>
      </c>
      <c r="E176" s="35" t="s">
        <v>662</v>
      </c>
      <c r="F176" s="35" t="s">
        <v>494</v>
      </c>
      <c r="G176" s="35" t="s">
        <v>626</v>
      </c>
      <c r="H176" s="35" t="s">
        <v>580</v>
      </c>
      <c r="I176" s="141">
        <v>1150</v>
      </c>
      <c r="J176" s="34">
        <v>1039.9200457874383</v>
      </c>
      <c r="K176" s="34">
        <f t="shared" si="26"/>
        <v>-110.07995421256169</v>
      </c>
      <c r="L176" s="56">
        <f t="shared" si="27"/>
        <v>12117.596319439677</v>
      </c>
      <c r="M176" s="56">
        <f t="shared" si="28"/>
        <v>110.07995421256169</v>
      </c>
      <c r="N176" s="56">
        <f t="shared" si="29"/>
        <v>2.045635692060972</v>
      </c>
      <c r="O176" s="56">
        <f t="shared" si="38"/>
        <v>-2.045635692060972</v>
      </c>
      <c r="P176" s="143">
        <f t="shared" si="30"/>
        <v>-9.5721699315271032</v>
      </c>
      <c r="Q176" s="143">
        <f t="shared" si="31"/>
        <v>9.5721699315271032</v>
      </c>
      <c r="R176" s="34">
        <v>1204.7840188015202</v>
      </c>
      <c r="S176" s="56">
        <f t="shared" si="32"/>
        <v>54.784018801520233</v>
      </c>
      <c r="T176" s="56">
        <f t="shared" si="33"/>
        <v>3001.2887160453224</v>
      </c>
      <c r="U176" s="56">
        <f t="shared" si="34"/>
        <v>54.784018801520233</v>
      </c>
      <c r="V176" s="56">
        <f t="shared" si="35"/>
        <v>1.746509798572079</v>
      </c>
      <c r="W176" s="33">
        <f t="shared" si="36"/>
        <v>4.7638277218713245</v>
      </c>
      <c r="X176" s="143">
        <f t="shared" si="37"/>
        <v>4.7638277218713245</v>
      </c>
    </row>
    <row r="177" spans="1:24" ht="15" x14ac:dyDescent="0.2">
      <c r="A177" s="28" t="s">
        <v>734</v>
      </c>
      <c r="B177" s="224" t="s">
        <v>514</v>
      </c>
      <c r="C177" s="35" t="s">
        <v>403</v>
      </c>
      <c r="D177" s="35" t="s">
        <v>82</v>
      </c>
      <c r="E177" s="35" t="s">
        <v>662</v>
      </c>
      <c r="F177" s="35" t="s">
        <v>203</v>
      </c>
      <c r="G177" s="35" t="s">
        <v>627</v>
      </c>
      <c r="H177" s="35" t="s">
        <v>581</v>
      </c>
      <c r="I177" s="141">
        <v>5600</v>
      </c>
      <c r="J177" s="34">
        <v>7054.2743030895599</v>
      </c>
      <c r="K177" s="34">
        <f t="shared" si="26"/>
        <v>1454.2743030895599</v>
      </c>
      <c r="L177" s="56">
        <f t="shared" si="27"/>
        <v>2114913.7486266252</v>
      </c>
      <c r="M177" s="56">
        <f t="shared" si="28"/>
        <v>1454.2743030895599</v>
      </c>
      <c r="N177" s="56">
        <f t="shared" si="29"/>
        <v>3.1629448607379227</v>
      </c>
      <c r="O177" s="56">
        <f t="shared" si="38"/>
        <v>3.1629448607379227</v>
      </c>
      <c r="P177" s="143">
        <f t="shared" si="30"/>
        <v>25.969183983742141</v>
      </c>
      <c r="Q177" s="143">
        <f t="shared" si="31"/>
        <v>25.969183983742141</v>
      </c>
      <c r="R177" s="34">
        <v>7515.9425534525653</v>
      </c>
      <c r="S177" s="56">
        <f t="shared" si="32"/>
        <v>1915.9425534525653</v>
      </c>
      <c r="T177" s="56">
        <f t="shared" si="33"/>
        <v>3670835.868130336</v>
      </c>
      <c r="U177" s="56">
        <f t="shared" si="34"/>
        <v>1915.9425534525653</v>
      </c>
      <c r="V177" s="56">
        <f t="shared" si="35"/>
        <v>3.282609098223717</v>
      </c>
      <c r="W177" s="33">
        <f t="shared" si="36"/>
        <v>34.213259883081527</v>
      </c>
      <c r="X177" s="143">
        <f t="shared" si="37"/>
        <v>34.213259883081527</v>
      </c>
    </row>
    <row r="178" spans="1:24" ht="15" x14ac:dyDescent="0.2">
      <c r="A178" s="206" t="s">
        <v>460</v>
      </c>
      <c r="B178" s="224" t="s">
        <v>514</v>
      </c>
      <c r="C178" s="35" t="s">
        <v>403</v>
      </c>
      <c r="D178" s="35" t="s">
        <v>82</v>
      </c>
      <c r="E178" s="35" t="s">
        <v>662</v>
      </c>
      <c r="F178" s="35" t="s">
        <v>203</v>
      </c>
      <c r="G178" s="35" t="s">
        <v>627</v>
      </c>
      <c r="H178" s="35" t="s">
        <v>581</v>
      </c>
      <c r="I178" s="141">
        <v>4340</v>
      </c>
      <c r="J178" s="34">
        <v>4828.8706377658327</v>
      </c>
      <c r="K178" s="34">
        <f t="shared" si="26"/>
        <v>488.87063776583273</v>
      </c>
      <c r="L178" s="56">
        <f t="shared" si="27"/>
        <v>238994.50046957203</v>
      </c>
      <c r="M178" s="56">
        <f t="shared" si="28"/>
        <v>488.87063776583273</v>
      </c>
      <c r="N178" s="56">
        <f t="shared" si="29"/>
        <v>2.6900814091676333</v>
      </c>
      <c r="O178" s="56">
        <f t="shared" si="38"/>
        <v>2.6900814091676333</v>
      </c>
      <c r="P178" s="143">
        <f t="shared" si="30"/>
        <v>11.264300409350984</v>
      </c>
      <c r="Q178" s="143">
        <f t="shared" si="31"/>
        <v>11.264300409350984</v>
      </c>
      <c r="R178" s="34">
        <v>5182.2080736060016</v>
      </c>
      <c r="S178" s="56">
        <f t="shared" si="32"/>
        <v>842.20807360600156</v>
      </c>
      <c r="T178" s="56">
        <f t="shared" si="33"/>
        <v>709314.43924713216</v>
      </c>
      <c r="U178" s="56">
        <f t="shared" si="34"/>
        <v>842.20807360600156</v>
      </c>
      <c r="V178" s="56">
        <f t="shared" si="35"/>
        <v>2.9259347562007165</v>
      </c>
      <c r="W178" s="33">
        <f t="shared" si="36"/>
        <v>19.405715981705104</v>
      </c>
      <c r="X178" s="143">
        <f t="shared" si="37"/>
        <v>19.405715981705104</v>
      </c>
    </row>
    <row r="179" spans="1:24" ht="15" x14ac:dyDescent="0.2">
      <c r="A179" s="28" t="s">
        <v>327</v>
      </c>
      <c r="B179" s="224" t="s">
        <v>514</v>
      </c>
      <c r="C179" s="208" t="s">
        <v>403</v>
      </c>
      <c r="D179" s="35" t="s">
        <v>82</v>
      </c>
      <c r="E179" s="35" t="s">
        <v>662</v>
      </c>
      <c r="F179" s="35" t="s">
        <v>374</v>
      </c>
      <c r="G179" s="35" t="s">
        <v>626</v>
      </c>
      <c r="H179" s="35" t="s">
        <v>580</v>
      </c>
      <c r="I179" s="141">
        <v>1217.5999999999999</v>
      </c>
      <c r="J179" s="34">
        <v>1142.8963395731864</v>
      </c>
      <c r="K179" s="34">
        <f t="shared" si="26"/>
        <v>-74.703660426813485</v>
      </c>
      <c r="L179" s="56">
        <f t="shared" si="27"/>
        <v>5580.6368811646589</v>
      </c>
      <c r="M179" s="56">
        <f t="shared" si="28"/>
        <v>74.703660426813485</v>
      </c>
      <c r="N179" s="56">
        <f t="shared" si="29"/>
        <v>1.8791168790341968</v>
      </c>
      <c r="O179" s="56">
        <f t="shared" si="38"/>
        <v>-1.8791168790341968</v>
      </c>
      <c r="P179" s="143">
        <f t="shared" si="30"/>
        <v>-6.1353203372875731</v>
      </c>
      <c r="Q179" s="143">
        <f t="shared" si="31"/>
        <v>6.1353203372875731</v>
      </c>
      <c r="R179" s="34">
        <v>1332.4964677605224</v>
      </c>
      <c r="S179" s="56">
        <f t="shared" si="32"/>
        <v>114.89646776052246</v>
      </c>
      <c r="T179" s="56">
        <f t="shared" si="33"/>
        <v>13201.198303844776</v>
      </c>
      <c r="U179" s="56">
        <f t="shared" si="34"/>
        <v>114.89646776052246</v>
      </c>
      <c r="V179" s="56">
        <f t="shared" si="35"/>
        <v>2.064070199936932</v>
      </c>
      <c r="W179" s="33">
        <f t="shared" si="36"/>
        <v>9.4363064849312153</v>
      </c>
      <c r="X179" s="143">
        <f t="shared" si="37"/>
        <v>9.4363064849312153</v>
      </c>
    </row>
    <row r="180" spans="1:24" ht="15" x14ac:dyDescent="0.2">
      <c r="A180" s="28" t="s">
        <v>597</v>
      </c>
      <c r="B180" s="224" t="s">
        <v>514</v>
      </c>
      <c r="C180" s="208" t="s">
        <v>403</v>
      </c>
      <c r="D180" s="35" t="s">
        <v>82</v>
      </c>
      <c r="E180" s="35" t="s">
        <v>662</v>
      </c>
      <c r="F180" s="35" t="s">
        <v>203</v>
      </c>
      <c r="G180" s="35" t="s">
        <v>627</v>
      </c>
      <c r="H180" s="35" t="s">
        <v>581</v>
      </c>
      <c r="I180" s="141">
        <v>5241.7</v>
      </c>
      <c r="J180" s="34">
        <v>6658.4325402418253</v>
      </c>
      <c r="K180" s="34">
        <f t="shared" si="26"/>
        <v>1416.7325402418255</v>
      </c>
      <c r="L180" s="56">
        <f t="shared" si="27"/>
        <v>2007131.0905800557</v>
      </c>
      <c r="M180" s="56">
        <f t="shared" si="28"/>
        <v>1416.7325402418255</v>
      </c>
      <c r="N180" s="56">
        <f t="shared" si="29"/>
        <v>3.1515943075374251</v>
      </c>
      <c r="O180" s="56">
        <f t="shared" si="38"/>
        <v>3.1515943075374251</v>
      </c>
      <c r="P180" s="143">
        <f t="shared" si="30"/>
        <v>27.028111876716061</v>
      </c>
      <c r="Q180" s="143">
        <f t="shared" si="31"/>
        <v>27.028111876716061</v>
      </c>
      <c r="R180" s="34">
        <v>7160.3487940898021</v>
      </c>
      <c r="S180" s="56">
        <f t="shared" si="32"/>
        <v>1918.6487940898023</v>
      </c>
      <c r="T180" s="56">
        <f t="shared" si="33"/>
        <v>3681213.1950622527</v>
      </c>
      <c r="U180" s="56">
        <f t="shared" si="34"/>
        <v>1918.6487940898023</v>
      </c>
      <c r="V180" s="56">
        <f t="shared" si="35"/>
        <v>3.2832217804011576</v>
      </c>
      <c r="W180" s="33">
        <f t="shared" si="36"/>
        <v>36.603559801014981</v>
      </c>
      <c r="X180" s="143">
        <f t="shared" si="37"/>
        <v>36.603559801014981</v>
      </c>
    </row>
    <row r="181" spans="1:24" ht="15" x14ac:dyDescent="0.2">
      <c r="A181" s="28" t="s">
        <v>360</v>
      </c>
      <c r="B181" s="224" t="s">
        <v>514</v>
      </c>
      <c r="C181" s="208" t="s">
        <v>403</v>
      </c>
      <c r="D181" s="35" t="s">
        <v>82</v>
      </c>
      <c r="E181" s="35" t="s">
        <v>662</v>
      </c>
      <c r="F181" s="35" t="s">
        <v>494</v>
      </c>
      <c r="G181" s="35" t="s">
        <v>626</v>
      </c>
      <c r="H181" s="35" t="s">
        <v>580</v>
      </c>
      <c r="I181" s="141">
        <v>906.8</v>
      </c>
      <c r="J181" s="34">
        <v>1009.7164310456532</v>
      </c>
      <c r="K181" s="34">
        <f t="shared" si="26"/>
        <v>102.91643104565321</v>
      </c>
      <c r="L181" s="56">
        <f t="shared" si="27"/>
        <v>10591.791779174693</v>
      </c>
      <c r="M181" s="56">
        <f t="shared" si="28"/>
        <v>102.91643104565321</v>
      </c>
      <c r="N181" s="56">
        <f t="shared" si="29"/>
        <v>2.0166842227089741</v>
      </c>
      <c r="O181" s="56">
        <f t="shared" si="38"/>
        <v>2.0166842227089741</v>
      </c>
      <c r="P181" s="143">
        <f t="shared" si="30"/>
        <v>11.349407922987783</v>
      </c>
      <c r="Q181" s="143">
        <f t="shared" si="31"/>
        <v>11.349407922987783</v>
      </c>
      <c r="R181" s="34">
        <v>1151.7061316928889</v>
      </c>
      <c r="S181" s="56">
        <f t="shared" si="32"/>
        <v>244.90613169288895</v>
      </c>
      <c r="T181" s="56">
        <f t="shared" si="33"/>
        <v>59979.013340774662</v>
      </c>
      <c r="U181" s="56">
        <f t="shared" si="34"/>
        <v>244.90613169288895</v>
      </c>
      <c r="V181" s="56">
        <f t="shared" si="35"/>
        <v>2.3907693580481335</v>
      </c>
      <c r="W181" s="33">
        <f t="shared" si="36"/>
        <v>27.007733975836896</v>
      </c>
      <c r="X181" s="143">
        <f t="shared" si="37"/>
        <v>27.007733975836896</v>
      </c>
    </row>
    <row r="182" spans="1:24" ht="15" x14ac:dyDescent="0.2">
      <c r="A182" s="28" t="s">
        <v>136</v>
      </c>
      <c r="B182" s="224" t="s">
        <v>514</v>
      </c>
      <c r="C182" s="208" t="s">
        <v>403</v>
      </c>
      <c r="D182" s="35" t="s">
        <v>96</v>
      </c>
      <c r="E182" s="35" t="s">
        <v>662</v>
      </c>
      <c r="F182" s="35" t="s">
        <v>374</v>
      </c>
      <c r="G182" s="35" t="s">
        <v>627</v>
      </c>
      <c r="H182" s="35" t="s">
        <v>580</v>
      </c>
      <c r="I182" s="141">
        <v>2365.6</v>
      </c>
      <c r="J182" s="34">
        <v>2339.3143115413818</v>
      </c>
      <c r="K182" s="34">
        <f t="shared" si="26"/>
        <v>-26.285688458618097</v>
      </c>
      <c r="L182" s="56">
        <f t="shared" si="27"/>
        <v>690.93741774352861</v>
      </c>
      <c r="M182" s="56">
        <f t="shared" si="28"/>
        <v>26.285688458618097</v>
      </c>
      <c r="N182" s="56">
        <f t="shared" si="29"/>
        <v>1.4359349161549646</v>
      </c>
      <c r="O182" s="56">
        <f t="shared" si="38"/>
        <v>-1.4359349161549646</v>
      </c>
      <c r="P182" s="143">
        <f t="shared" si="30"/>
        <v>-1.1111636987917695</v>
      </c>
      <c r="Q182" s="143">
        <f t="shared" si="31"/>
        <v>1.1111636987917695</v>
      </c>
      <c r="R182" s="34">
        <v>2672.636772987913</v>
      </c>
      <c r="S182" s="56">
        <f t="shared" si="32"/>
        <v>307.03677298791308</v>
      </c>
      <c r="T182" s="56">
        <f t="shared" si="33"/>
        <v>94271.579966831268</v>
      </c>
      <c r="U182" s="56">
        <f t="shared" si="34"/>
        <v>307.03677298791308</v>
      </c>
      <c r="V182" s="56">
        <f t="shared" si="35"/>
        <v>2.4886025650473265</v>
      </c>
      <c r="W182" s="33">
        <f t="shared" si="36"/>
        <v>12.979234569999708</v>
      </c>
      <c r="X182" s="143">
        <f t="shared" si="37"/>
        <v>12.979234569999708</v>
      </c>
    </row>
    <row r="183" spans="1:24" ht="15" x14ac:dyDescent="0.2">
      <c r="A183" s="28" t="s">
        <v>157</v>
      </c>
      <c r="B183" s="224" t="s">
        <v>514</v>
      </c>
      <c r="C183" s="208" t="s">
        <v>403</v>
      </c>
      <c r="D183" s="35" t="s">
        <v>82</v>
      </c>
      <c r="E183" s="35" t="s">
        <v>662</v>
      </c>
      <c r="F183" s="35" t="s">
        <v>203</v>
      </c>
      <c r="G183" s="35" t="s">
        <v>627</v>
      </c>
      <c r="H183" s="35" t="s">
        <v>581</v>
      </c>
      <c r="I183" s="141">
        <v>6408.96</v>
      </c>
      <c r="J183" s="34">
        <v>8390.5438492698722</v>
      </c>
      <c r="K183" s="34">
        <f t="shared" si="26"/>
        <v>1981.5838492698722</v>
      </c>
      <c r="L183" s="56">
        <f t="shared" si="27"/>
        <v>3926674.5516872033</v>
      </c>
      <c r="M183" s="56">
        <f t="shared" si="28"/>
        <v>1981.5838492698722</v>
      </c>
      <c r="N183" s="56">
        <f t="shared" si="29"/>
        <v>3.2972315639619754</v>
      </c>
      <c r="O183" s="56">
        <f t="shared" si="38"/>
        <v>3.2972315639619754</v>
      </c>
      <c r="P183" s="143">
        <f t="shared" si="30"/>
        <v>30.918961099302731</v>
      </c>
      <c r="Q183" s="143">
        <f t="shared" si="31"/>
        <v>30.918961099302731</v>
      </c>
      <c r="R183" s="34">
        <v>8709.3836143707558</v>
      </c>
      <c r="S183" s="56">
        <f t="shared" si="32"/>
        <v>2300.4236143707558</v>
      </c>
      <c r="T183" s="56">
        <f t="shared" si="33"/>
        <v>5291948.8055546116</v>
      </c>
      <c r="U183" s="56">
        <f t="shared" si="34"/>
        <v>2300.4236143707558</v>
      </c>
      <c r="V183" s="56">
        <f t="shared" si="35"/>
        <v>3.3619965649750281</v>
      </c>
      <c r="W183" s="33">
        <f t="shared" si="36"/>
        <v>35.893867559959112</v>
      </c>
      <c r="X183" s="143">
        <f t="shared" si="37"/>
        <v>35.893867559959112</v>
      </c>
    </row>
    <row r="184" spans="1:24" ht="15" x14ac:dyDescent="0.2">
      <c r="A184" s="28" t="s">
        <v>322</v>
      </c>
      <c r="B184" s="224" t="s">
        <v>514</v>
      </c>
      <c r="C184" s="208" t="s">
        <v>403</v>
      </c>
      <c r="D184" s="35" t="s">
        <v>96</v>
      </c>
      <c r="E184" s="35" t="s">
        <v>662</v>
      </c>
      <c r="F184" s="35" t="s">
        <v>374</v>
      </c>
      <c r="G184" s="35" t="s">
        <v>627</v>
      </c>
      <c r="H184" s="35" t="s">
        <v>580</v>
      </c>
      <c r="I184" s="141">
        <f>337.19+626.59+495.45+752.43</f>
        <v>2211.66</v>
      </c>
      <c r="J184" s="34">
        <v>2809.90043671082</v>
      </c>
      <c r="K184" s="34">
        <f t="shared" si="26"/>
        <v>598.24043671082018</v>
      </c>
      <c r="L184" s="56">
        <f t="shared" si="27"/>
        <v>357891.62011595286</v>
      </c>
      <c r="M184" s="56">
        <f t="shared" si="28"/>
        <v>598.24043671082018</v>
      </c>
      <c r="N184" s="56">
        <f t="shared" si="29"/>
        <v>2.7776011118473507</v>
      </c>
      <c r="O184" s="56">
        <f t="shared" si="38"/>
        <v>2.7776011118473507</v>
      </c>
      <c r="P184" s="143">
        <f t="shared" si="30"/>
        <v>27.049385380701384</v>
      </c>
      <c r="Q184" s="143">
        <f t="shared" si="31"/>
        <v>27.049385380701384</v>
      </c>
      <c r="R184" s="34">
        <v>3126.4428216157248</v>
      </c>
      <c r="S184" s="56">
        <f t="shared" si="32"/>
        <v>914.78282161572497</v>
      </c>
      <c r="T184" s="56">
        <f t="shared" si="33"/>
        <v>836827.61072322726</v>
      </c>
      <c r="U184" s="56">
        <f t="shared" si="34"/>
        <v>914.78282161572497</v>
      </c>
      <c r="V184" s="56">
        <f t="shared" si="35"/>
        <v>2.9617924927104919</v>
      </c>
      <c r="W184" s="33">
        <f t="shared" si="36"/>
        <v>41.361819701750044</v>
      </c>
      <c r="X184" s="143">
        <f t="shared" si="37"/>
        <v>41.361819701750044</v>
      </c>
    </row>
    <row r="185" spans="1:24" ht="15" x14ac:dyDescent="0.2">
      <c r="A185" s="28" t="s">
        <v>152</v>
      </c>
      <c r="B185" s="224" t="s">
        <v>514</v>
      </c>
      <c r="C185" s="208" t="s">
        <v>403</v>
      </c>
      <c r="D185" s="35" t="s">
        <v>82</v>
      </c>
      <c r="E185" s="35" t="s">
        <v>662</v>
      </c>
      <c r="F185" s="35" t="s">
        <v>203</v>
      </c>
      <c r="G185" s="35" t="s">
        <v>627</v>
      </c>
      <c r="H185" s="35" t="s">
        <v>581</v>
      </c>
      <c r="I185" s="141">
        <v>5810</v>
      </c>
      <c r="J185" s="34">
        <v>8814.1965261720907</v>
      </c>
      <c r="K185" s="34">
        <f t="shared" si="26"/>
        <v>3004.1965261720907</v>
      </c>
      <c r="L185" s="56">
        <f t="shared" si="27"/>
        <v>9025196.7678644564</v>
      </c>
      <c r="M185" s="56">
        <f t="shared" si="28"/>
        <v>3004.1965261720907</v>
      </c>
      <c r="N185" s="56">
        <f t="shared" si="29"/>
        <v>3.4778728781494967</v>
      </c>
      <c r="O185" s="56">
        <f t="shared" si="38"/>
        <v>3.4778728781494967</v>
      </c>
      <c r="P185" s="143">
        <f t="shared" si="30"/>
        <v>51.707341242204656</v>
      </c>
      <c r="Q185" s="143">
        <f t="shared" si="31"/>
        <v>51.707341242204656</v>
      </c>
      <c r="R185" s="34">
        <v>9530.8044002059778</v>
      </c>
      <c r="S185" s="56">
        <f t="shared" si="32"/>
        <v>3720.8044002059778</v>
      </c>
      <c r="T185" s="56">
        <f t="shared" si="33"/>
        <v>13844385.384592166</v>
      </c>
      <c r="U185" s="56">
        <f t="shared" si="34"/>
        <v>3720.8044002059778</v>
      </c>
      <c r="V185" s="56">
        <f t="shared" si="35"/>
        <v>3.5707535450055516</v>
      </c>
      <c r="W185" s="33">
        <f t="shared" si="36"/>
        <v>64.041383824543502</v>
      </c>
      <c r="X185" s="143">
        <f t="shared" si="37"/>
        <v>64.041383824543502</v>
      </c>
    </row>
    <row r="186" spans="1:24" ht="15" x14ac:dyDescent="0.2">
      <c r="A186" s="28" t="s">
        <v>345</v>
      </c>
      <c r="B186" s="224" t="s">
        <v>514</v>
      </c>
      <c r="C186" s="208" t="s">
        <v>403</v>
      </c>
      <c r="D186" s="35" t="s">
        <v>82</v>
      </c>
      <c r="E186" s="35" t="s">
        <v>662</v>
      </c>
      <c r="F186" s="35" t="s">
        <v>374</v>
      </c>
      <c r="G186" s="35" t="s">
        <v>626</v>
      </c>
      <c r="H186" s="35" t="s">
        <v>580</v>
      </c>
      <c r="I186" s="141">
        <v>1499</v>
      </c>
      <c r="J186" s="34">
        <v>1600.4447985043246</v>
      </c>
      <c r="K186" s="34">
        <f t="shared" si="26"/>
        <v>101.44479850432458</v>
      </c>
      <c r="L186" s="56">
        <f t="shared" si="27"/>
        <v>10291.047143583015</v>
      </c>
      <c r="M186" s="56">
        <f t="shared" si="28"/>
        <v>101.44479850432458</v>
      </c>
      <c r="N186" s="56">
        <f t="shared" si="29"/>
        <v>2.0104899125838038</v>
      </c>
      <c r="O186" s="56">
        <f t="shared" si="38"/>
        <v>2.0104899125838038</v>
      </c>
      <c r="P186" s="143">
        <f t="shared" si="30"/>
        <v>6.7674982324432671</v>
      </c>
      <c r="Q186" s="143">
        <f t="shared" si="31"/>
        <v>6.7674982324432671</v>
      </c>
      <c r="R186" s="34">
        <v>1825.4585144519569</v>
      </c>
      <c r="S186" s="56">
        <f t="shared" si="32"/>
        <v>326.45851445195694</v>
      </c>
      <c r="T186" s="56">
        <f t="shared" si="33"/>
        <v>106575.16165817858</v>
      </c>
      <c r="U186" s="56">
        <f t="shared" si="34"/>
        <v>326.45851445195694</v>
      </c>
      <c r="V186" s="56">
        <f t="shared" si="35"/>
        <v>2.51515628727185</v>
      </c>
      <c r="W186" s="33">
        <f t="shared" si="36"/>
        <v>21.778419910070511</v>
      </c>
      <c r="X186" s="143">
        <f t="shared" si="37"/>
        <v>21.778419910070511</v>
      </c>
    </row>
    <row r="187" spans="1:24" ht="15" x14ac:dyDescent="0.2">
      <c r="A187" s="218" t="s">
        <v>344</v>
      </c>
      <c r="B187" s="224" t="s">
        <v>514</v>
      </c>
      <c r="C187" s="208" t="s">
        <v>403</v>
      </c>
      <c r="D187" s="35" t="s">
        <v>82</v>
      </c>
      <c r="E187" s="35" t="s">
        <v>662</v>
      </c>
      <c r="F187" s="35" t="s">
        <v>374</v>
      </c>
      <c r="G187" s="35" t="s">
        <v>626</v>
      </c>
      <c r="H187" s="35" t="s">
        <v>580</v>
      </c>
      <c r="I187" s="141">
        <v>1427.7</v>
      </c>
      <c r="J187" s="34">
        <v>1366.5200262843925</v>
      </c>
      <c r="K187" s="34">
        <f t="shared" si="26"/>
        <v>-61.179973715607503</v>
      </c>
      <c r="L187" s="56">
        <f t="shared" si="27"/>
        <v>3742.9891838424251</v>
      </c>
      <c r="M187" s="56">
        <f t="shared" si="28"/>
        <v>61.179973715607503</v>
      </c>
      <c r="N187" s="56">
        <f t="shared" si="29"/>
        <v>1.7936505341245252</v>
      </c>
      <c r="O187" s="56">
        <f t="shared" si="38"/>
        <v>-1.7936505341245252</v>
      </c>
      <c r="P187" s="143">
        <f t="shared" si="30"/>
        <v>-4.2852121394976184</v>
      </c>
      <c r="Q187" s="143">
        <f t="shared" si="31"/>
        <v>4.2852121394976184</v>
      </c>
      <c r="R187" s="34">
        <v>1568.2514945465718</v>
      </c>
      <c r="S187" s="56">
        <f t="shared" si="32"/>
        <v>140.5514945465718</v>
      </c>
      <c r="T187" s="56">
        <f t="shared" si="33"/>
        <v>19754.722619275002</v>
      </c>
      <c r="U187" s="56">
        <f t="shared" si="34"/>
        <v>140.5514945465718</v>
      </c>
      <c r="V187" s="56">
        <f t="shared" si="35"/>
        <v>2.1509144591472715</v>
      </c>
      <c r="W187" s="33">
        <f t="shared" si="36"/>
        <v>9.8446098302564824</v>
      </c>
      <c r="X187" s="143">
        <f t="shared" si="37"/>
        <v>9.8446098302564824</v>
      </c>
    </row>
    <row r="188" spans="1:24" ht="15" x14ac:dyDescent="0.2">
      <c r="A188" s="28" t="s">
        <v>306</v>
      </c>
      <c r="B188" s="224" t="s">
        <v>514</v>
      </c>
      <c r="C188" s="208" t="s">
        <v>403</v>
      </c>
      <c r="D188" s="35" t="s">
        <v>148</v>
      </c>
      <c r="E188" s="35" t="s">
        <v>662</v>
      </c>
      <c r="F188" s="35" t="s">
        <v>494</v>
      </c>
      <c r="G188" s="35" t="s">
        <v>626</v>
      </c>
      <c r="H188" s="35" t="s">
        <v>580</v>
      </c>
      <c r="I188" s="141">
        <v>1098.0999999999999</v>
      </c>
      <c r="J188" s="34">
        <v>1254.7504839175699</v>
      </c>
      <c r="K188" s="34">
        <f t="shared" si="26"/>
        <v>156.65048391757</v>
      </c>
      <c r="L188" s="56">
        <f t="shared" si="27"/>
        <v>24539.374111608857</v>
      </c>
      <c r="M188" s="56">
        <f t="shared" si="28"/>
        <v>156.65048391757</v>
      </c>
      <c r="N188" s="56">
        <f t="shared" si="29"/>
        <v>2.1976953081788033</v>
      </c>
      <c r="O188" s="56">
        <f t="shared" si="38"/>
        <v>2.1976953081788033</v>
      </c>
      <c r="P188" s="143">
        <f t="shared" si="30"/>
        <v>14.265593654272836</v>
      </c>
      <c r="Q188" s="143">
        <f t="shared" si="31"/>
        <v>14.265593654272836</v>
      </c>
      <c r="R188" s="34">
        <v>1435.3812693587888</v>
      </c>
      <c r="S188" s="56">
        <f t="shared" si="32"/>
        <v>337.2812693587889</v>
      </c>
      <c r="T188" s="56">
        <f t="shared" si="33"/>
        <v>113758.65466027592</v>
      </c>
      <c r="U188" s="56">
        <f t="shared" si="34"/>
        <v>337.2812693587889</v>
      </c>
      <c r="V188" s="56">
        <f t="shared" si="35"/>
        <v>2.5292779515588255</v>
      </c>
      <c r="W188" s="33">
        <f t="shared" si="36"/>
        <v>30.714986736981054</v>
      </c>
      <c r="X188" s="143">
        <f t="shared" si="37"/>
        <v>30.714986736981054</v>
      </c>
    </row>
    <row r="189" spans="1:24" ht="15" x14ac:dyDescent="0.2">
      <c r="A189" s="28" t="s">
        <v>75</v>
      </c>
      <c r="B189" s="224" t="s">
        <v>514</v>
      </c>
      <c r="C189" s="208" t="s">
        <v>403</v>
      </c>
      <c r="D189" s="35" t="s">
        <v>82</v>
      </c>
      <c r="E189" s="35" t="s">
        <v>662</v>
      </c>
      <c r="F189" s="35" t="s">
        <v>374</v>
      </c>
      <c r="G189" s="35" t="s">
        <v>627</v>
      </c>
      <c r="H189" s="35" t="s">
        <v>580</v>
      </c>
      <c r="I189" s="141">
        <v>2106.6</v>
      </c>
      <c r="J189" s="34">
        <v>1879.1894948385327</v>
      </c>
      <c r="K189" s="34">
        <f t="shared" si="26"/>
        <v>-227.4105051614672</v>
      </c>
      <c r="L189" s="56">
        <f t="shared" si="27"/>
        <v>51715.537857793701</v>
      </c>
      <c r="M189" s="56">
        <f t="shared" si="28"/>
        <v>227.4105051614672</v>
      </c>
      <c r="N189" s="56">
        <f t="shared" si="29"/>
        <v>2.3587160743055908</v>
      </c>
      <c r="O189" s="56">
        <f t="shared" si="38"/>
        <v>-2.3587160743055908</v>
      </c>
      <c r="P189" s="143">
        <f t="shared" si="30"/>
        <v>-10.79514407867973</v>
      </c>
      <c r="Q189" s="143">
        <f t="shared" si="31"/>
        <v>10.79514407867973</v>
      </c>
      <c r="R189" s="34">
        <v>2092.3707919978888</v>
      </c>
      <c r="S189" s="56">
        <f t="shared" si="32"/>
        <v>-14.229208002111136</v>
      </c>
      <c r="T189" s="56">
        <f t="shared" si="33"/>
        <v>202.47036036734357</v>
      </c>
      <c r="U189" s="56">
        <f t="shared" si="34"/>
        <v>14.229208002111136</v>
      </c>
      <c r="V189" s="56">
        <f t="shared" si="35"/>
        <v>1.1826773183553125</v>
      </c>
      <c r="W189" s="33">
        <f t="shared" si="36"/>
        <v>-0.67545846397565446</v>
      </c>
      <c r="X189" s="143">
        <f t="shared" si="37"/>
        <v>0.67545846397565446</v>
      </c>
    </row>
    <row r="190" spans="1:24" ht="15" x14ac:dyDescent="0.2">
      <c r="A190" s="28" t="s">
        <v>301</v>
      </c>
      <c r="B190" s="224" t="s">
        <v>514</v>
      </c>
      <c r="C190" s="208" t="s">
        <v>403</v>
      </c>
      <c r="D190" s="35" t="s">
        <v>82</v>
      </c>
      <c r="E190" s="35" t="s">
        <v>662</v>
      </c>
      <c r="F190" s="35" t="s">
        <v>374</v>
      </c>
      <c r="G190" s="35" t="s">
        <v>626</v>
      </c>
      <c r="H190" s="35" t="s">
        <v>580</v>
      </c>
      <c r="I190" s="141">
        <v>1300</v>
      </c>
      <c r="J190" s="34">
        <v>1177.995897091685</v>
      </c>
      <c r="K190" s="34">
        <f t="shared" si="26"/>
        <v>-122.00410290831496</v>
      </c>
      <c r="L190" s="56">
        <f t="shared" si="27"/>
        <v>14885.001126462708</v>
      </c>
      <c r="M190" s="56">
        <f t="shared" si="28"/>
        <v>122.00410290831496</v>
      </c>
      <c r="N190" s="56">
        <f t="shared" si="29"/>
        <v>2.0899195979493386</v>
      </c>
      <c r="O190" s="56">
        <f t="shared" si="38"/>
        <v>-2.0899195979493386</v>
      </c>
      <c r="P190" s="143">
        <f t="shared" si="30"/>
        <v>-9.3849309929473055</v>
      </c>
      <c r="Q190" s="143">
        <f t="shared" si="31"/>
        <v>9.3849309929473055</v>
      </c>
      <c r="R190" s="34">
        <v>1366.7962954436839</v>
      </c>
      <c r="S190" s="56">
        <f t="shared" si="32"/>
        <v>66.796295443683903</v>
      </c>
      <c r="T190" s="56">
        <f t="shared" si="33"/>
        <v>4461.7450849999068</v>
      </c>
      <c r="U190" s="56">
        <f t="shared" si="34"/>
        <v>66.796295443683903</v>
      </c>
      <c r="V190" s="56">
        <f t="shared" si="35"/>
        <v>1.8312059635968356</v>
      </c>
      <c r="W190" s="33">
        <f t="shared" si="36"/>
        <v>5.1381765725910693</v>
      </c>
      <c r="X190" s="143">
        <f t="shared" si="37"/>
        <v>5.1381765725910693</v>
      </c>
    </row>
    <row r="191" spans="1:24" ht="15" x14ac:dyDescent="0.2">
      <c r="A191" s="28" t="s">
        <v>664</v>
      </c>
      <c r="B191" s="224" t="s">
        <v>514</v>
      </c>
      <c r="C191" s="208" t="s">
        <v>403</v>
      </c>
      <c r="D191" s="35" t="s">
        <v>82</v>
      </c>
      <c r="E191" s="35" t="s">
        <v>662</v>
      </c>
      <c r="F191" s="35" t="s">
        <v>374</v>
      </c>
      <c r="G191" s="35" t="s">
        <v>627</v>
      </c>
      <c r="H191" s="35" t="s">
        <v>580</v>
      </c>
      <c r="I191" s="141">
        <v>1730.8</v>
      </c>
      <c r="J191" s="34">
        <v>1622.1737949643741</v>
      </c>
      <c r="K191" s="34">
        <f t="shared" si="26"/>
        <v>-108.62620503562584</v>
      </c>
      <c r="L191" s="56">
        <f t="shared" si="27"/>
        <v>11799.652420441826</v>
      </c>
      <c r="M191" s="56">
        <f t="shared" si="28"/>
        <v>108.62620503562584</v>
      </c>
      <c r="N191" s="56">
        <f t="shared" si="29"/>
        <v>2.0399143802618638</v>
      </c>
      <c r="O191" s="56">
        <f t="shared" si="38"/>
        <v>-2.0399143802618638</v>
      </c>
      <c r="P191" s="143">
        <f t="shared" si="30"/>
        <v>-6.2760691608288566</v>
      </c>
      <c r="Q191" s="143">
        <f t="shared" si="31"/>
        <v>6.2760691608288566</v>
      </c>
      <c r="R191" s="34">
        <v>1918.6619567929843</v>
      </c>
      <c r="S191" s="56">
        <f t="shared" si="32"/>
        <v>187.8619567929843</v>
      </c>
      <c r="T191" s="56">
        <f t="shared" si="33"/>
        <v>35292.114810089101</v>
      </c>
      <c r="U191" s="56">
        <f t="shared" si="34"/>
        <v>187.8619567929843</v>
      </c>
      <c r="V191" s="56">
        <f t="shared" si="35"/>
        <v>2.2761444850853576</v>
      </c>
      <c r="W191" s="33">
        <f t="shared" si="36"/>
        <v>10.854053431533645</v>
      </c>
      <c r="X191" s="143">
        <f t="shared" si="37"/>
        <v>10.854053431533645</v>
      </c>
    </row>
    <row r="192" spans="1:24" ht="15" x14ac:dyDescent="0.2">
      <c r="A192" s="28" t="s">
        <v>282</v>
      </c>
      <c r="B192" s="224" t="s">
        <v>514</v>
      </c>
      <c r="C192" s="208" t="s">
        <v>403</v>
      </c>
      <c r="D192" s="35" t="s">
        <v>96</v>
      </c>
      <c r="E192" s="35" t="s">
        <v>662</v>
      </c>
      <c r="F192" s="35" t="s">
        <v>494</v>
      </c>
      <c r="G192" s="35" t="s">
        <v>626</v>
      </c>
      <c r="H192" s="35" t="s">
        <v>580</v>
      </c>
      <c r="I192" s="141">
        <v>872.2</v>
      </c>
      <c r="J192" s="34">
        <v>779.66491710397077</v>
      </c>
      <c r="K192" s="34">
        <f t="shared" si="26"/>
        <v>-92.53508289602928</v>
      </c>
      <c r="L192" s="56">
        <f t="shared" si="27"/>
        <v>8562.7415665750104</v>
      </c>
      <c r="M192" s="56">
        <f t="shared" si="28"/>
        <v>92.53508289602928</v>
      </c>
      <c r="N192" s="56">
        <f t="shared" si="29"/>
        <v>1.9709745354757255</v>
      </c>
      <c r="O192" s="56">
        <f t="shared" si="38"/>
        <v>-1.9709745354757255</v>
      </c>
      <c r="P192" s="143">
        <f t="shared" si="30"/>
        <v>-10.609388087139333</v>
      </c>
      <c r="Q192" s="143">
        <f t="shared" si="31"/>
        <v>10.609388087139333</v>
      </c>
      <c r="R192" s="34">
        <v>911.54582234535405</v>
      </c>
      <c r="S192" s="56">
        <f t="shared" si="32"/>
        <v>39.345822345354009</v>
      </c>
      <c r="T192" s="56">
        <f t="shared" si="33"/>
        <v>1548.0937360321589</v>
      </c>
      <c r="U192" s="56">
        <f t="shared" si="34"/>
        <v>39.345822345354009</v>
      </c>
      <c r="V192" s="56">
        <f t="shared" si="35"/>
        <v>1.6057985718637799</v>
      </c>
      <c r="W192" s="33">
        <f t="shared" si="36"/>
        <v>4.5111009338860359</v>
      </c>
      <c r="X192" s="143">
        <f t="shared" si="37"/>
        <v>4.5111009338860359</v>
      </c>
    </row>
    <row r="193" spans="1:24" ht="15" x14ac:dyDescent="0.2">
      <c r="A193" s="28" t="s">
        <v>600</v>
      </c>
      <c r="B193" s="224" t="s">
        <v>514</v>
      </c>
      <c r="C193" s="208" t="s">
        <v>403</v>
      </c>
      <c r="D193" s="35" t="s">
        <v>82</v>
      </c>
      <c r="E193" s="35" t="s">
        <v>662</v>
      </c>
      <c r="F193" s="35" t="s">
        <v>293</v>
      </c>
      <c r="G193" s="35" t="s">
        <v>627</v>
      </c>
      <c r="H193" s="35" t="s">
        <v>580</v>
      </c>
      <c r="I193" s="141">
        <v>2516.1099999999997</v>
      </c>
      <c r="J193" s="34">
        <v>3342.9983939947442</v>
      </c>
      <c r="K193" s="34">
        <f t="shared" si="26"/>
        <v>826.88839399474455</v>
      </c>
      <c r="L193" s="56">
        <f t="shared" si="27"/>
        <v>683744.41612320789</v>
      </c>
      <c r="M193" s="56">
        <f t="shared" si="28"/>
        <v>826.88839399474455</v>
      </c>
      <c r="N193" s="56">
        <f t="shared" si="29"/>
        <v>2.9179717943462968</v>
      </c>
      <c r="O193" s="56">
        <f t="shared" si="38"/>
        <v>2.9179717943462968</v>
      </c>
      <c r="P193" s="143">
        <f t="shared" si="30"/>
        <v>32.863761679526917</v>
      </c>
      <c r="Q193" s="143">
        <f t="shared" si="31"/>
        <v>32.863761679526917</v>
      </c>
      <c r="R193" s="34">
        <v>3637.3337490540662</v>
      </c>
      <c r="S193" s="56">
        <f t="shared" si="32"/>
        <v>1121.2237490540665</v>
      </c>
      <c r="T193" s="56">
        <f t="shared" si="33"/>
        <v>1257142.6954428563</v>
      </c>
      <c r="U193" s="56">
        <f t="shared" si="34"/>
        <v>1121.2237490540665</v>
      </c>
      <c r="V193" s="56">
        <f t="shared" si="35"/>
        <v>3.0500794552193318</v>
      </c>
      <c r="W193" s="33">
        <f t="shared" si="36"/>
        <v>44.561793763152906</v>
      </c>
      <c r="X193" s="143">
        <f t="shared" si="37"/>
        <v>44.561793763152906</v>
      </c>
    </row>
    <row r="194" spans="1:24" ht="15" x14ac:dyDescent="0.2">
      <c r="A194" s="28" t="s">
        <v>289</v>
      </c>
      <c r="B194" s="224" t="s">
        <v>514</v>
      </c>
      <c r="C194" s="208" t="s">
        <v>403</v>
      </c>
      <c r="D194" s="35" t="s">
        <v>148</v>
      </c>
      <c r="E194" s="35" t="s">
        <v>662</v>
      </c>
      <c r="F194" s="35" t="s">
        <v>494</v>
      </c>
      <c r="G194" s="35" t="s">
        <v>626</v>
      </c>
      <c r="H194" s="35" t="s">
        <v>580</v>
      </c>
      <c r="I194" s="141">
        <v>899.05</v>
      </c>
      <c r="J194" s="34">
        <v>850.31812318938046</v>
      </c>
      <c r="K194" s="34">
        <f t="shared" ref="K194:K257" si="39">J194-I194</f>
        <v>-48.731876810619497</v>
      </c>
      <c r="L194" s="56">
        <f t="shared" ref="L194:L257" si="40">K194^2</f>
        <v>2374.7958174853943</v>
      </c>
      <c r="M194" s="56">
        <f t="shared" ref="M194:M257" si="41">SQRT(L194)</f>
        <v>48.731876810619497</v>
      </c>
      <c r="N194" s="56">
        <f t="shared" ref="N194:N257" si="42">LOG10(M194+1)</f>
        <v>1.6966348492003587</v>
      </c>
      <c r="O194" s="56">
        <f t="shared" si="38"/>
        <v>-1.6966348492003587</v>
      </c>
      <c r="P194" s="143">
        <f t="shared" ref="P194:P257" si="43">100*K194/I194</f>
        <v>-5.4203744853589342</v>
      </c>
      <c r="Q194" s="143">
        <f t="shared" ref="Q194:Q257" si="44">ABS(P194)</f>
        <v>5.4203744853589342</v>
      </c>
      <c r="R194" s="34">
        <v>985.87386792291613</v>
      </c>
      <c r="S194" s="56">
        <f t="shared" ref="S194:S257" si="45">R194-I194</f>
        <v>86.823867922916179</v>
      </c>
      <c r="T194" s="56">
        <f t="shared" ref="T194:T257" si="46">S194^2</f>
        <v>7538.3840410959929</v>
      </c>
      <c r="U194" s="56">
        <f t="shared" ref="U194:U257" si="47">SQRT(T194)</f>
        <v>86.823867922916179</v>
      </c>
      <c r="V194" s="56">
        <f t="shared" ref="V194:V257" si="48">LOG10(U194+1)</f>
        <v>1.9436125603086476</v>
      </c>
      <c r="W194" s="33">
        <f t="shared" ref="W194:W257" si="49">100*S194/I194</f>
        <v>9.6572902422463915</v>
      </c>
      <c r="X194" s="143">
        <f t="shared" ref="X194:X257" si="50">ABS(W194)</f>
        <v>9.6572902422463915</v>
      </c>
    </row>
    <row r="195" spans="1:24" ht="15" x14ac:dyDescent="0.2">
      <c r="A195" s="28" t="s">
        <v>310</v>
      </c>
      <c r="B195" s="224" t="s">
        <v>514</v>
      </c>
      <c r="C195" s="208" t="s">
        <v>403</v>
      </c>
      <c r="D195" s="35" t="s">
        <v>82</v>
      </c>
      <c r="E195" s="35" t="s">
        <v>662</v>
      </c>
      <c r="F195" s="35" t="s">
        <v>374</v>
      </c>
      <c r="G195" s="35" t="s">
        <v>626</v>
      </c>
      <c r="H195" s="35" t="s">
        <v>580</v>
      </c>
      <c r="I195" s="142">
        <f>489.03+252.1+310.1+413</f>
        <v>1464.23</v>
      </c>
      <c r="J195" s="34">
        <v>1758.3691271865264</v>
      </c>
      <c r="K195" s="34">
        <f t="shared" si="39"/>
        <v>294.13912718652637</v>
      </c>
      <c r="L195" s="56">
        <f t="shared" si="40"/>
        <v>86517.826142051534</v>
      </c>
      <c r="M195" s="56">
        <f t="shared" si="41"/>
        <v>294.13912718652637</v>
      </c>
      <c r="N195" s="56">
        <f t="shared" si="42"/>
        <v>2.4700267886079619</v>
      </c>
      <c r="O195" s="56">
        <f t="shared" ref="O195:O258" si="51">N195*SIGN(K195)</f>
        <v>2.4700267886079619</v>
      </c>
      <c r="P195" s="143">
        <f t="shared" si="43"/>
        <v>20.088314485191969</v>
      </c>
      <c r="Q195" s="143">
        <f t="shared" si="44"/>
        <v>20.088314485191969</v>
      </c>
      <c r="R195" s="34">
        <v>2004.2471621802322</v>
      </c>
      <c r="S195" s="56">
        <f t="shared" si="45"/>
        <v>540.01716218023216</v>
      </c>
      <c r="T195" s="56">
        <f t="shared" si="46"/>
        <v>291618.53544919117</v>
      </c>
      <c r="U195" s="56">
        <f t="shared" si="47"/>
        <v>540.01716218023216</v>
      </c>
      <c r="V195" s="56">
        <f t="shared" si="48"/>
        <v>2.7332110420417854</v>
      </c>
      <c r="W195" s="33">
        <f t="shared" si="49"/>
        <v>36.880624094591163</v>
      </c>
      <c r="X195" s="143">
        <f t="shared" si="50"/>
        <v>36.880624094591163</v>
      </c>
    </row>
    <row r="196" spans="1:24" ht="15" x14ac:dyDescent="0.2">
      <c r="A196" s="28" t="s">
        <v>290</v>
      </c>
      <c r="B196" s="224" t="s">
        <v>514</v>
      </c>
      <c r="C196" s="208" t="s">
        <v>403</v>
      </c>
      <c r="D196" s="35" t="s">
        <v>82</v>
      </c>
      <c r="E196" s="35" t="s">
        <v>662</v>
      </c>
      <c r="F196" s="35" t="s">
        <v>374</v>
      </c>
      <c r="G196" s="35" t="s">
        <v>626</v>
      </c>
      <c r="H196" s="35" t="s">
        <v>580</v>
      </c>
      <c r="I196" s="141">
        <v>1369.3</v>
      </c>
      <c r="J196" s="34">
        <v>1358.2029566514373</v>
      </c>
      <c r="K196" s="34">
        <f t="shared" si="39"/>
        <v>-11.097043348562693</v>
      </c>
      <c r="L196" s="56">
        <f t="shared" si="40"/>
        <v>123.14437107987951</v>
      </c>
      <c r="M196" s="56">
        <f t="shared" si="41"/>
        <v>11.097043348562693</v>
      </c>
      <c r="N196" s="56">
        <f t="shared" si="42"/>
        <v>1.0826792369023774</v>
      </c>
      <c r="O196" s="56">
        <f t="shared" si="51"/>
        <v>-1.0826792369023774</v>
      </c>
      <c r="P196" s="143">
        <f t="shared" si="43"/>
        <v>-0.81041724593315512</v>
      </c>
      <c r="Q196" s="143">
        <f t="shared" si="44"/>
        <v>0.81041724593315512</v>
      </c>
      <c r="R196" s="34">
        <v>1532.2118267484141</v>
      </c>
      <c r="S196" s="56">
        <f t="shared" si="45"/>
        <v>162.91182674841411</v>
      </c>
      <c r="T196" s="56">
        <f t="shared" si="46"/>
        <v>26540.263294505297</v>
      </c>
      <c r="U196" s="56">
        <f t="shared" si="47"/>
        <v>162.91182674841411</v>
      </c>
      <c r="V196" s="56">
        <f t="shared" si="48"/>
        <v>2.2146102903994858</v>
      </c>
      <c r="W196" s="33">
        <f t="shared" si="49"/>
        <v>11.897453205901856</v>
      </c>
      <c r="X196" s="143">
        <f t="shared" si="50"/>
        <v>11.897453205901856</v>
      </c>
    </row>
    <row r="197" spans="1:24" ht="15" x14ac:dyDescent="0.2">
      <c r="A197" s="28" t="s">
        <v>365</v>
      </c>
      <c r="B197" s="224" t="s">
        <v>514</v>
      </c>
      <c r="C197" s="208" t="s">
        <v>403</v>
      </c>
      <c r="D197" s="35" t="s">
        <v>148</v>
      </c>
      <c r="E197" s="35" t="s">
        <v>662</v>
      </c>
      <c r="F197" s="35" t="s">
        <v>494</v>
      </c>
      <c r="G197" s="35" t="s">
        <v>626</v>
      </c>
      <c r="H197" s="35" t="s">
        <v>580</v>
      </c>
      <c r="I197" s="141">
        <v>992.24</v>
      </c>
      <c r="J197" s="34">
        <v>876.87085083226361</v>
      </c>
      <c r="K197" s="34">
        <f t="shared" si="39"/>
        <v>-115.3691491677364</v>
      </c>
      <c r="L197" s="56">
        <f t="shared" si="40"/>
        <v>13310.040579687411</v>
      </c>
      <c r="M197" s="56">
        <f t="shared" si="41"/>
        <v>115.3691491677364</v>
      </c>
      <c r="N197" s="56">
        <f t="shared" si="42"/>
        <v>2.0658378589900983</v>
      </c>
      <c r="O197" s="56">
        <f t="shared" si="51"/>
        <v>-2.0658378589900983</v>
      </c>
      <c r="P197" s="143">
        <f t="shared" si="43"/>
        <v>-11.627141535085906</v>
      </c>
      <c r="Q197" s="143">
        <f t="shared" si="44"/>
        <v>11.627141535085906</v>
      </c>
      <c r="R197" s="34">
        <v>1055.7510288117053</v>
      </c>
      <c r="S197" s="56">
        <f t="shared" si="45"/>
        <v>63.511028811705273</v>
      </c>
      <c r="T197" s="56">
        <f t="shared" si="46"/>
        <v>4033.6507807212574</v>
      </c>
      <c r="U197" s="56">
        <f t="shared" si="47"/>
        <v>63.511028811705273</v>
      </c>
      <c r="V197" s="56">
        <f t="shared" si="48"/>
        <v>1.809633968009128</v>
      </c>
      <c r="W197" s="33">
        <f t="shared" si="49"/>
        <v>6.4007728787093114</v>
      </c>
      <c r="X197" s="143">
        <f t="shared" si="50"/>
        <v>6.4007728787093114</v>
      </c>
    </row>
    <row r="198" spans="1:24" ht="15" x14ac:dyDescent="0.2">
      <c r="A198" s="28" t="s">
        <v>601</v>
      </c>
      <c r="B198" s="224" t="s">
        <v>514</v>
      </c>
      <c r="C198" s="208" t="s">
        <v>403</v>
      </c>
      <c r="D198" s="35" t="s">
        <v>82</v>
      </c>
      <c r="E198" s="35" t="s">
        <v>662</v>
      </c>
      <c r="F198" s="35" t="s">
        <v>203</v>
      </c>
      <c r="G198" s="35" t="s">
        <v>627</v>
      </c>
      <c r="H198" s="35" t="s">
        <v>581</v>
      </c>
      <c r="I198" s="141">
        <v>5182</v>
      </c>
      <c r="J198" s="34">
        <v>5782.3512668407357</v>
      </c>
      <c r="K198" s="34">
        <f t="shared" si="39"/>
        <v>600.35126684073566</v>
      </c>
      <c r="L198" s="56">
        <f t="shared" si="40"/>
        <v>360421.64359727618</v>
      </c>
      <c r="M198" s="56">
        <f t="shared" si="41"/>
        <v>600.35126684073566</v>
      </c>
      <c r="N198" s="56">
        <f t="shared" si="42"/>
        <v>2.7791282302165903</v>
      </c>
      <c r="O198" s="56">
        <f t="shared" si="51"/>
        <v>2.7791282302165903</v>
      </c>
      <c r="P198" s="143">
        <f t="shared" si="43"/>
        <v>11.58531969974403</v>
      </c>
      <c r="Q198" s="143">
        <f t="shared" si="44"/>
        <v>11.58531969974403</v>
      </c>
      <c r="R198" s="34">
        <v>6238.6459998153305</v>
      </c>
      <c r="S198" s="56">
        <f t="shared" si="45"/>
        <v>1056.6459998153305</v>
      </c>
      <c r="T198" s="56">
        <f t="shared" si="46"/>
        <v>1116500.7689257395</v>
      </c>
      <c r="U198" s="56">
        <f t="shared" si="47"/>
        <v>1056.6459998153305</v>
      </c>
      <c r="V198" s="56">
        <f t="shared" si="48"/>
        <v>3.0243403311653205</v>
      </c>
      <c r="W198" s="33">
        <f t="shared" si="49"/>
        <v>20.390698568416258</v>
      </c>
      <c r="X198" s="143">
        <f t="shared" si="50"/>
        <v>20.390698568416258</v>
      </c>
    </row>
    <row r="199" spans="1:24" ht="15" x14ac:dyDescent="0.2">
      <c r="A199" s="206" t="s">
        <v>593</v>
      </c>
      <c r="B199" s="224" t="s">
        <v>514</v>
      </c>
      <c r="C199" s="35" t="s">
        <v>403</v>
      </c>
      <c r="D199" s="35" t="s">
        <v>82</v>
      </c>
      <c r="E199" s="35" t="s">
        <v>662</v>
      </c>
      <c r="F199" s="35" t="s">
        <v>374</v>
      </c>
      <c r="G199" s="35" t="s">
        <v>626</v>
      </c>
      <c r="H199" s="35" t="s">
        <v>580</v>
      </c>
      <c r="I199" s="141">
        <v>1284.8</v>
      </c>
      <c r="J199" s="34">
        <v>1219.3523413544428</v>
      </c>
      <c r="K199" s="34">
        <f t="shared" si="39"/>
        <v>-65.447658645557112</v>
      </c>
      <c r="L199" s="56">
        <f t="shared" si="40"/>
        <v>4283.3960221853667</v>
      </c>
      <c r="M199" s="56">
        <f t="shared" si="41"/>
        <v>65.447658645557112</v>
      </c>
      <c r="N199" s="56">
        <f t="shared" si="42"/>
        <v>1.8224796827169871</v>
      </c>
      <c r="O199" s="56">
        <f t="shared" si="51"/>
        <v>-1.8224796827169871</v>
      </c>
      <c r="P199" s="143">
        <f t="shared" si="43"/>
        <v>-5.0939958472569362</v>
      </c>
      <c r="Q199" s="143">
        <f t="shared" si="44"/>
        <v>5.0939958472569362</v>
      </c>
      <c r="R199" s="34">
        <v>1398.8286052804997</v>
      </c>
      <c r="S199" s="56">
        <f t="shared" si="45"/>
        <v>114.02860528049973</v>
      </c>
      <c r="T199" s="56">
        <f t="shared" si="46"/>
        <v>13002.522822216011</v>
      </c>
      <c r="U199" s="56">
        <f t="shared" si="47"/>
        <v>114.02860528049973</v>
      </c>
      <c r="V199" s="56">
        <f t="shared" si="48"/>
        <v>2.0608058540115062</v>
      </c>
      <c r="W199" s="33">
        <f t="shared" si="49"/>
        <v>8.875202777124823</v>
      </c>
      <c r="X199" s="143">
        <f t="shared" si="50"/>
        <v>8.875202777124823</v>
      </c>
    </row>
    <row r="200" spans="1:24" ht="16" x14ac:dyDescent="0.2">
      <c r="A200" t="s">
        <v>867</v>
      </c>
      <c r="B200" s="224" t="s">
        <v>537</v>
      </c>
      <c r="C200" s="224" t="s">
        <v>824</v>
      </c>
      <c r="D200" s="35" t="s">
        <v>148</v>
      </c>
      <c r="E200" s="35" t="s">
        <v>661</v>
      </c>
      <c r="F200" s="35" t="s">
        <v>374</v>
      </c>
      <c r="G200" s="35" t="s">
        <v>627</v>
      </c>
      <c r="H200" s="35" t="s">
        <v>580</v>
      </c>
      <c r="I200" s="147">
        <v>1842</v>
      </c>
      <c r="J200" s="34">
        <v>1838.3256000000001</v>
      </c>
      <c r="K200" s="34">
        <f t="shared" si="39"/>
        <v>-3.6743999999998778</v>
      </c>
      <c r="L200" s="56">
        <f t="shared" si="40"/>
        <v>13.501215359999101</v>
      </c>
      <c r="M200" s="56">
        <f t="shared" si="41"/>
        <v>3.6743999999998778</v>
      </c>
      <c r="N200" s="56">
        <f t="shared" si="42"/>
        <v>0.66972587330219979</v>
      </c>
      <c r="O200" s="56">
        <f t="shared" si="51"/>
        <v>-0.66972587330219979</v>
      </c>
      <c r="P200" s="143">
        <f t="shared" si="43"/>
        <v>-0.19947882736155689</v>
      </c>
      <c r="Q200" s="143">
        <f t="shared" si="44"/>
        <v>0.19947882736155689</v>
      </c>
      <c r="R200" s="34">
        <v>1757.0954999999999</v>
      </c>
      <c r="S200" s="56">
        <f t="shared" si="45"/>
        <v>-84.904500000000098</v>
      </c>
      <c r="T200" s="56">
        <f t="shared" si="46"/>
        <v>7208.7741202500165</v>
      </c>
      <c r="U200" s="56">
        <f t="shared" si="47"/>
        <v>84.904500000000098</v>
      </c>
      <c r="V200" s="56">
        <f t="shared" si="48"/>
        <v>1.9340159144014433</v>
      </c>
      <c r="W200" s="33">
        <f t="shared" si="49"/>
        <v>-4.6093648208469107</v>
      </c>
      <c r="X200" s="143">
        <f t="shared" si="50"/>
        <v>4.6093648208469107</v>
      </c>
    </row>
    <row r="201" spans="1:24" ht="16" x14ac:dyDescent="0.2">
      <c r="A201" t="s">
        <v>868</v>
      </c>
      <c r="B201" s="224" t="s">
        <v>537</v>
      </c>
      <c r="C201" s="224" t="s">
        <v>824</v>
      </c>
      <c r="D201" s="35" t="s">
        <v>148</v>
      </c>
      <c r="E201" s="35" t="s">
        <v>661</v>
      </c>
      <c r="F201" s="35" t="s">
        <v>374</v>
      </c>
      <c r="G201" s="35" t="s">
        <v>627</v>
      </c>
      <c r="H201" s="35" t="s">
        <v>580</v>
      </c>
      <c r="I201" s="147">
        <v>1530</v>
      </c>
      <c r="J201" s="34">
        <v>1670.0727999999999</v>
      </c>
      <c r="K201" s="34">
        <f t="shared" si="39"/>
        <v>140.07279999999992</v>
      </c>
      <c r="L201" s="56">
        <f t="shared" si="40"/>
        <v>19620.389299839975</v>
      </c>
      <c r="M201" s="56">
        <f t="shared" si="41"/>
        <v>140.07279999999992</v>
      </c>
      <c r="N201" s="56">
        <f t="shared" si="42"/>
        <v>2.1494432862657709</v>
      </c>
      <c r="O201" s="56">
        <f t="shared" si="51"/>
        <v>2.1494432862657709</v>
      </c>
      <c r="P201" s="143">
        <f t="shared" si="43"/>
        <v>9.1550849673202563</v>
      </c>
      <c r="Q201" s="143">
        <f t="shared" si="44"/>
        <v>9.1550849673202563</v>
      </c>
      <c r="R201" s="34">
        <v>1613.5545</v>
      </c>
      <c r="S201" s="56">
        <f t="shared" si="45"/>
        <v>83.554499999999962</v>
      </c>
      <c r="T201" s="56">
        <f t="shared" si="46"/>
        <v>6981.3544702499939</v>
      </c>
      <c r="U201" s="56">
        <f t="shared" si="47"/>
        <v>83.554499999999962</v>
      </c>
      <c r="V201" s="56">
        <f t="shared" si="48"/>
        <v>1.9271367257499985</v>
      </c>
      <c r="W201" s="33">
        <f t="shared" si="49"/>
        <v>5.4610784313725471</v>
      </c>
      <c r="X201" s="143">
        <f t="shared" si="50"/>
        <v>5.4610784313725471</v>
      </c>
    </row>
    <row r="202" spans="1:24" ht="16" x14ac:dyDescent="0.2">
      <c r="A202" t="s">
        <v>869</v>
      </c>
      <c r="B202" s="224" t="s">
        <v>537</v>
      </c>
      <c r="C202" s="224" t="s">
        <v>824</v>
      </c>
      <c r="D202" s="35" t="s">
        <v>148</v>
      </c>
      <c r="E202" s="35" t="s">
        <v>661</v>
      </c>
      <c r="F202" s="35" t="s">
        <v>374</v>
      </c>
      <c r="G202" s="35" t="s">
        <v>627</v>
      </c>
      <c r="H202" s="35" t="s">
        <v>580</v>
      </c>
      <c r="I202" s="147">
        <v>1686</v>
      </c>
      <c r="J202" s="34">
        <v>1769.9729</v>
      </c>
      <c r="K202" s="34">
        <f t="shared" si="39"/>
        <v>83.972899999999981</v>
      </c>
      <c r="L202" s="56">
        <f t="shared" si="40"/>
        <v>7051.4479344099973</v>
      </c>
      <c r="M202" s="56">
        <f t="shared" si="41"/>
        <v>83.972899999999981</v>
      </c>
      <c r="N202" s="56">
        <f t="shared" si="42"/>
        <v>1.9292804403373967</v>
      </c>
      <c r="O202" s="56">
        <f t="shared" si="51"/>
        <v>1.9292804403373967</v>
      </c>
      <c r="P202" s="143">
        <f t="shared" si="43"/>
        <v>4.9805990510083022</v>
      </c>
      <c r="Q202" s="143">
        <f t="shared" si="44"/>
        <v>4.9805990510083022</v>
      </c>
      <c r="R202" s="34">
        <v>1685.3249999999998</v>
      </c>
      <c r="S202" s="56">
        <f t="shared" si="45"/>
        <v>-0.6750000000001819</v>
      </c>
      <c r="T202" s="56">
        <f t="shared" si="46"/>
        <v>0.45562500000024558</v>
      </c>
      <c r="U202" s="56">
        <f t="shared" si="47"/>
        <v>0.6750000000001819</v>
      </c>
      <c r="V202" s="56">
        <f t="shared" si="48"/>
        <v>0.22401481137291121</v>
      </c>
      <c r="W202" s="33">
        <f t="shared" si="49"/>
        <v>-4.0035587188622886E-2</v>
      </c>
      <c r="X202" s="143">
        <f t="shared" si="50"/>
        <v>4.0035587188622886E-2</v>
      </c>
    </row>
    <row r="203" spans="1:24" ht="16" x14ac:dyDescent="0.2">
      <c r="A203" t="s">
        <v>870</v>
      </c>
      <c r="B203" s="224" t="s">
        <v>537</v>
      </c>
      <c r="C203" s="224" t="s">
        <v>824</v>
      </c>
      <c r="D203" s="35" t="s">
        <v>148</v>
      </c>
      <c r="E203" s="35" t="s">
        <v>661</v>
      </c>
      <c r="F203" s="35" t="s">
        <v>374</v>
      </c>
      <c r="G203" s="35" t="s">
        <v>627</v>
      </c>
      <c r="H203" s="35" t="s">
        <v>580</v>
      </c>
      <c r="I203" s="147">
        <v>1582</v>
      </c>
      <c r="J203" s="34">
        <v>1691.1043999999999</v>
      </c>
      <c r="K203" s="34">
        <f t="shared" si="39"/>
        <v>109.10439999999994</v>
      </c>
      <c r="L203" s="56">
        <f t="shared" si="40"/>
        <v>11903.770099359986</v>
      </c>
      <c r="M203" s="56">
        <f t="shared" si="41"/>
        <v>109.10439999999994</v>
      </c>
      <c r="N203" s="56">
        <f t="shared" si="42"/>
        <v>2.0418046746260492</v>
      </c>
      <c r="O203" s="56">
        <f t="shared" si="51"/>
        <v>2.0418046746260492</v>
      </c>
      <c r="P203" s="143">
        <f t="shared" si="43"/>
        <v>6.8966118836915262</v>
      </c>
      <c r="Q203" s="143">
        <f t="shared" si="44"/>
        <v>6.8966118836915262</v>
      </c>
      <c r="R203" s="34">
        <v>1608.7697999999998</v>
      </c>
      <c r="S203" s="56">
        <f t="shared" si="45"/>
        <v>26.769799999999805</v>
      </c>
      <c r="T203" s="56">
        <f t="shared" si="46"/>
        <v>716.6221920399895</v>
      </c>
      <c r="U203" s="56">
        <f t="shared" si="47"/>
        <v>26.769799999999805</v>
      </c>
      <c r="V203" s="56">
        <f t="shared" si="48"/>
        <v>1.4435727519429387</v>
      </c>
      <c r="W203" s="33">
        <f t="shared" si="49"/>
        <v>1.6921491782553606</v>
      </c>
      <c r="X203" s="143">
        <f t="shared" si="50"/>
        <v>1.6921491782553606</v>
      </c>
    </row>
    <row r="204" spans="1:24" ht="16" x14ac:dyDescent="0.2">
      <c r="A204" t="s">
        <v>871</v>
      </c>
      <c r="B204" s="224" t="s">
        <v>537</v>
      </c>
      <c r="C204" s="224" t="s">
        <v>824</v>
      </c>
      <c r="D204" s="35" t="s">
        <v>148</v>
      </c>
      <c r="E204" s="35" t="s">
        <v>661</v>
      </c>
      <c r="F204" s="35" t="s">
        <v>374</v>
      </c>
      <c r="G204" s="35" t="s">
        <v>627</v>
      </c>
      <c r="H204" s="35" t="s">
        <v>580</v>
      </c>
      <c r="I204" s="147">
        <v>1575</v>
      </c>
      <c r="J204" s="34">
        <v>1638.5254</v>
      </c>
      <c r="K204" s="34">
        <f t="shared" si="39"/>
        <v>63.525399999999991</v>
      </c>
      <c r="L204" s="56">
        <f t="shared" si="40"/>
        <v>4035.476445159999</v>
      </c>
      <c r="M204" s="56">
        <f t="shared" si="41"/>
        <v>63.525399999999991</v>
      </c>
      <c r="N204" s="56">
        <f t="shared" si="42"/>
        <v>1.8097307054631642</v>
      </c>
      <c r="O204" s="56">
        <f t="shared" si="51"/>
        <v>1.8097307054631642</v>
      </c>
      <c r="P204" s="143">
        <f t="shared" si="43"/>
        <v>4.0333587301587297</v>
      </c>
      <c r="Q204" s="143">
        <f t="shared" si="44"/>
        <v>4.0333587301587297</v>
      </c>
      <c r="R204" s="34">
        <v>1565.7075</v>
      </c>
      <c r="S204" s="56">
        <f t="shared" si="45"/>
        <v>-9.2925000000000182</v>
      </c>
      <c r="T204" s="56">
        <f t="shared" si="46"/>
        <v>86.350556250000338</v>
      </c>
      <c r="U204" s="56">
        <f t="shared" si="47"/>
        <v>9.2925000000000182</v>
      </c>
      <c r="V204" s="56">
        <f t="shared" si="48"/>
        <v>1.0125208756695245</v>
      </c>
      <c r="W204" s="33">
        <f t="shared" si="49"/>
        <v>-0.59000000000000119</v>
      </c>
      <c r="X204" s="143">
        <f t="shared" si="50"/>
        <v>0.59000000000000119</v>
      </c>
    </row>
    <row r="205" spans="1:24" ht="16" x14ac:dyDescent="0.2">
      <c r="A205" t="s">
        <v>872</v>
      </c>
      <c r="B205" s="224" t="s">
        <v>537</v>
      </c>
      <c r="C205" s="224" t="s">
        <v>824</v>
      </c>
      <c r="D205" s="35" t="s">
        <v>148</v>
      </c>
      <c r="E205" s="35" t="s">
        <v>661</v>
      </c>
      <c r="F205" s="35" t="s">
        <v>374</v>
      </c>
      <c r="G205" s="35" t="s">
        <v>627</v>
      </c>
      <c r="H205" s="35" t="s">
        <v>580</v>
      </c>
      <c r="I205" s="147">
        <v>1684</v>
      </c>
      <c r="J205" s="34">
        <v>1791.0045</v>
      </c>
      <c r="K205" s="34">
        <f t="shared" si="39"/>
        <v>107.00450000000001</v>
      </c>
      <c r="L205" s="56">
        <f t="shared" si="40"/>
        <v>11449.963020250001</v>
      </c>
      <c r="M205" s="56">
        <f t="shared" si="41"/>
        <v>107.00450000000001</v>
      </c>
      <c r="N205" s="56">
        <f t="shared" si="42"/>
        <v>2.0334418507133809</v>
      </c>
      <c r="O205" s="56">
        <f t="shared" si="51"/>
        <v>2.0334418507133809</v>
      </c>
      <c r="P205" s="143">
        <f t="shared" si="43"/>
        <v>6.3541864608076013</v>
      </c>
      <c r="Q205" s="143">
        <f t="shared" si="44"/>
        <v>6.3541864608076013</v>
      </c>
      <c r="R205" s="34">
        <v>1656.6167999999998</v>
      </c>
      <c r="S205" s="56">
        <f t="shared" si="45"/>
        <v>-27.383200000000215</v>
      </c>
      <c r="T205" s="56">
        <f t="shared" si="46"/>
        <v>749.83964224001181</v>
      </c>
      <c r="U205" s="56">
        <f t="shared" si="47"/>
        <v>27.383200000000215</v>
      </c>
      <c r="V205" s="56">
        <f t="shared" si="48"/>
        <v>1.4530613574356748</v>
      </c>
      <c r="W205" s="33">
        <f t="shared" si="49"/>
        <v>-1.6260807600950247</v>
      </c>
      <c r="X205" s="143">
        <f t="shared" si="50"/>
        <v>1.6260807600950247</v>
      </c>
    </row>
    <row r="206" spans="1:24" ht="16" x14ac:dyDescent="0.2">
      <c r="A206" t="s">
        <v>873</v>
      </c>
      <c r="B206" s="224" t="s">
        <v>537</v>
      </c>
      <c r="C206" s="224" t="s">
        <v>824</v>
      </c>
      <c r="D206" s="35" t="s">
        <v>148</v>
      </c>
      <c r="E206" s="35" t="s">
        <v>661</v>
      </c>
      <c r="F206" s="35" t="s">
        <v>374</v>
      </c>
      <c r="G206" s="35" t="s">
        <v>627</v>
      </c>
      <c r="H206" s="35" t="s">
        <v>580</v>
      </c>
      <c r="I206" s="147">
        <v>1646</v>
      </c>
      <c r="J206" s="34">
        <v>1764.7149999999999</v>
      </c>
      <c r="K206" s="34">
        <f t="shared" si="39"/>
        <v>118.71499999999992</v>
      </c>
      <c r="L206" s="56">
        <f t="shared" si="40"/>
        <v>14093.25122499998</v>
      </c>
      <c r="M206" s="56">
        <f t="shared" si="41"/>
        <v>118.71499999999992</v>
      </c>
      <c r="N206" s="56">
        <f t="shared" si="42"/>
        <v>2.0781485698641475</v>
      </c>
      <c r="O206" s="56">
        <f t="shared" si="51"/>
        <v>2.0781485698641475</v>
      </c>
      <c r="P206" s="143">
        <f t="shared" si="43"/>
        <v>7.2123329283110529</v>
      </c>
      <c r="Q206" s="143">
        <f t="shared" si="44"/>
        <v>7.2123329283110529</v>
      </c>
      <c r="R206" s="34">
        <v>1685.3249999999998</v>
      </c>
      <c r="S206" s="56">
        <f t="shared" si="45"/>
        <v>39.324999999999818</v>
      </c>
      <c r="T206" s="56">
        <f t="shared" si="46"/>
        <v>1546.4556249999857</v>
      </c>
      <c r="U206" s="56">
        <f t="shared" si="47"/>
        <v>39.324999999999818</v>
      </c>
      <c r="V206" s="56">
        <f t="shared" si="48"/>
        <v>1.6055743760609971</v>
      </c>
      <c r="W206" s="33">
        <f t="shared" si="49"/>
        <v>2.3891251518833427</v>
      </c>
      <c r="X206" s="143">
        <f t="shared" si="50"/>
        <v>2.3891251518833427</v>
      </c>
    </row>
    <row r="207" spans="1:24" ht="16" x14ac:dyDescent="0.2">
      <c r="A207" t="s">
        <v>874</v>
      </c>
      <c r="B207" s="224" t="s">
        <v>537</v>
      </c>
      <c r="C207" s="224" t="s">
        <v>824</v>
      </c>
      <c r="D207" s="35" t="s">
        <v>148</v>
      </c>
      <c r="E207" s="35" t="s">
        <v>661</v>
      </c>
      <c r="F207" s="35" t="s">
        <v>374</v>
      </c>
      <c r="G207" s="35" t="s">
        <v>627</v>
      </c>
      <c r="H207" s="35" t="s">
        <v>580</v>
      </c>
      <c r="I207" s="147">
        <v>1540</v>
      </c>
      <c r="J207" s="34">
        <v>1659.557</v>
      </c>
      <c r="K207" s="34">
        <f t="shared" si="39"/>
        <v>119.55700000000002</v>
      </c>
      <c r="L207" s="56">
        <f t="shared" si="40"/>
        <v>14293.876249000004</v>
      </c>
      <c r="M207" s="56">
        <f t="shared" si="41"/>
        <v>119.55700000000002</v>
      </c>
      <c r="N207" s="56">
        <f t="shared" si="42"/>
        <v>2.0811924322424051</v>
      </c>
      <c r="O207" s="56">
        <f t="shared" si="51"/>
        <v>2.0811924322424051</v>
      </c>
      <c r="P207" s="143">
        <f t="shared" si="43"/>
        <v>7.763441558441559</v>
      </c>
      <c r="Q207" s="143">
        <f t="shared" si="44"/>
        <v>7.763441558441559</v>
      </c>
      <c r="R207" s="34">
        <v>1580.0616</v>
      </c>
      <c r="S207" s="56">
        <f t="shared" si="45"/>
        <v>40.061599999999999</v>
      </c>
      <c r="T207" s="56">
        <f t="shared" si="46"/>
        <v>1604.9317945599998</v>
      </c>
      <c r="U207" s="56">
        <f t="shared" si="47"/>
        <v>40.061599999999999</v>
      </c>
      <c r="V207" s="56">
        <f t="shared" si="48"/>
        <v>1.6134358680163741</v>
      </c>
      <c r="W207" s="33">
        <f t="shared" si="49"/>
        <v>2.6014025974025974</v>
      </c>
      <c r="X207" s="143">
        <f t="shared" si="50"/>
        <v>2.6014025974025974</v>
      </c>
    </row>
    <row r="208" spans="1:24" ht="16" x14ac:dyDescent="0.2">
      <c r="A208" t="s">
        <v>875</v>
      </c>
      <c r="B208" s="224" t="s">
        <v>537</v>
      </c>
      <c r="C208" s="224" t="s">
        <v>824</v>
      </c>
      <c r="D208" s="35" t="s">
        <v>148</v>
      </c>
      <c r="E208" s="35" t="s">
        <v>661</v>
      </c>
      <c r="F208" s="35" t="s">
        <v>374</v>
      </c>
      <c r="G208" s="35" t="s">
        <v>626</v>
      </c>
      <c r="H208" s="35" t="s">
        <v>580</v>
      </c>
      <c r="I208" s="147">
        <v>1490</v>
      </c>
      <c r="J208" s="34">
        <v>1649.0411999999999</v>
      </c>
      <c r="K208" s="34">
        <f t="shared" si="39"/>
        <v>159.04119999999989</v>
      </c>
      <c r="L208" s="56">
        <f t="shared" si="40"/>
        <v>25294.103297439964</v>
      </c>
      <c r="M208" s="56">
        <f t="shared" si="41"/>
        <v>159.04119999999989</v>
      </c>
      <c r="N208" s="56">
        <f t="shared" si="42"/>
        <v>2.2042317990892664</v>
      </c>
      <c r="O208" s="56">
        <f t="shared" si="51"/>
        <v>2.2042317990892664</v>
      </c>
      <c r="P208" s="143">
        <f t="shared" si="43"/>
        <v>10.673906040268449</v>
      </c>
      <c r="Q208" s="143">
        <f t="shared" si="44"/>
        <v>10.673906040268449</v>
      </c>
      <c r="R208" s="34">
        <v>1532.2145999999998</v>
      </c>
      <c r="S208" s="56">
        <f t="shared" si="45"/>
        <v>42.214599999999791</v>
      </c>
      <c r="T208" s="56">
        <f t="shared" si="46"/>
        <v>1782.0724531599824</v>
      </c>
      <c r="U208" s="56">
        <f t="shared" si="47"/>
        <v>42.214599999999791</v>
      </c>
      <c r="V208" s="56">
        <f t="shared" si="48"/>
        <v>1.6356304974680662</v>
      </c>
      <c r="W208" s="33">
        <f t="shared" si="49"/>
        <v>2.8331946308724691</v>
      </c>
      <c r="X208" s="143">
        <f t="shared" si="50"/>
        <v>2.8331946308724691</v>
      </c>
    </row>
    <row r="209" spans="1:24" ht="16" x14ac:dyDescent="0.2">
      <c r="A209" t="s">
        <v>876</v>
      </c>
      <c r="B209" s="224" t="s">
        <v>537</v>
      </c>
      <c r="C209" s="224" t="s">
        <v>824</v>
      </c>
      <c r="D209" s="35" t="s">
        <v>148</v>
      </c>
      <c r="E209" s="35" t="s">
        <v>661</v>
      </c>
      <c r="F209" s="35" t="s">
        <v>374</v>
      </c>
      <c r="G209" s="35" t="s">
        <v>627</v>
      </c>
      <c r="H209" s="35" t="s">
        <v>580</v>
      </c>
      <c r="I209" s="147">
        <v>1668</v>
      </c>
      <c r="J209" s="34">
        <v>1880.3888000000002</v>
      </c>
      <c r="K209" s="34">
        <f t="shared" si="39"/>
        <v>212.38880000000017</v>
      </c>
      <c r="L209" s="56">
        <f t="shared" si="40"/>
        <v>45109.002365440072</v>
      </c>
      <c r="M209" s="56">
        <f t="shared" si="41"/>
        <v>212.38880000000017</v>
      </c>
      <c r="N209" s="56">
        <f t="shared" si="42"/>
        <v>2.3291716211529105</v>
      </c>
      <c r="O209" s="56">
        <f t="shared" si="51"/>
        <v>2.3291716211529105</v>
      </c>
      <c r="P209" s="143">
        <f t="shared" si="43"/>
        <v>12.733141486810563</v>
      </c>
      <c r="Q209" s="143">
        <f t="shared" si="44"/>
        <v>12.733141486810563</v>
      </c>
      <c r="R209" s="34">
        <v>1771.4495999999999</v>
      </c>
      <c r="S209" s="56">
        <f t="shared" si="45"/>
        <v>103.44959999999992</v>
      </c>
      <c r="T209" s="56">
        <f t="shared" si="46"/>
        <v>10701.819740159983</v>
      </c>
      <c r="U209" s="56">
        <f t="shared" si="47"/>
        <v>103.44959999999992</v>
      </c>
      <c r="V209" s="56">
        <f t="shared" si="48"/>
        <v>2.0189067811461463</v>
      </c>
      <c r="W209" s="33">
        <f t="shared" si="49"/>
        <v>6.2020143884892036</v>
      </c>
      <c r="X209" s="143">
        <f t="shared" si="50"/>
        <v>6.2020143884892036</v>
      </c>
    </row>
    <row r="210" spans="1:24" ht="16" x14ac:dyDescent="0.2">
      <c r="A210" t="s">
        <v>877</v>
      </c>
      <c r="B210" s="224" t="s">
        <v>537</v>
      </c>
      <c r="C210" s="224" t="s">
        <v>824</v>
      </c>
      <c r="D210" s="35" t="s">
        <v>148</v>
      </c>
      <c r="E210" s="35" t="s">
        <v>661</v>
      </c>
      <c r="F210" s="35" t="s">
        <v>374</v>
      </c>
      <c r="G210" s="35" t="s">
        <v>627</v>
      </c>
      <c r="H210" s="35" t="s">
        <v>580</v>
      </c>
      <c r="I210" s="147">
        <v>1647</v>
      </c>
      <c r="J210" s="34">
        <v>1675.3307</v>
      </c>
      <c r="K210" s="34">
        <f t="shared" si="39"/>
        <v>28.330699999999979</v>
      </c>
      <c r="L210" s="56">
        <f t="shared" si="40"/>
        <v>802.62856248999879</v>
      </c>
      <c r="M210" s="56">
        <f t="shared" si="41"/>
        <v>28.330699999999979</v>
      </c>
      <c r="N210" s="56">
        <f t="shared" si="42"/>
        <v>1.4673224278803005</v>
      </c>
      <c r="O210" s="56">
        <f t="shared" si="51"/>
        <v>1.4673224278803005</v>
      </c>
      <c r="P210" s="143">
        <f t="shared" si="43"/>
        <v>1.7201396478445645</v>
      </c>
      <c r="Q210" s="143">
        <f t="shared" si="44"/>
        <v>1.7201396478445645</v>
      </c>
      <c r="R210" s="34">
        <v>1589.6309999999999</v>
      </c>
      <c r="S210" s="56">
        <f t="shared" si="45"/>
        <v>-57.369000000000142</v>
      </c>
      <c r="T210" s="56">
        <f t="shared" si="46"/>
        <v>3291.2021610000161</v>
      </c>
      <c r="U210" s="56">
        <f t="shared" si="47"/>
        <v>57.369000000000142</v>
      </c>
      <c r="V210" s="56">
        <f t="shared" si="48"/>
        <v>1.7661822528749693</v>
      </c>
      <c r="W210" s="33">
        <f t="shared" si="49"/>
        <v>-3.4832422586521035</v>
      </c>
      <c r="X210" s="143">
        <f t="shared" si="50"/>
        <v>3.4832422586521035</v>
      </c>
    </row>
    <row r="211" spans="1:24" ht="16" x14ac:dyDescent="0.2">
      <c r="A211" t="s">
        <v>878</v>
      </c>
      <c r="B211" s="224" t="s">
        <v>537</v>
      </c>
      <c r="C211" s="224" t="s">
        <v>824</v>
      </c>
      <c r="D211" s="35" t="s">
        <v>148</v>
      </c>
      <c r="E211" s="35" t="s">
        <v>661</v>
      </c>
      <c r="F211" s="35" t="s">
        <v>374</v>
      </c>
      <c r="G211" s="35" t="s">
        <v>627</v>
      </c>
      <c r="H211" s="35" t="s">
        <v>580</v>
      </c>
      <c r="I211" s="147">
        <v>1520</v>
      </c>
      <c r="J211" s="34">
        <v>1601.7201</v>
      </c>
      <c r="K211" s="34">
        <f t="shared" si="39"/>
        <v>81.720100000000002</v>
      </c>
      <c r="L211" s="56">
        <f t="shared" si="40"/>
        <v>6678.1747440100007</v>
      </c>
      <c r="M211" s="56">
        <f t="shared" si="41"/>
        <v>81.720100000000002</v>
      </c>
      <c r="N211" s="56">
        <f t="shared" si="42"/>
        <v>1.9176110507670572</v>
      </c>
      <c r="O211" s="56">
        <f t="shared" si="51"/>
        <v>1.9176110507670572</v>
      </c>
      <c r="P211" s="143">
        <f t="shared" si="43"/>
        <v>5.3763223684210528</v>
      </c>
      <c r="Q211" s="143">
        <f t="shared" si="44"/>
        <v>5.3763223684210528</v>
      </c>
      <c r="R211" s="34">
        <v>1522.6451999999999</v>
      </c>
      <c r="S211" s="56">
        <f t="shared" si="45"/>
        <v>2.6451999999999316</v>
      </c>
      <c r="T211" s="56">
        <f t="shared" si="46"/>
        <v>6.9970830399996382</v>
      </c>
      <c r="U211" s="56">
        <f t="shared" si="47"/>
        <v>2.6451999999999316</v>
      </c>
      <c r="V211" s="56">
        <f t="shared" si="48"/>
        <v>0.5617213616014497</v>
      </c>
      <c r="W211" s="33">
        <f t="shared" si="49"/>
        <v>0.17402631578946917</v>
      </c>
      <c r="X211" s="143">
        <f t="shared" si="50"/>
        <v>0.17402631578946917</v>
      </c>
    </row>
    <row r="212" spans="1:24" ht="16" x14ac:dyDescent="0.2">
      <c r="A212" t="s">
        <v>879</v>
      </c>
      <c r="B212" s="224" t="s">
        <v>537</v>
      </c>
      <c r="C212" s="224" t="s">
        <v>824</v>
      </c>
      <c r="D212" s="35" t="s">
        <v>148</v>
      </c>
      <c r="E212" s="35" t="s">
        <v>661</v>
      </c>
      <c r="F212" s="35" t="s">
        <v>374</v>
      </c>
      <c r="G212" s="35" t="s">
        <v>627</v>
      </c>
      <c r="H212" s="35" t="s">
        <v>580</v>
      </c>
      <c r="I212" s="147">
        <v>1550</v>
      </c>
      <c r="J212" s="34">
        <v>1685.8465000000001</v>
      </c>
      <c r="K212" s="34">
        <f t="shared" si="39"/>
        <v>135.84650000000011</v>
      </c>
      <c r="L212" s="56">
        <f t="shared" si="40"/>
        <v>18454.271562250029</v>
      </c>
      <c r="M212" s="56">
        <f t="shared" si="41"/>
        <v>135.84650000000011</v>
      </c>
      <c r="N212" s="56">
        <f t="shared" si="42"/>
        <v>2.1362336943283515</v>
      </c>
      <c r="O212" s="56">
        <f t="shared" si="51"/>
        <v>2.1362336943283515</v>
      </c>
      <c r="P212" s="143">
        <f t="shared" si="43"/>
        <v>8.7642903225806528</v>
      </c>
      <c r="Q212" s="143">
        <f t="shared" si="44"/>
        <v>8.7642903225806528</v>
      </c>
      <c r="R212" s="34">
        <v>1589.6309999999999</v>
      </c>
      <c r="S212" s="56">
        <f t="shared" si="45"/>
        <v>39.630999999999858</v>
      </c>
      <c r="T212" s="56">
        <f t="shared" si="46"/>
        <v>1570.6161609999888</v>
      </c>
      <c r="U212" s="56">
        <f t="shared" si="47"/>
        <v>39.630999999999858</v>
      </c>
      <c r="V212" s="56">
        <f t="shared" si="48"/>
        <v>1.6088575112050094</v>
      </c>
      <c r="W212" s="33">
        <f t="shared" si="49"/>
        <v>2.5568387096774101</v>
      </c>
      <c r="X212" s="143">
        <f t="shared" si="50"/>
        <v>2.5568387096774101</v>
      </c>
    </row>
    <row r="213" spans="1:24" ht="16" x14ac:dyDescent="0.2">
      <c r="A213" t="s">
        <v>880</v>
      </c>
      <c r="B213" s="224" t="s">
        <v>537</v>
      </c>
      <c r="C213" s="224" t="s">
        <v>824</v>
      </c>
      <c r="D213" s="35" t="s">
        <v>148</v>
      </c>
      <c r="E213" s="35" t="s">
        <v>661</v>
      </c>
      <c r="F213" s="35" t="s">
        <v>374</v>
      </c>
      <c r="G213" s="35" t="s">
        <v>627</v>
      </c>
      <c r="H213" s="35" t="s">
        <v>580</v>
      </c>
      <c r="I213" s="147">
        <v>1695</v>
      </c>
      <c r="J213" s="34">
        <v>1791.0045</v>
      </c>
      <c r="K213" s="34">
        <f t="shared" si="39"/>
        <v>96.004500000000007</v>
      </c>
      <c r="L213" s="56">
        <f t="shared" si="40"/>
        <v>9216.864020250001</v>
      </c>
      <c r="M213" s="56">
        <f t="shared" si="41"/>
        <v>96.004500000000007</v>
      </c>
      <c r="N213" s="56">
        <f t="shared" si="42"/>
        <v>1.9867918814810663</v>
      </c>
      <c r="O213" s="56">
        <f t="shared" si="51"/>
        <v>1.9867918814810663</v>
      </c>
      <c r="P213" s="143">
        <f t="shared" si="43"/>
        <v>5.6639823008849559</v>
      </c>
      <c r="Q213" s="143">
        <f t="shared" si="44"/>
        <v>5.6639823008849559</v>
      </c>
      <c r="R213" s="34">
        <v>1661.4014999999999</v>
      </c>
      <c r="S213" s="56">
        <f t="shared" si="45"/>
        <v>-33.598500000000058</v>
      </c>
      <c r="T213" s="56">
        <f t="shared" si="46"/>
        <v>1128.8592022500038</v>
      </c>
      <c r="U213" s="56">
        <f t="shared" si="47"/>
        <v>33.598500000000058</v>
      </c>
      <c r="V213" s="56">
        <f t="shared" si="48"/>
        <v>1.5390572705891903</v>
      </c>
      <c r="W213" s="33">
        <f t="shared" si="49"/>
        <v>-1.9822123893805343</v>
      </c>
      <c r="X213" s="143">
        <f t="shared" si="50"/>
        <v>1.9822123893805343</v>
      </c>
    </row>
    <row r="214" spans="1:24" ht="16" x14ac:dyDescent="0.2">
      <c r="A214" t="s">
        <v>881</v>
      </c>
      <c r="B214" s="224" t="s">
        <v>537</v>
      </c>
      <c r="C214" s="224" t="s">
        <v>824</v>
      </c>
      <c r="D214" s="35" t="s">
        <v>148</v>
      </c>
      <c r="E214" s="35" t="s">
        <v>661</v>
      </c>
      <c r="F214" s="35" t="s">
        <v>374</v>
      </c>
      <c r="G214" s="35" t="s">
        <v>627</v>
      </c>
      <c r="H214" s="35" t="s">
        <v>580</v>
      </c>
      <c r="I214" s="147">
        <v>1835</v>
      </c>
      <c r="J214" s="34">
        <v>1843.5835</v>
      </c>
      <c r="K214" s="34">
        <f t="shared" si="39"/>
        <v>8.5834999999999582</v>
      </c>
      <c r="L214" s="56">
        <f t="shared" si="40"/>
        <v>73.676472249999279</v>
      </c>
      <c r="M214" s="56">
        <f t="shared" si="41"/>
        <v>8.5834999999999582</v>
      </c>
      <c r="N214" s="56">
        <f t="shared" si="42"/>
        <v>0.98152414718781933</v>
      </c>
      <c r="O214" s="56">
        <f t="shared" si="51"/>
        <v>0.98152414718781933</v>
      </c>
      <c r="P214" s="143">
        <f t="shared" si="43"/>
        <v>0.4677656675749296</v>
      </c>
      <c r="Q214" s="143">
        <f t="shared" si="44"/>
        <v>0.4677656675749296</v>
      </c>
      <c r="R214" s="34">
        <v>1733.1719999999998</v>
      </c>
      <c r="S214" s="56">
        <f t="shared" si="45"/>
        <v>-101.8280000000002</v>
      </c>
      <c r="T214" s="56">
        <f t="shared" si="46"/>
        <v>10368.941584000042</v>
      </c>
      <c r="U214" s="56">
        <f t="shared" si="47"/>
        <v>101.8280000000002</v>
      </c>
      <c r="V214" s="56">
        <f t="shared" si="48"/>
        <v>2.0121113888784152</v>
      </c>
      <c r="W214" s="33">
        <f t="shared" si="49"/>
        <v>-5.5492098092643163</v>
      </c>
      <c r="X214" s="143">
        <f t="shared" si="50"/>
        <v>5.5492098092643163</v>
      </c>
    </row>
    <row r="215" spans="1:24" ht="16" x14ac:dyDescent="0.2">
      <c r="A215" t="s">
        <v>882</v>
      </c>
      <c r="B215" s="224" t="s">
        <v>537</v>
      </c>
      <c r="C215" s="224" t="s">
        <v>824</v>
      </c>
      <c r="D215" s="35" t="s">
        <v>148</v>
      </c>
      <c r="E215" s="35" t="s">
        <v>661</v>
      </c>
      <c r="F215" s="35" t="s">
        <v>374</v>
      </c>
      <c r="G215" s="35" t="s">
        <v>627</v>
      </c>
      <c r="H215" s="35" t="s">
        <v>580</v>
      </c>
      <c r="I215" s="147">
        <v>1643</v>
      </c>
      <c r="J215" s="34">
        <v>1796.2624000000001</v>
      </c>
      <c r="K215" s="34">
        <f t="shared" si="39"/>
        <v>153.26240000000007</v>
      </c>
      <c r="L215" s="56">
        <f t="shared" si="40"/>
        <v>23489.363253760021</v>
      </c>
      <c r="M215" s="56">
        <f t="shared" si="41"/>
        <v>153.26240000000007</v>
      </c>
      <c r="N215" s="56">
        <f t="shared" si="42"/>
        <v>2.1882600837920201</v>
      </c>
      <c r="O215" s="56">
        <f t="shared" si="51"/>
        <v>2.1882600837920201</v>
      </c>
      <c r="P215" s="143">
        <f t="shared" si="43"/>
        <v>9.3282045039561812</v>
      </c>
      <c r="Q215" s="143">
        <f t="shared" si="44"/>
        <v>9.3282045039561812</v>
      </c>
      <c r="R215" s="34">
        <v>1694.8943999999999</v>
      </c>
      <c r="S215" s="56">
        <f t="shared" si="45"/>
        <v>51.894399999999905</v>
      </c>
      <c r="T215" s="56">
        <f t="shared" si="46"/>
        <v>2693.0287513599901</v>
      </c>
      <c r="U215" s="56">
        <f t="shared" si="47"/>
        <v>51.894399999999905</v>
      </c>
      <c r="V215" s="56">
        <f t="shared" si="48"/>
        <v>1.7234096951384696</v>
      </c>
      <c r="W215" s="33">
        <f t="shared" si="49"/>
        <v>3.1585149117467988</v>
      </c>
      <c r="X215" s="143">
        <f t="shared" si="50"/>
        <v>3.1585149117467988</v>
      </c>
    </row>
    <row r="216" spans="1:24" ht="16" x14ac:dyDescent="0.2">
      <c r="A216" t="s">
        <v>883</v>
      </c>
      <c r="B216" s="224" t="s">
        <v>537</v>
      </c>
      <c r="C216" s="224" t="s">
        <v>824</v>
      </c>
      <c r="D216" s="35" t="s">
        <v>148</v>
      </c>
      <c r="E216" s="35" t="s">
        <v>661</v>
      </c>
      <c r="F216" s="35" t="s">
        <v>374</v>
      </c>
      <c r="G216" s="35" t="s">
        <v>627</v>
      </c>
      <c r="H216" s="35" t="s">
        <v>580</v>
      </c>
      <c r="I216" s="147">
        <v>1670</v>
      </c>
      <c r="J216" s="34">
        <v>1875.1309000000001</v>
      </c>
      <c r="K216" s="34">
        <f t="shared" si="39"/>
        <v>205.13090000000011</v>
      </c>
      <c r="L216" s="56">
        <f t="shared" si="40"/>
        <v>42078.686134810043</v>
      </c>
      <c r="M216" s="56">
        <f t="shared" si="41"/>
        <v>205.13090000000011</v>
      </c>
      <c r="N216" s="56">
        <f t="shared" si="42"/>
        <v>2.3141430994628727</v>
      </c>
      <c r="O216" s="56">
        <f t="shared" si="51"/>
        <v>2.3141430994628727</v>
      </c>
      <c r="P216" s="143">
        <f t="shared" si="43"/>
        <v>12.283287425149707</v>
      </c>
      <c r="Q216" s="143">
        <f t="shared" si="44"/>
        <v>12.283287425149707</v>
      </c>
      <c r="R216" s="34">
        <v>1757.0954999999999</v>
      </c>
      <c r="S216" s="56">
        <f t="shared" si="45"/>
        <v>87.095499999999902</v>
      </c>
      <c r="T216" s="56">
        <f t="shared" si="46"/>
        <v>7585.6261202499827</v>
      </c>
      <c r="U216" s="56">
        <f t="shared" si="47"/>
        <v>87.095499999999902</v>
      </c>
      <c r="V216" s="56">
        <f t="shared" si="48"/>
        <v>1.9449537248129318</v>
      </c>
      <c r="W216" s="33">
        <f t="shared" si="49"/>
        <v>5.2152994011975986</v>
      </c>
      <c r="X216" s="143">
        <f t="shared" si="50"/>
        <v>5.2152994011975986</v>
      </c>
    </row>
    <row r="217" spans="1:24" ht="15" x14ac:dyDescent="0.2">
      <c r="A217" t="s">
        <v>884</v>
      </c>
      <c r="B217" s="224" t="s">
        <v>537</v>
      </c>
      <c r="C217" s="224" t="s">
        <v>824</v>
      </c>
      <c r="D217" s="35" t="s">
        <v>148</v>
      </c>
      <c r="E217" s="35" t="s">
        <v>661</v>
      </c>
      <c r="F217" s="35" t="s">
        <v>374</v>
      </c>
      <c r="G217" s="35" t="s">
        <v>627</v>
      </c>
      <c r="H217" s="35" t="s">
        <v>580</v>
      </c>
      <c r="I217">
        <v>1733</v>
      </c>
      <c r="J217" s="34">
        <v>1975.0309999999999</v>
      </c>
      <c r="K217" s="34">
        <f t="shared" si="39"/>
        <v>242.03099999999995</v>
      </c>
      <c r="L217" s="56">
        <f t="shared" si="40"/>
        <v>58579.004960999977</v>
      </c>
      <c r="M217" s="56">
        <f t="shared" si="41"/>
        <v>242.03099999999995</v>
      </c>
      <c r="N217" s="56">
        <f t="shared" si="42"/>
        <v>2.3856616738874181</v>
      </c>
      <c r="O217" s="56">
        <f t="shared" si="51"/>
        <v>2.3856616738874181</v>
      </c>
      <c r="P217" s="143">
        <f t="shared" si="43"/>
        <v>13.966012694748986</v>
      </c>
      <c r="Q217" s="143">
        <f t="shared" si="44"/>
        <v>13.966012694748986</v>
      </c>
      <c r="R217" s="34">
        <v>1876.7129999999997</v>
      </c>
      <c r="S217" s="56">
        <f t="shared" si="45"/>
        <v>143.71299999999974</v>
      </c>
      <c r="T217" s="56">
        <f t="shared" si="46"/>
        <v>20653.426368999924</v>
      </c>
      <c r="U217" s="56">
        <f t="shared" si="47"/>
        <v>143.71299999999974</v>
      </c>
      <c r="V217" s="56">
        <f t="shared" si="48"/>
        <v>2.160507546838915</v>
      </c>
      <c r="W217" s="33">
        <f t="shared" si="49"/>
        <v>8.2927293710328751</v>
      </c>
      <c r="X217" s="143">
        <f t="shared" si="50"/>
        <v>8.2927293710328751</v>
      </c>
    </row>
    <row r="218" spans="1:24" ht="15" x14ac:dyDescent="0.2">
      <c r="A218" t="s">
        <v>885</v>
      </c>
      <c r="B218" s="224" t="s">
        <v>537</v>
      </c>
      <c r="C218" s="224" t="s">
        <v>824</v>
      </c>
      <c r="D218" s="35" t="s">
        <v>148</v>
      </c>
      <c r="E218" s="35" t="s">
        <v>661</v>
      </c>
      <c r="F218" s="35" t="s">
        <v>374</v>
      </c>
      <c r="G218" s="35" t="s">
        <v>627</v>
      </c>
      <c r="H218" s="35" t="s">
        <v>580</v>
      </c>
      <c r="I218">
        <v>1714</v>
      </c>
      <c r="J218" s="34">
        <v>1759.4571000000001</v>
      </c>
      <c r="K218" s="34">
        <f t="shared" si="39"/>
        <v>45.457100000000082</v>
      </c>
      <c r="L218" s="56">
        <f t="shared" si="40"/>
        <v>2066.3479404100076</v>
      </c>
      <c r="M218" s="56">
        <f t="shared" si="41"/>
        <v>45.457100000000082</v>
      </c>
      <c r="N218" s="56">
        <f t="shared" si="42"/>
        <v>1.6670520962669237</v>
      </c>
      <c r="O218" s="56">
        <f t="shared" si="51"/>
        <v>1.6670520962669237</v>
      </c>
      <c r="P218" s="143">
        <f t="shared" si="43"/>
        <v>2.6521061843640656</v>
      </c>
      <c r="Q218" s="143">
        <f t="shared" si="44"/>
        <v>2.6521061843640656</v>
      </c>
      <c r="R218" s="34">
        <v>1661.4014999999999</v>
      </c>
      <c r="S218" s="56">
        <f t="shared" si="45"/>
        <v>-52.598500000000058</v>
      </c>
      <c r="T218" s="56">
        <f t="shared" si="46"/>
        <v>2766.602202250006</v>
      </c>
      <c r="U218" s="56">
        <f t="shared" si="47"/>
        <v>52.598500000000058</v>
      </c>
      <c r="V218" s="56">
        <f t="shared" si="48"/>
        <v>1.7291526357592193</v>
      </c>
      <c r="W218" s="33">
        <f t="shared" si="49"/>
        <v>-3.0687572928821503</v>
      </c>
      <c r="X218" s="143">
        <f t="shared" si="50"/>
        <v>3.0687572928821503</v>
      </c>
    </row>
    <row r="219" spans="1:24" ht="15" x14ac:dyDescent="0.2">
      <c r="A219" t="s">
        <v>886</v>
      </c>
      <c r="B219" s="224" t="s">
        <v>537</v>
      </c>
      <c r="C219" s="224" t="s">
        <v>824</v>
      </c>
      <c r="D219" s="35" t="s">
        <v>148</v>
      </c>
      <c r="E219" s="35" t="s">
        <v>661</v>
      </c>
      <c r="F219" s="35" t="s">
        <v>374</v>
      </c>
      <c r="G219" s="35" t="s">
        <v>627</v>
      </c>
      <c r="H219" s="35" t="s">
        <v>580</v>
      </c>
      <c r="I219">
        <v>2100</v>
      </c>
      <c r="J219" s="34">
        <v>2253.6997000000001</v>
      </c>
      <c r="K219" s="34">
        <f t="shared" si="39"/>
        <v>153.69970000000012</v>
      </c>
      <c r="L219" s="56">
        <f t="shared" si="40"/>
        <v>23623.597780090036</v>
      </c>
      <c r="M219" s="56">
        <f t="shared" si="41"/>
        <v>153.69970000000012</v>
      </c>
      <c r="N219" s="56">
        <f t="shared" si="42"/>
        <v>2.1894894714985216</v>
      </c>
      <c r="O219" s="56">
        <f t="shared" si="51"/>
        <v>2.1894894714985216</v>
      </c>
      <c r="P219" s="143">
        <f t="shared" si="43"/>
        <v>7.3190333333333388</v>
      </c>
      <c r="Q219" s="143">
        <f t="shared" si="44"/>
        <v>7.3190333333333388</v>
      </c>
      <c r="R219" s="34">
        <v>2130.3020999999999</v>
      </c>
      <c r="S219" s="56">
        <f t="shared" si="45"/>
        <v>30.302099999999882</v>
      </c>
      <c r="T219" s="56">
        <f t="shared" si="46"/>
        <v>918.21726440999282</v>
      </c>
      <c r="U219" s="56">
        <f t="shared" si="47"/>
        <v>30.302099999999882</v>
      </c>
      <c r="V219" s="56">
        <f t="shared" si="48"/>
        <v>1.4955734745374532</v>
      </c>
      <c r="W219" s="33">
        <f t="shared" si="49"/>
        <v>1.4429571428571373</v>
      </c>
      <c r="X219" s="143">
        <f t="shared" si="50"/>
        <v>1.4429571428571373</v>
      </c>
    </row>
    <row r="220" spans="1:24" ht="15" x14ac:dyDescent="0.2">
      <c r="A220" t="s">
        <v>887</v>
      </c>
      <c r="B220" s="224" t="s">
        <v>537</v>
      </c>
      <c r="C220" s="224" t="s">
        <v>824</v>
      </c>
      <c r="D220" s="35" t="s">
        <v>148</v>
      </c>
      <c r="E220" s="35" t="s">
        <v>661</v>
      </c>
      <c r="F220" s="225" t="s">
        <v>494</v>
      </c>
      <c r="G220" s="35" t="s">
        <v>626</v>
      </c>
      <c r="H220" s="35" t="s">
        <v>580</v>
      </c>
      <c r="I220">
        <v>1056</v>
      </c>
      <c r="J220" s="34">
        <v>1102.2195999999999</v>
      </c>
      <c r="K220" s="34">
        <f t="shared" si="39"/>
        <v>46.2195999999999</v>
      </c>
      <c r="L220" s="56">
        <f t="shared" si="40"/>
        <v>2136.2514241599906</v>
      </c>
      <c r="M220" s="56">
        <f t="shared" si="41"/>
        <v>46.2195999999999</v>
      </c>
      <c r="N220" s="56">
        <f t="shared" si="42"/>
        <v>1.6741223038242714</v>
      </c>
      <c r="O220" s="56">
        <f t="shared" si="51"/>
        <v>1.6741223038242714</v>
      </c>
      <c r="P220" s="143">
        <f t="shared" si="43"/>
        <v>4.3768560606060509</v>
      </c>
      <c r="Q220" s="143">
        <f t="shared" si="44"/>
        <v>4.3768560606060509</v>
      </c>
      <c r="R220" s="34">
        <v>1048.9598999999998</v>
      </c>
      <c r="S220" s="56">
        <f t="shared" si="45"/>
        <v>-7.0401000000001659</v>
      </c>
      <c r="T220" s="56">
        <f t="shared" si="46"/>
        <v>49.563008010002335</v>
      </c>
      <c r="U220" s="56">
        <f t="shared" si="47"/>
        <v>7.0401000000001659</v>
      </c>
      <c r="V220" s="56">
        <f t="shared" si="48"/>
        <v>0.90526145038752848</v>
      </c>
      <c r="W220" s="33">
        <f t="shared" si="49"/>
        <v>-0.66667613636365208</v>
      </c>
      <c r="X220" s="143">
        <f t="shared" si="50"/>
        <v>0.66667613636365208</v>
      </c>
    </row>
    <row r="221" spans="1:24" ht="15" x14ac:dyDescent="0.2">
      <c r="A221" t="s">
        <v>888</v>
      </c>
      <c r="B221" s="224" t="s">
        <v>537</v>
      </c>
      <c r="C221" s="224" t="s">
        <v>824</v>
      </c>
      <c r="D221" s="35" t="s">
        <v>148</v>
      </c>
      <c r="E221" s="35" t="s">
        <v>661</v>
      </c>
      <c r="F221" s="35" t="s">
        <v>374</v>
      </c>
      <c r="G221" s="35" t="s">
        <v>627</v>
      </c>
      <c r="H221" s="35" t="s">
        <v>580</v>
      </c>
      <c r="I221">
        <v>2150</v>
      </c>
      <c r="J221" s="34">
        <v>2143.2838000000002</v>
      </c>
      <c r="K221" s="34">
        <f t="shared" si="39"/>
        <v>-6.7161999999998443</v>
      </c>
      <c r="L221" s="56">
        <f t="shared" si="40"/>
        <v>45.107342439997907</v>
      </c>
      <c r="M221" s="56">
        <f t="shared" si="41"/>
        <v>6.7161999999998443</v>
      </c>
      <c r="N221" s="56">
        <f t="shared" si="42"/>
        <v>0.88740347581096479</v>
      </c>
      <c r="O221" s="56">
        <f t="shared" si="51"/>
        <v>-0.88740347581096479</v>
      </c>
      <c r="P221" s="143">
        <f t="shared" si="43"/>
        <v>-0.31238139534882997</v>
      </c>
      <c r="Q221" s="143">
        <f t="shared" si="44"/>
        <v>0.31238139534882997</v>
      </c>
      <c r="R221" s="34">
        <v>2001.1151999999997</v>
      </c>
      <c r="S221" s="56">
        <f t="shared" si="45"/>
        <v>-148.88480000000027</v>
      </c>
      <c r="T221" s="56">
        <f t="shared" si="46"/>
        <v>22166.683671040078</v>
      </c>
      <c r="U221" s="56">
        <f t="shared" si="47"/>
        <v>148.88480000000027</v>
      </c>
      <c r="V221" s="56">
        <f t="shared" si="48"/>
        <v>2.1757575927493118</v>
      </c>
      <c r="W221" s="33">
        <f t="shared" si="49"/>
        <v>-6.9248744186046638</v>
      </c>
      <c r="X221" s="143">
        <f t="shared" si="50"/>
        <v>6.9248744186046638</v>
      </c>
    </row>
    <row r="222" spans="1:24" ht="15" x14ac:dyDescent="0.2">
      <c r="A222" t="s">
        <v>889</v>
      </c>
      <c r="B222" s="224" t="s">
        <v>537</v>
      </c>
      <c r="C222" s="224" t="s">
        <v>824</v>
      </c>
      <c r="D222" s="35" t="s">
        <v>148</v>
      </c>
      <c r="E222" s="35" t="s">
        <v>661</v>
      </c>
      <c r="F222" s="35" t="s">
        <v>374</v>
      </c>
      <c r="G222" s="35" t="s">
        <v>627</v>
      </c>
      <c r="H222" s="35" t="s">
        <v>580</v>
      </c>
      <c r="I222">
        <v>1895</v>
      </c>
      <c r="J222" s="34">
        <v>2080.1889999999999</v>
      </c>
      <c r="K222" s="34">
        <f t="shared" si="39"/>
        <v>185.18899999999985</v>
      </c>
      <c r="L222" s="56">
        <f t="shared" si="40"/>
        <v>34294.965720999942</v>
      </c>
      <c r="M222" s="56">
        <f t="shared" si="41"/>
        <v>185.18899999999985</v>
      </c>
      <c r="N222" s="56">
        <f t="shared" si="42"/>
        <v>2.2699540193928143</v>
      </c>
      <c r="O222" s="56">
        <f t="shared" si="51"/>
        <v>2.2699540193928143</v>
      </c>
      <c r="P222" s="143">
        <f t="shared" si="43"/>
        <v>9.7725065963060622</v>
      </c>
      <c r="Q222" s="143">
        <f t="shared" si="44"/>
        <v>9.7725065963060622</v>
      </c>
      <c r="R222" s="34">
        <v>1938.9141</v>
      </c>
      <c r="S222" s="56">
        <f t="shared" si="45"/>
        <v>43.914099999999962</v>
      </c>
      <c r="T222" s="56">
        <f t="shared" si="46"/>
        <v>1928.4481788099968</v>
      </c>
      <c r="U222" s="56">
        <f t="shared" si="47"/>
        <v>43.914099999999962</v>
      </c>
      <c r="V222" s="56">
        <f t="shared" si="48"/>
        <v>1.652382701602497</v>
      </c>
      <c r="W222" s="33">
        <f t="shared" si="49"/>
        <v>2.3173667546174124</v>
      </c>
      <c r="X222" s="143">
        <f t="shared" si="50"/>
        <v>2.3173667546174124</v>
      </c>
    </row>
    <row r="223" spans="1:24" ht="15" x14ac:dyDescent="0.2">
      <c r="A223" t="s">
        <v>890</v>
      </c>
      <c r="B223" s="224" t="s">
        <v>537</v>
      </c>
      <c r="C223" s="224" t="s">
        <v>824</v>
      </c>
      <c r="D223" s="35" t="s">
        <v>148</v>
      </c>
      <c r="E223" s="35" t="s">
        <v>661</v>
      </c>
      <c r="F223" s="35" t="s">
        <v>374</v>
      </c>
      <c r="G223" s="35" t="s">
        <v>626</v>
      </c>
      <c r="H223" s="35" t="s">
        <v>580</v>
      </c>
      <c r="I223">
        <v>1316</v>
      </c>
      <c r="J223" s="34">
        <v>1354.5988</v>
      </c>
      <c r="K223" s="34">
        <f t="shared" si="39"/>
        <v>38.598799999999983</v>
      </c>
      <c r="L223" s="56">
        <f t="shared" si="40"/>
        <v>1489.8673614399986</v>
      </c>
      <c r="M223" s="56">
        <f t="shared" si="41"/>
        <v>38.598799999999983</v>
      </c>
      <c r="N223" s="56">
        <f t="shared" si="42"/>
        <v>1.5976820252872619</v>
      </c>
      <c r="O223" s="56">
        <f t="shared" si="51"/>
        <v>1.5976820252872619</v>
      </c>
      <c r="P223" s="143">
        <f t="shared" si="43"/>
        <v>2.9330395136778105</v>
      </c>
      <c r="Q223" s="143">
        <f t="shared" si="44"/>
        <v>2.9330395136778105</v>
      </c>
      <c r="R223" s="34">
        <v>1283.4101999999998</v>
      </c>
      <c r="S223" s="56">
        <f t="shared" si="45"/>
        <v>-32.589800000000196</v>
      </c>
      <c r="T223" s="56">
        <f t="shared" si="46"/>
        <v>1062.0950640400129</v>
      </c>
      <c r="U223" s="56">
        <f t="shared" si="47"/>
        <v>32.589800000000196</v>
      </c>
      <c r="V223" s="56">
        <f t="shared" si="48"/>
        <v>1.5262074179781668</v>
      </c>
      <c r="W223" s="33">
        <f t="shared" si="49"/>
        <v>-2.4764285714285865</v>
      </c>
      <c r="X223" s="143">
        <f t="shared" si="50"/>
        <v>2.4764285714285865</v>
      </c>
    </row>
    <row r="224" spans="1:24" ht="15" x14ac:dyDescent="0.2">
      <c r="A224" t="s">
        <v>891</v>
      </c>
      <c r="B224" s="224" t="s">
        <v>537</v>
      </c>
      <c r="C224" s="224" t="s">
        <v>824</v>
      </c>
      <c r="D224" s="35" t="s">
        <v>148</v>
      </c>
      <c r="E224" s="35" t="s">
        <v>661</v>
      </c>
      <c r="F224" s="35" t="s">
        <v>374</v>
      </c>
      <c r="G224" s="35" t="s">
        <v>627</v>
      </c>
      <c r="H224" s="35" t="s">
        <v>580</v>
      </c>
      <c r="I224">
        <v>1704</v>
      </c>
      <c r="J224" s="34">
        <v>1775.2308</v>
      </c>
      <c r="K224" s="34">
        <f t="shared" si="39"/>
        <v>71.230800000000045</v>
      </c>
      <c r="L224" s="56">
        <f t="shared" si="40"/>
        <v>5073.8268686400061</v>
      </c>
      <c r="M224" s="56">
        <f t="shared" si="41"/>
        <v>71.230800000000045</v>
      </c>
      <c r="N224" s="56">
        <f t="shared" si="42"/>
        <v>1.8587224249622092</v>
      </c>
      <c r="O224" s="56">
        <f t="shared" si="51"/>
        <v>1.8587224249622092</v>
      </c>
      <c r="P224" s="143">
        <f t="shared" si="43"/>
        <v>4.1802112676056362</v>
      </c>
      <c r="Q224" s="143">
        <f t="shared" si="44"/>
        <v>4.1802112676056362</v>
      </c>
      <c r="R224" s="34">
        <v>1680.5402999999999</v>
      </c>
      <c r="S224" s="56">
        <f t="shared" si="45"/>
        <v>-23.459700000000112</v>
      </c>
      <c r="T224" s="56">
        <f t="shared" si="46"/>
        <v>550.3575240900052</v>
      </c>
      <c r="U224" s="56">
        <f t="shared" si="47"/>
        <v>23.459700000000112</v>
      </c>
      <c r="V224" s="56">
        <f t="shared" si="48"/>
        <v>1.3884511260795178</v>
      </c>
      <c r="W224" s="33">
        <f t="shared" si="49"/>
        <v>-1.3767429577464854</v>
      </c>
      <c r="X224" s="143">
        <f t="shared" si="50"/>
        <v>1.3767429577464854</v>
      </c>
    </row>
    <row r="225" spans="1:24" ht="15" x14ac:dyDescent="0.2">
      <c r="A225" t="s">
        <v>892</v>
      </c>
      <c r="B225" s="224" t="s">
        <v>537</v>
      </c>
      <c r="C225" s="224" t="s">
        <v>824</v>
      </c>
      <c r="D225" s="35" t="s">
        <v>148</v>
      </c>
      <c r="E225" s="35" t="s">
        <v>661</v>
      </c>
      <c r="F225" s="35" t="s">
        <v>494</v>
      </c>
      <c r="G225" s="35" t="s">
        <v>626</v>
      </c>
      <c r="H225" s="35" t="s">
        <v>580</v>
      </c>
      <c r="I225">
        <v>1090</v>
      </c>
      <c r="J225" s="34">
        <v>1123.2511999999999</v>
      </c>
      <c r="K225" s="34">
        <f t="shared" si="39"/>
        <v>33.251199999999926</v>
      </c>
      <c r="L225" s="56">
        <f t="shared" si="40"/>
        <v>1105.642301439995</v>
      </c>
      <c r="M225" s="56">
        <f t="shared" si="41"/>
        <v>33.251199999999926</v>
      </c>
      <c r="N225" s="56">
        <f t="shared" si="42"/>
        <v>1.5346757917189195</v>
      </c>
      <c r="O225" s="56">
        <f t="shared" si="51"/>
        <v>1.5346757917189195</v>
      </c>
      <c r="P225" s="143">
        <f t="shared" si="43"/>
        <v>3.0505688073394426</v>
      </c>
      <c r="Q225" s="143">
        <f t="shared" si="44"/>
        <v>3.0505688073394426</v>
      </c>
      <c r="R225" s="34">
        <v>1048.9598999999998</v>
      </c>
      <c r="S225" s="56">
        <f t="shared" si="45"/>
        <v>-41.040100000000166</v>
      </c>
      <c r="T225" s="56">
        <f t="shared" si="46"/>
        <v>1684.2898080100135</v>
      </c>
      <c r="U225" s="56">
        <f t="shared" si="47"/>
        <v>41.040100000000166</v>
      </c>
      <c r="V225" s="56">
        <f t="shared" si="48"/>
        <v>1.6236637404056007</v>
      </c>
      <c r="W225" s="33">
        <f t="shared" si="49"/>
        <v>-3.7651467889908408</v>
      </c>
      <c r="X225" s="143">
        <f t="shared" si="50"/>
        <v>3.7651467889908408</v>
      </c>
    </row>
    <row r="226" spans="1:24" ht="15" x14ac:dyDescent="0.2">
      <c r="A226" t="s">
        <v>893</v>
      </c>
      <c r="B226" s="224" t="s">
        <v>537</v>
      </c>
      <c r="C226" s="224" t="s">
        <v>824</v>
      </c>
      <c r="D226" s="35" t="s">
        <v>148</v>
      </c>
      <c r="E226" s="35" t="s">
        <v>661</v>
      </c>
      <c r="F226" s="35" t="s">
        <v>374</v>
      </c>
      <c r="G226" s="35" t="s">
        <v>626</v>
      </c>
      <c r="H226" s="35" t="s">
        <v>580</v>
      </c>
      <c r="I226">
        <v>1274</v>
      </c>
      <c r="J226" s="34">
        <v>1275.7302999999999</v>
      </c>
      <c r="K226" s="34">
        <f t="shared" si="39"/>
        <v>1.7302999999999429</v>
      </c>
      <c r="L226" s="56">
        <f t="shared" si="40"/>
        <v>2.9939380899998023</v>
      </c>
      <c r="M226" s="56">
        <f t="shared" si="41"/>
        <v>1.7302999999999429</v>
      </c>
      <c r="N226" s="56">
        <f t="shared" si="42"/>
        <v>0.43621036908704552</v>
      </c>
      <c r="O226" s="56">
        <f t="shared" si="51"/>
        <v>0.43621036908704552</v>
      </c>
      <c r="P226" s="143">
        <f t="shared" si="43"/>
        <v>0.13581632653060777</v>
      </c>
      <c r="Q226" s="143">
        <f t="shared" si="44"/>
        <v>0.13581632653060777</v>
      </c>
      <c r="R226" s="34">
        <v>1192.5009</v>
      </c>
      <c r="S226" s="56">
        <f t="shared" si="45"/>
        <v>-81.499099999999999</v>
      </c>
      <c r="T226" s="56">
        <f t="shared" si="46"/>
        <v>6642.1033008099994</v>
      </c>
      <c r="U226" s="56">
        <f t="shared" si="47"/>
        <v>81.499099999999999</v>
      </c>
      <c r="V226" s="56">
        <f t="shared" si="48"/>
        <v>1.9164492107660982</v>
      </c>
      <c r="W226" s="33">
        <f t="shared" si="49"/>
        <v>-6.397103610675039</v>
      </c>
      <c r="X226" s="143">
        <f t="shared" si="50"/>
        <v>6.397103610675039</v>
      </c>
    </row>
    <row r="227" spans="1:24" ht="15" x14ac:dyDescent="0.2">
      <c r="A227" t="s">
        <v>894</v>
      </c>
      <c r="B227" s="224" t="s">
        <v>537</v>
      </c>
      <c r="C227" s="224" t="s">
        <v>824</v>
      </c>
      <c r="D227" s="35" t="s">
        <v>148</v>
      </c>
      <c r="E227" s="35" t="s">
        <v>661</v>
      </c>
      <c r="F227" s="35" t="s">
        <v>494</v>
      </c>
      <c r="G227" s="35" t="s">
        <v>626</v>
      </c>
      <c r="H227" s="35" t="s">
        <v>580</v>
      </c>
      <c r="I227">
        <v>1111</v>
      </c>
      <c r="J227" s="34">
        <v>1154.7986000000001</v>
      </c>
      <c r="K227" s="34">
        <f t="shared" si="39"/>
        <v>43.798600000000079</v>
      </c>
      <c r="L227" s="56">
        <f t="shared" si="40"/>
        <v>1918.3173619600068</v>
      </c>
      <c r="M227" s="56">
        <f t="shared" si="41"/>
        <v>43.798600000000079</v>
      </c>
      <c r="N227" s="56">
        <f t="shared" si="42"/>
        <v>1.651264442083523</v>
      </c>
      <c r="O227" s="56">
        <f t="shared" si="51"/>
        <v>1.651264442083523</v>
      </c>
      <c r="P227" s="143">
        <f t="shared" si="43"/>
        <v>3.9422682268226894</v>
      </c>
      <c r="Q227" s="143">
        <f t="shared" si="44"/>
        <v>3.9422682268226894</v>
      </c>
      <c r="R227" s="34">
        <v>1082.4527999999998</v>
      </c>
      <c r="S227" s="56">
        <f t="shared" si="45"/>
        <v>-28.547200000000203</v>
      </c>
      <c r="T227" s="56">
        <f t="shared" si="46"/>
        <v>814.9426278400116</v>
      </c>
      <c r="U227" s="56">
        <f t="shared" si="47"/>
        <v>28.547200000000203</v>
      </c>
      <c r="V227" s="56">
        <f t="shared" si="48"/>
        <v>1.4705163318445205</v>
      </c>
      <c r="W227" s="33">
        <f t="shared" si="49"/>
        <v>-2.5695049504950678</v>
      </c>
      <c r="X227" s="143">
        <f t="shared" si="50"/>
        <v>2.5695049504950678</v>
      </c>
    </row>
    <row r="228" spans="1:24" ht="15" x14ac:dyDescent="0.2">
      <c r="A228" t="s">
        <v>895</v>
      </c>
      <c r="B228" s="224" t="s">
        <v>537</v>
      </c>
      <c r="C228" s="224" t="s">
        <v>824</v>
      </c>
      <c r="D228" s="35" t="s">
        <v>148</v>
      </c>
      <c r="E228" s="35" t="s">
        <v>661</v>
      </c>
      <c r="F228" s="35" t="s">
        <v>494</v>
      </c>
      <c r="G228" s="35" t="s">
        <v>626</v>
      </c>
      <c r="H228" s="35" t="s">
        <v>580</v>
      </c>
      <c r="I228">
        <v>1185</v>
      </c>
      <c r="J228" s="34">
        <v>1254.6986999999999</v>
      </c>
      <c r="K228" s="34">
        <f t="shared" si="39"/>
        <v>69.698699999999917</v>
      </c>
      <c r="L228" s="56">
        <f t="shared" si="40"/>
        <v>4857.9087816899882</v>
      </c>
      <c r="M228" s="56">
        <f t="shared" si="41"/>
        <v>69.698699999999917</v>
      </c>
      <c r="N228" s="56">
        <f t="shared" si="42"/>
        <v>1.8494114281106586</v>
      </c>
      <c r="O228" s="56">
        <f t="shared" si="51"/>
        <v>1.8494114281106586</v>
      </c>
      <c r="P228" s="143">
        <f t="shared" si="43"/>
        <v>5.8817468354430309</v>
      </c>
      <c r="Q228" s="143">
        <f t="shared" si="44"/>
        <v>5.8817468354430309</v>
      </c>
      <c r="R228" s="34">
        <v>1182.9314999999999</v>
      </c>
      <c r="S228" s="56">
        <f t="shared" si="45"/>
        <v>-2.0685000000000855</v>
      </c>
      <c r="T228" s="56">
        <f t="shared" si="46"/>
        <v>4.2786922500003532</v>
      </c>
      <c r="U228" s="56">
        <f t="shared" si="47"/>
        <v>2.0685000000000855</v>
      </c>
      <c r="V228" s="56">
        <f t="shared" si="48"/>
        <v>0.48692612761996273</v>
      </c>
      <c r="W228" s="33">
        <f t="shared" si="49"/>
        <v>-0.17455696202532367</v>
      </c>
      <c r="X228" s="143">
        <f t="shared" si="50"/>
        <v>0.17455696202532367</v>
      </c>
    </row>
    <row r="229" spans="1:24" ht="15" x14ac:dyDescent="0.2">
      <c r="A229" t="s">
        <v>896</v>
      </c>
      <c r="B229" s="224" t="s">
        <v>537</v>
      </c>
      <c r="C229" s="224" t="s">
        <v>824</v>
      </c>
      <c r="D229" s="35" t="s">
        <v>148</v>
      </c>
      <c r="E229" s="35" t="s">
        <v>661</v>
      </c>
      <c r="F229" s="35" t="s">
        <v>374</v>
      </c>
      <c r="G229" s="35" t="s">
        <v>627</v>
      </c>
      <c r="H229" s="35" t="s">
        <v>580</v>
      </c>
      <c r="I229">
        <v>1750</v>
      </c>
      <c r="J229" s="34">
        <v>1769.9729</v>
      </c>
      <c r="K229" s="34">
        <f t="shared" si="39"/>
        <v>19.972899999999981</v>
      </c>
      <c r="L229" s="56">
        <f t="shared" si="40"/>
        <v>398.91673440999926</v>
      </c>
      <c r="M229" s="56">
        <f t="shared" si="41"/>
        <v>19.972899999999981</v>
      </c>
      <c r="N229" s="56">
        <f t="shared" si="42"/>
        <v>1.321658486112403</v>
      </c>
      <c r="O229" s="56">
        <f t="shared" si="51"/>
        <v>1.321658486112403</v>
      </c>
      <c r="P229" s="143">
        <f t="shared" si="43"/>
        <v>1.1413085714285705</v>
      </c>
      <c r="Q229" s="143">
        <f t="shared" si="44"/>
        <v>1.1413085714285705</v>
      </c>
      <c r="R229" s="34">
        <v>1670.9708999999998</v>
      </c>
      <c r="S229" s="56">
        <f t="shared" si="45"/>
        <v>-79.029100000000199</v>
      </c>
      <c r="T229" s="56">
        <f t="shared" si="46"/>
        <v>6245.5986468100318</v>
      </c>
      <c r="U229" s="56">
        <f t="shared" si="47"/>
        <v>79.029100000000199</v>
      </c>
      <c r="V229" s="56">
        <f t="shared" si="48"/>
        <v>1.9032479328850689</v>
      </c>
      <c r="W229" s="33">
        <f t="shared" si="49"/>
        <v>-4.5159485714285825</v>
      </c>
      <c r="X229" s="143">
        <f t="shared" si="50"/>
        <v>4.5159485714285825</v>
      </c>
    </row>
    <row r="230" spans="1:24" ht="15" x14ac:dyDescent="0.2">
      <c r="A230" t="s">
        <v>897</v>
      </c>
      <c r="B230" s="224" t="s">
        <v>537</v>
      </c>
      <c r="C230" s="224" t="s">
        <v>824</v>
      </c>
      <c r="D230" s="35" t="s">
        <v>148</v>
      </c>
      <c r="E230" s="35" t="s">
        <v>661</v>
      </c>
      <c r="F230" s="35" t="s">
        <v>494</v>
      </c>
      <c r="G230" s="35" t="s">
        <v>626</v>
      </c>
      <c r="H230" s="35" t="s">
        <v>580</v>
      </c>
      <c r="I230">
        <v>1031</v>
      </c>
      <c r="J230" s="34">
        <v>1049.6405999999999</v>
      </c>
      <c r="K230" s="34">
        <f t="shared" si="39"/>
        <v>18.640599999999949</v>
      </c>
      <c r="L230" s="56">
        <f t="shared" si="40"/>
        <v>347.47196835999813</v>
      </c>
      <c r="M230" s="56">
        <f t="shared" si="41"/>
        <v>18.640599999999949</v>
      </c>
      <c r="N230" s="56">
        <f t="shared" si="42"/>
        <v>1.2931547509004677</v>
      </c>
      <c r="O230" s="56">
        <f t="shared" si="51"/>
        <v>1.2931547509004677</v>
      </c>
      <c r="P230" s="143">
        <f t="shared" si="43"/>
        <v>1.8080116391852521</v>
      </c>
      <c r="Q230" s="143">
        <f t="shared" si="44"/>
        <v>1.8080116391852521</v>
      </c>
      <c r="R230" s="34">
        <v>986.75879999999995</v>
      </c>
      <c r="S230" s="56">
        <f t="shared" si="45"/>
        <v>-44.241200000000049</v>
      </c>
      <c r="T230" s="56">
        <f t="shared" si="46"/>
        <v>1957.2837774400043</v>
      </c>
      <c r="U230" s="56">
        <f t="shared" si="47"/>
        <v>44.241200000000049</v>
      </c>
      <c r="V230" s="56">
        <f t="shared" si="48"/>
        <v>1.6555341158481696</v>
      </c>
      <c r="W230" s="33">
        <f t="shared" si="49"/>
        <v>-4.2910960232783752</v>
      </c>
      <c r="X230" s="143">
        <f t="shared" si="50"/>
        <v>4.2910960232783752</v>
      </c>
    </row>
    <row r="231" spans="1:24" ht="15" x14ac:dyDescent="0.2">
      <c r="A231" t="s">
        <v>898</v>
      </c>
      <c r="B231" s="224" t="s">
        <v>537</v>
      </c>
      <c r="C231" s="224" t="s">
        <v>824</v>
      </c>
      <c r="D231" s="35" t="s">
        <v>148</v>
      </c>
      <c r="E231" s="35" t="s">
        <v>661</v>
      </c>
      <c r="F231" s="225" t="s">
        <v>494</v>
      </c>
      <c r="G231" s="35" t="s">
        <v>626</v>
      </c>
      <c r="H231" s="35" t="s">
        <v>580</v>
      </c>
      <c r="I231">
        <v>874</v>
      </c>
      <c r="J231" s="34">
        <v>960.25630000000012</v>
      </c>
      <c r="K231" s="34">
        <f t="shared" si="39"/>
        <v>86.256300000000124</v>
      </c>
      <c r="L231" s="56">
        <f t="shared" si="40"/>
        <v>7440.1492896900218</v>
      </c>
      <c r="M231" s="56">
        <f t="shared" si="41"/>
        <v>86.256300000000124</v>
      </c>
      <c r="N231" s="56">
        <f t="shared" si="42"/>
        <v>1.9407967932983874</v>
      </c>
      <c r="O231" s="56">
        <f t="shared" si="51"/>
        <v>1.9407967932983874</v>
      </c>
      <c r="P231" s="143">
        <f t="shared" si="43"/>
        <v>9.8691418764302199</v>
      </c>
      <c r="Q231" s="143">
        <f t="shared" si="44"/>
        <v>9.8691418764302199</v>
      </c>
      <c r="R231" s="34">
        <v>910.20359999999994</v>
      </c>
      <c r="S231" s="56">
        <f t="shared" si="45"/>
        <v>36.203599999999938</v>
      </c>
      <c r="T231" s="56">
        <f t="shared" si="46"/>
        <v>1310.7006529599955</v>
      </c>
      <c r="U231" s="56">
        <f t="shared" si="47"/>
        <v>36.203599999999938</v>
      </c>
      <c r="V231" s="56">
        <f t="shared" si="48"/>
        <v>1.5705849663466396</v>
      </c>
      <c r="W231" s="33">
        <f t="shared" si="49"/>
        <v>4.1422883295194435</v>
      </c>
      <c r="X231" s="143">
        <f t="shared" si="50"/>
        <v>4.1422883295194435</v>
      </c>
    </row>
    <row r="232" spans="1:24" ht="15" x14ac:dyDescent="0.2">
      <c r="A232" t="s">
        <v>899</v>
      </c>
      <c r="B232" s="224" t="s">
        <v>537</v>
      </c>
      <c r="C232" s="224" t="s">
        <v>824</v>
      </c>
      <c r="D232" s="35" t="s">
        <v>148</v>
      </c>
      <c r="E232" s="35" t="s">
        <v>661</v>
      </c>
      <c r="F232" s="35" t="s">
        <v>374</v>
      </c>
      <c r="G232" s="35" t="s">
        <v>627</v>
      </c>
      <c r="H232" s="35" t="s">
        <v>580</v>
      </c>
      <c r="I232">
        <v>2060</v>
      </c>
      <c r="J232" s="34">
        <v>2138.0259000000001</v>
      </c>
      <c r="K232" s="34">
        <f t="shared" si="39"/>
        <v>78.025900000000092</v>
      </c>
      <c r="L232" s="56">
        <f t="shared" si="40"/>
        <v>6088.0410708100144</v>
      </c>
      <c r="M232" s="56">
        <f t="shared" si="41"/>
        <v>78.025900000000092</v>
      </c>
      <c r="N232" s="56">
        <f t="shared" si="42"/>
        <v>1.8977694505768881</v>
      </c>
      <c r="O232" s="56">
        <f t="shared" si="51"/>
        <v>1.8977694505768881</v>
      </c>
      <c r="P232" s="143">
        <f t="shared" si="43"/>
        <v>3.787665048543694</v>
      </c>
      <c r="Q232" s="143">
        <f t="shared" si="44"/>
        <v>3.787665048543694</v>
      </c>
      <c r="R232" s="34">
        <v>2001.1151999999997</v>
      </c>
      <c r="S232" s="56">
        <f t="shared" si="45"/>
        <v>-58.884800000000268</v>
      </c>
      <c r="T232" s="56">
        <f t="shared" si="46"/>
        <v>3467.4196710400315</v>
      </c>
      <c r="U232" s="56">
        <f t="shared" si="47"/>
        <v>58.884800000000268</v>
      </c>
      <c r="V232" s="56">
        <f t="shared" si="48"/>
        <v>1.7773166034606953</v>
      </c>
      <c r="W232" s="33">
        <f t="shared" si="49"/>
        <v>-2.8584854368932171</v>
      </c>
      <c r="X232" s="143">
        <f t="shared" si="50"/>
        <v>2.8584854368932171</v>
      </c>
    </row>
    <row r="233" spans="1:24" ht="15" x14ac:dyDescent="0.2">
      <c r="A233" t="s">
        <v>836</v>
      </c>
      <c r="B233" s="224" t="s">
        <v>537</v>
      </c>
      <c r="C233" s="224" t="s">
        <v>824</v>
      </c>
      <c r="D233" s="35" t="s">
        <v>148</v>
      </c>
      <c r="E233" s="35" t="s">
        <v>661</v>
      </c>
      <c r="F233" s="35" t="s">
        <v>374</v>
      </c>
      <c r="G233" s="35" t="s">
        <v>627</v>
      </c>
      <c r="H233" s="35" t="s">
        <v>580</v>
      </c>
      <c r="I233">
        <v>2190</v>
      </c>
      <c r="J233" s="34">
        <v>2395.663</v>
      </c>
      <c r="K233" s="34">
        <f t="shared" si="39"/>
        <v>205.66300000000001</v>
      </c>
      <c r="L233" s="56">
        <f t="shared" si="40"/>
        <v>42297.269569000004</v>
      </c>
      <c r="M233" s="56">
        <f t="shared" si="41"/>
        <v>205.66300000000001</v>
      </c>
      <c r="N233" s="56">
        <f t="shared" si="42"/>
        <v>2.3152627294855588</v>
      </c>
      <c r="O233" s="56">
        <f t="shared" si="51"/>
        <v>2.3152627294855588</v>
      </c>
      <c r="P233" s="143">
        <f t="shared" si="43"/>
        <v>9.3910045662100465</v>
      </c>
      <c r="Q233" s="143">
        <f t="shared" si="44"/>
        <v>9.3910045662100465</v>
      </c>
      <c r="R233" s="34">
        <v>2307.3359999999998</v>
      </c>
      <c r="S233" s="56">
        <f t="shared" si="45"/>
        <v>117.33599999999979</v>
      </c>
      <c r="T233" s="56">
        <f t="shared" si="46"/>
        <v>13767.736895999949</v>
      </c>
      <c r="U233" s="56">
        <f t="shared" si="47"/>
        <v>117.33599999999979</v>
      </c>
      <c r="V233" s="56">
        <f t="shared" si="48"/>
        <v>2.0731168851430595</v>
      </c>
      <c r="W233" s="33">
        <f t="shared" si="49"/>
        <v>5.3578082191780725</v>
      </c>
      <c r="X233" s="143">
        <f t="shared" si="50"/>
        <v>5.3578082191780725</v>
      </c>
    </row>
    <row r="234" spans="1:24" ht="15" x14ac:dyDescent="0.2">
      <c r="A234" t="s">
        <v>837</v>
      </c>
      <c r="B234" s="224" t="s">
        <v>537</v>
      </c>
      <c r="C234" s="224" t="s">
        <v>824</v>
      </c>
      <c r="D234" s="35" t="s">
        <v>148</v>
      </c>
      <c r="E234" s="35" t="s">
        <v>661</v>
      </c>
      <c r="F234" s="225" t="s">
        <v>293</v>
      </c>
      <c r="G234" s="35" t="s">
        <v>627</v>
      </c>
      <c r="H234" s="29" t="s">
        <v>580</v>
      </c>
      <c r="I234">
        <v>2570</v>
      </c>
      <c r="J234" s="34">
        <v>2842.5844999999999</v>
      </c>
      <c r="K234" s="34">
        <f t="shared" si="39"/>
        <v>272.58449999999993</v>
      </c>
      <c r="L234" s="56">
        <f t="shared" si="40"/>
        <v>74302.309640249965</v>
      </c>
      <c r="M234" s="56">
        <f t="shared" si="41"/>
        <v>272.58449999999993</v>
      </c>
      <c r="N234" s="56">
        <f t="shared" si="42"/>
        <v>2.4370914886798212</v>
      </c>
      <c r="O234" s="56">
        <f t="shared" si="51"/>
        <v>2.4370914886798212</v>
      </c>
      <c r="P234" s="143">
        <f t="shared" si="43"/>
        <v>10.606400778210114</v>
      </c>
      <c r="Q234" s="143">
        <f t="shared" si="44"/>
        <v>10.606400778210114</v>
      </c>
      <c r="R234" s="34">
        <v>2737.9589999999998</v>
      </c>
      <c r="S234" s="56">
        <f t="shared" si="45"/>
        <v>167.95899999999983</v>
      </c>
      <c r="T234" s="56">
        <f t="shared" si="46"/>
        <v>28210.225680999945</v>
      </c>
      <c r="U234" s="56">
        <f t="shared" si="47"/>
        <v>167.95899999999983</v>
      </c>
      <c r="V234" s="56">
        <f t="shared" si="48"/>
        <v>2.2277813304478991</v>
      </c>
      <c r="W234" s="33">
        <f t="shared" si="49"/>
        <v>6.5353696498054408</v>
      </c>
      <c r="X234" s="143">
        <f t="shared" si="50"/>
        <v>6.5353696498054408</v>
      </c>
    </row>
    <row r="235" spans="1:24" ht="15" x14ac:dyDescent="0.2">
      <c r="A235" t="s">
        <v>838</v>
      </c>
      <c r="B235" s="224" t="s">
        <v>537</v>
      </c>
      <c r="C235" s="224" t="s">
        <v>824</v>
      </c>
      <c r="D235" s="35" t="s">
        <v>148</v>
      </c>
      <c r="E235" s="35" t="s">
        <v>661</v>
      </c>
      <c r="F235" s="35" t="s">
        <v>374</v>
      </c>
      <c r="G235" s="35" t="s">
        <v>627</v>
      </c>
      <c r="H235" s="35" t="s">
        <v>580</v>
      </c>
      <c r="I235">
        <v>2285</v>
      </c>
      <c r="J235" s="34">
        <v>2553.4</v>
      </c>
      <c r="K235" s="34">
        <f t="shared" si="39"/>
        <v>268.40000000000009</v>
      </c>
      <c r="L235" s="56">
        <f t="shared" si="40"/>
        <v>72038.560000000056</v>
      </c>
      <c r="M235" s="56">
        <f t="shared" si="41"/>
        <v>268.40000000000009</v>
      </c>
      <c r="N235" s="56">
        <f t="shared" si="42"/>
        <v>2.4303975913869671</v>
      </c>
      <c r="O235" s="56">
        <f t="shared" si="51"/>
        <v>2.4303975913869671</v>
      </c>
      <c r="P235" s="143">
        <f t="shared" si="43"/>
        <v>11.746170678336984</v>
      </c>
      <c r="Q235" s="143">
        <f t="shared" si="44"/>
        <v>11.746170678336984</v>
      </c>
      <c r="R235" s="34">
        <v>2450.877</v>
      </c>
      <c r="S235" s="56">
        <f t="shared" si="45"/>
        <v>165.87699999999995</v>
      </c>
      <c r="T235" s="56">
        <f t="shared" si="46"/>
        <v>27515.179128999986</v>
      </c>
      <c r="U235" s="56">
        <f t="shared" si="47"/>
        <v>165.87699999999995</v>
      </c>
      <c r="V235" s="56">
        <f t="shared" si="48"/>
        <v>2.2223964837049577</v>
      </c>
      <c r="W235" s="33">
        <f t="shared" si="49"/>
        <v>7.259387308533916</v>
      </c>
      <c r="X235" s="143">
        <f t="shared" si="50"/>
        <v>7.259387308533916</v>
      </c>
    </row>
    <row r="236" spans="1:24" ht="16" x14ac:dyDescent="0.2">
      <c r="A236" t="s">
        <v>839</v>
      </c>
      <c r="B236" s="224" t="s">
        <v>537</v>
      </c>
      <c r="C236" s="224" t="s">
        <v>824</v>
      </c>
      <c r="D236" s="35" t="s">
        <v>148</v>
      </c>
      <c r="E236" s="35" t="s">
        <v>661</v>
      </c>
      <c r="F236" s="35" t="s">
        <v>374</v>
      </c>
      <c r="G236" s="35" t="s">
        <v>626</v>
      </c>
      <c r="H236" s="35" t="s">
        <v>580</v>
      </c>
      <c r="I236" s="147">
        <v>1380</v>
      </c>
      <c r="J236" s="34">
        <v>1396.662</v>
      </c>
      <c r="K236" s="34">
        <f t="shared" si="39"/>
        <v>16.662000000000035</v>
      </c>
      <c r="L236" s="56">
        <f t="shared" si="40"/>
        <v>277.62224400000116</v>
      </c>
      <c r="M236" s="56">
        <f t="shared" si="41"/>
        <v>16.662000000000035</v>
      </c>
      <c r="N236" s="56">
        <f t="shared" si="42"/>
        <v>1.2470398804297469</v>
      </c>
      <c r="O236" s="56">
        <f t="shared" si="51"/>
        <v>1.2470398804297469</v>
      </c>
      <c r="P236" s="143">
        <f t="shared" si="43"/>
        <v>1.2073913043478286</v>
      </c>
      <c r="Q236" s="143">
        <f t="shared" si="44"/>
        <v>1.2073913043478286</v>
      </c>
      <c r="R236" s="34">
        <v>1336.0418999999999</v>
      </c>
      <c r="S236" s="56">
        <f t="shared" si="45"/>
        <v>-43.958100000000059</v>
      </c>
      <c r="T236" s="56">
        <f t="shared" si="46"/>
        <v>1932.3145556100051</v>
      </c>
      <c r="U236" s="56">
        <f t="shared" si="47"/>
        <v>43.958100000000059</v>
      </c>
      <c r="V236" s="56">
        <f t="shared" si="48"/>
        <v>1.65280794898112</v>
      </c>
      <c r="W236" s="33">
        <f t="shared" si="49"/>
        <v>-3.1853695652173957</v>
      </c>
      <c r="X236" s="143">
        <f t="shared" si="50"/>
        <v>3.1853695652173957</v>
      </c>
    </row>
    <row r="237" spans="1:24" ht="16" x14ac:dyDescent="0.2">
      <c r="A237" t="s">
        <v>840</v>
      </c>
      <c r="B237" s="224" t="s">
        <v>537</v>
      </c>
      <c r="C237" s="224" t="s">
        <v>824</v>
      </c>
      <c r="D237" s="35" t="s">
        <v>148</v>
      </c>
      <c r="E237" s="35" t="s">
        <v>661</v>
      </c>
      <c r="F237" s="225" t="s">
        <v>293</v>
      </c>
      <c r="G237" s="35" t="s">
        <v>627</v>
      </c>
      <c r="H237" s="29" t="s">
        <v>580</v>
      </c>
      <c r="I237" s="147">
        <v>2645</v>
      </c>
      <c r="J237" s="34">
        <v>2763.7159999999999</v>
      </c>
      <c r="K237" s="34">
        <f t="shared" si="39"/>
        <v>118.71599999999989</v>
      </c>
      <c r="L237" s="56">
        <f t="shared" si="40"/>
        <v>14093.488655999974</v>
      </c>
      <c r="M237" s="56">
        <f t="shared" si="41"/>
        <v>118.71599999999989</v>
      </c>
      <c r="N237" s="56">
        <f t="shared" si="42"/>
        <v>2.078152197585553</v>
      </c>
      <c r="O237" s="56">
        <f t="shared" si="51"/>
        <v>2.078152197585553</v>
      </c>
      <c r="P237" s="143">
        <f t="shared" si="43"/>
        <v>4.4883175803402606</v>
      </c>
      <c r="Q237" s="143">
        <f t="shared" si="44"/>
        <v>4.4883175803402606</v>
      </c>
      <c r="R237" s="34">
        <v>2642.2649999999999</v>
      </c>
      <c r="S237" s="56">
        <f t="shared" si="45"/>
        <v>-2.7350000000001273</v>
      </c>
      <c r="T237" s="56">
        <f t="shared" si="46"/>
        <v>7.4802250000006962</v>
      </c>
      <c r="U237" s="56">
        <f t="shared" si="47"/>
        <v>2.7350000000001273</v>
      </c>
      <c r="V237" s="56">
        <f t="shared" si="48"/>
        <v>0.57229060615143235</v>
      </c>
      <c r="W237" s="33">
        <f t="shared" si="49"/>
        <v>-0.10340264650284035</v>
      </c>
      <c r="X237" s="143">
        <f t="shared" si="50"/>
        <v>0.10340264650284035</v>
      </c>
    </row>
    <row r="238" spans="1:24" ht="16" x14ac:dyDescent="0.2">
      <c r="A238" t="s">
        <v>841</v>
      </c>
      <c r="B238" s="224" t="s">
        <v>537</v>
      </c>
      <c r="C238" s="224" t="s">
        <v>824</v>
      </c>
      <c r="D238" s="35" t="s">
        <v>148</v>
      </c>
      <c r="E238" s="35" t="s">
        <v>661</v>
      </c>
      <c r="F238" s="35" t="s">
        <v>374</v>
      </c>
      <c r="G238" s="35" t="s">
        <v>626</v>
      </c>
      <c r="H238" s="35" t="s">
        <v>580</v>
      </c>
      <c r="I238" s="147">
        <v>1325</v>
      </c>
      <c r="J238" s="34">
        <v>1370.3724999999999</v>
      </c>
      <c r="K238" s="34">
        <f t="shared" si="39"/>
        <v>45.372499999999945</v>
      </c>
      <c r="L238" s="56">
        <f t="shared" si="40"/>
        <v>2058.663756249995</v>
      </c>
      <c r="M238" s="56">
        <f t="shared" si="41"/>
        <v>45.372499999999945</v>
      </c>
      <c r="N238" s="56">
        <f t="shared" si="42"/>
        <v>1.6662605098905749</v>
      </c>
      <c r="O238" s="56">
        <f t="shared" si="51"/>
        <v>1.6662605098905749</v>
      </c>
      <c r="P238" s="143">
        <f t="shared" si="43"/>
        <v>3.4243396226415053</v>
      </c>
      <c r="Q238" s="143">
        <f t="shared" si="44"/>
        <v>3.4243396226415053</v>
      </c>
      <c r="R238" s="34">
        <v>1302.549</v>
      </c>
      <c r="S238" s="56">
        <f t="shared" si="45"/>
        <v>-22.451000000000022</v>
      </c>
      <c r="T238" s="56">
        <f t="shared" si="46"/>
        <v>504.047401000001</v>
      </c>
      <c r="U238" s="56">
        <f t="shared" si="47"/>
        <v>22.451000000000022</v>
      </c>
      <c r="V238" s="56">
        <f t="shared" si="48"/>
        <v>1.3701613666767807</v>
      </c>
      <c r="W238" s="33">
        <f t="shared" si="49"/>
        <v>-1.6944150943396243</v>
      </c>
      <c r="X238" s="143">
        <f t="shared" si="50"/>
        <v>1.6944150943396243</v>
      </c>
    </row>
    <row r="239" spans="1:24" ht="16" x14ac:dyDescent="0.2">
      <c r="A239" t="s">
        <v>842</v>
      </c>
      <c r="B239" s="224" t="s">
        <v>537</v>
      </c>
      <c r="C239" s="224" t="s">
        <v>824</v>
      </c>
      <c r="D239" s="35" t="s">
        <v>148</v>
      </c>
      <c r="E239" s="35" t="s">
        <v>661</v>
      </c>
      <c r="F239" s="35" t="s">
        <v>374</v>
      </c>
      <c r="G239" s="35" t="s">
        <v>627</v>
      </c>
      <c r="H239" s="35" t="s">
        <v>580</v>
      </c>
      <c r="I239" s="147">
        <v>2435</v>
      </c>
      <c r="J239" s="34">
        <v>2605.9790000000003</v>
      </c>
      <c r="K239" s="34">
        <f t="shared" si="39"/>
        <v>170.97900000000027</v>
      </c>
      <c r="L239" s="56">
        <f t="shared" si="40"/>
        <v>29233.81844100009</v>
      </c>
      <c r="M239" s="56">
        <f t="shared" si="41"/>
        <v>170.97900000000027</v>
      </c>
      <c r="N239" s="56">
        <f t="shared" si="42"/>
        <v>2.2354754193440569</v>
      </c>
      <c r="O239" s="56">
        <f t="shared" si="51"/>
        <v>2.2354754193440569</v>
      </c>
      <c r="P239" s="143">
        <f t="shared" si="43"/>
        <v>7.0217248459959043</v>
      </c>
      <c r="Q239" s="143">
        <f t="shared" si="44"/>
        <v>7.0217248459959043</v>
      </c>
      <c r="R239" s="34">
        <v>2450.877</v>
      </c>
      <c r="S239" s="56">
        <f t="shared" si="45"/>
        <v>15.876999999999953</v>
      </c>
      <c r="T239" s="56">
        <f t="shared" si="46"/>
        <v>252.07912899999849</v>
      </c>
      <c r="U239" s="56">
        <f t="shared" si="47"/>
        <v>15.876999999999953</v>
      </c>
      <c r="V239" s="56">
        <f t="shared" si="48"/>
        <v>1.2272952503917094</v>
      </c>
      <c r="W239" s="33">
        <f t="shared" si="49"/>
        <v>0.65203285420944368</v>
      </c>
      <c r="X239" s="143">
        <f t="shared" si="50"/>
        <v>0.65203285420944368</v>
      </c>
    </row>
    <row r="240" spans="1:24" ht="16" x14ac:dyDescent="0.2">
      <c r="A240" t="s">
        <v>843</v>
      </c>
      <c r="B240" s="224" t="s">
        <v>537</v>
      </c>
      <c r="C240" s="224" t="s">
        <v>824</v>
      </c>
      <c r="D240" s="35" t="s">
        <v>148</v>
      </c>
      <c r="E240" s="35" t="s">
        <v>661</v>
      </c>
      <c r="F240" s="35" t="s">
        <v>494</v>
      </c>
      <c r="G240" s="35" t="s">
        <v>626</v>
      </c>
      <c r="H240" s="35" t="s">
        <v>580</v>
      </c>
      <c r="I240" s="147">
        <v>1126</v>
      </c>
      <c r="J240" s="34">
        <v>1170.5723</v>
      </c>
      <c r="K240" s="34">
        <f t="shared" si="39"/>
        <v>44.572300000000041</v>
      </c>
      <c r="L240" s="56">
        <f t="shared" si="40"/>
        <v>1986.6899272900037</v>
      </c>
      <c r="M240" s="56">
        <f t="shared" si="41"/>
        <v>44.572300000000041</v>
      </c>
      <c r="N240" s="56">
        <f t="shared" si="42"/>
        <v>1.6587009476542434</v>
      </c>
      <c r="O240" s="56">
        <f t="shared" si="51"/>
        <v>1.6587009476542434</v>
      </c>
      <c r="P240" s="143">
        <f t="shared" si="43"/>
        <v>3.9584635879218508</v>
      </c>
      <c r="Q240" s="143">
        <f t="shared" si="44"/>
        <v>3.9584635879218508</v>
      </c>
      <c r="R240" s="34">
        <v>1120.7303999999999</v>
      </c>
      <c r="S240" s="56">
        <f t="shared" si="45"/>
        <v>-5.2696000000000822</v>
      </c>
      <c r="T240" s="56">
        <f t="shared" si="46"/>
        <v>27.768684160000866</v>
      </c>
      <c r="U240" s="56">
        <f t="shared" si="47"/>
        <v>5.2696000000000822</v>
      </c>
      <c r="V240" s="56">
        <f t="shared" si="48"/>
        <v>0.7972398337598714</v>
      </c>
      <c r="W240" s="33">
        <f t="shared" si="49"/>
        <v>-0.46799289520427018</v>
      </c>
      <c r="X240" s="143">
        <f t="shared" si="50"/>
        <v>0.46799289520427018</v>
      </c>
    </row>
    <row r="241" spans="1:25" ht="16" x14ac:dyDescent="0.2">
      <c r="A241" t="s">
        <v>844</v>
      </c>
      <c r="B241" s="224" t="s">
        <v>537</v>
      </c>
      <c r="C241" s="224" t="s">
        <v>824</v>
      </c>
      <c r="D241" s="35" t="s">
        <v>148</v>
      </c>
      <c r="E241" s="35" t="s">
        <v>661</v>
      </c>
      <c r="F241" s="225" t="s">
        <v>494</v>
      </c>
      <c r="G241" s="35" t="s">
        <v>626</v>
      </c>
      <c r="H241" s="35" t="s">
        <v>580</v>
      </c>
      <c r="I241" s="147">
        <v>1028</v>
      </c>
      <c r="J241" s="34">
        <v>1065.4142999999999</v>
      </c>
      <c r="K241" s="34">
        <f t="shared" si="39"/>
        <v>37.414299999999912</v>
      </c>
      <c r="L241" s="56">
        <f t="shared" si="40"/>
        <v>1399.8298444899933</v>
      </c>
      <c r="M241" s="56">
        <f t="shared" si="41"/>
        <v>37.414299999999912</v>
      </c>
      <c r="N241" s="56">
        <f t="shared" si="42"/>
        <v>1.5844929237168166</v>
      </c>
      <c r="O241" s="56">
        <f t="shared" si="51"/>
        <v>1.5844929237168166</v>
      </c>
      <c r="P241" s="143">
        <f t="shared" si="43"/>
        <v>3.6395233463034935</v>
      </c>
      <c r="Q241" s="143">
        <f t="shared" si="44"/>
        <v>3.6395233463034935</v>
      </c>
      <c r="R241" s="34">
        <v>1005.8976000000001</v>
      </c>
      <c r="S241" s="56">
        <f t="shared" si="45"/>
        <v>-22.102399999999875</v>
      </c>
      <c r="T241" s="56">
        <f t="shared" si="46"/>
        <v>488.5160857599945</v>
      </c>
      <c r="U241" s="56">
        <f t="shared" si="47"/>
        <v>22.102399999999875</v>
      </c>
      <c r="V241" s="56">
        <f t="shared" si="48"/>
        <v>1.3636570990529433</v>
      </c>
      <c r="W241" s="33">
        <f t="shared" si="49"/>
        <v>-2.1500389105058244</v>
      </c>
      <c r="X241" s="143">
        <f t="shared" si="50"/>
        <v>2.1500389105058244</v>
      </c>
    </row>
    <row r="242" spans="1:25" ht="16" x14ac:dyDescent="0.2">
      <c r="A242" t="s">
        <v>845</v>
      </c>
      <c r="B242" s="224" t="s">
        <v>537</v>
      </c>
      <c r="C242" s="224" t="s">
        <v>824</v>
      </c>
      <c r="D242" s="35" t="s">
        <v>148</v>
      </c>
      <c r="E242" s="35" t="s">
        <v>661</v>
      </c>
      <c r="F242" s="225" t="s">
        <v>494</v>
      </c>
      <c r="G242" s="35" t="s">
        <v>626</v>
      </c>
      <c r="H242" s="35" t="s">
        <v>580</v>
      </c>
      <c r="I242" s="147">
        <v>1059</v>
      </c>
      <c r="J242" s="34">
        <v>1117.9932999999999</v>
      </c>
      <c r="K242" s="34">
        <f t="shared" si="39"/>
        <v>58.993299999999863</v>
      </c>
      <c r="L242" s="56">
        <f t="shared" si="40"/>
        <v>3480.2094448899838</v>
      </c>
      <c r="M242" s="56">
        <f t="shared" si="41"/>
        <v>58.993299999999863</v>
      </c>
      <c r="N242" s="56">
        <f t="shared" si="42"/>
        <v>1.7781027514585896</v>
      </c>
      <c r="O242" s="56">
        <f t="shared" si="51"/>
        <v>1.7781027514585896</v>
      </c>
      <c r="P242" s="143">
        <f t="shared" si="43"/>
        <v>5.5706610009442743</v>
      </c>
      <c r="Q242" s="143">
        <f t="shared" si="44"/>
        <v>5.5706610009442743</v>
      </c>
      <c r="R242" s="34">
        <v>1039.3905</v>
      </c>
      <c r="S242" s="56">
        <f t="shared" si="45"/>
        <v>-19.609500000000025</v>
      </c>
      <c r="T242" s="56">
        <f t="shared" si="46"/>
        <v>384.53249025000099</v>
      </c>
      <c r="U242" s="56">
        <f t="shared" si="47"/>
        <v>19.609500000000025</v>
      </c>
      <c r="V242" s="56">
        <f t="shared" si="48"/>
        <v>1.3140674556377774</v>
      </c>
      <c r="W242" s="33">
        <f t="shared" si="49"/>
        <v>-1.8516997167138833</v>
      </c>
      <c r="X242" s="143">
        <f t="shared" si="50"/>
        <v>1.8516997167138833</v>
      </c>
    </row>
    <row r="243" spans="1:25" ht="16" x14ac:dyDescent="0.2">
      <c r="A243" t="s">
        <v>846</v>
      </c>
      <c r="B243" s="224" t="s">
        <v>537</v>
      </c>
      <c r="C243" s="224" t="s">
        <v>824</v>
      </c>
      <c r="D243" s="35" t="s">
        <v>148</v>
      </c>
      <c r="E243" s="35" t="s">
        <v>661</v>
      </c>
      <c r="F243" s="35" t="s">
        <v>374</v>
      </c>
      <c r="G243" s="35" t="s">
        <v>626</v>
      </c>
      <c r="H243" s="35" t="s">
        <v>580</v>
      </c>
      <c r="I243" s="147">
        <v>1312</v>
      </c>
      <c r="J243" s="34">
        <v>1365.1145999999999</v>
      </c>
      <c r="K243" s="34">
        <f t="shared" si="39"/>
        <v>53.114599999999882</v>
      </c>
      <c r="L243" s="56">
        <f t="shared" si="40"/>
        <v>2821.1607331599876</v>
      </c>
      <c r="M243" s="56">
        <f t="shared" si="41"/>
        <v>53.114599999999882</v>
      </c>
      <c r="N243" s="56">
        <f t="shared" si="42"/>
        <v>1.7333144526112907</v>
      </c>
      <c r="O243" s="56">
        <f t="shared" si="51"/>
        <v>1.7333144526112907</v>
      </c>
      <c r="P243" s="143">
        <f t="shared" si="43"/>
        <v>4.048368902439015</v>
      </c>
      <c r="Q243" s="143">
        <f t="shared" si="44"/>
        <v>4.048368902439015</v>
      </c>
      <c r="R243" s="34">
        <v>1288.1949</v>
      </c>
      <c r="S243" s="56">
        <f t="shared" si="45"/>
        <v>-23.805100000000039</v>
      </c>
      <c r="T243" s="56">
        <f t="shared" si="46"/>
        <v>566.68278601000179</v>
      </c>
      <c r="U243" s="56">
        <f t="shared" si="47"/>
        <v>23.805100000000039</v>
      </c>
      <c r="V243" s="56">
        <f t="shared" si="48"/>
        <v>1.3945409822031121</v>
      </c>
      <c r="W243" s="33">
        <f t="shared" si="49"/>
        <v>-1.8144131097561005</v>
      </c>
      <c r="X243" s="143">
        <f t="shared" si="50"/>
        <v>1.8144131097561005</v>
      </c>
    </row>
    <row r="244" spans="1:25" ht="16" x14ac:dyDescent="0.2">
      <c r="A244" t="s">
        <v>847</v>
      </c>
      <c r="B244" s="224" t="s">
        <v>537</v>
      </c>
      <c r="C244" s="224" t="s">
        <v>824</v>
      </c>
      <c r="D244" s="35" t="s">
        <v>148</v>
      </c>
      <c r="E244" s="35" t="s">
        <v>661</v>
      </c>
      <c r="F244" s="35" t="s">
        <v>494</v>
      </c>
      <c r="G244" s="35" t="s">
        <v>626</v>
      </c>
      <c r="H244" s="35" t="s">
        <v>580</v>
      </c>
      <c r="I244" s="147">
        <v>1170</v>
      </c>
      <c r="J244" s="34">
        <v>1270.4723999999999</v>
      </c>
      <c r="K244" s="34">
        <f t="shared" si="39"/>
        <v>100.47239999999988</v>
      </c>
      <c r="L244" s="56">
        <f t="shared" si="40"/>
        <v>10094.703161759975</v>
      </c>
      <c r="M244" s="56">
        <f t="shared" si="41"/>
        <v>100.47239999999988</v>
      </c>
      <c r="N244" s="56">
        <f t="shared" si="42"/>
        <v>2.006347932321237</v>
      </c>
      <c r="O244" s="56">
        <f t="shared" si="51"/>
        <v>2.006347932321237</v>
      </c>
      <c r="P244" s="143">
        <f t="shared" si="43"/>
        <v>8.5873846153846038</v>
      </c>
      <c r="Q244" s="143">
        <f t="shared" si="44"/>
        <v>8.5873846153846038</v>
      </c>
      <c r="R244" s="34">
        <v>1197.2855999999999</v>
      </c>
      <c r="S244" s="56">
        <f t="shared" si="45"/>
        <v>27.285599999999931</v>
      </c>
      <c r="T244" s="56">
        <f t="shared" si="46"/>
        <v>744.5039673599963</v>
      </c>
      <c r="U244" s="56">
        <f t="shared" si="47"/>
        <v>27.285599999999931</v>
      </c>
      <c r="V244" s="56">
        <f t="shared" si="48"/>
        <v>1.451565395518549</v>
      </c>
      <c r="W244" s="33">
        <f t="shared" si="49"/>
        <v>2.3321025641025583</v>
      </c>
      <c r="X244" s="143">
        <f t="shared" si="50"/>
        <v>2.3321025641025583</v>
      </c>
    </row>
    <row r="245" spans="1:25" ht="16" x14ac:dyDescent="0.2">
      <c r="A245" t="s">
        <v>848</v>
      </c>
      <c r="B245" s="224" t="s">
        <v>537</v>
      </c>
      <c r="C245" s="224" t="s">
        <v>824</v>
      </c>
      <c r="D245" s="35" t="s">
        <v>148</v>
      </c>
      <c r="E245" s="35" t="s">
        <v>661</v>
      </c>
      <c r="F245" s="35" t="s">
        <v>374</v>
      </c>
      <c r="G245" s="35" t="s">
        <v>626</v>
      </c>
      <c r="H245" s="35" t="s">
        <v>580</v>
      </c>
      <c r="I245" s="147">
        <v>1244</v>
      </c>
      <c r="J245" s="34">
        <v>1344.0830000000001</v>
      </c>
      <c r="K245" s="34">
        <f t="shared" si="39"/>
        <v>100.08300000000008</v>
      </c>
      <c r="L245" s="56">
        <f t="shared" si="40"/>
        <v>10016.606889000017</v>
      </c>
      <c r="M245" s="56">
        <f t="shared" si="41"/>
        <v>100.08300000000008</v>
      </c>
      <c r="N245" s="56">
        <f t="shared" si="42"/>
        <v>2.0046781226830936</v>
      </c>
      <c r="O245" s="56">
        <f t="shared" si="51"/>
        <v>2.0046781226830936</v>
      </c>
      <c r="P245" s="143">
        <f t="shared" si="43"/>
        <v>8.0452572347266944</v>
      </c>
      <c r="Q245" s="143">
        <f t="shared" si="44"/>
        <v>8.0452572347266944</v>
      </c>
      <c r="R245" s="34">
        <v>1264.2713999999999</v>
      </c>
      <c r="S245" s="56">
        <f t="shared" si="45"/>
        <v>20.271399999999858</v>
      </c>
      <c r="T245" s="56">
        <f t="shared" si="46"/>
        <v>410.92965795999424</v>
      </c>
      <c r="U245" s="56">
        <f t="shared" si="47"/>
        <v>20.271399999999858</v>
      </c>
      <c r="V245" s="56">
        <f t="shared" si="48"/>
        <v>1.32779607440041</v>
      </c>
      <c r="W245" s="33">
        <f t="shared" si="49"/>
        <v>1.6295337620578665</v>
      </c>
      <c r="X245" s="143">
        <f t="shared" si="50"/>
        <v>1.6295337620578665</v>
      </c>
    </row>
    <row r="246" spans="1:25" ht="16" x14ac:dyDescent="0.2">
      <c r="A246" t="s">
        <v>849</v>
      </c>
      <c r="B246" s="224" t="s">
        <v>537</v>
      </c>
      <c r="C246" s="224" t="s">
        <v>824</v>
      </c>
      <c r="D246" s="35" t="s">
        <v>148</v>
      </c>
      <c r="E246" s="35" t="s">
        <v>661</v>
      </c>
      <c r="F246" s="35" t="s">
        <v>374</v>
      </c>
      <c r="G246" s="35" t="s">
        <v>626</v>
      </c>
      <c r="H246" s="35" t="s">
        <v>580</v>
      </c>
      <c r="I246" s="147">
        <v>1413</v>
      </c>
      <c r="J246" s="34">
        <v>1454.4989</v>
      </c>
      <c r="K246" s="34">
        <f t="shared" si="39"/>
        <v>41.498900000000049</v>
      </c>
      <c r="L246" s="56">
        <f t="shared" si="40"/>
        <v>1722.158701210004</v>
      </c>
      <c r="M246" s="56">
        <f t="shared" si="41"/>
        <v>41.498900000000049</v>
      </c>
      <c r="N246" s="56">
        <f t="shared" si="42"/>
        <v>1.6283776893417823</v>
      </c>
      <c r="O246" s="56">
        <f t="shared" si="51"/>
        <v>1.6283776893417823</v>
      </c>
      <c r="P246" s="143">
        <f t="shared" si="43"/>
        <v>2.9369355980184042</v>
      </c>
      <c r="Q246" s="143">
        <f t="shared" si="44"/>
        <v>2.9369355980184042</v>
      </c>
      <c r="R246" s="34">
        <v>1383.8888999999999</v>
      </c>
      <c r="S246" s="56">
        <f t="shared" si="45"/>
        <v>-29.111100000000079</v>
      </c>
      <c r="T246" s="56">
        <f t="shared" si="46"/>
        <v>847.4561432100046</v>
      </c>
      <c r="U246" s="56">
        <f t="shared" si="47"/>
        <v>29.111100000000079</v>
      </c>
      <c r="V246" s="56">
        <f t="shared" si="48"/>
        <v>1.4787266211787859</v>
      </c>
      <c r="W246" s="33">
        <f t="shared" si="49"/>
        <v>-2.0602335456475638</v>
      </c>
      <c r="X246" s="143">
        <f t="shared" si="50"/>
        <v>2.0602335456475638</v>
      </c>
    </row>
    <row r="247" spans="1:25" ht="16" x14ac:dyDescent="0.2">
      <c r="A247" t="s">
        <v>850</v>
      </c>
      <c r="B247" s="224" t="s">
        <v>537</v>
      </c>
      <c r="C247" s="224" t="s">
        <v>824</v>
      </c>
      <c r="D247" s="35" t="s">
        <v>148</v>
      </c>
      <c r="E247" s="35" t="s">
        <v>661</v>
      </c>
      <c r="F247" s="35" t="s">
        <v>374</v>
      </c>
      <c r="G247" s="35" t="s">
        <v>626</v>
      </c>
      <c r="H247" s="35" t="s">
        <v>580</v>
      </c>
      <c r="I247" s="147">
        <v>1240</v>
      </c>
      <c r="J247" s="34">
        <v>1259.9566</v>
      </c>
      <c r="K247" s="34">
        <f t="shared" si="39"/>
        <v>19.95659999999998</v>
      </c>
      <c r="L247" s="56">
        <f t="shared" si="40"/>
        <v>398.26588355999922</v>
      </c>
      <c r="M247" s="56">
        <f t="shared" si="41"/>
        <v>19.95659999999998</v>
      </c>
      <c r="N247" s="56">
        <f t="shared" si="42"/>
        <v>1.3213208240648409</v>
      </c>
      <c r="O247" s="56">
        <f t="shared" si="51"/>
        <v>1.3213208240648409</v>
      </c>
      <c r="P247" s="143">
        <f t="shared" si="43"/>
        <v>1.6094032258064501</v>
      </c>
      <c r="Q247" s="143">
        <f t="shared" si="44"/>
        <v>1.6094032258064501</v>
      </c>
      <c r="R247" s="34">
        <v>1182.9314999999999</v>
      </c>
      <c r="S247" s="56">
        <f t="shared" si="45"/>
        <v>-57.068500000000085</v>
      </c>
      <c r="T247" s="56">
        <f t="shared" si="46"/>
        <v>3256.8136922500098</v>
      </c>
      <c r="U247" s="56">
        <f t="shared" si="47"/>
        <v>57.068500000000085</v>
      </c>
      <c r="V247" s="56">
        <f t="shared" si="48"/>
        <v>1.7639406076738162</v>
      </c>
      <c r="W247" s="33">
        <f t="shared" si="49"/>
        <v>-4.6022983870967815</v>
      </c>
      <c r="X247" s="143">
        <f t="shared" si="50"/>
        <v>4.6022983870967815</v>
      </c>
    </row>
    <row r="248" spans="1:25" ht="16" x14ac:dyDescent="0.2">
      <c r="A248" t="s">
        <v>851</v>
      </c>
      <c r="B248" s="224" t="s">
        <v>537</v>
      </c>
      <c r="C248" s="224" t="s">
        <v>824</v>
      </c>
      <c r="D248" s="35" t="s">
        <v>148</v>
      </c>
      <c r="E248" s="35" t="s">
        <v>661</v>
      </c>
      <c r="F248" s="35" t="s">
        <v>374</v>
      </c>
      <c r="G248" s="35" t="s">
        <v>627</v>
      </c>
      <c r="H248" s="35" t="s">
        <v>580</v>
      </c>
      <c r="I248" s="147">
        <v>1622</v>
      </c>
      <c r="J248" s="34">
        <v>1633.2674999999999</v>
      </c>
      <c r="K248" s="34">
        <f t="shared" si="39"/>
        <v>11.267499999999927</v>
      </c>
      <c r="L248" s="56">
        <f t="shared" si="40"/>
        <v>126.95655624999836</v>
      </c>
      <c r="M248" s="56">
        <f t="shared" si="41"/>
        <v>11.267499999999927</v>
      </c>
      <c r="N248" s="56">
        <f t="shared" si="42"/>
        <v>1.0887560666529505</v>
      </c>
      <c r="O248" s="56">
        <f t="shared" si="51"/>
        <v>1.0887560666529505</v>
      </c>
      <c r="P248" s="143">
        <f t="shared" si="43"/>
        <v>0.69466707768186975</v>
      </c>
      <c r="Q248" s="143">
        <f t="shared" si="44"/>
        <v>0.69466707768186975</v>
      </c>
      <c r="R248" s="34">
        <v>1551.3534</v>
      </c>
      <c r="S248" s="56">
        <f t="shared" si="45"/>
        <v>-70.646600000000035</v>
      </c>
      <c r="T248" s="56">
        <f t="shared" si="46"/>
        <v>4990.9420915600049</v>
      </c>
      <c r="U248" s="56">
        <f t="shared" si="47"/>
        <v>70.646600000000035</v>
      </c>
      <c r="V248" s="56">
        <f t="shared" si="48"/>
        <v>1.8551955857134879</v>
      </c>
      <c r="W248" s="33">
        <f t="shared" si="49"/>
        <v>-4.3555240443896448</v>
      </c>
      <c r="X248" s="143">
        <f t="shared" si="50"/>
        <v>4.3555240443896448</v>
      </c>
    </row>
    <row r="249" spans="1:25" ht="16" x14ac:dyDescent="0.2">
      <c r="A249" t="s">
        <v>852</v>
      </c>
      <c r="B249" s="224" t="s">
        <v>537</v>
      </c>
      <c r="C249" s="224" t="s">
        <v>824</v>
      </c>
      <c r="D249" s="35" t="s">
        <v>148</v>
      </c>
      <c r="E249" s="35" t="s">
        <v>661</v>
      </c>
      <c r="F249" s="35" t="s">
        <v>374</v>
      </c>
      <c r="G249" s="35" t="s">
        <v>626</v>
      </c>
      <c r="H249" s="35" t="s">
        <v>580</v>
      </c>
      <c r="I249" s="147">
        <v>1210</v>
      </c>
      <c r="J249" s="34">
        <v>1196.8617999999999</v>
      </c>
      <c r="K249" s="34">
        <f t="shared" si="39"/>
        <v>-13.138200000000097</v>
      </c>
      <c r="L249" s="56">
        <f t="shared" si="40"/>
        <v>172.61229924000256</v>
      </c>
      <c r="M249" s="56">
        <f t="shared" si="41"/>
        <v>13.138200000000097</v>
      </c>
      <c r="N249" s="56">
        <f t="shared" si="42"/>
        <v>1.1503941209298965</v>
      </c>
      <c r="O249" s="56">
        <f t="shared" si="51"/>
        <v>-1.1503941209298965</v>
      </c>
      <c r="P249" s="143">
        <f t="shared" si="43"/>
        <v>-1.08580165289257</v>
      </c>
      <c r="Q249" s="143">
        <f t="shared" si="44"/>
        <v>1.08580165289257</v>
      </c>
      <c r="R249" s="34">
        <v>1135.0844999999999</v>
      </c>
      <c r="S249" s="56">
        <f t="shared" si="45"/>
        <v>-74.915500000000065</v>
      </c>
      <c r="T249" s="56">
        <f t="shared" si="46"/>
        <v>5612.3321402500096</v>
      </c>
      <c r="U249" s="56">
        <f t="shared" si="47"/>
        <v>74.915500000000065</v>
      </c>
      <c r="V249" s="56">
        <f t="shared" si="48"/>
        <v>1.8803304567547197</v>
      </c>
      <c r="W249" s="33">
        <f t="shared" si="49"/>
        <v>-6.1913636363636417</v>
      </c>
      <c r="X249" s="143">
        <f t="shared" si="50"/>
        <v>6.1913636363636417</v>
      </c>
    </row>
    <row r="250" spans="1:25" ht="16" x14ac:dyDescent="0.2">
      <c r="A250" t="s">
        <v>853</v>
      </c>
      <c r="B250" s="224" t="s">
        <v>537</v>
      </c>
      <c r="C250" s="224" t="s">
        <v>824</v>
      </c>
      <c r="D250" s="35" t="s">
        <v>148</v>
      </c>
      <c r="E250" s="35" t="s">
        <v>661</v>
      </c>
      <c r="F250" s="35" t="s">
        <v>374</v>
      </c>
      <c r="G250" s="35" t="s">
        <v>626</v>
      </c>
      <c r="H250" s="35" t="s">
        <v>580</v>
      </c>
      <c r="I250" s="147">
        <v>1274</v>
      </c>
      <c r="J250" s="34">
        <v>1312.5355999999999</v>
      </c>
      <c r="K250" s="34">
        <f t="shared" si="39"/>
        <v>38.535599999999931</v>
      </c>
      <c r="L250" s="56">
        <f t="shared" si="40"/>
        <v>1484.9924673599946</v>
      </c>
      <c r="M250" s="56">
        <f t="shared" si="41"/>
        <v>38.535599999999931</v>
      </c>
      <c r="N250" s="56">
        <f t="shared" si="42"/>
        <v>1.5969883341215518</v>
      </c>
      <c r="O250" s="56">
        <f t="shared" si="51"/>
        <v>1.5969883341215518</v>
      </c>
      <c r="P250" s="143">
        <f t="shared" si="43"/>
        <v>3.0247723704866507</v>
      </c>
      <c r="Q250" s="143">
        <f t="shared" si="44"/>
        <v>3.0247723704866507</v>
      </c>
      <c r="R250" s="34">
        <v>1235.5631999999998</v>
      </c>
      <c r="S250" s="56">
        <f t="shared" si="45"/>
        <v>-38.436800000000176</v>
      </c>
      <c r="T250" s="56">
        <f t="shared" si="46"/>
        <v>1477.3875942400134</v>
      </c>
      <c r="U250" s="56">
        <f t="shared" si="47"/>
        <v>38.436800000000176</v>
      </c>
      <c r="V250" s="56">
        <f t="shared" si="48"/>
        <v>1.595901667964811</v>
      </c>
      <c r="W250" s="33">
        <f t="shared" si="49"/>
        <v>-3.0170172684458536</v>
      </c>
      <c r="X250" s="143">
        <f t="shared" si="50"/>
        <v>3.0170172684458536</v>
      </c>
      <c r="Y250" s="34"/>
    </row>
    <row r="251" spans="1:25" ht="16" x14ac:dyDescent="0.2">
      <c r="A251" t="s">
        <v>854</v>
      </c>
      <c r="B251" s="224" t="s">
        <v>537</v>
      </c>
      <c r="C251" s="224" t="s">
        <v>824</v>
      </c>
      <c r="D251" s="35" t="s">
        <v>148</v>
      </c>
      <c r="E251" s="35" t="s">
        <v>661</v>
      </c>
      <c r="F251" s="35" t="s">
        <v>374</v>
      </c>
      <c r="G251" s="35" t="s">
        <v>626</v>
      </c>
      <c r="H251" s="35" t="s">
        <v>580</v>
      </c>
      <c r="I251" s="147">
        <v>1340</v>
      </c>
      <c r="J251" s="34">
        <v>1375.6304</v>
      </c>
      <c r="K251" s="34">
        <f t="shared" si="39"/>
        <v>35.630400000000009</v>
      </c>
      <c r="L251" s="56">
        <f t="shared" si="40"/>
        <v>1269.5254041600006</v>
      </c>
      <c r="M251" s="56">
        <f t="shared" si="41"/>
        <v>35.630400000000009</v>
      </c>
      <c r="N251" s="56">
        <f t="shared" si="42"/>
        <v>1.5638416611391359</v>
      </c>
      <c r="O251" s="56">
        <f t="shared" si="51"/>
        <v>1.5638416611391359</v>
      </c>
      <c r="P251" s="143">
        <f t="shared" si="43"/>
        <v>2.6589850746268664</v>
      </c>
      <c r="Q251" s="143">
        <f t="shared" si="44"/>
        <v>2.6589850746268664</v>
      </c>
      <c r="R251" s="34">
        <v>1273.8407999999999</v>
      </c>
      <c r="S251" s="56">
        <f t="shared" si="45"/>
        <v>-66.159200000000055</v>
      </c>
      <c r="T251" s="56">
        <f t="shared" si="46"/>
        <v>4377.0397446400075</v>
      </c>
      <c r="U251" s="56">
        <f t="shared" si="47"/>
        <v>66.159200000000055</v>
      </c>
      <c r="V251" s="56">
        <f t="shared" si="48"/>
        <v>1.8271055141834798</v>
      </c>
      <c r="W251" s="33">
        <f t="shared" si="49"/>
        <v>-4.9372537313432874</v>
      </c>
      <c r="X251" s="143">
        <f t="shared" si="50"/>
        <v>4.9372537313432874</v>
      </c>
    </row>
    <row r="252" spans="1:25" ht="16" x14ac:dyDescent="0.2">
      <c r="A252" t="s">
        <v>855</v>
      </c>
      <c r="B252" s="224" t="s">
        <v>537</v>
      </c>
      <c r="C252" s="224" t="s">
        <v>824</v>
      </c>
      <c r="D252" s="35" t="s">
        <v>148</v>
      </c>
      <c r="E252" s="35" t="s">
        <v>661</v>
      </c>
      <c r="F252" s="225" t="s">
        <v>494</v>
      </c>
      <c r="G252" s="35" t="s">
        <v>626</v>
      </c>
      <c r="H252" s="35" t="s">
        <v>580</v>
      </c>
      <c r="I252" s="147">
        <v>980</v>
      </c>
      <c r="J252" s="34">
        <v>1039.1248000000001</v>
      </c>
      <c r="K252" s="34">
        <f t="shared" si="39"/>
        <v>59.12480000000005</v>
      </c>
      <c r="L252" s="56">
        <f t="shared" si="40"/>
        <v>3495.7419750400059</v>
      </c>
      <c r="M252" s="56">
        <f t="shared" si="41"/>
        <v>59.12480000000005</v>
      </c>
      <c r="N252" s="56">
        <f t="shared" si="42"/>
        <v>1.7790536447408765</v>
      </c>
      <c r="O252" s="56">
        <f t="shared" si="51"/>
        <v>1.7790536447408765</v>
      </c>
      <c r="P252" s="143">
        <f t="shared" si="43"/>
        <v>6.0331428571428622</v>
      </c>
      <c r="Q252" s="143">
        <f t="shared" si="44"/>
        <v>6.0331428571428622</v>
      </c>
      <c r="R252" s="34">
        <v>981.97410000000002</v>
      </c>
      <c r="S252" s="56">
        <f t="shared" si="45"/>
        <v>1.9741000000000213</v>
      </c>
      <c r="T252" s="56">
        <f t="shared" si="46"/>
        <v>3.8970708100000842</v>
      </c>
      <c r="U252" s="56">
        <f t="shared" si="47"/>
        <v>1.9741000000000213</v>
      </c>
      <c r="V252" s="56">
        <f t="shared" si="48"/>
        <v>0.47335556698286341</v>
      </c>
      <c r="W252" s="33">
        <f t="shared" si="49"/>
        <v>0.20143877551020625</v>
      </c>
      <c r="X252" s="143">
        <f t="shared" si="50"/>
        <v>0.20143877551020625</v>
      </c>
    </row>
    <row r="253" spans="1:25" ht="16" x14ac:dyDescent="0.2">
      <c r="A253" t="s">
        <v>856</v>
      </c>
      <c r="B253" s="224" t="s">
        <v>537</v>
      </c>
      <c r="C253" s="224" t="s">
        <v>824</v>
      </c>
      <c r="D253" s="35" t="s">
        <v>148</v>
      </c>
      <c r="E253" s="35" t="s">
        <v>661</v>
      </c>
      <c r="F253" s="225" t="s">
        <v>494</v>
      </c>
      <c r="G253" s="35" t="s">
        <v>626</v>
      </c>
      <c r="H253" s="35" t="s">
        <v>580</v>
      </c>
      <c r="I253" s="147">
        <v>1098</v>
      </c>
      <c r="J253" s="34">
        <v>1181.0880999999999</v>
      </c>
      <c r="K253" s="34">
        <f t="shared" si="39"/>
        <v>83.08809999999994</v>
      </c>
      <c r="L253" s="56">
        <f t="shared" si="40"/>
        <v>6903.6323616099899</v>
      </c>
      <c r="M253" s="56">
        <f t="shared" si="41"/>
        <v>83.08809999999994</v>
      </c>
      <c r="N253" s="56">
        <f t="shared" si="42"/>
        <v>1.9247345395552493</v>
      </c>
      <c r="O253" s="56">
        <f t="shared" si="51"/>
        <v>1.9247345395552493</v>
      </c>
      <c r="P253" s="143">
        <f t="shared" si="43"/>
        <v>7.5672222222222167</v>
      </c>
      <c r="Q253" s="143">
        <f t="shared" si="44"/>
        <v>7.5672222222222167</v>
      </c>
      <c r="R253" s="34">
        <v>1125.5150999999998</v>
      </c>
      <c r="S253" s="56">
        <f t="shared" si="45"/>
        <v>27.515099999999848</v>
      </c>
      <c r="T253" s="56">
        <f t="shared" si="46"/>
        <v>757.08072800999162</v>
      </c>
      <c r="U253" s="56">
        <f t="shared" si="47"/>
        <v>27.515099999999848</v>
      </c>
      <c r="V253" s="56">
        <f t="shared" si="48"/>
        <v>1.4550748989571396</v>
      </c>
      <c r="W253" s="33">
        <f t="shared" si="49"/>
        <v>2.5059289617486198</v>
      </c>
      <c r="X253" s="143">
        <f t="shared" si="50"/>
        <v>2.5059289617486198</v>
      </c>
    </row>
    <row r="254" spans="1:25" ht="16" x14ac:dyDescent="0.2">
      <c r="A254" t="s">
        <v>857</v>
      </c>
      <c r="B254" s="224" t="s">
        <v>537</v>
      </c>
      <c r="C254" s="224" t="s">
        <v>824</v>
      </c>
      <c r="D254" s="35" t="s">
        <v>148</v>
      </c>
      <c r="E254" s="35" t="s">
        <v>661</v>
      </c>
      <c r="F254" s="225" t="s">
        <v>494</v>
      </c>
      <c r="G254" s="35" t="s">
        <v>626</v>
      </c>
      <c r="H254" s="35" t="s">
        <v>580</v>
      </c>
      <c r="I254" s="147">
        <v>1022</v>
      </c>
      <c r="J254" s="34">
        <v>1065.4142999999999</v>
      </c>
      <c r="K254" s="34">
        <f t="shared" si="39"/>
        <v>43.414299999999912</v>
      </c>
      <c r="L254" s="56">
        <f t="shared" si="40"/>
        <v>1884.8014444899923</v>
      </c>
      <c r="M254" s="56">
        <f t="shared" si="41"/>
        <v>43.414299999999912</v>
      </c>
      <c r="N254" s="56">
        <f t="shared" si="42"/>
        <v>1.6475228217183557</v>
      </c>
      <c r="O254" s="56">
        <f t="shared" si="51"/>
        <v>1.6475228217183557</v>
      </c>
      <c r="P254" s="143">
        <f t="shared" si="43"/>
        <v>4.2479745596868801</v>
      </c>
      <c r="Q254" s="143">
        <f t="shared" si="44"/>
        <v>4.2479745596868801</v>
      </c>
      <c r="R254" s="34">
        <v>1001.1129</v>
      </c>
      <c r="S254" s="56">
        <f t="shared" si="45"/>
        <v>-20.887100000000032</v>
      </c>
      <c r="T254" s="56">
        <f t="shared" si="46"/>
        <v>436.27094641000133</v>
      </c>
      <c r="U254" s="56">
        <f t="shared" si="47"/>
        <v>20.887100000000032</v>
      </c>
      <c r="V254" s="56">
        <f t="shared" si="48"/>
        <v>1.3401882221695089</v>
      </c>
      <c r="W254" s="33">
        <f t="shared" si="49"/>
        <v>-2.0437475538160501</v>
      </c>
      <c r="X254" s="143">
        <f t="shared" si="50"/>
        <v>2.0437475538160501</v>
      </c>
    </row>
    <row r="255" spans="1:25" ht="16" x14ac:dyDescent="0.2">
      <c r="A255" t="s">
        <v>858</v>
      </c>
      <c r="B255" s="224" t="s">
        <v>537</v>
      </c>
      <c r="C255" s="224" t="s">
        <v>824</v>
      </c>
      <c r="D255" s="35" t="s">
        <v>148</v>
      </c>
      <c r="E255" s="35" t="s">
        <v>661</v>
      </c>
      <c r="F255" s="225" t="s">
        <v>494</v>
      </c>
      <c r="G255" s="35" t="s">
        <v>626</v>
      </c>
      <c r="H255" s="35" t="s">
        <v>580</v>
      </c>
      <c r="I255" s="147">
        <v>1062</v>
      </c>
      <c r="J255" s="34">
        <v>1217.8933999999999</v>
      </c>
      <c r="K255" s="34">
        <f t="shared" si="39"/>
        <v>155.89339999999993</v>
      </c>
      <c r="L255" s="56">
        <f t="shared" si="40"/>
        <v>24302.752163559977</v>
      </c>
      <c r="M255" s="56">
        <f t="shared" si="41"/>
        <v>155.89339999999993</v>
      </c>
      <c r="N255" s="56">
        <f t="shared" si="42"/>
        <v>2.1956046746011579</v>
      </c>
      <c r="O255" s="56">
        <f t="shared" si="51"/>
        <v>2.1956046746011579</v>
      </c>
      <c r="P255" s="143">
        <f t="shared" si="43"/>
        <v>14.67922787193973</v>
      </c>
      <c r="Q255" s="143">
        <f t="shared" si="44"/>
        <v>14.67922787193973</v>
      </c>
      <c r="R255" s="34">
        <v>1135.0844999999999</v>
      </c>
      <c r="S255" s="56">
        <f t="shared" si="45"/>
        <v>73.084499999999935</v>
      </c>
      <c r="T255" s="56">
        <f t="shared" si="46"/>
        <v>5341.3441402499902</v>
      </c>
      <c r="U255" s="56">
        <f t="shared" si="47"/>
        <v>73.084499999999935</v>
      </c>
      <c r="V255" s="56">
        <f t="shared" si="48"/>
        <v>1.8697273541519159</v>
      </c>
      <c r="W255" s="33">
        <f t="shared" si="49"/>
        <v>6.8817796610169433</v>
      </c>
      <c r="X255" s="143">
        <f t="shared" si="50"/>
        <v>6.8817796610169433</v>
      </c>
    </row>
    <row r="256" spans="1:25" ht="16" x14ac:dyDescent="0.2">
      <c r="A256" t="s">
        <v>859</v>
      </c>
      <c r="B256" s="224" t="s">
        <v>537</v>
      </c>
      <c r="C256" s="224" t="s">
        <v>824</v>
      </c>
      <c r="D256" s="35" t="s">
        <v>148</v>
      </c>
      <c r="E256" s="35" t="s">
        <v>661</v>
      </c>
      <c r="F256" s="35" t="s">
        <v>494</v>
      </c>
      <c r="G256" s="35" t="s">
        <v>626</v>
      </c>
      <c r="H256" s="35" t="s">
        <v>580</v>
      </c>
      <c r="I256" s="147">
        <v>1135</v>
      </c>
      <c r="J256" s="34">
        <v>1160.0564999999999</v>
      </c>
      <c r="K256" s="34">
        <f t="shared" si="39"/>
        <v>25.056499999999915</v>
      </c>
      <c r="L256" s="56">
        <f t="shared" si="40"/>
        <v>627.82819224999571</v>
      </c>
      <c r="M256" s="56">
        <f t="shared" si="41"/>
        <v>25.056499999999915</v>
      </c>
      <c r="N256" s="56">
        <f t="shared" si="42"/>
        <v>1.4159160793439474</v>
      </c>
      <c r="O256" s="56">
        <f t="shared" si="51"/>
        <v>1.4159160793439474</v>
      </c>
      <c r="P256" s="143">
        <f t="shared" si="43"/>
        <v>2.2076211453744419</v>
      </c>
      <c r="Q256" s="143">
        <f t="shared" si="44"/>
        <v>2.2076211453744419</v>
      </c>
      <c r="R256" s="34">
        <v>1135.0844999999999</v>
      </c>
      <c r="S256" s="56">
        <f t="shared" si="45"/>
        <v>8.4499999999934516E-2</v>
      </c>
      <c r="T256" s="56">
        <f t="shared" si="46"/>
        <v>7.1402499999889332E-3</v>
      </c>
      <c r="U256" s="56">
        <f t="shared" si="47"/>
        <v>8.4499999999934516E-2</v>
      </c>
      <c r="V256" s="56">
        <f t="shared" si="48"/>
        <v>3.5229556350185841E-2</v>
      </c>
      <c r="W256" s="33">
        <f t="shared" si="49"/>
        <v>7.4449339206990759E-3</v>
      </c>
      <c r="X256" s="143">
        <f t="shared" si="50"/>
        <v>7.4449339206990759E-3</v>
      </c>
    </row>
    <row r="257" spans="1:24" ht="16" x14ac:dyDescent="0.2">
      <c r="A257" t="s">
        <v>860</v>
      </c>
      <c r="B257" s="224" t="s">
        <v>537</v>
      </c>
      <c r="C257" s="224" t="s">
        <v>824</v>
      </c>
      <c r="D257" s="35" t="s">
        <v>148</v>
      </c>
      <c r="E257" s="35" t="s">
        <v>661</v>
      </c>
      <c r="F257" s="35" t="s">
        <v>494</v>
      </c>
      <c r="G257" s="35" t="s">
        <v>626</v>
      </c>
      <c r="H257" s="35" t="s">
        <v>580</v>
      </c>
      <c r="I257" s="147">
        <v>1029</v>
      </c>
      <c r="J257" s="34">
        <v>1086.4458999999999</v>
      </c>
      <c r="K257" s="34">
        <f t="shared" si="39"/>
        <v>57.445899999999938</v>
      </c>
      <c r="L257" s="56">
        <f t="shared" si="40"/>
        <v>3300.0314268099928</v>
      </c>
      <c r="M257" s="56">
        <f t="shared" si="41"/>
        <v>57.445899999999938</v>
      </c>
      <c r="N257" s="56">
        <f t="shared" si="42"/>
        <v>1.7667540506590311</v>
      </c>
      <c r="O257" s="56">
        <f t="shared" si="51"/>
        <v>1.7667540506590311</v>
      </c>
      <c r="P257" s="143">
        <f t="shared" si="43"/>
        <v>5.5826919339164176</v>
      </c>
      <c r="Q257" s="143">
        <f t="shared" si="44"/>
        <v>5.5826919339164176</v>
      </c>
      <c r="R257" s="34">
        <v>1015.467</v>
      </c>
      <c r="S257" s="56">
        <f t="shared" si="45"/>
        <v>-13.533000000000015</v>
      </c>
      <c r="T257" s="56">
        <f t="shared" si="46"/>
        <v>183.14208900000042</v>
      </c>
      <c r="U257" s="56">
        <f t="shared" si="47"/>
        <v>13.533000000000015</v>
      </c>
      <c r="V257" s="56">
        <f t="shared" si="48"/>
        <v>1.1623552735520795</v>
      </c>
      <c r="W257" s="33">
        <f t="shared" si="49"/>
        <v>-1.3151603498542288</v>
      </c>
      <c r="X257" s="143">
        <f t="shared" si="50"/>
        <v>1.3151603498542288</v>
      </c>
    </row>
    <row r="258" spans="1:24" ht="16" x14ac:dyDescent="0.2">
      <c r="A258" t="s">
        <v>861</v>
      </c>
      <c r="B258" s="224" t="s">
        <v>537</v>
      </c>
      <c r="C258" s="224" t="s">
        <v>824</v>
      </c>
      <c r="D258" s="35" t="s">
        <v>148</v>
      </c>
      <c r="E258" s="35" t="s">
        <v>661</v>
      </c>
      <c r="F258" s="35" t="s">
        <v>494</v>
      </c>
      <c r="G258" s="35" t="s">
        <v>626</v>
      </c>
      <c r="H258" s="35" t="s">
        <v>580</v>
      </c>
      <c r="I258" s="147">
        <v>1055</v>
      </c>
      <c r="J258" s="34">
        <v>1144.2828</v>
      </c>
      <c r="K258" s="34">
        <f t="shared" ref="K258:K321" si="52">J258-I258</f>
        <v>89.282799999999952</v>
      </c>
      <c r="L258" s="56">
        <f t="shared" ref="L258:L321" si="53">K258^2</f>
        <v>7971.4183758399913</v>
      </c>
      <c r="M258" s="56">
        <f t="shared" ref="M258:M321" si="54">SQRT(L258)</f>
        <v>89.282799999999952</v>
      </c>
      <c r="N258" s="56">
        <f t="shared" ref="N258:N321" si="55">LOG10(M258+1)</f>
        <v>1.9556050196756893</v>
      </c>
      <c r="O258" s="56">
        <f t="shared" si="51"/>
        <v>1.9556050196756893</v>
      </c>
      <c r="P258" s="143">
        <f t="shared" ref="P258:P321" si="56">100*K258/I258</f>
        <v>8.4628246445497588</v>
      </c>
      <c r="Q258" s="143">
        <f t="shared" ref="Q258:Q321" si="57">ABS(P258)</f>
        <v>8.4628246445497588</v>
      </c>
      <c r="R258" s="34">
        <v>1087.2375</v>
      </c>
      <c r="S258" s="56">
        <f t="shared" ref="S258:S321" si="58">R258-I258</f>
        <v>32.237499999999955</v>
      </c>
      <c r="T258" s="56">
        <f t="shared" ref="T258:T321" si="59">S258^2</f>
        <v>1039.2564062499971</v>
      </c>
      <c r="U258" s="56">
        <f t="shared" ref="U258:U321" si="60">SQRT(T258)</f>
        <v>32.237499999999955</v>
      </c>
      <c r="V258" s="56">
        <f t="shared" ref="V258:V321" si="61">LOG10(U258+1)</f>
        <v>1.5216283503396228</v>
      </c>
      <c r="W258" s="33">
        <f t="shared" ref="W258:W321" si="62">100*S258/I258</f>
        <v>3.0556872037914649</v>
      </c>
      <c r="X258" s="143">
        <f t="shared" ref="X258:X321" si="63">ABS(W258)</f>
        <v>3.0556872037914649</v>
      </c>
    </row>
    <row r="259" spans="1:24" ht="16" x14ac:dyDescent="0.2">
      <c r="A259" t="s">
        <v>862</v>
      </c>
      <c r="B259" s="224" t="s">
        <v>537</v>
      </c>
      <c r="C259" s="224" t="s">
        <v>824</v>
      </c>
      <c r="D259" s="35" t="s">
        <v>148</v>
      </c>
      <c r="E259" s="35" t="s">
        <v>661</v>
      </c>
      <c r="F259" s="35" t="s">
        <v>374</v>
      </c>
      <c r="G259" s="35" t="s">
        <v>626</v>
      </c>
      <c r="H259" s="35" t="s">
        <v>580</v>
      </c>
      <c r="I259" s="147">
        <v>1280</v>
      </c>
      <c r="J259" s="34">
        <v>1317.7935</v>
      </c>
      <c r="K259" s="34">
        <f t="shared" si="52"/>
        <v>37.793499999999995</v>
      </c>
      <c r="L259" s="56">
        <f t="shared" si="53"/>
        <v>1428.3486422499996</v>
      </c>
      <c r="M259" s="56">
        <f t="shared" si="54"/>
        <v>37.793499999999995</v>
      </c>
      <c r="N259" s="56">
        <f t="shared" si="55"/>
        <v>1.5887589639804387</v>
      </c>
      <c r="O259" s="56">
        <f t="shared" ref="O259:O322" si="64">N259*SIGN(K259)</f>
        <v>1.5887589639804387</v>
      </c>
      <c r="P259" s="143">
        <f t="shared" si="56"/>
        <v>2.9526171874999996</v>
      </c>
      <c r="Q259" s="143">
        <f t="shared" si="57"/>
        <v>2.9526171874999996</v>
      </c>
      <c r="R259" s="34">
        <v>1206.8549999999998</v>
      </c>
      <c r="S259" s="56">
        <f t="shared" si="58"/>
        <v>-73.145000000000209</v>
      </c>
      <c r="T259" s="56">
        <f t="shared" si="59"/>
        <v>5350.191025000031</v>
      </c>
      <c r="U259" s="56">
        <f t="shared" si="60"/>
        <v>73.145000000000209</v>
      </c>
      <c r="V259" s="56">
        <f t="shared" si="61"/>
        <v>1.8700818695164592</v>
      </c>
      <c r="W259" s="33">
        <f t="shared" si="62"/>
        <v>-5.7144531250000163</v>
      </c>
      <c r="X259" s="143">
        <f t="shared" si="63"/>
        <v>5.7144531250000163</v>
      </c>
    </row>
    <row r="260" spans="1:24" ht="16" x14ac:dyDescent="0.2">
      <c r="A260" t="s">
        <v>863</v>
      </c>
      <c r="B260" s="224" t="s">
        <v>537</v>
      </c>
      <c r="C260" s="224" t="s">
        <v>824</v>
      </c>
      <c r="D260" s="35" t="s">
        <v>148</v>
      </c>
      <c r="E260" s="35" t="s">
        <v>661</v>
      </c>
      <c r="F260" s="225" t="s">
        <v>494</v>
      </c>
      <c r="G260" s="35" t="s">
        <v>626</v>
      </c>
      <c r="H260" s="35" t="s">
        <v>580</v>
      </c>
      <c r="I260" s="147">
        <v>1110</v>
      </c>
      <c r="J260" s="34">
        <v>1160.0564999999999</v>
      </c>
      <c r="K260" s="34">
        <f t="shared" si="52"/>
        <v>50.056499999999915</v>
      </c>
      <c r="L260" s="56">
        <f t="shared" si="53"/>
        <v>2505.6531922499917</v>
      </c>
      <c r="M260" s="56">
        <f t="shared" si="54"/>
        <v>50.056499999999915</v>
      </c>
      <c r="N260" s="56">
        <f t="shared" si="55"/>
        <v>1.7080510399475557</v>
      </c>
      <c r="O260" s="56">
        <f t="shared" si="64"/>
        <v>1.7080510399475557</v>
      </c>
      <c r="P260" s="143">
        <f t="shared" si="56"/>
        <v>4.5095945945945868</v>
      </c>
      <c r="Q260" s="143">
        <f t="shared" si="57"/>
        <v>4.5095945945945868</v>
      </c>
      <c r="R260" s="34">
        <v>1087.2375</v>
      </c>
      <c r="S260" s="56">
        <f t="shared" si="58"/>
        <v>-22.762500000000045</v>
      </c>
      <c r="T260" s="56">
        <f t="shared" si="59"/>
        <v>518.1314062500021</v>
      </c>
      <c r="U260" s="56">
        <f t="shared" si="60"/>
        <v>22.762500000000045</v>
      </c>
      <c r="V260" s="56">
        <f t="shared" si="61"/>
        <v>1.3758921298735003</v>
      </c>
      <c r="W260" s="33">
        <f t="shared" si="62"/>
        <v>-2.0506756756756799</v>
      </c>
      <c r="X260" s="143">
        <f t="shared" si="63"/>
        <v>2.0506756756756799</v>
      </c>
    </row>
    <row r="261" spans="1:24" ht="16" x14ac:dyDescent="0.2">
      <c r="A261" t="s">
        <v>864</v>
      </c>
      <c r="B261" s="224" t="s">
        <v>537</v>
      </c>
      <c r="C261" s="224" t="s">
        <v>824</v>
      </c>
      <c r="D261" s="35" t="s">
        <v>148</v>
      </c>
      <c r="E261" s="35" t="s">
        <v>661</v>
      </c>
      <c r="F261" s="35" t="s">
        <v>374</v>
      </c>
      <c r="G261" s="35" t="s">
        <v>626</v>
      </c>
      <c r="H261" s="35" t="s">
        <v>580</v>
      </c>
      <c r="I261" s="147">
        <v>1460</v>
      </c>
      <c r="J261" s="34">
        <v>1480.7883999999999</v>
      </c>
      <c r="K261" s="34">
        <f t="shared" si="52"/>
        <v>20.788399999999911</v>
      </c>
      <c r="L261" s="56">
        <f t="shared" si="53"/>
        <v>432.15757455999631</v>
      </c>
      <c r="M261" s="56">
        <f t="shared" si="54"/>
        <v>20.788399999999911</v>
      </c>
      <c r="N261" s="56">
        <f t="shared" si="55"/>
        <v>1.3382253396228552</v>
      </c>
      <c r="O261" s="56">
        <f t="shared" si="64"/>
        <v>1.3382253396228552</v>
      </c>
      <c r="P261" s="143">
        <f t="shared" si="56"/>
        <v>1.4238630136986241</v>
      </c>
      <c r="Q261" s="143">
        <f t="shared" si="57"/>
        <v>1.4238630136986241</v>
      </c>
      <c r="R261" s="34">
        <v>1403.0276999999999</v>
      </c>
      <c r="S261" s="56">
        <f t="shared" si="58"/>
        <v>-56.972300000000132</v>
      </c>
      <c r="T261" s="56">
        <f t="shared" si="59"/>
        <v>3245.8429672900152</v>
      </c>
      <c r="U261" s="56">
        <f t="shared" si="60"/>
        <v>56.972300000000132</v>
      </c>
      <c r="V261" s="56">
        <f t="shared" si="61"/>
        <v>1.7632205309640678</v>
      </c>
      <c r="W261" s="33">
        <f t="shared" si="62"/>
        <v>-3.9022123287671322</v>
      </c>
      <c r="X261" s="143">
        <f t="shared" si="63"/>
        <v>3.9022123287671322</v>
      </c>
    </row>
    <row r="262" spans="1:24" ht="16" x14ac:dyDescent="0.2">
      <c r="A262" t="s">
        <v>865</v>
      </c>
      <c r="B262" s="224" t="s">
        <v>537</v>
      </c>
      <c r="C262" s="224" t="s">
        <v>824</v>
      </c>
      <c r="D262" s="35" t="s">
        <v>148</v>
      </c>
      <c r="E262" s="35" t="s">
        <v>661</v>
      </c>
      <c r="F262" s="35" t="s">
        <v>374</v>
      </c>
      <c r="G262" s="35" t="s">
        <v>627</v>
      </c>
      <c r="H262" s="35" t="s">
        <v>580</v>
      </c>
      <c r="I262" s="147">
        <v>1598</v>
      </c>
      <c r="J262" s="34">
        <v>1706.8780999999999</v>
      </c>
      <c r="K262" s="34">
        <f t="shared" si="52"/>
        <v>108.8780999999999</v>
      </c>
      <c r="L262" s="56">
        <f t="shared" si="53"/>
        <v>11854.44065960998</v>
      </c>
      <c r="M262" s="56">
        <f t="shared" si="54"/>
        <v>108.8780999999999</v>
      </c>
      <c r="N262" s="56">
        <f t="shared" si="55"/>
        <v>2.0409111410411169</v>
      </c>
      <c r="O262" s="56">
        <f t="shared" si="64"/>
        <v>2.0409111410411169</v>
      </c>
      <c r="P262" s="143">
        <f t="shared" si="56"/>
        <v>6.8133979974968648</v>
      </c>
      <c r="Q262" s="143">
        <f t="shared" si="57"/>
        <v>6.8133979974968648</v>
      </c>
      <c r="R262" s="34">
        <v>1613.5545</v>
      </c>
      <c r="S262" s="56">
        <f t="shared" si="58"/>
        <v>15.554499999999962</v>
      </c>
      <c r="T262" s="56">
        <f t="shared" si="59"/>
        <v>241.94247024999882</v>
      </c>
      <c r="U262" s="56">
        <f t="shared" si="60"/>
        <v>15.554499999999962</v>
      </c>
      <c r="V262" s="56">
        <f t="shared" si="61"/>
        <v>1.2189160681735469</v>
      </c>
      <c r="W262" s="33">
        <f t="shared" si="62"/>
        <v>0.97337296620775726</v>
      </c>
      <c r="X262" s="143">
        <f t="shared" si="63"/>
        <v>0.97337296620775726</v>
      </c>
    </row>
    <row r="263" spans="1:24" ht="16" x14ac:dyDescent="0.2">
      <c r="A263" t="s">
        <v>866</v>
      </c>
      <c r="B263" s="224" t="s">
        <v>537</v>
      </c>
      <c r="C263" s="224" t="s">
        <v>824</v>
      </c>
      <c r="D263" s="35" t="s">
        <v>148</v>
      </c>
      <c r="E263" s="35" t="s">
        <v>661</v>
      </c>
      <c r="F263" s="35" t="s">
        <v>374</v>
      </c>
      <c r="G263" s="35" t="s">
        <v>627</v>
      </c>
      <c r="H263" s="35" t="s">
        <v>580</v>
      </c>
      <c r="I263" s="147">
        <v>1565</v>
      </c>
      <c r="J263" s="34">
        <v>1628.0096000000001</v>
      </c>
      <c r="K263" s="34">
        <f t="shared" si="52"/>
        <v>63.009600000000091</v>
      </c>
      <c r="L263" s="56">
        <f t="shared" si="53"/>
        <v>3970.2096921600114</v>
      </c>
      <c r="M263" s="56">
        <f t="shared" si="54"/>
        <v>63.009600000000091</v>
      </c>
      <c r="N263" s="56">
        <f t="shared" si="55"/>
        <v>1.8062451132708488</v>
      </c>
      <c r="O263" s="56">
        <f t="shared" si="64"/>
        <v>1.8062451132708488</v>
      </c>
      <c r="P263" s="143">
        <f t="shared" si="56"/>
        <v>4.0261725239616668</v>
      </c>
      <c r="Q263" s="143">
        <f t="shared" si="57"/>
        <v>4.0261725239616668</v>
      </c>
      <c r="R263" s="34">
        <v>1527.4298999999999</v>
      </c>
      <c r="S263" s="56">
        <f t="shared" si="58"/>
        <v>-37.570100000000139</v>
      </c>
      <c r="T263" s="56">
        <f t="shared" si="59"/>
        <v>1411.5124140100104</v>
      </c>
      <c r="U263" s="56">
        <f t="shared" si="60"/>
        <v>37.570100000000139</v>
      </c>
      <c r="V263" s="56">
        <f t="shared" si="61"/>
        <v>1.586250764854944</v>
      </c>
      <c r="W263" s="33">
        <f t="shared" si="62"/>
        <v>-2.4006453674121495</v>
      </c>
      <c r="X263" s="143">
        <f t="shared" si="63"/>
        <v>2.4006453674121495</v>
      </c>
    </row>
    <row r="264" spans="1:24" ht="15" x14ac:dyDescent="0.2">
      <c r="A264" s="28" t="s">
        <v>416</v>
      </c>
      <c r="B264" s="224" t="s">
        <v>537</v>
      </c>
      <c r="C264" s="35" t="s">
        <v>458</v>
      </c>
      <c r="D264" s="35" t="s">
        <v>82</v>
      </c>
      <c r="E264" s="35" t="s">
        <v>661</v>
      </c>
      <c r="F264" s="35" t="s">
        <v>374</v>
      </c>
      <c r="G264" s="35" t="s">
        <v>626</v>
      </c>
      <c r="H264" s="35" t="s">
        <v>580</v>
      </c>
      <c r="I264" s="141">
        <v>1250</v>
      </c>
      <c r="J264" s="34">
        <v>1380.8883000000001</v>
      </c>
      <c r="K264" s="34">
        <f t="shared" si="52"/>
        <v>130.88830000000007</v>
      </c>
      <c r="L264" s="56">
        <f t="shared" si="53"/>
        <v>17131.74707689002</v>
      </c>
      <c r="M264" s="56">
        <f t="shared" si="54"/>
        <v>130.88830000000007</v>
      </c>
      <c r="N264" s="56">
        <f t="shared" si="55"/>
        <v>2.1202062703696112</v>
      </c>
      <c r="O264" s="56">
        <f t="shared" si="64"/>
        <v>2.1202062703696112</v>
      </c>
      <c r="P264" s="143">
        <f t="shared" si="56"/>
        <v>10.471064000000005</v>
      </c>
      <c r="Q264" s="143">
        <f t="shared" si="57"/>
        <v>10.471064000000005</v>
      </c>
      <c r="R264" s="34">
        <v>1278.6254999999999</v>
      </c>
      <c r="S264" s="56">
        <f t="shared" si="58"/>
        <v>28.625499999999874</v>
      </c>
      <c r="T264" s="56">
        <f t="shared" si="59"/>
        <v>819.41925024999284</v>
      </c>
      <c r="U264" s="56">
        <f t="shared" si="60"/>
        <v>28.625499999999874</v>
      </c>
      <c r="V264" s="56">
        <f t="shared" si="61"/>
        <v>1.4716656888209771</v>
      </c>
      <c r="W264" s="33">
        <f t="shared" si="62"/>
        <v>2.2900399999999901</v>
      </c>
      <c r="X264" s="143">
        <f t="shared" si="63"/>
        <v>2.2900399999999901</v>
      </c>
    </row>
    <row r="265" spans="1:24" ht="15" x14ac:dyDescent="0.2">
      <c r="A265" s="28" t="s">
        <v>421</v>
      </c>
      <c r="B265" s="224" t="s">
        <v>537</v>
      </c>
      <c r="C265" s="35" t="s">
        <v>458</v>
      </c>
      <c r="D265" s="35" t="s">
        <v>82</v>
      </c>
      <c r="E265" s="35" t="s">
        <v>661</v>
      </c>
      <c r="F265" s="35" t="s">
        <v>494</v>
      </c>
      <c r="G265" s="35" t="s">
        <v>626</v>
      </c>
      <c r="H265" s="35" t="s">
        <v>580</v>
      </c>
      <c r="I265" s="141">
        <v>825</v>
      </c>
      <c r="J265" s="34">
        <v>834.06670000000008</v>
      </c>
      <c r="K265" s="34">
        <f t="shared" si="52"/>
        <v>9.0667000000000826</v>
      </c>
      <c r="L265" s="56">
        <f t="shared" si="53"/>
        <v>82.205048890001493</v>
      </c>
      <c r="M265" s="56">
        <f t="shared" si="54"/>
        <v>9.0667000000000826</v>
      </c>
      <c r="N265" s="56">
        <f t="shared" si="55"/>
        <v>1.0028871262963093</v>
      </c>
      <c r="O265" s="56">
        <f t="shared" si="64"/>
        <v>1.0028871262963093</v>
      </c>
      <c r="P265" s="143">
        <f t="shared" si="56"/>
        <v>1.0989939393939494</v>
      </c>
      <c r="Q265" s="143">
        <f t="shared" si="57"/>
        <v>1.0989939393939494</v>
      </c>
      <c r="R265" s="34">
        <v>800.15550000000007</v>
      </c>
      <c r="S265" s="56">
        <f t="shared" si="58"/>
        <v>-24.844499999999925</v>
      </c>
      <c r="T265" s="56">
        <f t="shared" si="59"/>
        <v>617.24918024999624</v>
      </c>
      <c r="U265" s="56">
        <f t="shared" si="60"/>
        <v>24.844499999999925</v>
      </c>
      <c r="V265" s="56">
        <f t="shared" si="61"/>
        <v>1.4123681345171946</v>
      </c>
      <c r="W265" s="33">
        <f t="shared" si="62"/>
        <v>-3.0114545454545363</v>
      </c>
      <c r="X265" s="143">
        <f t="shared" si="63"/>
        <v>3.0114545454545363</v>
      </c>
    </row>
    <row r="266" spans="1:24" ht="15" x14ac:dyDescent="0.2">
      <c r="A266" s="28" t="s">
        <v>422</v>
      </c>
      <c r="B266" s="224" t="s">
        <v>537</v>
      </c>
      <c r="C266" s="35" t="s">
        <v>458</v>
      </c>
      <c r="D266" s="35" t="s">
        <v>82</v>
      </c>
      <c r="E266" s="35" t="s">
        <v>661</v>
      </c>
      <c r="F266" s="35" t="s">
        <v>494</v>
      </c>
      <c r="G266" s="35" t="s">
        <v>626</v>
      </c>
      <c r="H266" s="35" t="s">
        <v>580</v>
      </c>
      <c r="I266" s="141">
        <v>1070</v>
      </c>
      <c r="J266" s="34">
        <v>1170.5723</v>
      </c>
      <c r="K266" s="34">
        <f t="shared" si="52"/>
        <v>100.57230000000004</v>
      </c>
      <c r="L266" s="56">
        <f t="shared" si="53"/>
        <v>10114.787527290009</v>
      </c>
      <c r="M266" s="56">
        <f t="shared" si="54"/>
        <v>100.57230000000004</v>
      </c>
      <c r="N266" s="56">
        <f t="shared" si="55"/>
        <v>2.0067752867140687</v>
      </c>
      <c r="O266" s="56">
        <f t="shared" si="64"/>
        <v>2.0067752867140687</v>
      </c>
      <c r="P266" s="143">
        <f t="shared" si="56"/>
        <v>9.3992803738317789</v>
      </c>
      <c r="Q266" s="143">
        <f t="shared" si="57"/>
        <v>9.3992803738317789</v>
      </c>
      <c r="R266" s="34">
        <v>1087.2375</v>
      </c>
      <c r="S266" s="56">
        <f t="shared" si="58"/>
        <v>17.237499999999955</v>
      </c>
      <c r="T266" s="56">
        <f t="shared" si="59"/>
        <v>297.13140624999841</v>
      </c>
      <c r="U266" s="56">
        <f t="shared" si="60"/>
        <v>17.237499999999955</v>
      </c>
      <c r="V266" s="56">
        <f t="shared" si="61"/>
        <v>1.260965304901507</v>
      </c>
      <c r="W266" s="33">
        <f t="shared" si="62"/>
        <v>1.6109813084112108</v>
      </c>
      <c r="X266" s="143">
        <f t="shared" si="63"/>
        <v>1.6109813084112108</v>
      </c>
    </row>
    <row r="267" spans="1:24" ht="15" x14ac:dyDescent="0.2">
      <c r="A267" s="28" t="s">
        <v>423</v>
      </c>
      <c r="B267" s="224" t="s">
        <v>537</v>
      </c>
      <c r="C267" s="35" t="s">
        <v>458</v>
      </c>
      <c r="D267" s="208" t="s">
        <v>82</v>
      </c>
      <c r="E267" s="35" t="s">
        <v>661</v>
      </c>
      <c r="F267" s="35" t="s">
        <v>494</v>
      </c>
      <c r="G267" s="35" t="s">
        <v>626</v>
      </c>
      <c r="H267" s="35" t="s">
        <v>580</v>
      </c>
      <c r="I267" s="141">
        <v>1150</v>
      </c>
      <c r="J267" s="34">
        <v>1228.4092000000001</v>
      </c>
      <c r="K267" s="34">
        <f t="shared" si="52"/>
        <v>78.409200000000055</v>
      </c>
      <c r="L267" s="56">
        <f t="shared" si="53"/>
        <v>6148.0026446400088</v>
      </c>
      <c r="M267" s="56">
        <f t="shared" si="54"/>
        <v>78.409200000000055</v>
      </c>
      <c r="N267" s="56">
        <f t="shared" si="55"/>
        <v>1.8998708207869646</v>
      </c>
      <c r="O267" s="56">
        <f t="shared" si="64"/>
        <v>1.8998708207869646</v>
      </c>
      <c r="P267" s="143">
        <f t="shared" si="56"/>
        <v>6.818191304347831</v>
      </c>
      <c r="Q267" s="143">
        <f t="shared" si="57"/>
        <v>6.818191304347831</v>
      </c>
      <c r="R267" s="34">
        <v>1135.0844999999999</v>
      </c>
      <c r="S267" s="56">
        <f t="shared" si="58"/>
        <v>-14.915500000000065</v>
      </c>
      <c r="T267" s="56">
        <f t="shared" si="59"/>
        <v>222.47214025000196</v>
      </c>
      <c r="U267" s="56">
        <f t="shared" si="60"/>
        <v>14.915500000000065</v>
      </c>
      <c r="V267" s="56">
        <f t="shared" si="61"/>
        <v>1.2018202869300036</v>
      </c>
      <c r="W267" s="33">
        <f t="shared" si="62"/>
        <v>-1.2970000000000057</v>
      </c>
      <c r="X267" s="143">
        <f t="shared" si="63"/>
        <v>1.2970000000000057</v>
      </c>
    </row>
    <row r="268" spans="1:24" ht="15" x14ac:dyDescent="0.2">
      <c r="A268" s="28" t="s">
        <v>424</v>
      </c>
      <c r="B268" s="224" t="s">
        <v>537</v>
      </c>
      <c r="C268" s="35" t="s">
        <v>458</v>
      </c>
      <c r="D268" s="208" t="s">
        <v>82</v>
      </c>
      <c r="E268" s="35" t="s">
        <v>661</v>
      </c>
      <c r="F268" s="35" t="s">
        <v>374</v>
      </c>
      <c r="G268" s="35" t="s">
        <v>627</v>
      </c>
      <c r="H268" s="35" t="s">
        <v>580</v>
      </c>
      <c r="I268" s="141">
        <v>1800</v>
      </c>
      <c r="J268" s="34">
        <v>1911.9362000000001</v>
      </c>
      <c r="K268" s="34">
        <f t="shared" si="52"/>
        <v>111.9362000000001</v>
      </c>
      <c r="L268" s="56">
        <f t="shared" si="53"/>
        <v>12529.712870440022</v>
      </c>
      <c r="M268" s="56">
        <f t="shared" si="54"/>
        <v>111.9362000000001</v>
      </c>
      <c r="N268" s="56">
        <f t="shared" si="55"/>
        <v>2.0528331708030625</v>
      </c>
      <c r="O268" s="56">
        <f t="shared" si="64"/>
        <v>2.0528331708030625</v>
      </c>
      <c r="P268" s="143">
        <f t="shared" si="56"/>
        <v>6.2186777777777831</v>
      </c>
      <c r="Q268" s="143">
        <f t="shared" si="57"/>
        <v>6.2186777777777831</v>
      </c>
      <c r="R268" s="34">
        <v>1852.7894999999999</v>
      </c>
      <c r="S268" s="56">
        <f t="shared" si="58"/>
        <v>52.789499999999862</v>
      </c>
      <c r="T268" s="56">
        <f t="shared" si="59"/>
        <v>2786.7313102499852</v>
      </c>
      <c r="U268" s="56">
        <f t="shared" si="60"/>
        <v>52.789499999999862</v>
      </c>
      <c r="V268" s="56">
        <f t="shared" si="61"/>
        <v>1.7306975073186504</v>
      </c>
      <c r="W268" s="33">
        <f t="shared" si="62"/>
        <v>2.9327499999999924</v>
      </c>
      <c r="X268" s="143">
        <f t="shared" si="63"/>
        <v>2.9327499999999924</v>
      </c>
    </row>
    <row r="269" spans="1:24" ht="15" x14ac:dyDescent="0.2">
      <c r="A269" s="28" t="s">
        <v>426</v>
      </c>
      <c r="B269" s="224" t="s">
        <v>537</v>
      </c>
      <c r="C269" s="35" t="s">
        <v>458</v>
      </c>
      <c r="D269" s="208" t="s">
        <v>82</v>
      </c>
      <c r="E269" s="35" t="s">
        <v>661</v>
      </c>
      <c r="F269" s="35" t="s">
        <v>374</v>
      </c>
      <c r="G269" s="35" t="s">
        <v>627</v>
      </c>
      <c r="H269" s="35" t="s">
        <v>580</v>
      </c>
      <c r="I269" s="141">
        <v>1620</v>
      </c>
      <c r="J269" s="34">
        <v>1791.0045</v>
      </c>
      <c r="K269" s="34">
        <f t="shared" si="52"/>
        <v>171.00450000000001</v>
      </c>
      <c r="L269" s="56">
        <f t="shared" si="53"/>
        <v>29242.539020250002</v>
      </c>
      <c r="M269" s="56">
        <f t="shared" si="54"/>
        <v>171.00450000000001</v>
      </c>
      <c r="N269" s="56">
        <f t="shared" si="55"/>
        <v>2.2355398091145471</v>
      </c>
      <c r="O269" s="56">
        <f t="shared" si="64"/>
        <v>2.2355398091145471</v>
      </c>
      <c r="P269" s="143">
        <f t="shared" si="56"/>
        <v>10.555833333333334</v>
      </c>
      <c r="Q269" s="143">
        <f t="shared" si="57"/>
        <v>10.555833333333334</v>
      </c>
      <c r="R269" s="34">
        <v>1685.3249999999998</v>
      </c>
      <c r="S269" s="56">
        <f t="shared" si="58"/>
        <v>65.324999999999818</v>
      </c>
      <c r="T269" s="56">
        <f t="shared" si="59"/>
        <v>4267.3556249999765</v>
      </c>
      <c r="U269" s="56">
        <f t="shared" si="60"/>
        <v>65.324999999999818</v>
      </c>
      <c r="V269" s="56">
        <f t="shared" si="61"/>
        <v>1.8216772586543657</v>
      </c>
      <c r="W269" s="33">
        <f t="shared" si="62"/>
        <v>4.0324074074073959</v>
      </c>
      <c r="X269" s="143">
        <f t="shared" si="63"/>
        <v>4.0324074074073959</v>
      </c>
    </row>
    <row r="270" spans="1:24" ht="15" x14ac:dyDescent="0.2">
      <c r="A270" s="28" t="s">
        <v>427</v>
      </c>
      <c r="B270" s="224" t="s">
        <v>537</v>
      </c>
      <c r="C270" s="35" t="s">
        <v>458</v>
      </c>
      <c r="D270" s="208" t="s">
        <v>82</v>
      </c>
      <c r="E270" s="35" t="s">
        <v>661</v>
      </c>
      <c r="F270" s="35" t="s">
        <v>374</v>
      </c>
      <c r="G270" s="35" t="s">
        <v>627</v>
      </c>
      <c r="H270" s="35" t="s">
        <v>580</v>
      </c>
      <c r="I270" s="141">
        <v>1650</v>
      </c>
      <c r="J270" s="34">
        <v>1791.0045</v>
      </c>
      <c r="K270" s="34">
        <f t="shared" si="52"/>
        <v>141.00450000000001</v>
      </c>
      <c r="L270" s="56">
        <f t="shared" si="53"/>
        <v>19882.269020250002</v>
      </c>
      <c r="M270" s="56">
        <f t="shared" si="54"/>
        <v>141.00450000000001</v>
      </c>
      <c r="N270" s="56">
        <f t="shared" si="55"/>
        <v>2.1523021070182873</v>
      </c>
      <c r="O270" s="56">
        <f t="shared" si="64"/>
        <v>2.1523021070182873</v>
      </c>
      <c r="P270" s="143">
        <f t="shared" si="56"/>
        <v>8.5457272727272731</v>
      </c>
      <c r="Q270" s="143">
        <f t="shared" si="57"/>
        <v>8.5457272727272731</v>
      </c>
      <c r="R270" s="34">
        <v>1709.2484999999999</v>
      </c>
      <c r="S270" s="56">
        <f t="shared" si="58"/>
        <v>59.248499999999922</v>
      </c>
      <c r="T270" s="56">
        <f t="shared" si="59"/>
        <v>3510.3847522499909</v>
      </c>
      <c r="U270" s="56">
        <f t="shared" si="60"/>
        <v>59.248499999999922</v>
      </c>
      <c r="V270" s="56">
        <f t="shared" si="61"/>
        <v>1.7799462388015574</v>
      </c>
      <c r="W270" s="33">
        <f t="shared" si="62"/>
        <v>3.590818181818177</v>
      </c>
      <c r="X270" s="143">
        <f t="shared" si="63"/>
        <v>3.590818181818177</v>
      </c>
    </row>
    <row r="271" spans="1:24" ht="15" x14ac:dyDescent="0.2">
      <c r="A271" s="28" t="s">
        <v>459</v>
      </c>
      <c r="B271" s="224" t="s">
        <v>537</v>
      </c>
      <c r="C271" s="35" t="s">
        <v>458</v>
      </c>
      <c r="D271" s="208" t="s">
        <v>82</v>
      </c>
      <c r="E271" s="35" t="s">
        <v>661</v>
      </c>
      <c r="F271" s="35" t="s">
        <v>374</v>
      </c>
      <c r="G271" s="35" t="s">
        <v>627</v>
      </c>
      <c r="H271" s="35" t="s">
        <v>580</v>
      </c>
      <c r="I271" s="141">
        <v>1640</v>
      </c>
      <c r="J271" s="34">
        <v>1701.6202000000001</v>
      </c>
      <c r="K271" s="34">
        <f t="shared" si="52"/>
        <v>61.620200000000068</v>
      </c>
      <c r="L271" s="56">
        <f t="shared" si="53"/>
        <v>3797.0490480400085</v>
      </c>
      <c r="M271" s="56">
        <f t="shared" si="54"/>
        <v>61.620200000000068</v>
      </c>
      <c r="N271" s="56">
        <f t="shared" si="55"/>
        <v>1.7967144503578321</v>
      </c>
      <c r="O271" s="56">
        <f t="shared" si="64"/>
        <v>1.7967144503578321</v>
      </c>
      <c r="P271" s="143">
        <f t="shared" si="56"/>
        <v>3.7573292682926871</v>
      </c>
      <c r="Q271" s="143">
        <f t="shared" si="57"/>
        <v>3.7573292682926871</v>
      </c>
      <c r="R271" s="34">
        <v>1613.5545</v>
      </c>
      <c r="S271" s="56">
        <f t="shared" si="58"/>
        <v>-26.445500000000038</v>
      </c>
      <c r="T271" s="56">
        <f t="shared" si="59"/>
        <v>699.364470250002</v>
      </c>
      <c r="U271" s="56">
        <f t="shared" si="60"/>
        <v>26.445500000000038</v>
      </c>
      <c r="V271" s="56">
        <f t="shared" si="61"/>
        <v>1.4384711471330454</v>
      </c>
      <c r="W271" s="33">
        <f t="shared" si="62"/>
        <v>-1.6125304878048803</v>
      </c>
      <c r="X271" s="143">
        <f t="shared" si="63"/>
        <v>1.6125304878048803</v>
      </c>
    </row>
    <row r="272" spans="1:24" ht="15" x14ac:dyDescent="0.2">
      <c r="A272" s="28" t="s">
        <v>425</v>
      </c>
      <c r="B272" s="224" t="s">
        <v>537</v>
      </c>
      <c r="C272" s="35" t="s">
        <v>458</v>
      </c>
      <c r="D272" s="208" t="s">
        <v>82</v>
      </c>
      <c r="E272" s="35" t="s">
        <v>661</v>
      </c>
      <c r="F272" s="35" t="s">
        <v>293</v>
      </c>
      <c r="G272" s="35" t="s">
        <v>627</v>
      </c>
      <c r="H272" s="35" t="s">
        <v>580</v>
      </c>
      <c r="I272" s="141">
        <v>2690</v>
      </c>
      <c r="J272" s="34">
        <v>2989.8056999999999</v>
      </c>
      <c r="K272" s="34">
        <f t="shared" si="52"/>
        <v>299.80569999999989</v>
      </c>
      <c r="L272" s="56">
        <f t="shared" si="53"/>
        <v>89883.457752489936</v>
      </c>
      <c r="M272" s="56">
        <f t="shared" si="54"/>
        <v>299.80569999999989</v>
      </c>
      <c r="N272" s="56">
        <f t="shared" si="55"/>
        <v>2.478286061491056</v>
      </c>
      <c r="O272" s="56">
        <f t="shared" si="64"/>
        <v>2.478286061491056</v>
      </c>
      <c r="P272" s="143">
        <f t="shared" si="56"/>
        <v>11.145193308550182</v>
      </c>
      <c r="Q272" s="143">
        <f t="shared" si="57"/>
        <v>11.145193308550182</v>
      </c>
      <c r="R272" s="34">
        <v>2785.806</v>
      </c>
      <c r="S272" s="56">
        <f t="shared" si="58"/>
        <v>95.80600000000004</v>
      </c>
      <c r="T272" s="56">
        <f t="shared" si="59"/>
        <v>9178.7896360000068</v>
      </c>
      <c r="U272" s="56">
        <f t="shared" si="60"/>
        <v>95.80600000000004</v>
      </c>
      <c r="V272" s="56">
        <f t="shared" si="61"/>
        <v>1.9859022755536162</v>
      </c>
      <c r="W272" s="33">
        <f t="shared" si="62"/>
        <v>3.5615613382899642</v>
      </c>
      <c r="X272" s="143">
        <f t="shared" si="63"/>
        <v>3.5615613382899642</v>
      </c>
    </row>
    <row r="273" spans="1:24" ht="15" x14ac:dyDescent="0.2">
      <c r="A273" s="28" t="s">
        <v>433</v>
      </c>
      <c r="B273" s="224" t="s">
        <v>537</v>
      </c>
      <c r="C273" s="35" t="s">
        <v>458</v>
      </c>
      <c r="D273" s="208" t="s">
        <v>82</v>
      </c>
      <c r="E273" s="35" t="s">
        <v>661</v>
      </c>
      <c r="F273" s="35" t="s">
        <v>374</v>
      </c>
      <c r="G273" s="35" t="s">
        <v>627</v>
      </c>
      <c r="H273" s="35" t="s">
        <v>580</v>
      </c>
      <c r="I273" s="141">
        <v>1520</v>
      </c>
      <c r="J273" s="34">
        <v>1517.5936999999999</v>
      </c>
      <c r="K273" s="34">
        <f t="shared" si="52"/>
        <v>-2.4063000000001011</v>
      </c>
      <c r="L273" s="56">
        <f t="shared" si="53"/>
        <v>5.7902796900004869</v>
      </c>
      <c r="M273" s="56">
        <f t="shared" si="54"/>
        <v>2.4063000000001011</v>
      </c>
      <c r="N273" s="56">
        <f t="shared" si="55"/>
        <v>0.53228289453881428</v>
      </c>
      <c r="O273" s="56">
        <f t="shared" si="64"/>
        <v>-0.53228289453881428</v>
      </c>
      <c r="P273" s="143">
        <f t="shared" si="56"/>
        <v>-0.15830921052632244</v>
      </c>
      <c r="Q273" s="143">
        <f t="shared" si="57"/>
        <v>0.15830921052632244</v>
      </c>
      <c r="R273" s="34">
        <v>1422.1664999999998</v>
      </c>
      <c r="S273" s="56">
        <f t="shared" si="58"/>
        <v>-97.833500000000186</v>
      </c>
      <c r="T273" s="56">
        <f t="shared" si="59"/>
        <v>9571.3937222500372</v>
      </c>
      <c r="U273" s="56">
        <f t="shared" si="60"/>
        <v>97.833500000000186</v>
      </c>
      <c r="V273" s="56">
        <f t="shared" si="61"/>
        <v>1.9949041753484371</v>
      </c>
      <c r="W273" s="33">
        <f t="shared" si="62"/>
        <v>-6.4364144736842226</v>
      </c>
      <c r="X273" s="143">
        <f t="shared" si="63"/>
        <v>6.4364144736842226</v>
      </c>
    </row>
    <row r="274" spans="1:24" ht="15" x14ac:dyDescent="0.2">
      <c r="A274" s="28" t="s">
        <v>434</v>
      </c>
      <c r="B274" s="224" t="s">
        <v>537</v>
      </c>
      <c r="C274" s="35" t="s">
        <v>458</v>
      </c>
      <c r="D274" s="208" t="s">
        <v>82</v>
      </c>
      <c r="E274" s="35" t="s">
        <v>661</v>
      </c>
      <c r="F274" s="35" t="s">
        <v>374</v>
      </c>
      <c r="G274" s="35" t="s">
        <v>627</v>
      </c>
      <c r="H274" s="35" t="s">
        <v>580</v>
      </c>
      <c r="I274" s="141">
        <v>2370</v>
      </c>
      <c r="J274" s="34">
        <v>2579.6895</v>
      </c>
      <c r="K274" s="34">
        <f t="shared" si="52"/>
        <v>209.68949999999995</v>
      </c>
      <c r="L274" s="56">
        <f t="shared" si="53"/>
        <v>43969.686410249982</v>
      </c>
      <c r="M274" s="56">
        <f t="shared" si="54"/>
        <v>209.68949999999995</v>
      </c>
      <c r="N274" s="56">
        <f t="shared" si="55"/>
        <v>2.3236428924866606</v>
      </c>
      <c r="O274" s="56">
        <f t="shared" si="64"/>
        <v>2.3236428924866606</v>
      </c>
      <c r="P274" s="143">
        <f t="shared" si="56"/>
        <v>8.8476582278481004</v>
      </c>
      <c r="Q274" s="143">
        <f t="shared" si="57"/>
        <v>8.8476582278481004</v>
      </c>
      <c r="R274" s="34">
        <v>2450.877</v>
      </c>
      <c r="S274" s="56">
        <f t="shared" si="58"/>
        <v>80.876999999999953</v>
      </c>
      <c r="T274" s="56">
        <f t="shared" si="59"/>
        <v>6541.0891289999927</v>
      </c>
      <c r="U274" s="56">
        <f t="shared" si="60"/>
        <v>80.876999999999953</v>
      </c>
      <c r="V274" s="56">
        <f t="shared" si="61"/>
        <v>1.9131619215904379</v>
      </c>
      <c r="W274" s="33">
        <f t="shared" si="62"/>
        <v>3.4125316455696182</v>
      </c>
      <c r="X274" s="143">
        <f t="shared" si="63"/>
        <v>3.4125316455696182</v>
      </c>
    </row>
    <row r="275" spans="1:24" ht="15" x14ac:dyDescent="0.2">
      <c r="A275" s="28" t="s">
        <v>435</v>
      </c>
      <c r="B275" s="224" t="s">
        <v>537</v>
      </c>
      <c r="C275" s="35" t="s">
        <v>458</v>
      </c>
      <c r="D275" s="208" t="s">
        <v>82</v>
      </c>
      <c r="E275" s="35" t="s">
        <v>661</v>
      </c>
      <c r="F275" s="35" t="s">
        <v>494</v>
      </c>
      <c r="G275" s="35" t="s">
        <v>626</v>
      </c>
      <c r="H275" s="35" t="s">
        <v>580</v>
      </c>
      <c r="I275" s="141">
        <v>1150</v>
      </c>
      <c r="J275" s="34">
        <v>1175.8301999999999</v>
      </c>
      <c r="K275" s="34">
        <f t="shared" si="52"/>
        <v>25.830199999999877</v>
      </c>
      <c r="L275" s="56">
        <f t="shared" si="53"/>
        <v>667.1992320399936</v>
      </c>
      <c r="M275" s="56">
        <f t="shared" si="54"/>
        <v>25.830199999999877</v>
      </c>
      <c r="N275" s="56">
        <f t="shared" si="55"/>
        <v>1.4286239100395346</v>
      </c>
      <c r="O275" s="56">
        <f t="shared" si="64"/>
        <v>1.4286239100395346</v>
      </c>
      <c r="P275" s="143">
        <f t="shared" si="56"/>
        <v>2.2461043478260763</v>
      </c>
      <c r="Q275" s="143">
        <f t="shared" si="57"/>
        <v>2.2461043478260763</v>
      </c>
      <c r="R275" s="34">
        <v>1111.1609999999998</v>
      </c>
      <c r="S275" s="56">
        <f t="shared" si="58"/>
        <v>-38.839000000000169</v>
      </c>
      <c r="T275" s="56">
        <f t="shared" si="59"/>
        <v>1508.4679210000131</v>
      </c>
      <c r="U275" s="56">
        <f t="shared" si="60"/>
        <v>38.839000000000169</v>
      </c>
      <c r="V275" s="56">
        <f t="shared" si="61"/>
        <v>1.6003084286489402</v>
      </c>
      <c r="W275" s="33">
        <f t="shared" si="62"/>
        <v>-3.3773043478261018</v>
      </c>
      <c r="X275" s="143">
        <f t="shared" si="63"/>
        <v>3.3773043478261018</v>
      </c>
    </row>
    <row r="276" spans="1:24" ht="15" x14ac:dyDescent="0.2">
      <c r="A276" s="28" t="s">
        <v>734</v>
      </c>
      <c r="B276" s="224" t="s">
        <v>537</v>
      </c>
      <c r="C276" s="35" t="s">
        <v>403</v>
      </c>
      <c r="D276" s="35" t="s">
        <v>82</v>
      </c>
      <c r="E276" s="35" t="s">
        <v>661</v>
      </c>
      <c r="F276" s="35" t="s">
        <v>203</v>
      </c>
      <c r="G276" s="35" t="s">
        <v>627</v>
      </c>
      <c r="H276" s="35" t="s">
        <v>581</v>
      </c>
      <c r="I276" s="141">
        <v>5600</v>
      </c>
      <c r="J276" s="34">
        <v>6074.0898400000005</v>
      </c>
      <c r="K276" s="34">
        <f t="shared" si="52"/>
        <v>474.08984000000055</v>
      </c>
      <c r="L276" s="56">
        <f t="shared" si="53"/>
        <v>224761.17639122612</v>
      </c>
      <c r="M276" s="56">
        <f t="shared" si="54"/>
        <v>474.08984000000055</v>
      </c>
      <c r="N276" s="56">
        <f t="shared" si="55"/>
        <v>2.6767757429447445</v>
      </c>
      <c r="O276" s="56">
        <f t="shared" si="64"/>
        <v>2.6767757429447445</v>
      </c>
      <c r="P276" s="143">
        <f t="shared" si="56"/>
        <v>8.4658900000000106</v>
      </c>
      <c r="Q276" s="143">
        <f t="shared" si="57"/>
        <v>8.4658900000000106</v>
      </c>
      <c r="R276" s="34">
        <v>5778.1573800000006</v>
      </c>
      <c r="S276" s="56">
        <f t="shared" si="58"/>
        <v>178.15738000000056</v>
      </c>
      <c r="T276" s="56">
        <f t="shared" si="59"/>
        <v>31740.0520484646</v>
      </c>
      <c r="U276" s="56">
        <f t="shared" si="60"/>
        <v>178.15738000000056</v>
      </c>
      <c r="V276" s="56">
        <f t="shared" si="61"/>
        <v>2.2532347026905879</v>
      </c>
      <c r="W276" s="33">
        <f t="shared" si="62"/>
        <v>3.1813817857142959</v>
      </c>
      <c r="X276" s="143">
        <f t="shared" si="63"/>
        <v>3.1813817857142959</v>
      </c>
    </row>
    <row r="277" spans="1:24" ht="15" x14ac:dyDescent="0.2">
      <c r="A277" s="206" t="s">
        <v>460</v>
      </c>
      <c r="B277" s="224" t="s">
        <v>537</v>
      </c>
      <c r="C277" s="35" t="s">
        <v>403</v>
      </c>
      <c r="D277" s="35" t="s">
        <v>82</v>
      </c>
      <c r="E277" s="35" t="s">
        <v>661</v>
      </c>
      <c r="F277" s="35" t="s">
        <v>203</v>
      </c>
      <c r="G277" s="35" t="s">
        <v>627</v>
      </c>
      <c r="H277" s="35" t="s">
        <v>581</v>
      </c>
      <c r="I277" s="141">
        <v>4340</v>
      </c>
      <c r="J277" s="34">
        <v>4440.986100000001</v>
      </c>
      <c r="K277" s="34">
        <f t="shared" si="52"/>
        <v>100.98610000000099</v>
      </c>
      <c r="L277" s="56">
        <f t="shared" si="53"/>
        <v>10198.1923932102</v>
      </c>
      <c r="M277" s="56">
        <f t="shared" si="54"/>
        <v>100.98610000000099</v>
      </c>
      <c r="N277" s="56">
        <f t="shared" si="55"/>
        <v>2.0085409844613382</v>
      </c>
      <c r="O277" s="56">
        <f t="shared" si="64"/>
        <v>2.0085409844613382</v>
      </c>
      <c r="P277" s="143">
        <f t="shared" si="56"/>
        <v>2.3268686635944928</v>
      </c>
      <c r="Q277" s="143">
        <f t="shared" si="57"/>
        <v>2.3268686635944928</v>
      </c>
      <c r="R277" s="34">
        <v>4187.7231000000002</v>
      </c>
      <c r="S277" s="56">
        <f t="shared" si="58"/>
        <v>-152.27689999999984</v>
      </c>
      <c r="T277" s="56">
        <f t="shared" si="59"/>
        <v>23188.254273609953</v>
      </c>
      <c r="U277" s="56">
        <f t="shared" si="60"/>
        <v>152.27689999999984</v>
      </c>
      <c r="V277" s="56">
        <f t="shared" si="61"/>
        <v>2.185476708289086</v>
      </c>
      <c r="W277" s="33">
        <f t="shared" si="62"/>
        <v>-3.5086843317972312</v>
      </c>
      <c r="X277" s="143">
        <f t="shared" si="63"/>
        <v>3.5086843317972312</v>
      </c>
    </row>
    <row r="278" spans="1:24" ht="15" x14ac:dyDescent="0.2">
      <c r="A278" s="28" t="s">
        <v>327</v>
      </c>
      <c r="B278" s="224" t="s">
        <v>537</v>
      </c>
      <c r="C278" s="208" t="s">
        <v>403</v>
      </c>
      <c r="D278" s="35" t="s">
        <v>82</v>
      </c>
      <c r="E278" s="35" t="s">
        <v>661</v>
      </c>
      <c r="F278" s="35" t="s">
        <v>374</v>
      </c>
      <c r="G278" s="35" t="s">
        <v>626</v>
      </c>
      <c r="H278" s="35" t="s">
        <v>580</v>
      </c>
      <c r="I278" s="141">
        <v>1217.5999999999999</v>
      </c>
      <c r="J278" s="34">
        <v>1282.0397799999998</v>
      </c>
      <c r="K278" s="34">
        <f t="shared" si="52"/>
        <v>64.439779999999928</v>
      </c>
      <c r="L278" s="56">
        <f t="shared" si="53"/>
        <v>4152.4852464483911</v>
      </c>
      <c r="M278" s="56">
        <f t="shared" si="54"/>
        <v>64.439779999999928</v>
      </c>
      <c r="N278" s="56">
        <f t="shared" si="55"/>
        <v>1.8158418306243507</v>
      </c>
      <c r="O278" s="56">
        <f t="shared" si="64"/>
        <v>1.8158418306243507</v>
      </c>
      <c r="P278" s="143">
        <f t="shared" si="56"/>
        <v>5.2923603810775237</v>
      </c>
      <c r="Q278" s="143">
        <f t="shared" si="57"/>
        <v>5.2923603810775237</v>
      </c>
      <c r="R278" s="34">
        <v>1224.5583899999999</v>
      </c>
      <c r="S278" s="56">
        <f t="shared" si="58"/>
        <v>6.9583900000000085</v>
      </c>
      <c r="T278" s="56">
        <f t="shared" si="59"/>
        <v>48.419191392100117</v>
      </c>
      <c r="U278" s="56">
        <f t="shared" si="60"/>
        <v>6.9583900000000085</v>
      </c>
      <c r="V278" s="56">
        <f t="shared" si="61"/>
        <v>0.90082521788372716</v>
      </c>
      <c r="W278" s="33">
        <f t="shared" si="62"/>
        <v>0.57148406701708354</v>
      </c>
      <c r="X278" s="143">
        <f t="shared" si="63"/>
        <v>0.57148406701708354</v>
      </c>
    </row>
    <row r="279" spans="1:24" ht="15" x14ac:dyDescent="0.2">
      <c r="A279" s="28" t="s">
        <v>597</v>
      </c>
      <c r="B279" s="224" t="s">
        <v>537</v>
      </c>
      <c r="C279" s="208" t="s">
        <v>403</v>
      </c>
      <c r="D279" s="35" t="s">
        <v>82</v>
      </c>
      <c r="E279" s="35" t="s">
        <v>661</v>
      </c>
      <c r="F279" s="35" t="s">
        <v>203</v>
      </c>
      <c r="G279" s="35" t="s">
        <v>627</v>
      </c>
      <c r="H279" s="35" t="s">
        <v>581</v>
      </c>
      <c r="I279" s="141">
        <v>5241.7</v>
      </c>
      <c r="J279" s="34">
        <v>5792.2664000000004</v>
      </c>
      <c r="K279" s="34">
        <f t="shared" si="52"/>
        <v>550.56640000000061</v>
      </c>
      <c r="L279" s="56">
        <f t="shared" si="53"/>
        <v>303123.36080896069</v>
      </c>
      <c r="M279" s="56">
        <f t="shared" si="54"/>
        <v>550.56640000000061</v>
      </c>
      <c r="N279" s="56">
        <f t="shared" si="55"/>
        <v>2.7415978022118521</v>
      </c>
      <c r="O279" s="56">
        <f t="shared" si="64"/>
        <v>2.7415978022118521</v>
      </c>
      <c r="P279" s="143">
        <f t="shared" si="56"/>
        <v>10.503584714882587</v>
      </c>
      <c r="Q279" s="143">
        <f t="shared" si="57"/>
        <v>10.503584714882587</v>
      </c>
      <c r="R279" s="34">
        <v>5541.7932000000001</v>
      </c>
      <c r="S279" s="56">
        <f t="shared" si="58"/>
        <v>300.09320000000025</v>
      </c>
      <c r="T279" s="56">
        <f t="shared" si="59"/>
        <v>90055.92868624015</v>
      </c>
      <c r="U279" s="56">
        <f t="shared" si="60"/>
        <v>300.09320000000025</v>
      </c>
      <c r="V279" s="56">
        <f t="shared" si="61"/>
        <v>2.4787009473565829</v>
      </c>
      <c r="W279" s="33">
        <f t="shared" si="62"/>
        <v>5.725112081958148</v>
      </c>
      <c r="X279" s="143">
        <f t="shared" si="63"/>
        <v>5.725112081958148</v>
      </c>
    </row>
    <row r="280" spans="1:24" ht="15" x14ac:dyDescent="0.2">
      <c r="A280" s="28" t="s">
        <v>360</v>
      </c>
      <c r="B280" s="224" t="s">
        <v>537</v>
      </c>
      <c r="C280" s="208" t="s">
        <v>403</v>
      </c>
      <c r="D280" s="35" t="s">
        <v>82</v>
      </c>
      <c r="E280" s="35" t="s">
        <v>661</v>
      </c>
      <c r="F280" s="35" t="s">
        <v>494</v>
      </c>
      <c r="G280" s="35" t="s">
        <v>626</v>
      </c>
      <c r="H280" s="35" t="s">
        <v>580</v>
      </c>
      <c r="I280" s="141">
        <v>906.8</v>
      </c>
      <c r="J280" s="34">
        <v>1144.2828</v>
      </c>
      <c r="K280" s="34">
        <f t="shared" si="52"/>
        <v>237.4828</v>
      </c>
      <c r="L280" s="56">
        <f t="shared" si="53"/>
        <v>56398.080295840002</v>
      </c>
      <c r="M280" s="56">
        <f t="shared" si="54"/>
        <v>237.4828</v>
      </c>
      <c r="N280" s="56">
        <f t="shared" si="55"/>
        <v>2.3774570620576618</v>
      </c>
      <c r="O280" s="56">
        <f t="shared" si="64"/>
        <v>2.3774570620576618</v>
      </c>
      <c r="P280" s="143">
        <f t="shared" si="56"/>
        <v>26.189104543449492</v>
      </c>
      <c r="Q280" s="143">
        <f t="shared" si="57"/>
        <v>26.189104543449492</v>
      </c>
      <c r="R280" s="34">
        <v>1063.4575409999998</v>
      </c>
      <c r="S280" s="56">
        <f t="shared" si="58"/>
        <v>156.65754099999981</v>
      </c>
      <c r="T280" s="56">
        <f t="shared" si="59"/>
        <v>24541.585152166623</v>
      </c>
      <c r="U280" s="56">
        <f t="shared" si="60"/>
        <v>156.65754099999981</v>
      </c>
      <c r="V280" s="56">
        <f t="shared" si="61"/>
        <v>2.1977147485464177</v>
      </c>
      <c r="W280" s="33">
        <f t="shared" si="62"/>
        <v>17.275864689016299</v>
      </c>
      <c r="X280" s="143">
        <f t="shared" si="63"/>
        <v>17.275864689016299</v>
      </c>
    </row>
    <row r="281" spans="1:24" ht="15" x14ac:dyDescent="0.2">
      <c r="A281" s="28" t="s">
        <v>136</v>
      </c>
      <c r="B281" s="224" t="s">
        <v>537</v>
      </c>
      <c r="C281" s="208" t="s">
        <v>403</v>
      </c>
      <c r="D281" s="35" t="s">
        <v>96</v>
      </c>
      <c r="E281" s="35" t="s">
        <v>661</v>
      </c>
      <c r="F281" s="35" t="s">
        <v>374</v>
      </c>
      <c r="G281" s="35" t="s">
        <v>627</v>
      </c>
      <c r="H281" s="35" t="s">
        <v>580</v>
      </c>
      <c r="I281" s="141">
        <v>2365.6</v>
      </c>
      <c r="J281" s="34">
        <v>2410.5954360000001</v>
      </c>
      <c r="K281" s="34">
        <f t="shared" si="52"/>
        <v>44.995436000000154</v>
      </c>
      <c r="L281" s="56">
        <f t="shared" si="53"/>
        <v>2024.5892608301099</v>
      </c>
      <c r="M281" s="56">
        <f t="shared" si="54"/>
        <v>44.995436000000154</v>
      </c>
      <c r="N281" s="56">
        <f t="shared" si="55"/>
        <v>1.6627147399782647</v>
      </c>
      <c r="O281" s="56">
        <f t="shared" si="64"/>
        <v>1.6627147399782647</v>
      </c>
      <c r="P281" s="143">
        <f t="shared" si="56"/>
        <v>1.9020728779168141</v>
      </c>
      <c r="Q281" s="143">
        <f t="shared" si="57"/>
        <v>1.9020728779168141</v>
      </c>
      <c r="R281" s="34">
        <v>2332.2164400000001</v>
      </c>
      <c r="S281" s="56">
        <f t="shared" si="58"/>
        <v>-33.383559999999761</v>
      </c>
      <c r="T281" s="56">
        <f t="shared" si="59"/>
        <v>1114.462078273584</v>
      </c>
      <c r="U281" s="56">
        <f t="shared" si="60"/>
        <v>33.383559999999761</v>
      </c>
      <c r="V281" s="56">
        <f t="shared" si="61"/>
        <v>1.5363508405974959</v>
      </c>
      <c r="W281" s="33">
        <f t="shared" si="62"/>
        <v>-1.4112089956036422</v>
      </c>
      <c r="X281" s="143">
        <f t="shared" si="63"/>
        <v>1.4112089956036422</v>
      </c>
    </row>
    <row r="282" spans="1:24" ht="15" x14ac:dyDescent="0.2">
      <c r="A282" s="28" t="s">
        <v>157</v>
      </c>
      <c r="B282" s="224" t="s">
        <v>537</v>
      </c>
      <c r="C282" s="208" t="s">
        <v>403</v>
      </c>
      <c r="D282" s="35" t="s">
        <v>82</v>
      </c>
      <c r="E282" s="35" t="s">
        <v>661</v>
      </c>
      <c r="F282" s="35" t="s">
        <v>203</v>
      </c>
      <c r="G282" s="35" t="s">
        <v>627</v>
      </c>
      <c r="H282" s="35" t="s">
        <v>581</v>
      </c>
      <c r="I282" s="141">
        <v>6408.96</v>
      </c>
      <c r="J282" s="34">
        <v>7003.1607700000004</v>
      </c>
      <c r="K282" s="34">
        <f t="shared" si="52"/>
        <v>594.20077000000038</v>
      </c>
      <c r="L282" s="56">
        <f t="shared" si="53"/>
        <v>353074.55506859336</v>
      </c>
      <c r="M282" s="56">
        <f t="shared" si="54"/>
        <v>594.20077000000038</v>
      </c>
      <c r="N282" s="56">
        <f t="shared" si="55"/>
        <v>2.7746634843767586</v>
      </c>
      <c r="O282" s="56">
        <f t="shared" si="64"/>
        <v>2.7746634843767586</v>
      </c>
      <c r="P282" s="143">
        <f t="shared" si="56"/>
        <v>9.271407061364096</v>
      </c>
      <c r="Q282" s="143">
        <f t="shared" si="57"/>
        <v>9.271407061364096</v>
      </c>
      <c r="R282" s="34">
        <v>6558.5419500000007</v>
      </c>
      <c r="S282" s="56">
        <f t="shared" si="58"/>
        <v>149.58195000000069</v>
      </c>
      <c r="T282" s="56">
        <f t="shared" si="59"/>
        <v>22374.759765802704</v>
      </c>
      <c r="U282" s="56">
        <f t="shared" si="60"/>
        <v>149.58195000000069</v>
      </c>
      <c r="V282" s="56">
        <f t="shared" si="61"/>
        <v>2.1777729168500475</v>
      </c>
      <c r="W282" s="33">
        <f t="shared" si="62"/>
        <v>2.3339504381366196</v>
      </c>
      <c r="X282" s="143">
        <f t="shared" si="63"/>
        <v>2.3339504381366196</v>
      </c>
    </row>
    <row r="283" spans="1:24" ht="15" x14ac:dyDescent="0.2">
      <c r="A283" s="28" t="s">
        <v>322</v>
      </c>
      <c r="B283" s="224" t="s">
        <v>537</v>
      </c>
      <c r="C283" s="208" t="s">
        <v>403</v>
      </c>
      <c r="D283" s="35" t="s">
        <v>96</v>
      </c>
      <c r="E283" s="35" t="s">
        <v>661</v>
      </c>
      <c r="F283" s="35" t="s">
        <v>374</v>
      </c>
      <c r="G283" s="35" t="s">
        <v>627</v>
      </c>
      <c r="H283" s="35" t="s">
        <v>580</v>
      </c>
      <c r="I283" s="141">
        <f>337.19+626.59+495.45+752.43</f>
        <v>2211.66</v>
      </c>
      <c r="J283" s="34">
        <v>2818.9239499999999</v>
      </c>
      <c r="K283" s="34">
        <f t="shared" si="52"/>
        <v>607.26395000000002</v>
      </c>
      <c r="L283" s="56">
        <f t="shared" si="53"/>
        <v>368769.50496960251</v>
      </c>
      <c r="M283" s="56">
        <f t="shared" si="54"/>
        <v>607.26395000000002</v>
      </c>
      <c r="N283" s="56">
        <f t="shared" si="55"/>
        <v>2.7840920778799623</v>
      </c>
      <c r="O283" s="56">
        <f t="shared" si="64"/>
        <v>2.7840920778799623</v>
      </c>
      <c r="P283" s="143">
        <f t="shared" si="56"/>
        <v>27.457382689925218</v>
      </c>
      <c r="Q283" s="143">
        <f t="shared" si="57"/>
        <v>27.457382689925218</v>
      </c>
      <c r="R283" s="34">
        <v>2683.8440430000001</v>
      </c>
      <c r="S283" s="56">
        <f t="shared" si="58"/>
        <v>472.1840430000002</v>
      </c>
      <c r="T283" s="56">
        <f t="shared" si="59"/>
        <v>222957.77046382605</v>
      </c>
      <c r="U283" s="56">
        <f t="shared" si="60"/>
        <v>472.1840430000002</v>
      </c>
      <c r="V283" s="56">
        <f t="shared" si="61"/>
        <v>2.6750300906602549</v>
      </c>
      <c r="W283" s="33">
        <f t="shared" si="62"/>
        <v>21.349757331597093</v>
      </c>
      <c r="X283" s="143">
        <f t="shared" si="63"/>
        <v>21.349757331597093</v>
      </c>
    </row>
    <row r="284" spans="1:24" ht="15" x14ac:dyDescent="0.2">
      <c r="A284" s="28" t="s">
        <v>152</v>
      </c>
      <c r="B284" s="224" t="s">
        <v>537</v>
      </c>
      <c r="C284" s="208" t="s">
        <v>403</v>
      </c>
      <c r="D284" s="35" t="s">
        <v>82</v>
      </c>
      <c r="E284" s="35" t="s">
        <v>661</v>
      </c>
      <c r="F284" s="35" t="s">
        <v>203</v>
      </c>
      <c r="G284" s="35" t="s">
        <v>627</v>
      </c>
      <c r="H284" s="35" t="s">
        <v>581</v>
      </c>
      <c r="I284" s="141">
        <v>5810</v>
      </c>
      <c r="J284" s="34">
        <v>7291.2936900000004</v>
      </c>
      <c r="K284" s="34">
        <f t="shared" si="52"/>
        <v>1481.2936900000004</v>
      </c>
      <c r="L284" s="56">
        <f t="shared" si="53"/>
        <v>2194230.9960338175</v>
      </c>
      <c r="M284" s="56">
        <f t="shared" si="54"/>
        <v>1481.2936900000004</v>
      </c>
      <c r="N284" s="56">
        <f t="shared" si="55"/>
        <v>3.1709342598578054</v>
      </c>
      <c r="O284" s="56">
        <f t="shared" si="64"/>
        <v>3.1709342598578054</v>
      </c>
      <c r="P284" s="143">
        <f t="shared" si="56"/>
        <v>25.495588468158353</v>
      </c>
      <c r="Q284" s="143">
        <f t="shared" si="57"/>
        <v>25.495588468158353</v>
      </c>
      <c r="R284" s="34">
        <v>7085.3374199999998</v>
      </c>
      <c r="S284" s="56">
        <f t="shared" si="58"/>
        <v>1275.3374199999998</v>
      </c>
      <c r="T284" s="56">
        <f t="shared" si="59"/>
        <v>1626485.5348522561</v>
      </c>
      <c r="U284" s="56">
        <f t="shared" si="60"/>
        <v>1275.3374199999998</v>
      </c>
      <c r="V284" s="56">
        <f t="shared" si="61"/>
        <v>3.1059655021847825</v>
      </c>
      <c r="W284" s="33">
        <f t="shared" si="62"/>
        <v>21.950730120481925</v>
      </c>
      <c r="X284" s="143">
        <f t="shared" si="63"/>
        <v>21.950730120481925</v>
      </c>
    </row>
    <row r="285" spans="1:24" ht="15" x14ac:dyDescent="0.2">
      <c r="A285" s="28" t="s">
        <v>345</v>
      </c>
      <c r="B285" s="224" t="s">
        <v>537</v>
      </c>
      <c r="C285" s="208" t="s">
        <v>403</v>
      </c>
      <c r="D285" s="35" t="s">
        <v>82</v>
      </c>
      <c r="E285" s="35" t="s">
        <v>661</v>
      </c>
      <c r="F285" s="35" t="s">
        <v>374</v>
      </c>
      <c r="G285" s="35" t="s">
        <v>626</v>
      </c>
      <c r="H285" s="35" t="s">
        <v>580</v>
      </c>
      <c r="I285" s="141">
        <v>1499</v>
      </c>
      <c r="J285" s="34">
        <v>1733.1676</v>
      </c>
      <c r="K285" s="34">
        <f t="shared" si="52"/>
        <v>234.16759999999999</v>
      </c>
      <c r="L285" s="56">
        <f t="shared" si="53"/>
        <v>54834.464889759998</v>
      </c>
      <c r="M285" s="56">
        <f t="shared" si="54"/>
        <v>234.16759999999999</v>
      </c>
      <c r="N285" s="56">
        <f t="shared" si="55"/>
        <v>2.3713774870023645</v>
      </c>
      <c r="O285" s="56">
        <f t="shared" si="64"/>
        <v>2.3713774870023645</v>
      </c>
      <c r="P285" s="143">
        <f t="shared" si="56"/>
        <v>15.6215877251501</v>
      </c>
      <c r="Q285" s="143">
        <f t="shared" si="57"/>
        <v>15.6215877251501</v>
      </c>
      <c r="R285" s="34">
        <v>1647.0473999999999</v>
      </c>
      <c r="S285" s="56">
        <f t="shared" si="58"/>
        <v>148.04739999999993</v>
      </c>
      <c r="T285" s="56">
        <f t="shared" si="59"/>
        <v>21918.032646759977</v>
      </c>
      <c r="U285" s="56">
        <f t="shared" si="60"/>
        <v>148.04739999999993</v>
      </c>
      <c r="V285" s="56">
        <f t="shared" si="61"/>
        <v>2.1733244045517992</v>
      </c>
      <c r="W285" s="33">
        <f t="shared" si="62"/>
        <v>9.8764109406270801</v>
      </c>
      <c r="X285" s="143">
        <f t="shared" si="63"/>
        <v>9.8764109406270801</v>
      </c>
    </row>
    <row r="286" spans="1:24" ht="15" x14ac:dyDescent="0.2">
      <c r="A286" s="218" t="s">
        <v>344</v>
      </c>
      <c r="B286" s="224" t="s">
        <v>537</v>
      </c>
      <c r="C286" s="208" t="s">
        <v>403</v>
      </c>
      <c r="D286" s="35" t="s">
        <v>82</v>
      </c>
      <c r="E286" s="35" t="s">
        <v>661</v>
      </c>
      <c r="F286" s="35" t="s">
        <v>374</v>
      </c>
      <c r="G286" s="35" t="s">
        <v>626</v>
      </c>
      <c r="H286" s="35" t="s">
        <v>580</v>
      </c>
      <c r="I286" s="141">
        <v>1427.7</v>
      </c>
      <c r="J286" s="34">
        <v>1506.3417940000002</v>
      </c>
      <c r="K286" s="34">
        <f t="shared" si="52"/>
        <v>78.641794000000118</v>
      </c>
      <c r="L286" s="56">
        <f t="shared" si="53"/>
        <v>6184.5317635384545</v>
      </c>
      <c r="M286" s="56">
        <f t="shared" si="54"/>
        <v>78.641794000000118</v>
      </c>
      <c r="N286" s="56">
        <f t="shared" si="55"/>
        <v>1.9011410343227915</v>
      </c>
      <c r="O286" s="56">
        <f t="shared" si="64"/>
        <v>1.9011410343227915</v>
      </c>
      <c r="P286" s="143">
        <f t="shared" si="56"/>
        <v>5.5082856342368922</v>
      </c>
      <c r="Q286" s="143">
        <f t="shared" si="57"/>
        <v>5.5082856342368922</v>
      </c>
      <c r="R286" s="34">
        <v>1429.3435499999998</v>
      </c>
      <c r="S286" s="56">
        <f t="shared" si="58"/>
        <v>1.6435499999997774</v>
      </c>
      <c r="T286" s="56">
        <f t="shared" si="59"/>
        <v>2.7012566024992681</v>
      </c>
      <c r="U286" s="56">
        <f t="shared" si="60"/>
        <v>1.6435499999997774</v>
      </c>
      <c r="V286" s="56">
        <f t="shared" si="61"/>
        <v>0.42218752904740658</v>
      </c>
      <c r="W286" s="33">
        <f t="shared" si="62"/>
        <v>0.11511872242066101</v>
      </c>
      <c r="X286" s="143">
        <f t="shared" si="63"/>
        <v>0.11511872242066101</v>
      </c>
    </row>
    <row r="287" spans="1:24" ht="15" x14ac:dyDescent="0.2">
      <c r="A287" s="28" t="s">
        <v>306</v>
      </c>
      <c r="B287" s="224" t="s">
        <v>537</v>
      </c>
      <c r="C287" s="208" t="s">
        <v>403</v>
      </c>
      <c r="D287" s="35" t="s">
        <v>148</v>
      </c>
      <c r="E287" s="35" t="s">
        <v>661</v>
      </c>
      <c r="F287" s="35" t="s">
        <v>494</v>
      </c>
      <c r="G287" s="35" t="s">
        <v>626</v>
      </c>
      <c r="H287" s="35" t="s">
        <v>580</v>
      </c>
      <c r="I287" s="141">
        <v>1098.0999999999999</v>
      </c>
      <c r="J287" s="34">
        <v>1395.2423670000001</v>
      </c>
      <c r="K287" s="34">
        <f t="shared" si="52"/>
        <v>297.14236700000015</v>
      </c>
      <c r="L287" s="56">
        <f t="shared" si="53"/>
        <v>88293.586266362778</v>
      </c>
      <c r="M287" s="56">
        <f t="shared" si="54"/>
        <v>297.14236700000015</v>
      </c>
      <c r="N287" s="56">
        <f t="shared" si="55"/>
        <v>2.4744236950763088</v>
      </c>
      <c r="O287" s="56">
        <f t="shared" si="64"/>
        <v>2.4744236950763088</v>
      </c>
      <c r="P287" s="143">
        <f t="shared" si="56"/>
        <v>27.059681905108842</v>
      </c>
      <c r="Q287" s="143">
        <f t="shared" si="57"/>
        <v>27.059681905108842</v>
      </c>
      <c r="R287" s="34">
        <v>1314.6064439999998</v>
      </c>
      <c r="S287" s="56">
        <f t="shared" si="58"/>
        <v>216.50644399999987</v>
      </c>
      <c r="T287" s="56">
        <f t="shared" si="59"/>
        <v>46875.040293525082</v>
      </c>
      <c r="U287" s="56">
        <f t="shared" si="60"/>
        <v>216.50644399999987</v>
      </c>
      <c r="V287" s="56">
        <f t="shared" si="61"/>
        <v>2.337472128197251</v>
      </c>
      <c r="W287" s="33">
        <f t="shared" si="62"/>
        <v>19.716459703123565</v>
      </c>
      <c r="X287" s="143">
        <f t="shared" si="63"/>
        <v>19.716459703123565</v>
      </c>
    </row>
    <row r="288" spans="1:24" ht="15" x14ac:dyDescent="0.2">
      <c r="A288" s="28" t="s">
        <v>75</v>
      </c>
      <c r="B288" s="224" t="s">
        <v>537</v>
      </c>
      <c r="C288" s="208" t="s">
        <v>403</v>
      </c>
      <c r="D288" s="35" t="s">
        <v>82</v>
      </c>
      <c r="E288" s="35" t="s">
        <v>661</v>
      </c>
      <c r="F288" s="35" t="s">
        <v>374</v>
      </c>
      <c r="G288" s="35" t="s">
        <v>627</v>
      </c>
      <c r="H288" s="35" t="s">
        <v>580</v>
      </c>
      <c r="I288" s="141">
        <v>2106.6</v>
      </c>
      <c r="J288" s="34">
        <v>1994.9058620000001</v>
      </c>
      <c r="K288" s="34">
        <f t="shared" si="52"/>
        <v>-111.69413799999984</v>
      </c>
      <c r="L288" s="56">
        <f t="shared" si="53"/>
        <v>12475.580463563008</v>
      </c>
      <c r="M288" s="56">
        <f t="shared" si="54"/>
        <v>111.69413799999984</v>
      </c>
      <c r="N288" s="56">
        <f t="shared" si="55"/>
        <v>2.0519013259798684</v>
      </c>
      <c r="O288" s="56">
        <f t="shared" si="64"/>
        <v>-2.0519013259798684</v>
      </c>
      <c r="P288" s="143">
        <f t="shared" si="56"/>
        <v>-5.3021047185037427</v>
      </c>
      <c r="Q288" s="143">
        <f t="shared" si="57"/>
        <v>5.3021047185037427</v>
      </c>
      <c r="R288" s="34">
        <v>1867.6699170000002</v>
      </c>
      <c r="S288" s="56">
        <f t="shared" si="58"/>
        <v>-238.93008299999974</v>
      </c>
      <c r="T288" s="56">
        <f t="shared" si="59"/>
        <v>57087.584562386764</v>
      </c>
      <c r="U288" s="56">
        <f t="shared" si="60"/>
        <v>238.93008299999974</v>
      </c>
      <c r="V288" s="56">
        <f t="shared" si="61"/>
        <v>2.3800847042488309</v>
      </c>
      <c r="W288" s="33">
        <f t="shared" si="62"/>
        <v>-11.341976787240089</v>
      </c>
      <c r="X288" s="143">
        <f t="shared" si="63"/>
        <v>11.341976787240089</v>
      </c>
    </row>
    <row r="289" spans="1:25" ht="15" x14ac:dyDescent="0.2">
      <c r="A289" s="28" t="s">
        <v>301</v>
      </c>
      <c r="B289" s="224" t="s">
        <v>537</v>
      </c>
      <c r="C289" s="208" t="s">
        <v>403</v>
      </c>
      <c r="D289" s="35" t="s">
        <v>82</v>
      </c>
      <c r="E289" s="35" t="s">
        <v>661</v>
      </c>
      <c r="F289" s="35" t="s">
        <v>374</v>
      </c>
      <c r="G289" s="35" t="s">
        <v>626</v>
      </c>
      <c r="H289" s="35" t="s">
        <v>580</v>
      </c>
      <c r="I289" s="141">
        <v>1300</v>
      </c>
      <c r="J289" s="34">
        <v>1317.7935</v>
      </c>
      <c r="K289" s="34">
        <f t="shared" si="52"/>
        <v>17.793499999999995</v>
      </c>
      <c r="L289" s="56">
        <f t="shared" si="53"/>
        <v>316.60864224999983</v>
      </c>
      <c r="M289" s="56">
        <f t="shared" si="54"/>
        <v>17.793499999999995</v>
      </c>
      <c r="N289" s="56">
        <f t="shared" si="55"/>
        <v>1.2740076682930066</v>
      </c>
      <c r="O289" s="56">
        <f t="shared" si="64"/>
        <v>1.2740076682930066</v>
      </c>
      <c r="P289" s="143">
        <f t="shared" si="56"/>
        <v>1.3687307692307689</v>
      </c>
      <c r="Q289" s="143">
        <f t="shared" si="57"/>
        <v>1.3687307692307689</v>
      </c>
      <c r="R289" s="34">
        <v>1254.702</v>
      </c>
      <c r="S289" s="56">
        <f t="shared" si="58"/>
        <v>-45.298000000000002</v>
      </c>
      <c r="T289" s="56">
        <f t="shared" si="59"/>
        <v>2051.9088040000001</v>
      </c>
      <c r="U289" s="56">
        <f t="shared" si="60"/>
        <v>45.298000000000002</v>
      </c>
      <c r="V289" s="56">
        <f t="shared" si="61"/>
        <v>1.6655622305919409</v>
      </c>
      <c r="W289" s="33">
        <f t="shared" si="62"/>
        <v>-3.4844615384615385</v>
      </c>
      <c r="X289" s="143">
        <f t="shared" si="63"/>
        <v>3.4844615384615385</v>
      </c>
    </row>
    <row r="290" spans="1:25" ht="15" x14ac:dyDescent="0.2">
      <c r="A290" s="28" t="s">
        <v>664</v>
      </c>
      <c r="B290" s="224" t="s">
        <v>537</v>
      </c>
      <c r="C290" s="208" t="s">
        <v>403</v>
      </c>
      <c r="D290" s="35" t="s">
        <v>82</v>
      </c>
      <c r="E290" s="35" t="s">
        <v>661</v>
      </c>
      <c r="F290" s="35" t="s">
        <v>374</v>
      </c>
      <c r="G290" s="35" t="s">
        <v>627</v>
      </c>
      <c r="H290" s="35" t="s">
        <v>580</v>
      </c>
      <c r="I290" s="141">
        <v>1730.8</v>
      </c>
      <c r="J290" s="34">
        <v>1753.883726</v>
      </c>
      <c r="K290" s="34">
        <f t="shared" si="52"/>
        <v>23.08372600000007</v>
      </c>
      <c r="L290" s="56">
        <f t="shared" si="53"/>
        <v>532.85840604307919</v>
      </c>
      <c r="M290" s="56">
        <f t="shared" si="54"/>
        <v>23.08372600000007</v>
      </c>
      <c r="N290" s="56">
        <f t="shared" si="55"/>
        <v>1.3817236776048281</v>
      </c>
      <c r="O290" s="56">
        <f t="shared" si="64"/>
        <v>1.3817236776048281</v>
      </c>
      <c r="P290" s="143">
        <f t="shared" si="56"/>
        <v>1.3337026808412336</v>
      </c>
      <c r="Q290" s="143">
        <f t="shared" si="57"/>
        <v>1.3337026808412336</v>
      </c>
      <c r="R290" s="34">
        <v>1724.6552340000001</v>
      </c>
      <c r="S290" s="56">
        <f t="shared" si="58"/>
        <v>-6.1447659999998905</v>
      </c>
      <c r="T290" s="56">
        <f t="shared" si="59"/>
        <v>37.758149194754651</v>
      </c>
      <c r="U290" s="56">
        <f t="shared" si="60"/>
        <v>6.1447659999998905</v>
      </c>
      <c r="V290" s="56">
        <f t="shared" si="61"/>
        <v>0.85398800967380972</v>
      </c>
      <c r="W290" s="33">
        <f t="shared" si="62"/>
        <v>-0.35502461289576442</v>
      </c>
      <c r="X290" s="143">
        <f t="shared" si="63"/>
        <v>0.35502461289576442</v>
      </c>
    </row>
    <row r="291" spans="1:25" ht="15" x14ac:dyDescent="0.2">
      <c r="A291" s="28" t="s">
        <v>282</v>
      </c>
      <c r="B291" s="224" t="s">
        <v>537</v>
      </c>
      <c r="C291" s="208" t="s">
        <v>403</v>
      </c>
      <c r="D291" s="35" t="s">
        <v>96</v>
      </c>
      <c r="E291" s="35" t="s">
        <v>661</v>
      </c>
      <c r="F291" s="35" t="s">
        <v>494</v>
      </c>
      <c r="G291" s="35" t="s">
        <v>626</v>
      </c>
      <c r="H291" s="35" t="s">
        <v>580</v>
      </c>
      <c r="I291" s="141">
        <v>872.2</v>
      </c>
      <c r="J291" s="34">
        <v>897.16150000000005</v>
      </c>
      <c r="K291" s="34">
        <f t="shared" si="52"/>
        <v>24.961500000000001</v>
      </c>
      <c r="L291" s="56">
        <f t="shared" si="53"/>
        <v>623.07648225000003</v>
      </c>
      <c r="M291" s="56">
        <f t="shared" si="54"/>
        <v>24.961500000000001</v>
      </c>
      <c r="N291" s="56">
        <f t="shared" si="55"/>
        <v>1.414329781460498</v>
      </c>
      <c r="O291" s="56">
        <f t="shared" si="64"/>
        <v>1.414329781460498</v>
      </c>
      <c r="P291" s="143">
        <f t="shared" si="56"/>
        <v>2.8619009401513416</v>
      </c>
      <c r="Q291" s="143">
        <f t="shared" si="57"/>
        <v>2.8619009401513416</v>
      </c>
      <c r="R291" s="34">
        <v>842.73933</v>
      </c>
      <c r="S291" s="56">
        <f t="shared" si="58"/>
        <v>-29.46067000000005</v>
      </c>
      <c r="T291" s="56">
        <f t="shared" si="59"/>
        <v>867.93107684890299</v>
      </c>
      <c r="U291" s="56">
        <f t="shared" si="60"/>
        <v>29.46067000000005</v>
      </c>
      <c r="V291" s="56">
        <f t="shared" si="61"/>
        <v>1.4837394516626228</v>
      </c>
      <c r="W291" s="33">
        <f t="shared" si="62"/>
        <v>-3.3777424902545343</v>
      </c>
      <c r="X291" s="143">
        <f t="shared" si="63"/>
        <v>3.3777424902545343</v>
      </c>
    </row>
    <row r="292" spans="1:25" ht="15" x14ac:dyDescent="0.2">
      <c r="A292" s="28" t="s">
        <v>600</v>
      </c>
      <c r="B292" s="224" t="s">
        <v>537</v>
      </c>
      <c r="C292" s="208" t="s">
        <v>403</v>
      </c>
      <c r="D292" s="35" t="s">
        <v>82</v>
      </c>
      <c r="E292" s="35" t="s">
        <v>661</v>
      </c>
      <c r="F292" s="35" t="s">
        <v>293</v>
      </c>
      <c r="G292" s="35" t="s">
        <v>627</v>
      </c>
      <c r="H292" s="35" t="s">
        <v>580</v>
      </c>
      <c r="I292" s="141">
        <v>2516.1099999999997</v>
      </c>
      <c r="J292" s="34">
        <v>3265.1619230000001</v>
      </c>
      <c r="K292" s="34">
        <f t="shared" si="52"/>
        <v>749.05192300000044</v>
      </c>
      <c r="L292" s="56">
        <f t="shared" si="53"/>
        <v>561078.78334999864</v>
      </c>
      <c r="M292" s="56">
        <f t="shared" si="54"/>
        <v>749.05192300000044</v>
      </c>
      <c r="N292" s="56">
        <f t="shared" si="55"/>
        <v>2.8750913288474984</v>
      </c>
      <c r="O292" s="56">
        <f t="shared" si="64"/>
        <v>2.8750913288474984</v>
      </c>
      <c r="P292" s="143">
        <f t="shared" si="56"/>
        <v>29.770237509488872</v>
      </c>
      <c r="Q292" s="143">
        <f t="shared" si="57"/>
        <v>29.770237509488872</v>
      </c>
      <c r="R292" s="34">
        <v>3069.7779449999998</v>
      </c>
      <c r="S292" s="56">
        <f t="shared" si="58"/>
        <v>553.66794500000015</v>
      </c>
      <c r="T292" s="56">
        <f t="shared" si="59"/>
        <v>306548.19332052319</v>
      </c>
      <c r="U292" s="56">
        <f t="shared" si="60"/>
        <v>553.66794500000015</v>
      </c>
      <c r="V292" s="56">
        <f t="shared" si="61"/>
        <v>2.7440330681469534</v>
      </c>
      <c r="W292" s="33">
        <f t="shared" si="62"/>
        <v>22.004918107713902</v>
      </c>
      <c r="X292" s="143">
        <f t="shared" si="63"/>
        <v>22.004918107713902</v>
      </c>
    </row>
    <row r="293" spans="1:25" ht="15" x14ac:dyDescent="0.2">
      <c r="A293" s="28" t="s">
        <v>289</v>
      </c>
      <c r="B293" s="224" t="s">
        <v>537</v>
      </c>
      <c r="C293" s="208" t="s">
        <v>403</v>
      </c>
      <c r="D293" s="35" t="s">
        <v>148</v>
      </c>
      <c r="E293" s="35" t="s">
        <v>661</v>
      </c>
      <c r="F293" s="35" t="s">
        <v>494</v>
      </c>
      <c r="G293" s="35" t="s">
        <v>626</v>
      </c>
      <c r="H293" s="35" t="s">
        <v>580</v>
      </c>
      <c r="I293" s="141">
        <v>899.05</v>
      </c>
      <c r="J293" s="34">
        <v>974.45263000000011</v>
      </c>
      <c r="K293" s="34">
        <f t="shared" si="52"/>
        <v>75.402630000000158</v>
      </c>
      <c r="L293" s="56">
        <f t="shared" si="53"/>
        <v>5685.556610916924</v>
      </c>
      <c r="M293" s="56">
        <f t="shared" si="54"/>
        <v>75.402630000000158</v>
      </c>
      <c r="N293" s="56">
        <f t="shared" si="55"/>
        <v>1.8831083085079992</v>
      </c>
      <c r="O293" s="56">
        <f t="shared" si="64"/>
        <v>1.8831083085079992</v>
      </c>
      <c r="P293" s="143">
        <f t="shared" si="56"/>
        <v>8.3869228630220967</v>
      </c>
      <c r="Q293" s="143">
        <f t="shared" si="57"/>
        <v>8.3869228630220967</v>
      </c>
      <c r="R293" s="34">
        <v>911.97393900000009</v>
      </c>
      <c r="S293" s="56">
        <f t="shared" si="58"/>
        <v>12.923939000000132</v>
      </c>
      <c r="T293" s="56">
        <f t="shared" si="59"/>
        <v>167.0281992757244</v>
      </c>
      <c r="U293" s="56">
        <f t="shared" si="60"/>
        <v>12.923939000000132</v>
      </c>
      <c r="V293" s="56">
        <f t="shared" si="61"/>
        <v>1.1437621119965249</v>
      </c>
      <c r="W293" s="33">
        <f t="shared" si="62"/>
        <v>1.4375105945164488</v>
      </c>
      <c r="X293" s="143">
        <f t="shared" si="63"/>
        <v>1.4375105945164488</v>
      </c>
    </row>
    <row r="294" spans="1:25" ht="15" x14ac:dyDescent="0.2">
      <c r="A294" s="28" t="s">
        <v>310</v>
      </c>
      <c r="B294" s="224" t="s">
        <v>537</v>
      </c>
      <c r="C294" s="208" t="s">
        <v>403</v>
      </c>
      <c r="D294" s="35" t="s">
        <v>82</v>
      </c>
      <c r="E294" s="35" t="s">
        <v>661</v>
      </c>
      <c r="F294" s="35" t="s">
        <v>374</v>
      </c>
      <c r="G294" s="35" t="s">
        <v>626</v>
      </c>
      <c r="H294" s="35" t="s">
        <v>580</v>
      </c>
      <c r="I294" s="142">
        <f>489.03+252.1+310.1+413</f>
        <v>1464.23</v>
      </c>
      <c r="J294" s="34">
        <v>1882.4919599999998</v>
      </c>
      <c r="K294" s="34">
        <f t="shared" si="52"/>
        <v>418.26195999999982</v>
      </c>
      <c r="L294" s="56">
        <f t="shared" si="53"/>
        <v>174943.06718304145</v>
      </c>
      <c r="M294" s="56">
        <f t="shared" si="54"/>
        <v>418.26195999999982</v>
      </c>
      <c r="N294" s="56">
        <f t="shared" si="55"/>
        <v>2.6224854602773306</v>
      </c>
      <c r="O294" s="56">
        <f t="shared" si="64"/>
        <v>2.6224854602773306</v>
      </c>
      <c r="P294" s="143">
        <f t="shared" si="56"/>
        <v>28.565318290159318</v>
      </c>
      <c r="Q294" s="143">
        <f t="shared" si="57"/>
        <v>28.565318290159318</v>
      </c>
      <c r="R294" s="34">
        <v>1795.3730999999998</v>
      </c>
      <c r="S294" s="56">
        <f t="shared" si="58"/>
        <v>331.14309999999978</v>
      </c>
      <c r="T294" s="56">
        <f t="shared" si="59"/>
        <v>109655.75267760985</v>
      </c>
      <c r="U294" s="56">
        <f t="shared" si="60"/>
        <v>331.14309999999978</v>
      </c>
      <c r="V294" s="56">
        <f t="shared" si="61"/>
        <v>2.5213252347602531</v>
      </c>
      <c r="W294" s="33">
        <f t="shared" si="62"/>
        <v>22.615511224329495</v>
      </c>
      <c r="X294" s="143">
        <f t="shared" si="63"/>
        <v>22.615511224329495</v>
      </c>
    </row>
    <row r="295" spans="1:25" ht="15" x14ac:dyDescent="0.2">
      <c r="A295" s="28" t="s">
        <v>290</v>
      </c>
      <c r="B295" s="224" t="s">
        <v>537</v>
      </c>
      <c r="C295" s="208" t="s">
        <v>403</v>
      </c>
      <c r="D295" s="35" t="s">
        <v>82</v>
      </c>
      <c r="E295" s="35" t="s">
        <v>661</v>
      </c>
      <c r="F295" s="35" t="s">
        <v>374</v>
      </c>
      <c r="G295" s="35" t="s">
        <v>626</v>
      </c>
      <c r="H295" s="35" t="s">
        <v>580</v>
      </c>
      <c r="I295" s="141">
        <v>1369.3</v>
      </c>
      <c r="J295" s="34">
        <v>1498.1394700000001</v>
      </c>
      <c r="K295" s="34">
        <f t="shared" si="52"/>
        <v>128.83947000000012</v>
      </c>
      <c r="L295" s="56">
        <f t="shared" si="53"/>
        <v>16599.609029880932</v>
      </c>
      <c r="M295" s="56">
        <f t="shared" si="54"/>
        <v>128.83947000000012</v>
      </c>
      <c r="N295" s="56">
        <f t="shared" si="55"/>
        <v>2.1134067340474951</v>
      </c>
      <c r="O295" s="56">
        <f t="shared" si="64"/>
        <v>2.1134067340474951</v>
      </c>
      <c r="P295" s="143">
        <f t="shared" si="56"/>
        <v>9.4091484700211865</v>
      </c>
      <c r="Q295" s="143">
        <f t="shared" si="57"/>
        <v>9.4091484700211865</v>
      </c>
      <c r="R295" s="34">
        <v>1398.3865409999999</v>
      </c>
      <c r="S295" s="56">
        <f t="shared" si="58"/>
        <v>29.086540999999897</v>
      </c>
      <c r="T295" s="56">
        <f t="shared" si="59"/>
        <v>846.026867344675</v>
      </c>
      <c r="U295" s="56">
        <f t="shared" si="60"/>
        <v>29.086540999999897</v>
      </c>
      <c r="V295" s="56">
        <f t="shared" si="61"/>
        <v>1.4783722604897056</v>
      </c>
      <c r="W295" s="33">
        <f t="shared" si="62"/>
        <v>2.1241905353100048</v>
      </c>
      <c r="X295" s="143">
        <f t="shared" si="63"/>
        <v>2.1241905353100048</v>
      </c>
    </row>
    <row r="296" spans="1:25" ht="15" x14ac:dyDescent="0.2">
      <c r="A296" s="28" t="s">
        <v>365</v>
      </c>
      <c r="B296" s="224" t="s">
        <v>537</v>
      </c>
      <c r="C296" s="208" t="s">
        <v>403</v>
      </c>
      <c r="D296" s="35" t="s">
        <v>148</v>
      </c>
      <c r="E296" s="35" t="s">
        <v>661</v>
      </c>
      <c r="F296" s="35" t="s">
        <v>494</v>
      </c>
      <c r="G296" s="35" t="s">
        <v>626</v>
      </c>
      <c r="H296" s="35" t="s">
        <v>580</v>
      </c>
      <c r="I296" s="141">
        <v>992.24</v>
      </c>
      <c r="J296" s="34">
        <v>1003.1607640000001</v>
      </c>
      <c r="K296" s="34">
        <f t="shared" si="52"/>
        <v>10.920764000000077</v>
      </c>
      <c r="L296" s="56">
        <f t="shared" si="53"/>
        <v>119.26308634369767</v>
      </c>
      <c r="M296" s="56">
        <f t="shared" si="54"/>
        <v>10.920764000000077</v>
      </c>
      <c r="N296" s="56">
        <f t="shared" si="55"/>
        <v>1.0763040901652448</v>
      </c>
      <c r="O296" s="56">
        <f t="shared" si="64"/>
        <v>1.0763040901652448</v>
      </c>
      <c r="P296" s="143">
        <f t="shared" si="56"/>
        <v>1.1006171893896715</v>
      </c>
      <c r="Q296" s="143">
        <f t="shared" si="57"/>
        <v>1.1006171893896715</v>
      </c>
      <c r="R296" s="34">
        <v>976.28030700000011</v>
      </c>
      <c r="S296" s="56">
        <f t="shared" si="58"/>
        <v>-15.959692999999902</v>
      </c>
      <c r="T296" s="56">
        <f t="shared" si="59"/>
        <v>254.71180065424588</v>
      </c>
      <c r="U296" s="56">
        <f t="shared" si="60"/>
        <v>15.959692999999902</v>
      </c>
      <c r="V296" s="56">
        <f t="shared" si="61"/>
        <v>1.2294179865048509</v>
      </c>
      <c r="W296" s="33">
        <f t="shared" si="62"/>
        <v>-1.6084508788196306</v>
      </c>
      <c r="X296" s="143">
        <f t="shared" si="63"/>
        <v>1.6084508788196306</v>
      </c>
    </row>
    <row r="297" spans="1:25" ht="15" x14ac:dyDescent="0.2">
      <c r="A297" s="28" t="s">
        <v>601</v>
      </c>
      <c r="B297" s="224" t="s">
        <v>537</v>
      </c>
      <c r="C297" s="208" t="s">
        <v>403</v>
      </c>
      <c r="D297" s="35" t="s">
        <v>82</v>
      </c>
      <c r="E297" s="35" t="s">
        <v>661</v>
      </c>
      <c r="F297" s="35" t="s">
        <v>203</v>
      </c>
      <c r="G297" s="35" t="s">
        <v>627</v>
      </c>
      <c r="H297" s="35" t="s">
        <v>581</v>
      </c>
      <c r="I297" s="141">
        <v>5182</v>
      </c>
      <c r="J297" s="34">
        <v>5156.0605000000005</v>
      </c>
      <c r="K297" s="34">
        <f t="shared" si="52"/>
        <v>-25.939499999999498</v>
      </c>
      <c r="L297" s="56">
        <f t="shared" si="53"/>
        <v>672.85766024997395</v>
      </c>
      <c r="M297" s="56">
        <f t="shared" si="54"/>
        <v>25.939499999999498</v>
      </c>
      <c r="N297" s="56">
        <f t="shared" si="55"/>
        <v>1.4303895309097472</v>
      </c>
      <c r="O297" s="56">
        <f t="shared" si="64"/>
        <v>-1.4303895309097472</v>
      </c>
      <c r="P297" s="143">
        <f t="shared" si="56"/>
        <v>-0.50056927827092812</v>
      </c>
      <c r="Q297" s="143">
        <f t="shared" si="57"/>
        <v>0.50056927827092812</v>
      </c>
      <c r="R297" s="34">
        <v>4919.7822000000006</v>
      </c>
      <c r="S297" s="56">
        <f t="shared" si="58"/>
        <v>-262.21779999999944</v>
      </c>
      <c r="T297" s="56">
        <f t="shared" si="59"/>
        <v>68758.174636839714</v>
      </c>
      <c r="U297" s="56">
        <f t="shared" si="60"/>
        <v>262.21779999999944</v>
      </c>
      <c r="V297" s="56">
        <f t="shared" si="61"/>
        <v>2.4203152549281932</v>
      </c>
      <c r="W297" s="33">
        <f t="shared" si="62"/>
        <v>-5.0601659590891437</v>
      </c>
      <c r="X297" s="143">
        <f t="shared" si="63"/>
        <v>5.0601659590891437</v>
      </c>
    </row>
    <row r="298" spans="1:25" ht="15" x14ac:dyDescent="0.2">
      <c r="A298" s="206" t="s">
        <v>593</v>
      </c>
      <c r="B298" s="224" t="s">
        <v>537</v>
      </c>
      <c r="C298" s="35" t="s">
        <v>403</v>
      </c>
      <c r="D298" s="35" t="s">
        <v>82</v>
      </c>
      <c r="E298" s="35" t="s">
        <v>661</v>
      </c>
      <c r="F298" s="35" t="s">
        <v>374</v>
      </c>
      <c r="G298" s="35" t="s">
        <v>626</v>
      </c>
      <c r="H298" s="35" t="s">
        <v>580</v>
      </c>
      <c r="I298" s="141">
        <v>1284.8</v>
      </c>
      <c r="J298" s="34">
        <v>1359.6463839999999</v>
      </c>
      <c r="K298" s="34">
        <f t="shared" si="52"/>
        <v>74.846383999999944</v>
      </c>
      <c r="L298" s="56">
        <f t="shared" si="53"/>
        <v>5601.9811978754478</v>
      </c>
      <c r="M298" s="56">
        <f t="shared" si="54"/>
        <v>74.846383999999944</v>
      </c>
      <c r="N298" s="56">
        <f t="shared" si="55"/>
        <v>1.8799348804914922</v>
      </c>
      <c r="O298" s="56">
        <f t="shared" si="64"/>
        <v>1.8799348804914922</v>
      </c>
      <c r="P298" s="143">
        <f t="shared" si="56"/>
        <v>5.8255280199252759</v>
      </c>
      <c r="Q298" s="143">
        <f t="shared" si="57"/>
        <v>5.8255280199252759</v>
      </c>
      <c r="R298" s="34">
        <v>1282.7403420000001</v>
      </c>
      <c r="S298" s="56">
        <f t="shared" si="58"/>
        <v>-2.0596579999998994</v>
      </c>
      <c r="T298" s="56">
        <f t="shared" si="59"/>
        <v>4.2421910769635858</v>
      </c>
      <c r="U298" s="56">
        <f t="shared" si="60"/>
        <v>2.0596579999998994</v>
      </c>
      <c r="V298" s="56">
        <f t="shared" si="61"/>
        <v>0.48567288497386529</v>
      </c>
      <c r="W298" s="33">
        <f t="shared" si="62"/>
        <v>-0.16030962017433839</v>
      </c>
      <c r="X298" s="143">
        <f t="shared" si="63"/>
        <v>0.16030962017433839</v>
      </c>
      <c r="Y298" s="34"/>
    </row>
    <row r="299" spans="1:25" ht="16" x14ac:dyDescent="0.2">
      <c r="A299" t="s">
        <v>867</v>
      </c>
      <c r="B299" s="224" t="s">
        <v>512</v>
      </c>
      <c r="C299" s="224" t="s">
        <v>824</v>
      </c>
      <c r="D299" s="35" t="s">
        <v>148</v>
      </c>
      <c r="E299" s="35" t="s">
        <v>661</v>
      </c>
      <c r="F299" s="35" t="s">
        <v>374</v>
      </c>
      <c r="G299" s="35" t="s">
        <v>627</v>
      </c>
      <c r="H299" s="35" t="s">
        <v>580</v>
      </c>
      <c r="I299" s="147">
        <v>1842</v>
      </c>
      <c r="J299" s="34">
        <v>1718.8531999999998</v>
      </c>
      <c r="K299" s="34">
        <f t="shared" si="52"/>
        <v>-123.14680000000021</v>
      </c>
      <c r="L299" s="56">
        <f t="shared" si="53"/>
        <v>15165.134350240052</v>
      </c>
      <c r="M299" s="56">
        <f t="shared" si="54"/>
        <v>123.14680000000021</v>
      </c>
      <c r="N299" s="56">
        <f t="shared" si="55"/>
        <v>2.0939355296879829</v>
      </c>
      <c r="O299" s="56">
        <f t="shared" si="64"/>
        <v>-2.0939355296879829</v>
      </c>
      <c r="P299" s="143">
        <f t="shared" si="56"/>
        <v>-6.6854940282301962</v>
      </c>
      <c r="Q299" s="143">
        <f t="shared" si="57"/>
        <v>6.6854940282301962</v>
      </c>
      <c r="R299" s="34">
        <v>1742.867</v>
      </c>
      <c r="S299" s="56">
        <f t="shared" si="58"/>
        <v>-99.133000000000038</v>
      </c>
      <c r="T299" s="56">
        <f t="shared" si="59"/>
        <v>9827.3516890000083</v>
      </c>
      <c r="U299" s="56">
        <f t="shared" si="60"/>
        <v>99.133000000000038</v>
      </c>
      <c r="V299" s="56">
        <f t="shared" si="61"/>
        <v>2.0005772278894165</v>
      </c>
      <c r="W299" s="33">
        <f t="shared" si="62"/>
        <v>-5.3818132464712285</v>
      </c>
      <c r="X299" s="143">
        <f t="shared" si="63"/>
        <v>5.3818132464712285</v>
      </c>
      <c r="Y299" s="34"/>
    </row>
    <row r="300" spans="1:25" ht="16" x14ac:dyDescent="0.2">
      <c r="A300" t="s">
        <v>868</v>
      </c>
      <c r="B300" s="224" t="s">
        <v>512</v>
      </c>
      <c r="C300" s="224" t="s">
        <v>824</v>
      </c>
      <c r="D300" s="35" t="s">
        <v>148</v>
      </c>
      <c r="E300" s="35" t="s">
        <v>661</v>
      </c>
      <c r="F300" s="35" t="s">
        <v>374</v>
      </c>
      <c r="G300" s="35" t="s">
        <v>627</v>
      </c>
      <c r="H300" s="35" t="s">
        <v>580</v>
      </c>
      <c r="I300" s="147">
        <v>1530</v>
      </c>
      <c r="J300" s="34">
        <v>1585.7395999999999</v>
      </c>
      <c r="K300" s="34">
        <f t="shared" si="52"/>
        <v>55.739599999999882</v>
      </c>
      <c r="L300" s="56">
        <f t="shared" si="53"/>
        <v>3106.9030081599867</v>
      </c>
      <c r="M300" s="56">
        <f t="shared" si="54"/>
        <v>55.739599999999882</v>
      </c>
      <c r="N300" s="56">
        <f t="shared" si="55"/>
        <v>1.7538862698030633</v>
      </c>
      <c r="O300" s="56">
        <f t="shared" si="64"/>
        <v>1.7538862698030633</v>
      </c>
      <c r="P300" s="143">
        <f t="shared" si="56"/>
        <v>3.6431111111111032</v>
      </c>
      <c r="Q300" s="143">
        <f t="shared" si="57"/>
        <v>3.6431111111111032</v>
      </c>
      <c r="R300" s="34">
        <v>1622.7650000000001</v>
      </c>
      <c r="S300" s="56">
        <f t="shared" si="58"/>
        <v>92.7650000000001</v>
      </c>
      <c r="T300" s="56">
        <f t="shared" si="59"/>
        <v>8605.3452250000191</v>
      </c>
      <c r="U300" s="56">
        <f t="shared" si="60"/>
        <v>92.7650000000001</v>
      </c>
      <c r="V300" s="56">
        <f t="shared" si="61"/>
        <v>1.9720407579584849</v>
      </c>
      <c r="W300" s="33">
        <f t="shared" si="62"/>
        <v>6.0630718954248435</v>
      </c>
      <c r="X300" s="143">
        <f t="shared" si="63"/>
        <v>6.0630718954248435</v>
      </c>
      <c r="Y300" s="34"/>
    </row>
    <row r="301" spans="1:25" ht="16" x14ac:dyDescent="0.2">
      <c r="A301" t="s">
        <v>869</v>
      </c>
      <c r="B301" s="224" t="s">
        <v>512</v>
      </c>
      <c r="C301" s="224" t="s">
        <v>824</v>
      </c>
      <c r="D301" s="35" t="s">
        <v>148</v>
      </c>
      <c r="E301" s="35" t="s">
        <v>661</v>
      </c>
      <c r="F301" s="35" t="s">
        <v>374</v>
      </c>
      <c r="G301" s="35" t="s">
        <v>627</v>
      </c>
      <c r="H301" s="35" t="s">
        <v>580</v>
      </c>
      <c r="I301" s="147">
        <v>1686</v>
      </c>
      <c r="J301" s="34">
        <v>1664.7757999999999</v>
      </c>
      <c r="K301" s="34">
        <f t="shared" si="52"/>
        <v>-21.22420000000011</v>
      </c>
      <c r="L301" s="56">
        <f t="shared" si="53"/>
        <v>450.46666564000469</v>
      </c>
      <c r="M301" s="56">
        <f t="shared" si="54"/>
        <v>21.22420000000011</v>
      </c>
      <c r="N301" s="56">
        <f t="shared" si="55"/>
        <v>1.3468261367136267</v>
      </c>
      <c r="O301" s="56">
        <f t="shared" si="64"/>
        <v>-1.3468261367136267</v>
      </c>
      <c r="P301" s="143">
        <f t="shared" si="56"/>
        <v>-1.2588493475682152</v>
      </c>
      <c r="Q301" s="143">
        <f t="shared" si="57"/>
        <v>1.2588493475682152</v>
      </c>
      <c r="R301" s="34">
        <v>1682.816</v>
      </c>
      <c r="S301" s="56">
        <f t="shared" si="58"/>
        <v>-3.1839999999999691</v>
      </c>
      <c r="T301" s="56">
        <f t="shared" si="59"/>
        <v>10.137855999999804</v>
      </c>
      <c r="U301" s="56">
        <f t="shared" si="60"/>
        <v>3.1839999999999691</v>
      </c>
      <c r="V301" s="56">
        <f t="shared" si="61"/>
        <v>0.6215916758592146</v>
      </c>
      <c r="W301" s="33">
        <f t="shared" si="62"/>
        <v>-0.18884934756820695</v>
      </c>
      <c r="X301" s="143">
        <f t="shared" si="63"/>
        <v>0.18884934756820695</v>
      </c>
      <c r="Y301" s="34"/>
    </row>
    <row r="302" spans="1:25" ht="16" x14ac:dyDescent="0.2">
      <c r="A302" t="s">
        <v>870</v>
      </c>
      <c r="B302" s="224" t="s">
        <v>512</v>
      </c>
      <c r="C302" s="224" t="s">
        <v>824</v>
      </c>
      <c r="D302" s="35" t="s">
        <v>148</v>
      </c>
      <c r="E302" s="35" t="s">
        <v>661</v>
      </c>
      <c r="F302" s="35" t="s">
        <v>374</v>
      </c>
      <c r="G302" s="35" t="s">
        <v>627</v>
      </c>
      <c r="H302" s="35" t="s">
        <v>580</v>
      </c>
      <c r="I302" s="147">
        <v>1582</v>
      </c>
      <c r="J302" s="34">
        <v>1602.3788</v>
      </c>
      <c r="K302" s="34">
        <f t="shared" si="52"/>
        <v>20.378799999999956</v>
      </c>
      <c r="L302" s="56">
        <f t="shared" si="53"/>
        <v>415.29548943999816</v>
      </c>
      <c r="M302" s="56">
        <f t="shared" si="54"/>
        <v>20.378799999999956</v>
      </c>
      <c r="N302" s="56">
        <f t="shared" si="55"/>
        <v>1.3299833244459913</v>
      </c>
      <c r="O302" s="56">
        <f t="shared" si="64"/>
        <v>1.3299833244459913</v>
      </c>
      <c r="P302" s="143">
        <f t="shared" si="56"/>
        <v>1.2881668773704145</v>
      </c>
      <c r="Q302" s="143">
        <f t="shared" si="57"/>
        <v>1.2881668773704145</v>
      </c>
      <c r="R302" s="34">
        <v>1618.7616</v>
      </c>
      <c r="S302" s="56">
        <f t="shared" si="58"/>
        <v>36.761600000000044</v>
      </c>
      <c r="T302" s="56">
        <f t="shared" si="59"/>
        <v>1351.4152345600032</v>
      </c>
      <c r="U302" s="56">
        <f t="shared" si="60"/>
        <v>36.761600000000044</v>
      </c>
      <c r="V302" s="56">
        <f t="shared" si="61"/>
        <v>1.5770503875447186</v>
      </c>
      <c r="W302" s="33">
        <f t="shared" si="62"/>
        <v>2.3237420986093582</v>
      </c>
      <c r="X302" s="143">
        <f t="shared" si="63"/>
        <v>2.3237420986093582</v>
      </c>
      <c r="Y302" s="34"/>
    </row>
    <row r="303" spans="1:25" ht="16" x14ac:dyDescent="0.2">
      <c r="A303" t="s">
        <v>871</v>
      </c>
      <c r="B303" s="224" t="s">
        <v>512</v>
      </c>
      <c r="C303" s="224" t="s">
        <v>824</v>
      </c>
      <c r="D303" s="35" t="s">
        <v>148</v>
      </c>
      <c r="E303" s="35" t="s">
        <v>661</v>
      </c>
      <c r="F303" s="35" t="s">
        <v>374</v>
      </c>
      <c r="G303" s="35" t="s">
        <v>627</v>
      </c>
      <c r="H303" s="35" t="s">
        <v>580</v>
      </c>
      <c r="I303" s="147">
        <v>1575</v>
      </c>
      <c r="J303" s="34">
        <v>1560.7808</v>
      </c>
      <c r="K303" s="34">
        <f t="shared" si="52"/>
        <v>-14.219200000000001</v>
      </c>
      <c r="L303" s="56">
        <f t="shared" si="53"/>
        <v>202.18564864000001</v>
      </c>
      <c r="M303" s="56">
        <f t="shared" si="54"/>
        <v>14.219200000000001</v>
      </c>
      <c r="N303" s="56">
        <f t="shared" si="55"/>
        <v>1.1823918242665599</v>
      </c>
      <c r="O303" s="56">
        <f t="shared" si="64"/>
        <v>-1.1823918242665599</v>
      </c>
      <c r="P303" s="143">
        <f t="shared" si="56"/>
        <v>-0.90280634920634928</v>
      </c>
      <c r="Q303" s="143">
        <f t="shared" si="57"/>
        <v>0.90280634920634928</v>
      </c>
      <c r="R303" s="34">
        <v>1582.731</v>
      </c>
      <c r="S303" s="56">
        <f t="shared" si="58"/>
        <v>7.7309999999999945</v>
      </c>
      <c r="T303" s="56">
        <f t="shared" si="59"/>
        <v>59.768360999999913</v>
      </c>
      <c r="U303" s="56">
        <f t="shared" si="60"/>
        <v>7.7309999999999945</v>
      </c>
      <c r="V303" s="56">
        <f t="shared" si="61"/>
        <v>0.94106398821990178</v>
      </c>
      <c r="W303" s="33">
        <f t="shared" si="62"/>
        <v>0.49085714285714249</v>
      </c>
      <c r="X303" s="143">
        <f t="shared" si="63"/>
        <v>0.49085714285714249</v>
      </c>
      <c r="Y303" s="34"/>
    </row>
    <row r="304" spans="1:25" ht="16" x14ac:dyDescent="0.2">
      <c r="A304" t="s">
        <v>872</v>
      </c>
      <c r="B304" s="224" t="s">
        <v>512</v>
      </c>
      <c r="C304" s="224" t="s">
        <v>824</v>
      </c>
      <c r="D304" s="35" t="s">
        <v>148</v>
      </c>
      <c r="E304" s="35" t="s">
        <v>661</v>
      </c>
      <c r="F304" s="35" t="s">
        <v>374</v>
      </c>
      <c r="G304" s="35" t="s">
        <v>627</v>
      </c>
      <c r="H304" s="35" t="s">
        <v>580</v>
      </c>
      <c r="I304" s="147">
        <v>1684</v>
      </c>
      <c r="J304" s="34">
        <v>1681.415</v>
      </c>
      <c r="K304" s="34">
        <f t="shared" si="52"/>
        <v>-2.5850000000000364</v>
      </c>
      <c r="L304" s="56">
        <f t="shared" si="53"/>
        <v>6.6822250000001882</v>
      </c>
      <c r="M304" s="56">
        <f t="shared" si="54"/>
        <v>2.5850000000000364</v>
      </c>
      <c r="N304" s="56">
        <f t="shared" si="55"/>
        <v>0.55448916000382331</v>
      </c>
      <c r="O304" s="56">
        <f t="shared" si="64"/>
        <v>-0.55448916000382331</v>
      </c>
      <c r="P304" s="143">
        <f t="shared" si="56"/>
        <v>-0.15350356294537032</v>
      </c>
      <c r="Q304" s="143">
        <f t="shared" si="57"/>
        <v>0.15350356294537032</v>
      </c>
      <c r="R304" s="34">
        <v>1658.7956000000001</v>
      </c>
      <c r="S304" s="56">
        <f t="shared" si="58"/>
        <v>-25.20439999999985</v>
      </c>
      <c r="T304" s="56">
        <f t="shared" si="59"/>
        <v>635.26177935999249</v>
      </c>
      <c r="U304" s="56">
        <f t="shared" si="60"/>
        <v>25.20439999999985</v>
      </c>
      <c r="V304" s="56">
        <f t="shared" si="61"/>
        <v>1.4183742201472791</v>
      </c>
      <c r="W304" s="33">
        <f t="shared" si="62"/>
        <v>-1.4966983372921527</v>
      </c>
      <c r="X304" s="143">
        <f t="shared" si="63"/>
        <v>1.4966983372921527</v>
      </c>
      <c r="Y304" s="34"/>
    </row>
    <row r="305" spans="1:25" ht="16" x14ac:dyDescent="0.2">
      <c r="A305" t="s">
        <v>873</v>
      </c>
      <c r="B305" s="224" t="s">
        <v>512</v>
      </c>
      <c r="C305" s="224" t="s">
        <v>824</v>
      </c>
      <c r="D305" s="35" t="s">
        <v>148</v>
      </c>
      <c r="E305" s="35" t="s">
        <v>661</v>
      </c>
      <c r="F305" s="35" t="s">
        <v>374</v>
      </c>
      <c r="G305" s="35" t="s">
        <v>627</v>
      </c>
      <c r="H305" s="35" t="s">
        <v>580</v>
      </c>
      <c r="I305" s="147">
        <v>1646</v>
      </c>
      <c r="J305" s="34">
        <v>1660.616</v>
      </c>
      <c r="K305" s="34">
        <f t="shared" si="52"/>
        <v>14.615999999999985</v>
      </c>
      <c r="L305" s="56">
        <f t="shared" si="53"/>
        <v>213.62745599999957</v>
      </c>
      <c r="M305" s="56">
        <f t="shared" si="54"/>
        <v>14.615999999999985</v>
      </c>
      <c r="N305" s="56">
        <f t="shared" si="55"/>
        <v>1.1935698003226163</v>
      </c>
      <c r="O305" s="56">
        <f t="shared" si="64"/>
        <v>1.1935698003226163</v>
      </c>
      <c r="P305" s="143">
        <f t="shared" si="56"/>
        <v>0.88797083839611091</v>
      </c>
      <c r="Q305" s="143">
        <f t="shared" si="57"/>
        <v>0.88797083839611091</v>
      </c>
      <c r="R305" s="34">
        <v>1682.816</v>
      </c>
      <c r="S305" s="56">
        <f t="shared" si="58"/>
        <v>36.816000000000031</v>
      </c>
      <c r="T305" s="56">
        <f t="shared" si="59"/>
        <v>1355.4178560000023</v>
      </c>
      <c r="U305" s="56">
        <f t="shared" si="60"/>
        <v>36.816000000000031</v>
      </c>
      <c r="V305" s="56">
        <f t="shared" si="61"/>
        <v>1.5776755892948577</v>
      </c>
      <c r="W305" s="33">
        <f t="shared" si="62"/>
        <v>2.2366950182260044</v>
      </c>
      <c r="X305" s="143">
        <f t="shared" si="63"/>
        <v>2.2366950182260044</v>
      </c>
      <c r="Y305" s="34"/>
    </row>
    <row r="306" spans="1:25" ht="16" x14ac:dyDescent="0.2">
      <c r="A306" t="s">
        <v>874</v>
      </c>
      <c r="B306" s="224" t="s">
        <v>512</v>
      </c>
      <c r="C306" s="224" t="s">
        <v>824</v>
      </c>
      <c r="D306" s="35" t="s">
        <v>148</v>
      </c>
      <c r="E306" s="35" t="s">
        <v>661</v>
      </c>
      <c r="F306" s="35" t="s">
        <v>374</v>
      </c>
      <c r="G306" s="35" t="s">
        <v>627</v>
      </c>
      <c r="H306" s="35" t="s">
        <v>580</v>
      </c>
      <c r="I306" s="147">
        <v>1540</v>
      </c>
      <c r="J306" s="34">
        <v>1577.4199999999998</v>
      </c>
      <c r="K306" s="34">
        <f t="shared" si="52"/>
        <v>37.419999999999845</v>
      </c>
      <c r="L306" s="56">
        <f t="shared" si="53"/>
        <v>1400.2563999999884</v>
      </c>
      <c r="M306" s="56">
        <f t="shared" si="54"/>
        <v>37.419999999999845</v>
      </c>
      <c r="N306" s="56">
        <f t="shared" si="55"/>
        <v>1.5845573605256731</v>
      </c>
      <c r="O306" s="56">
        <f t="shared" si="64"/>
        <v>1.5845573605256731</v>
      </c>
      <c r="P306" s="143">
        <f t="shared" si="56"/>
        <v>2.4298701298701197</v>
      </c>
      <c r="Q306" s="143">
        <f t="shared" si="57"/>
        <v>2.4298701298701197</v>
      </c>
      <c r="R306" s="34">
        <v>1594.7411999999999</v>
      </c>
      <c r="S306" s="56">
        <f t="shared" si="58"/>
        <v>54.741199999999935</v>
      </c>
      <c r="T306" s="56">
        <f t="shared" si="59"/>
        <v>2996.5989774399927</v>
      </c>
      <c r="U306" s="56">
        <f t="shared" si="60"/>
        <v>54.741199999999935</v>
      </c>
      <c r="V306" s="56">
        <f t="shared" si="61"/>
        <v>1.7461763139963831</v>
      </c>
      <c r="W306" s="33">
        <f t="shared" si="62"/>
        <v>3.5546233766233724</v>
      </c>
      <c r="X306" s="143">
        <f t="shared" si="63"/>
        <v>3.5546233766233724</v>
      </c>
    </row>
    <row r="307" spans="1:25" ht="16" x14ac:dyDescent="0.2">
      <c r="A307" t="s">
        <v>875</v>
      </c>
      <c r="B307" s="224" t="s">
        <v>512</v>
      </c>
      <c r="C307" s="224" t="s">
        <v>824</v>
      </c>
      <c r="D307" s="35" t="s">
        <v>148</v>
      </c>
      <c r="E307" s="35" t="s">
        <v>661</v>
      </c>
      <c r="F307" s="35" t="s">
        <v>374</v>
      </c>
      <c r="G307" s="35" t="s">
        <v>626</v>
      </c>
      <c r="H307" s="35" t="s">
        <v>580</v>
      </c>
      <c r="I307" s="147">
        <v>1490</v>
      </c>
      <c r="J307" s="34">
        <v>1569.1003999999998</v>
      </c>
      <c r="K307" s="34">
        <f t="shared" si="52"/>
        <v>79.100399999999809</v>
      </c>
      <c r="L307" s="56">
        <f t="shared" si="53"/>
        <v>6256.8732801599699</v>
      </c>
      <c r="M307" s="56">
        <f t="shared" si="54"/>
        <v>79.100399999999809</v>
      </c>
      <c r="N307" s="56">
        <f t="shared" si="55"/>
        <v>1.9036346848402792</v>
      </c>
      <c r="O307" s="56">
        <f t="shared" si="64"/>
        <v>1.9036346848402792</v>
      </c>
      <c r="P307" s="143">
        <f t="shared" si="56"/>
        <v>5.308751677852336</v>
      </c>
      <c r="Q307" s="143">
        <f t="shared" si="57"/>
        <v>5.308751677852336</v>
      </c>
      <c r="R307" s="34">
        <v>1554.7072000000001</v>
      </c>
      <c r="S307" s="56">
        <f t="shared" si="58"/>
        <v>64.707200000000057</v>
      </c>
      <c r="T307" s="56">
        <f t="shared" si="59"/>
        <v>4187.0217318400073</v>
      </c>
      <c r="U307" s="56">
        <f t="shared" si="60"/>
        <v>64.707200000000057</v>
      </c>
      <c r="V307" s="56">
        <f t="shared" si="61"/>
        <v>1.8176129608679108</v>
      </c>
      <c r="W307" s="33">
        <f t="shared" si="62"/>
        <v>4.3427651006711452</v>
      </c>
      <c r="X307" s="143">
        <f t="shared" si="63"/>
        <v>4.3427651006711452</v>
      </c>
    </row>
    <row r="308" spans="1:25" ht="16" x14ac:dyDescent="0.2">
      <c r="A308" t="s">
        <v>876</v>
      </c>
      <c r="B308" s="224" t="s">
        <v>512</v>
      </c>
      <c r="C308" s="224" t="s">
        <v>824</v>
      </c>
      <c r="D308" s="35" t="s">
        <v>148</v>
      </c>
      <c r="E308" s="35" t="s">
        <v>661</v>
      </c>
      <c r="F308" s="35" t="s">
        <v>374</v>
      </c>
      <c r="G308" s="35" t="s">
        <v>627</v>
      </c>
      <c r="H308" s="35" t="s">
        <v>580</v>
      </c>
      <c r="I308" s="147">
        <v>1668</v>
      </c>
      <c r="J308" s="34">
        <v>1752.1315999999999</v>
      </c>
      <c r="K308" s="34">
        <f t="shared" si="52"/>
        <v>84.131599999999935</v>
      </c>
      <c r="L308" s="56">
        <f t="shared" si="53"/>
        <v>7078.1261185599888</v>
      </c>
      <c r="M308" s="56">
        <f t="shared" si="54"/>
        <v>84.131599999999935</v>
      </c>
      <c r="N308" s="56">
        <f t="shared" si="55"/>
        <v>1.9300907957868398</v>
      </c>
      <c r="O308" s="56">
        <f t="shared" si="64"/>
        <v>1.9300907957868398</v>
      </c>
      <c r="P308" s="143">
        <f t="shared" si="56"/>
        <v>5.0438609112709791</v>
      </c>
      <c r="Q308" s="143">
        <f t="shared" si="57"/>
        <v>5.0438609112709791</v>
      </c>
      <c r="R308" s="34">
        <v>1754.8772000000001</v>
      </c>
      <c r="S308" s="56">
        <f t="shared" si="58"/>
        <v>86.87720000000013</v>
      </c>
      <c r="T308" s="56">
        <f t="shared" si="59"/>
        <v>7547.6478798400221</v>
      </c>
      <c r="U308" s="56">
        <f t="shared" si="60"/>
        <v>86.87720000000013</v>
      </c>
      <c r="V308" s="56">
        <f t="shared" si="61"/>
        <v>1.9438762106981546</v>
      </c>
      <c r="W308" s="33">
        <f t="shared" si="62"/>
        <v>5.2084652278177535</v>
      </c>
      <c r="X308" s="143">
        <f t="shared" si="63"/>
        <v>5.2084652278177535</v>
      </c>
    </row>
    <row r="309" spans="1:25" ht="16" x14ac:dyDescent="0.2">
      <c r="A309" t="s">
        <v>877</v>
      </c>
      <c r="B309" s="224" t="s">
        <v>512</v>
      </c>
      <c r="C309" s="224" t="s">
        <v>824</v>
      </c>
      <c r="D309" s="35" t="s">
        <v>148</v>
      </c>
      <c r="E309" s="35" t="s">
        <v>661</v>
      </c>
      <c r="F309" s="35" t="s">
        <v>374</v>
      </c>
      <c r="G309" s="35" t="s">
        <v>627</v>
      </c>
      <c r="H309" s="35" t="s">
        <v>580</v>
      </c>
      <c r="I309" s="147">
        <v>1647</v>
      </c>
      <c r="J309" s="34">
        <v>1589.8994</v>
      </c>
      <c r="K309" s="34">
        <f t="shared" si="52"/>
        <v>-57.100599999999986</v>
      </c>
      <c r="L309" s="56">
        <f t="shared" si="53"/>
        <v>3260.4785203599986</v>
      </c>
      <c r="M309" s="56">
        <f t="shared" si="54"/>
        <v>57.100599999999986</v>
      </c>
      <c r="N309" s="56">
        <f t="shared" si="55"/>
        <v>1.7641806173360046</v>
      </c>
      <c r="O309" s="56">
        <f t="shared" si="64"/>
        <v>-1.7641806173360046</v>
      </c>
      <c r="P309" s="143">
        <f t="shared" si="56"/>
        <v>-3.4669459623557977</v>
      </c>
      <c r="Q309" s="143">
        <f t="shared" si="57"/>
        <v>3.4669459623557977</v>
      </c>
      <c r="R309" s="34">
        <v>1602.748</v>
      </c>
      <c r="S309" s="56">
        <f t="shared" si="58"/>
        <v>-44.251999999999953</v>
      </c>
      <c r="T309" s="56">
        <f t="shared" si="59"/>
        <v>1958.2395039999958</v>
      </c>
      <c r="U309" s="56">
        <f t="shared" si="60"/>
        <v>44.251999999999953</v>
      </c>
      <c r="V309" s="56">
        <f t="shared" si="61"/>
        <v>1.6556377784532446</v>
      </c>
      <c r="W309" s="33">
        <f t="shared" si="62"/>
        <v>-2.6868245294474775</v>
      </c>
      <c r="X309" s="143">
        <f t="shared" si="63"/>
        <v>2.6868245294474775</v>
      </c>
    </row>
    <row r="310" spans="1:25" ht="16" x14ac:dyDescent="0.2">
      <c r="A310" t="s">
        <v>878</v>
      </c>
      <c r="B310" s="224" t="s">
        <v>512</v>
      </c>
      <c r="C310" s="224" t="s">
        <v>824</v>
      </c>
      <c r="D310" s="35" t="s">
        <v>148</v>
      </c>
      <c r="E310" s="35" t="s">
        <v>661</v>
      </c>
      <c r="F310" s="35" t="s">
        <v>374</v>
      </c>
      <c r="G310" s="35" t="s">
        <v>627</v>
      </c>
      <c r="H310" s="35" t="s">
        <v>580</v>
      </c>
      <c r="I310" s="147">
        <v>1520</v>
      </c>
      <c r="J310" s="34">
        <v>1531.6622</v>
      </c>
      <c r="K310" s="34">
        <f t="shared" si="52"/>
        <v>11.662199999999984</v>
      </c>
      <c r="L310" s="56">
        <f t="shared" si="53"/>
        <v>136.00690883999962</v>
      </c>
      <c r="M310" s="56">
        <f t="shared" si="54"/>
        <v>11.662199999999984</v>
      </c>
      <c r="N310" s="56">
        <f t="shared" si="55"/>
        <v>1.1025091689398672</v>
      </c>
      <c r="O310" s="56">
        <f t="shared" si="64"/>
        <v>1.1025091689398672</v>
      </c>
      <c r="P310" s="143">
        <f t="shared" si="56"/>
        <v>0.76724999999999899</v>
      </c>
      <c r="Q310" s="143">
        <f t="shared" si="57"/>
        <v>0.76724999999999899</v>
      </c>
      <c r="R310" s="34">
        <v>1546.7003999999999</v>
      </c>
      <c r="S310" s="56">
        <f t="shared" si="58"/>
        <v>26.700399999999945</v>
      </c>
      <c r="T310" s="56">
        <f t="shared" si="59"/>
        <v>712.91136015999712</v>
      </c>
      <c r="U310" s="56">
        <f t="shared" si="60"/>
        <v>26.700399999999945</v>
      </c>
      <c r="V310" s="56">
        <f t="shared" si="61"/>
        <v>1.442486040419628</v>
      </c>
      <c r="W310" s="33">
        <f t="shared" si="62"/>
        <v>1.7566052631578912</v>
      </c>
      <c r="X310" s="143">
        <f t="shared" si="63"/>
        <v>1.7566052631578912</v>
      </c>
    </row>
    <row r="311" spans="1:25" ht="16" x14ac:dyDescent="0.2">
      <c r="A311" t="s">
        <v>879</v>
      </c>
      <c r="B311" s="224" t="s">
        <v>512</v>
      </c>
      <c r="C311" s="224" t="s">
        <v>824</v>
      </c>
      <c r="D311" s="35" t="s">
        <v>148</v>
      </c>
      <c r="E311" s="35" t="s">
        <v>661</v>
      </c>
      <c r="F311" s="35" t="s">
        <v>374</v>
      </c>
      <c r="G311" s="35" t="s">
        <v>627</v>
      </c>
      <c r="H311" s="35" t="s">
        <v>580</v>
      </c>
      <c r="I311" s="147">
        <v>1550</v>
      </c>
      <c r="J311" s="34">
        <v>1598.2189999999998</v>
      </c>
      <c r="K311" s="34">
        <f t="shared" si="52"/>
        <v>48.218999999999824</v>
      </c>
      <c r="L311" s="56">
        <f t="shared" si="53"/>
        <v>2325.0719609999828</v>
      </c>
      <c r="M311" s="56">
        <f t="shared" si="54"/>
        <v>48.218999999999824</v>
      </c>
      <c r="N311" s="56">
        <f t="shared" si="55"/>
        <v>1.692132785740335</v>
      </c>
      <c r="O311" s="56">
        <f t="shared" si="64"/>
        <v>1.692132785740335</v>
      </c>
      <c r="P311" s="143">
        <f t="shared" si="56"/>
        <v>3.1109032258064402</v>
      </c>
      <c r="Q311" s="143">
        <f t="shared" si="57"/>
        <v>3.1109032258064402</v>
      </c>
      <c r="R311" s="34">
        <v>1602.748</v>
      </c>
      <c r="S311" s="56">
        <f t="shared" si="58"/>
        <v>52.748000000000047</v>
      </c>
      <c r="T311" s="56">
        <f t="shared" si="59"/>
        <v>2782.3515040000052</v>
      </c>
      <c r="U311" s="56">
        <f t="shared" si="60"/>
        <v>52.748000000000047</v>
      </c>
      <c r="V311" s="56">
        <f t="shared" si="61"/>
        <v>1.730362308492313</v>
      </c>
      <c r="W311" s="33">
        <f t="shared" si="62"/>
        <v>3.4030967741935516</v>
      </c>
      <c r="X311" s="143">
        <f t="shared" si="63"/>
        <v>3.4030967741935516</v>
      </c>
    </row>
    <row r="312" spans="1:25" ht="16" x14ac:dyDescent="0.2">
      <c r="A312" t="s">
        <v>880</v>
      </c>
      <c r="B312" s="224" t="s">
        <v>512</v>
      </c>
      <c r="C312" s="224" t="s">
        <v>824</v>
      </c>
      <c r="D312" s="35" t="s">
        <v>148</v>
      </c>
      <c r="E312" s="35" t="s">
        <v>661</v>
      </c>
      <c r="F312" s="35" t="s">
        <v>374</v>
      </c>
      <c r="G312" s="35" t="s">
        <v>627</v>
      </c>
      <c r="H312" s="35" t="s">
        <v>580</v>
      </c>
      <c r="I312" s="147">
        <v>1695</v>
      </c>
      <c r="J312" s="34">
        <v>1681.415</v>
      </c>
      <c r="K312" s="34">
        <f t="shared" si="52"/>
        <v>-13.585000000000036</v>
      </c>
      <c r="L312" s="56">
        <f t="shared" si="53"/>
        <v>184.55222500000099</v>
      </c>
      <c r="M312" s="56">
        <f t="shared" si="54"/>
        <v>13.585000000000036</v>
      </c>
      <c r="N312" s="56">
        <f t="shared" si="55"/>
        <v>1.1639064334577525</v>
      </c>
      <c r="O312" s="56">
        <f t="shared" si="64"/>
        <v>-1.1639064334577525</v>
      </c>
      <c r="P312" s="143">
        <f t="shared" si="56"/>
        <v>-0.80147492625368943</v>
      </c>
      <c r="Q312" s="143">
        <f t="shared" si="57"/>
        <v>0.80147492625368943</v>
      </c>
      <c r="R312" s="34">
        <v>1662.799</v>
      </c>
      <c r="S312" s="56">
        <f t="shared" si="58"/>
        <v>-32.201000000000022</v>
      </c>
      <c r="T312" s="56">
        <f t="shared" si="59"/>
        <v>1036.9044010000014</v>
      </c>
      <c r="U312" s="56">
        <f t="shared" si="60"/>
        <v>32.201000000000022</v>
      </c>
      <c r="V312" s="56">
        <f t="shared" si="61"/>
        <v>1.5211511646661287</v>
      </c>
      <c r="W312" s="33">
        <f t="shared" si="62"/>
        <v>-1.8997640117994112</v>
      </c>
      <c r="X312" s="143">
        <f t="shared" si="63"/>
        <v>1.8997640117994112</v>
      </c>
    </row>
    <row r="313" spans="1:25" ht="16" x14ac:dyDescent="0.2">
      <c r="A313" t="s">
        <v>881</v>
      </c>
      <c r="B313" s="224" t="s">
        <v>512</v>
      </c>
      <c r="C313" s="224" t="s">
        <v>824</v>
      </c>
      <c r="D313" s="35" t="s">
        <v>148</v>
      </c>
      <c r="E313" s="35" t="s">
        <v>661</v>
      </c>
      <c r="F313" s="35" t="s">
        <v>374</v>
      </c>
      <c r="G313" s="35" t="s">
        <v>627</v>
      </c>
      <c r="H313" s="35" t="s">
        <v>580</v>
      </c>
      <c r="I313" s="147">
        <v>1835</v>
      </c>
      <c r="J313" s="34">
        <v>1723.0129999999999</v>
      </c>
      <c r="K313" s="34">
        <f t="shared" si="52"/>
        <v>-111.98700000000008</v>
      </c>
      <c r="L313" s="56">
        <f t="shared" si="53"/>
        <v>12541.088169000019</v>
      </c>
      <c r="M313" s="56">
        <f t="shared" si="54"/>
        <v>111.98700000000008</v>
      </c>
      <c r="N313" s="56">
        <f t="shared" si="55"/>
        <v>2.0530284775272283</v>
      </c>
      <c r="O313" s="56">
        <f t="shared" si="64"/>
        <v>-2.0530284775272283</v>
      </c>
      <c r="P313" s="143">
        <f t="shared" si="56"/>
        <v>-6.1028337874659444</v>
      </c>
      <c r="Q313" s="143">
        <f t="shared" si="57"/>
        <v>6.1028337874659444</v>
      </c>
      <c r="R313" s="34">
        <v>1722.8500000000001</v>
      </c>
      <c r="S313" s="56">
        <f t="shared" si="58"/>
        <v>-112.14999999999986</v>
      </c>
      <c r="T313" s="56">
        <f t="shared" si="59"/>
        <v>12577.622499999969</v>
      </c>
      <c r="U313" s="56">
        <f t="shared" si="60"/>
        <v>112.14999999999986</v>
      </c>
      <c r="V313" s="56">
        <f t="shared" si="61"/>
        <v>2.0536545582907468</v>
      </c>
      <c r="W313" s="33">
        <f t="shared" si="62"/>
        <v>-6.1117166212533984</v>
      </c>
      <c r="X313" s="143">
        <f t="shared" si="63"/>
        <v>6.1117166212533984</v>
      </c>
    </row>
    <row r="314" spans="1:25" ht="16" x14ac:dyDescent="0.2">
      <c r="A314" t="s">
        <v>882</v>
      </c>
      <c r="B314" s="224" t="s">
        <v>512</v>
      </c>
      <c r="C314" s="224" t="s">
        <v>824</v>
      </c>
      <c r="D314" s="35" t="s">
        <v>148</v>
      </c>
      <c r="E314" s="35" t="s">
        <v>661</v>
      </c>
      <c r="F314" s="35" t="s">
        <v>374</v>
      </c>
      <c r="G314" s="35" t="s">
        <v>627</v>
      </c>
      <c r="H314" s="35" t="s">
        <v>580</v>
      </c>
      <c r="I314" s="147">
        <v>1643</v>
      </c>
      <c r="J314" s="34">
        <v>1685.5747999999999</v>
      </c>
      <c r="K314" s="34">
        <f t="shared" si="52"/>
        <v>42.574799999999868</v>
      </c>
      <c r="L314" s="56">
        <f t="shared" si="53"/>
        <v>1812.6135950399887</v>
      </c>
      <c r="M314" s="56">
        <f t="shared" si="54"/>
        <v>42.574799999999868</v>
      </c>
      <c r="N314" s="56">
        <f t="shared" si="55"/>
        <v>1.6392354024579741</v>
      </c>
      <c r="O314" s="56">
        <f t="shared" si="64"/>
        <v>1.6392354024579741</v>
      </c>
      <c r="P314" s="143">
        <f t="shared" si="56"/>
        <v>2.5912842361533701</v>
      </c>
      <c r="Q314" s="143">
        <f t="shared" si="57"/>
        <v>2.5912842361533701</v>
      </c>
      <c r="R314" s="34">
        <v>1690.8228000000001</v>
      </c>
      <c r="S314" s="56">
        <f t="shared" si="58"/>
        <v>47.822800000000143</v>
      </c>
      <c r="T314" s="56">
        <f t="shared" si="59"/>
        <v>2287.0201998400139</v>
      </c>
      <c r="U314" s="56">
        <f t="shared" si="60"/>
        <v>47.822800000000143</v>
      </c>
      <c r="V314" s="56">
        <f t="shared" si="61"/>
        <v>1.6886226826944239</v>
      </c>
      <c r="W314" s="33">
        <f t="shared" si="62"/>
        <v>2.910699939135736</v>
      </c>
      <c r="X314" s="143">
        <f t="shared" si="63"/>
        <v>2.910699939135736</v>
      </c>
    </row>
    <row r="315" spans="1:25" ht="16" x14ac:dyDescent="0.2">
      <c r="A315" t="s">
        <v>883</v>
      </c>
      <c r="B315" s="224" t="s">
        <v>512</v>
      </c>
      <c r="C315" s="224" t="s">
        <v>824</v>
      </c>
      <c r="D315" s="35" t="s">
        <v>148</v>
      </c>
      <c r="E315" s="35" t="s">
        <v>661</v>
      </c>
      <c r="F315" s="35" t="s">
        <v>374</v>
      </c>
      <c r="G315" s="35" t="s">
        <v>627</v>
      </c>
      <c r="H315" s="35" t="s">
        <v>580</v>
      </c>
      <c r="I315" s="147">
        <v>1670</v>
      </c>
      <c r="J315" s="34">
        <v>1747.9717999999998</v>
      </c>
      <c r="K315" s="34">
        <f t="shared" si="52"/>
        <v>77.971799999999803</v>
      </c>
      <c r="L315" s="56">
        <f t="shared" si="53"/>
        <v>6079.6015952399694</v>
      </c>
      <c r="M315" s="56">
        <f t="shared" si="54"/>
        <v>77.971799999999803</v>
      </c>
      <c r="N315" s="56">
        <f t="shared" si="55"/>
        <v>1.8974720369766986</v>
      </c>
      <c r="O315" s="56">
        <f t="shared" si="64"/>
        <v>1.8974720369766986</v>
      </c>
      <c r="P315" s="143">
        <f t="shared" si="56"/>
        <v>4.6689700598802277</v>
      </c>
      <c r="Q315" s="143">
        <f t="shared" si="57"/>
        <v>4.6689700598802277</v>
      </c>
      <c r="R315" s="34">
        <v>1742.867</v>
      </c>
      <c r="S315" s="56">
        <f t="shared" si="58"/>
        <v>72.866999999999962</v>
      </c>
      <c r="T315" s="56">
        <f t="shared" si="59"/>
        <v>5309.5996889999942</v>
      </c>
      <c r="U315" s="56">
        <f t="shared" si="60"/>
        <v>72.866999999999962</v>
      </c>
      <c r="V315" s="56">
        <f t="shared" si="61"/>
        <v>1.8684504611449515</v>
      </c>
      <c r="W315" s="33">
        <f t="shared" si="62"/>
        <v>4.3632934131736505</v>
      </c>
      <c r="X315" s="143">
        <f t="shared" si="63"/>
        <v>4.3632934131736505</v>
      </c>
    </row>
    <row r="316" spans="1:25" ht="15" x14ac:dyDescent="0.2">
      <c r="A316" t="s">
        <v>884</v>
      </c>
      <c r="B316" s="224" t="s">
        <v>512</v>
      </c>
      <c r="C316" s="224" t="s">
        <v>824</v>
      </c>
      <c r="D316" s="35" t="s">
        <v>148</v>
      </c>
      <c r="E316" s="35" t="s">
        <v>661</v>
      </c>
      <c r="F316" s="35" t="s">
        <v>374</v>
      </c>
      <c r="G316" s="35" t="s">
        <v>627</v>
      </c>
      <c r="H316" s="35" t="s">
        <v>580</v>
      </c>
      <c r="I316">
        <v>1733</v>
      </c>
      <c r="J316" s="34">
        <v>1827.0079999999998</v>
      </c>
      <c r="K316" s="34">
        <f t="shared" si="52"/>
        <v>94.007999999999811</v>
      </c>
      <c r="L316" s="56">
        <f t="shared" si="53"/>
        <v>8837.5040639999643</v>
      </c>
      <c r="M316" s="56">
        <f t="shared" si="54"/>
        <v>94.007999999999811</v>
      </c>
      <c r="N316" s="56">
        <f t="shared" si="55"/>
        <v>1.9777601759159498</v>
      </c>
      <c r="O316" s="56">
        <f t="shared" si="64"/>
        <v>1.9777601759159498</v>
      </c>
      <c r="P316" s="143">
        <f t="shared" si="56"/>
        <v>5.4245816503173581</v>
      </c>
      <c r="Q316" s="143">
        <f t="shared" si="57"/>
        <v>5.4245816503173581</v>
      </c>
      <c r="R316" s="34">
        <v>1842.952</v>
      </c>
      <c r="S316" s="56">
        <f t="shared" si="58"/>
        <v>109.952</v>
      </c>
      <c r="T316" s="56">
        <f t="shared" si="59"/>
        <v>12089.442304</v>
      </c>
      <c r="U316" s="56">
        <f t="shared" si="60"/>
        <v>109.952</v>
      </c>
      <c r="V316" s="56">
        <f t="shared" si="61"/>
        <v>2.0451351351496876</v>
      </c>
      <c r="W316" s="33">
        <f t="shared" si="62"/>
        <v>6.3446047316791692</v>
      </c>
      <c r="X316" s="143">
        <f t="shared" si="63"/>
        <v>6.3446047316791692</v>
      </c>
    </row>
    <row r="317" spans="1:25" ht="15" x14ac:dyDescent="0.2">
      <c r="A317" t="s">
        <v>885</v>
      </c>
      <c r="B317" s="224" t="s">
        <v>512</v>
      </c>
      <c r="C317" s="224" t="s">
        <v>824</v>
      </c>
      <c r="D317" s="35" t="s">
        <v>148</v>
      </c>
      <c r="E317" s="35" t="s">
        <v>661</v>
      </c>
      <c r="F317" s="35" t="s">
        <v>374</v>
      </c>
      <c r="G317" s="35" t="s">
        <v>627</v>
      </c>
      <c r="H317" s="35" t="s">
        <v>580</v>
      </c>
      <c r="I317">
        <v>1714</v>
      </c>
      <c r="J317" s="34">
        <v>1656.4561999999999</v>
      </c>
      <c r="K317" s="34">
        <f t="shared" si="52"/>
        <v>-57.543800000000147</v>
      </c>
      <c r="L317" s="56">
        <f t="shared" si="53"/>
        <v>3311.2889184400169</v>
      </c>
      <c r="M317" s="56">
        <f t="shared" si="54"/>
        <v>57.543800000000147</v>
      </c>
      <c r="N317" s="56">
        <f t="shared" si="55"/>
        <v>1.7674809084884484</v>
      </c>
      <c r="O317" s="56">
        <f t="shared" si="64"/>
        <v>-1.7674809084884484</v>
      </c>
      <c r="P317" s="143">
        <f t="shared" si="56"/>
        <v>-3.3572812135355976</v>
      </c>
      <c r="Q317" s="143">
        <f t="shared" si="57"/>
        <v>3.3572812135355976</v>
      </c>
      <c r="R317" s="34">
        <v>1662.799</v>
      </c>
      <c r="S317" s="56">
        <f t="shared" si="58"/>
        <v>-51.201000000000022</v>
      </c>
      <c r="T317" s="56">
        <f t="shared" si="59"/>
        <v>2621.5424010000024</v>
      </c>
      <c r="U317" s="56">
        <f t="shared" si="60"/>
        <v>51.201000000000022</v>
      </c>
      <c r="V317" s="56">
        <f t="shared" si="61"/>
        <v>1.7176788227402326</v>
      </c>
      <c r="W317" s="33">
        <f t="shared" si="62"/>
        <v>-2.9872228704784143</v>
      </c>
      <c r="X317" s="143">
        <f t="shared" si="63"/>
        <v>2.9872228704784143</v>
      </c>
    </row>
    <row r="318" spans="1:25" ht="15" x14ac:dyDescent="0.2">
      <c r="A318" t="s">
        <v>886</v>
      </c>
      <c r="B318" s="224" t="s">
        <v>512</v>
      </c>
      <c r="C318" s="224" t="s">
        <v>824</v>
      </c>
      <c r="D318" s="35" t="s">
        <v>148</v>
      </c>
      <c r="E318" s="35" t="s">
        <v>661</v>
      </c>
      <c r="F318" s="35" t="s">
        <v>374</v>
      </c>
      <c r="G318" s="35" t="s">
        <v>627</v>
      </c>
      <c r="H318" s="35" t="s">
        <v>580</v>
      </c>
      <c r="I318">
        <v>2100</v>
      </c>
      <c r="J318" s="34">
        <v>2047.4774</v>
      </c>
      <c r="K318" s="34">
        <f t="shared" si="52"/>
        <v>-52.522600000000011</v>
      </c>
      <c r="L318" s="56">
        <f t="shared" si="53"/>
        <v>2758.6235107600014</v>
      </c>
      <c r="M318" s="56">
        <f t="shared" si="54"/>
        <v>52.522600000000011</v>
      </c>
      <c r="N318" s="56">
        <f t="shared" si="55"/>
        <v>1.7285372022602605</v>
      </c>
      <c r="O318" s="56">
        <f t="shared" si="64"/>
        <v>-1.7285372022602605</v>
      </c>
      <c r="P318" s="143">
        <f t="shared" si="56"/>
        <v>-2.5010761904761911</v>
      </c>
      <c r="Q318" s="143">
        <f t="shared" si="57"/>
        <v>2.5010761904761911</v>
      </c>
      <c r="R318" s="34">
        <v>2055.1322</v>
      </c>
      <c r="S318" s="56">
        <f t="shared" si="58"/>
        <v>-44.867799999999988</v>
      </c>
      <c r="T318" s="56">
        <f t="shared" si="59"/>
        <v>2013.1194768399989</v>
      </c>
      <c r="U318" s="56">
        <f t="shared" si="60"/>
        <v>44.867799999999988</v>
      </c>
      <c r="V318" s="56">
        <f t="shared" si="61"/>
        <v>1.6615079101609047</v>
      </c>
      <c r="W318" s="33">
        <f t="shared" si="62"/>
        <v>-2.136561904761904</v>
      </c>
      <c r="X318" s="143">
        <f t="shared" si="63"/>
        <v>2.136561904761904</v>
      </c>
    </row>
    <row r="319" spans="1:25" ht="15" x14ac:dyDescent="0.2">
      <c r="A319" t="s">
        <v>887</v>
      </c>
      <c r="B319" s="224" t="s">
        <v>512</v>
      </c>
      <c r="C319" s="224" t="s">
        <v>824</v>
      </c>
      <c r="D319" s="35" t="s">
        <v>148</v>
      </c>
      <c r="E319" s="35" t="s">
        <v>661</v>
      </c>
      <c r="F319" s="225" t="s">
        <v>494</v>
      </c>
      <c r="G319" s="35" t="s">
        <v>626</v>
      </c>
      <c r="H319" s="35" t="s">
        <v>580</v>
      </c>
      <c r="I319">
        <v>1056</v>
      </c>
      <c r="J319" s="34">
        <v>1136.4811999999999</v>
      </c>
      <c r="K319" s="34">
        <f t="shared" si="52"/>
        <v>80.481199999999944</v>
      </c>
      <c r="L319" s="56">
        <f t="shared" si="53"/>
        <v>6477.2235534399906</v>
      </c>
      <c r="M319" s="56">
        <f t="shared" si="54"/>
        <v>80.481199999999944</v>
      </c>
      <c r="N319" s="56">
        <f t="shared" si="55"/>
        <v>1.9110574163705989</v>
      </c>
      <c r="O319" s="56">
        <f t="shared" si="64"/>
        <v>1.9110574163705989</v>
      </c>
      <c r="P319" s="143">
        <f t="shared" si="56"/>
        <v>7.621325757575752</v>
      </c>
      <c r="Q319" s="143">
        <f t="shared" si="57"/>
        <v>7.621325757575752</v>
      </c>
      <c r="R319" s="34">
        <v>1150.3638000000001</v>
      </c>
      <c r="S319" s="56">
        <f t="shared" si="58"/>
        <v>94.363800000000083</v>
      </c>
      <c r="T319" s="56">
        <f t="shared" si="59"/>
        <v>8904.5267504400163</v>
      </c>
      <c r="U319" s="56">
        <f t="shared" si="60"/>
        <v>94.363800000000083</v>
      </c>
      <c r="V319" s="56">
        <f t="shared" si="61"/>
        <v>1.9793835482492481</v>
      </c>
      <c r="W319" s="33">
        <f t="shared" si="62"/>
        <v>8.9359659090909176</v>
      </c>
      <c r="X319" s="143">
        <f t="shared" si="63"/>
        <v>8.9359659090909176</v>
      </c>
    </row>
    <row r="320" spans="1:25" ht="15" x14ac:dyDescent="0.2">
      <c r="A320" t="s">
        <v>888</v>
      </c>
      <c r="B320" s="224" t="s">
        <v>512</v>
      </c>
      <c r="C320" s="224" t="s">
        <v>824</v>
      </c>
      <c r="D320" s="35" t="s">
        <v>148</v>
      </c>
      <c r="E320" s="35" t="s">
        <v>661</v>
      </c>
      <c r="F320" s="35" t="s">
        <v>374</v>
      </c>
      <c r="G320" s="35" t="s">
        <v>627</v>
      </c>
      <c r="H320" s="35" t="s">
        <v>580</v>
      </c>
      <c r="I320">
        <v>2150</v>
      </c>
      <c r="J320" s="34">
        <v>1960.1215999999999</v>
      </c>
      <c r="K320" s="34">
        <f t="shared" si="52"/>
        <v>-189.87840000000006</v>
      </c>
      <c r="L320" s="56">
        <f t="shared" si="53"/>
        <v>36053.806786560024</v>
      </c>
      <c r="M320" s="56">
        <f t="shared" si="54"/>
        <v>189.87840000000006</v>
      </c>
      <c r="N320" s="56">
        <f t="shared" si="55"/>
        <v>2.2807567859549165</v>
      </c>
      <c r="O320" s="56">
        <f t="shared" si="64"/>
        <v>-2.2807567859549165</v>
      </c>
      <c r="P320" s="143">
        <f t="shared" si="56"/>
        <v>-8.8315534883720943</v>
      </c>
      <c r="Q320" s="143">
        <f t="shared" si="57"/>
        <v>8.8315534883720943</v>
      </c>
      <c r="R320" s="34">
        <v>1947.0404000000001</v>
      </c>
      <c r="S320" s="56">
        <f t="shared" si="58"/>
        <v>-202.95959999999991</v>
      </c>
      <c r="T320" s="56">
        <f t="shared" si="59"/>
        <v>41192.599232159962</v>
      </c>
      <c r="U320" s="56">
        <f t="shared" si="60"/>
        <v>202.95959999999991</v>
      </c>
      <c r="V320" s="56">
        <f t="shared" si="61"/>
        <v>2.3095441515697881</v>
      </c>
      <c r="W320" s="33">
        <f t="shared" si="62"/>
        <v>-9.4399813953488341</v>
      </c>
      <c r="X320" s="143">
        <f t="shared" si="63"/>
        <v>9.4399813953488341</v>
      </c>
    </row>
    <row r="321" spans="1:24" ht="15" x14ac:dyDescent="0.2">
      <c r="A321" t="s">
        <v>889</v>
      </c>
      <c r="B321" s="224" t="s">
        <v>512</v>
      </c>
      <c r="C321" s="224" t="s">
        <v>824</v>
      </c>
      <c r="D321" s="35" t="s">
        <v>148</v>
      </c>
      <c r="E321" s="35" t="s">
        <v>661</v>
      </c>
      <c r="F321" s="35" t="s">
        <v>374</v>
      </c>
      <c r="G321" s="35" t="s">
        <v>627</v>
      </c>
      <c r="H321" s="35" t="s">
        <v>580</v>
      </c>
      <c r="I321">
        <v>1895</v>
      </c>
      <c r="J321" s="34">
        <v>1910.204</v>
      </c>
      <c r="K321" s="34">
        <f t="shared" si="52"/>
        <v>15.203999999999951</v>
      </c>
      <c r="L321" s="56">
        <f t="shared" si="53"/>
        <v>231.1616159999985</v>
      </c>
      <c r="M321" s="56">
        <f t="shared" si="54"/>
        <v>15.203999999999951</v>
      </c>
      <c r="N321" s="56">
        <f t="shared" si="55"/>
        <v>1.2096222345115493</v>
      </c>
      <c r="O321" s="56">
        <f t="shared" si="64"/>
        <v>1.2096222345115493</v>
      </c>
      <c r="P321" s="143">
        <f t="shared" si="56"/>
        <v>0.80232189973614521</v>
      </c>
      <c r="Q321" s="143">
        <f t="shared" si="57"/>
        <v>0.80232189973614521</v>
      </c>
      <c r="R321" s="34">
        <v>1894.9962</v>
      </c>
      <c r="S321" s="56">
        <f t="shared" si="58"/>
        <v>-3.7999999999556167E-3</v>
      </c>
      <c r="T321" s="56">
        <f t="shared" si="59"/>
        <v>1.4439999999662687E-5</v>
      </c>
      <c r="U321" s="56">
        <f t="shared" si="60"/>
        <v>3.7999999999556167E-3</v>
      </c>
      <c r="V321" s="56">
        <f t="shared" si="61"/>
        <v>1.6471913460189458E-3</v>
      </c>
      <c r="W321" s="33">
        <f t="shared" si="62"/>
        <v>-2.0052770448314599E-4</v>
      </c>
      <c r="X321" s="143">
        <f t="shared" si="63"/>
        <v>2.0052770448314599E-4</v>
      </c>
    </row>
    <row r="322" spans="1:24" ht="15" x14ac:dyDescent="0.2">
      <c r="A322" t="s">
        <v>890</v>
      </c>
      <c r="B322" s="224" t="s">
        <v>512</v>
      </c>
      <c r="C322" s="224" t="s">
        <v>824</v>
      </c>
      <c r="D322" s="35" t="s">
        <v>148</v>
      </c>
      <c r="E322" s="35" t="s">
        <v>661</v>
      </c>
      <c r="F322" s="35" t="s">
        <v>374</v>
      </c>
      <c r="G322" s="35" t="s">
        <v>626</v>
      </c>
      <c r="H322" s="35" t="s">
        <v>580</v>
      </c>
      <c r="I322">
        <v>1316</v>
      </c>
      <c r="J322" s="34">
        <v>1336.1515999999999</v>
      </c>
      <c r="K322" s="34">
        <f t="shared" ref="K322:K385" si="65">J322-I322</f>
        <v>20.151599999999917</v>
      </c>
      <c r="L322" s="56">
        <f t="shared" ref="L322:L385" si="66">K322^2</f>
        <v>406.08698255999667</v>
      </c>
      <c r="M322" s="56">
        <f t="shared" ref="M322:M385" si="67">SQRT(L322)</f>
        <v>20.151599999999917</v>
      </c>
      <c r="N322" s="56">
        <f t="shared" ref="N322:N385" si="68">LOG10(M322+1)</f>
        <v>1.3253432248972925</v>
      </c>
      <c r="O322" s="56">
        <f t="shared" si="64"/>
        <v>1.3253432248972925</v>
      </c>
      <c r="P322" s="143">
        <f t="shared" ref="P322:P385" si="69">100*K322/I322</f>
        <v>1.5312765957446746</v>
      </c>
      <c r="Q322" s="143">
        <f t="shared" ref="Q322:Q385" si="70">ABS(P322)</f>
        <v>1.5312765957446746</v>
      </c>
      <c r="R322" s="34">
        <v>1346.5304000000001</v>
      </c>
      <c r="S322" s="56">
        <f t="shared" ref="S322:S385" si="71">R322-I322</f>
        <v>30.5304000000001</v>
      </c>
      <c r="T322" s="56">
        <f t="shared" ref="T322:T385" si="72">S322^2</f>
        <v>932.10532416000603</v>
      </c>
      <c r="U322" s="56">
        <f t="shared" ref="U322:U385" si="73">SQRT(T322)</f>
        <v>30.5304000000001</v>
      </c>
      <c r="V322" s="56">
        <f t="shared" ref="V322:V385" si="74">LOG10(U322+1)</f>
        <v>1.4987294803162805</v>
      </c>
      <c r="W322" s="33">
        <f t="shared" ref="W322:W385" si="75">100*S322/I322</f>
        <v>2.3199392097264515</v>
      </c>
      <c r="X322" s="143">
        <f t="shared" ref="X322:X385" si="76">ABS(W322)</f>
        <v>2.3199392097264515</v>
      </c>
    </row>
    <row r="323" spans="1:24" ht="15" x14ac:dyDescent="0.2">
      <c r="A323" t="s">
        <v>891</v>
      </c>
      <c r="B323" s="224" t="s">
        <v>512</v>
      </c>
      <c r="C323" s="224" t="s">
        <v>824</v>
      </c>
      <c r="D323" s="35" t="s">
        <v>148</v>
      </c>
      <c r="E323" s="35" t="s">
        <v>661</v>
      </c>
      <c r="F323" s="35" t="s">
        <v>374</v>
      </c>
      <c r="G323" s="35" t="s">
        <v>627</v>
      </c>
      <c r="H323" s="35" t="s">
        <v>580</v>
      </c>
      <c r="I323">
        <v>1704</v>
      </c>
      <c r="J323" s="34">
        <v>1668.9355999999998</v>
      </c>
      <c r="K323" s="34">
        <f t="shared" si="65"/>
        <v>-35.064400000000205</v>
      </c>
      <c r="L323" s="56">
        <f t="shared" si="66"/>
        <v>1229.5121473600143</v>
      </c>
      <c r="M323" s="56">
        <f t="shared" si="67"/>
        <v>35.064400000000205</v>
      </c>
      <c r="N323" s="56">
        <f t="shared" si="68"/>
        <v>1.5570787112701128</v>
      </c>
      <c r="O323" s="56">
        <f t="shared" ref="O323:O386" si="77">N323*SIGN(K323)</f>
        <v>-1.5570787112701128</v>
      </c>
      <c r="P323" s="143">
        <f t="shared" si="69"/>
        <v>-2.0577699530516553</v>
      </c>
      <c r="Q323" s="143">
        <f t="shared" si="70"/>
        <v>2.0577699530516553</v>
      </c>
      <c r="R323" s="34">
        <v>1678.8126</v>
      </c>
      <c r="S323" s="56">
        <f t="shared" si="71"/>
        <v>-25.187400000000025</v>
      </c>
      <c r="T323" s="56">
        <f t="shared" si="72"/>
        <v>634.4051187600013</v>
      </c>
      <c r="U323" s="56">
        <f t="shared" si="73"/>
        <v>25.187400000000025</v>
      </c>
      <c r="V323" s="56">
        <f t="shared" si="74"/>
        <v>1.418092381903455</v>
      </c>
      <c r="W323" s="33">
        <f t="shared" si="75"/>
        <v>-1.4781338028169029</v>
      </c>
      <c r="X323" s="143">
        <f t="shared" si="76"/>
        <v>1.4781338028169029</v>
      </c>
    </row>
    <row r="324" spans="1:24" ht="15" x14ac:dyDescent="0.2">
      <c r="A324" t="s">
        <v>892</v>
      </c>
      <c r="B324" s="224" t="s">
        <v>512</v>
      </c>
      <c r="C324" s="224" t="s">
        <v>824</v>
      </c>
      <c r="D324" s="35" t="s">
        <v>148</v>
      </c>
      <c r="E324" s="35" t="s">
        <v>661</v>
      </c>
      <c r="F324" s="35" t="s">
        <v>494</v>
      </c>
      <c r="G324" s="35" t="s">
        <v>626</v>
      </c>
      <c r="H324" s="35" t="s">
        <v>580</v>
      </c>
      <c r="I324">
        <v>1090</v>
      </c>
      <c r="J324" s="34">
        <v>1153.1204</v>
      </c>
      <c r="K324" s="34">
        <f t="shared" si="65"/>
        <v>63.120400000000018</v>
      </c>
      <c r="L324" s="56">
        <f t="shared" si="66"/>
        <v>3984.1848961600022</v>
      </c>
      <c r="M324" s="56">
        <f t="shared" si="67"/>
        <v>63.120400000000018</v>
      </c>
      <c r="N324" s="56">
        <f t="shared" si="68"/>
        <v>1.8069962229343051</v>
      </c>
      <c r="O324" s="56">
        <f t="shared" si="77"/>
        <v>1.8069962229343051</v>
      </c>
      <c r="P324" s="143">
        <f t="shared" si="69"/>
        <v>5.7908623853211028</v>
      </c>
      <c r="Q324" s="143">
        <f t="shared" si="70"/>
        <v>5.7908623853211028</v>
      </c>
      <c r="R324" s="34">
        <v>1150.3638000000001</v>
      </c>
      <c r="S324" s="56">
        <f t="shared" si="71"/>
        <v>60.363800000000083</v>
      </c>
      <c r="T324" s="56">
        <f t="shared" si="72"/>
        <v>3643.7883504400102</v>
      </c>
      <c r="U324" s="56">
        <f t="shared" si="73"/>
        <v>60.363800000000083</v>
      </c>
      <c r="V324" s="56">
        <f t="shared" si="74"/>
        <v>1.7879122457898746</v>
      </c>
      <c r="W324" s="33">
        <f t="shared" si="75"/>
        <v>5.537963302752301</v>
      </c>
      <c r="X324" s="143">
        <f t="shared" si="76"/>
        <v>5.537963302752301</v>
      </c>
    </row>
    <row r="325" spans="1:24" ht="15" x14ac:dyDescent="0.2">
      <c r="A325" t="s">
        <v>893</v>
      </c>
      <c r="B325" s="224" t="s">
        <v>512</v>
      </c>
      <c r="C325" s="224" t="s">
        <v>824</v>
      </c>
      <c r="D325" s="35" t="s">
        <v>148</v>
      </c>
      <c r="E325" s="35" t="s">
        <v>661</v>
      </c>
      <c r="F325" s="35" t="s">
        <v>374</v>
      </c>
      <c r="G325" s="35" t="s">
        <v>626</v>
      </c>
      <c r="H325" s="35" t="s">
        <v>580</v>
      </c>
      <c r="I325">
        <v>1274</v>
      </c>
      <c r="J325" s="34">
        <v>1273.7546</v>
      </c>
      <c r="K325" s="34">
        <f t="shared" si="65"/>
        <v>-0.24540000000001783</v>
      </c>
      <c r="L325" s="56">
        <f t="shared" si="66"/>
        <v>6.0221160000008746E-2</v>
      </c>
      <c r="M325" s="56">
        <f t="shared" si="67"/>
        <v>0.24540000000001783</v>
      </c>
      <c r="N325" s="56">
        <f t="shared" si="68"/>
        <v>9.5308861385387397E-2</v>
      </c>
      <c r="O325" s="56">
        <f t="shared" si="77"/>
        <v>-9.5308861385387397E-2</v>
      </c>
      <c r="P325" s="143">
        <f t="shared" si="69"/>
        <v>-1.9262166405024948E-2</v>
      </c>
      <c r="Q325" s="143">
        <f t="shared" si="70"/>
        <v>1.9262166405024948E-2</v>
      </c>
      <c r="R325" s="34">
        <v>1270.4657999999999</v>
      </c>
      <c r="S325" s="56">
        <f t="shared" si="71"/>
        <v>-3.5342000000000553</v>
      </c>
      <c r="T325" s="56">
        <f t="shared" si="72"/>
        <v>12.490569640000391</v>
      </c>
      <c r="U325" s="56">
        <f t="shared" si="73"/>
        <v>3.5342000000000553</v>
      </c>
      <c r="V325" s="56">
        <f t="shared" si="74"/>
        <v>0.65650067260142442</v>
      </c>
      <c r="W325" s="33">
        <f t="shared" si="75"/>
        <v>-0.27740973312402317</v>
      </c>
      <c r="X325" s="143">
        <f t="shared" si="76"/>
        <v>0.27740973312402317</v>
      </c>
    </row>
    <row r="326" spans="1:24" ht="15" x14ac:dyDescent="0.2">
      <c r="A326" t="s">
        <v>894</v>
      </c>
      <c r="B326" s="224" t="s">
        <v>512</v>
      </c>
      <c r="C326" s="224" t="s">
        <v>824</v>
      </c>
      <c r="D326" s="35" t="s">
        <v>148</v>
      </c>
      <c r="E326" s="35" t="s">
        <v>661</v>
      </c>
      <c r="F326" s="35" t="s">
        <v>494</v>
      </c>
      <c r="G326" s="35" t="s">
        <v>626</v>
      </c>
      <c r="H326" s="35" t="s">
        <v>580</v>
      </c>
      <c r="I326">
        <v>1111</v>
      </c>
      <c r="J326" s="34">
        <v>1178.0791999999999</v>
      </c>
      <c r="K326" s="34">
        <f t="shared" si="65"/>
        <v>67.079199999999901</v>
      </c>
      <c r="L326" s="56">
        <f t="shared" si="66"/>
        <v>4499.6190726399864</v>
      </c>
      <c r="M326" s="56">
        <f t="shared" si="67"/>
        <v>67.079199999999901</v>
      </c>
      <c r="N326" s="56">
        <f t="shared" si="68"/>
        <v>1.8330144437036331</v>
      </c>
      <c r="O326" s="56">
        <f t="shared" si="77"/>
        <v>1.8330144437036331</v>
      </c>
      <c r="P326" s="143">
        <f t="shared" si="69"/>
        <v>6.0377317731773088</v>
      </c>
      <c r="Q326" s="143">
        <f t="shared" si="70"/>
        <v>6.0377317731773088</v>
      </c>
      <c r="R326" s="34">
        <v>1178.3876</v>
      </c>
      <c r="S326" s="56">
        <f t="shared" si="71"/>
        <v>67.38760000000002</v>
      </c>
      <c r="T326" s="56">
        <f t="shared" si="72"/>
        <v>4541.0886337600032</v>
      </c>
      <c r="U326" s="56">
        <f t="shared" si="73"/>
        <v>67.38760000000002</v>
      </c>
      <c r="V326" s="56">
        <f t="shared" si="74"/>
        <v>1.8349773628345689</v>
      </c>
      <c r="W326" s="33">
        <f t="shared" si="75"/>
        <v>6.0654905490549069</v>
      </c>
      <c r="X326" s="143">
        <f t="shared" si="76"/>
        <v>6.0654905490549069</v>
      </c>
    </row>
    <row r="327" spans="1:24" ht="15" x14ac:dyDescent="0.2">
      <c r="A327" t="s">
        <v>895</v>
      </c>
      <c r="B327" s="224" t="s">
        <v>512</v>
      </c>
      <c r="C327" s="224" t="s">
        <v>824</v>
      </c>
      <c r="D327" s="35" t="s">
        <v>148</v>
      </c>
      <c r="E327" s="35" t="s">
        <v>661</v>
      </c>
      <c r="F327" s="35" t="s">
        <v>494</v>
      </c>
      <c r="G327" s="35" t="s">
        <v>626</v>
      </c>
      <c r="H327" s="35" t="s">
        <v>580</v>
      </c>
      <c r="I327">
        <v>1185</v>
      </c>
      <c r="J327" s="34">
        <v>1257.1153999999999</v>
      </c>
      <c r="K327" s="34">
        <f t="shared" si="65"/>
        <v>72.115399999999909</v>
      </c>
      <c r="L327" s="56">
        <f t="shared" si="66"/>
        <v>5200.6309171599869</v>
      </c>
      <c r="M327" s="56">
        <f t="shared" si="67"/>
        <v>72.115399999999909</v>
      </c>
      <c r="N327" s="56">
        <f t="shared" si="68"/>
        <v>1.8640088602769362</v>
      </c>
      <c r="O327" s="56">
        <f t="shared" si="77"/>
        <v>1.8640088602769362</v>
      </c>
      <c r="P327" s="143">
        <f t="shared" si="69"/>
        <v>6.0856877637130724</v>
      </c>
      <c r="Q327" s="143">
        <f t="shared" si="70"/>
        <v>6.0856877637130724</v>
      </c>
      <c r="R327" s="34">
        <v>1262.4590000000001</v>
      </c>
      <c r="S327" s="56">
        <f t="shared" si="71"/>
        <v>77.45900000000006</v>
      </c>
      <c r="T327" s="56">
        <f t="shared" si="72"/>
        <v>5999.8966810000093</v>
      </c>
      <c r="U327" s="56">
        <f t="shared" si="73"/>
        <v>77.45900000000006</v>
      </c>
      <c r="V327" s="56">
        <f t="shared" si="74"/>
        <v>1.8946427685239591</v>
      </c>
      <c r="W327" s="33">
        <f t="shared" si="75"/>
        <v>6.5366244725738447</v>
      </c>
      <c r="X327" s="143">
        <f t="shared" si="76"/>
        <v>6.5366244725738447</v>
      </c>
    </row>
    <row r="328" spans="1:24" ht="15" x14ac:dyDescent="0.2">
      <c r="A328" t="s">
        <v>896</v>
      </c>
      <c r="B328" s="224" t="s">
        <v>512</v>
      </c>
      <c r="C328" s="224" t="s">
        <v>824</v>
      </c>
      <c r="D328" s="35" t="s">
        <v>148</v>
      </c>
      <c r="E328" s="35" t="s">
        <v>661</v>
      </c>
      <c r="F328" s="35" t="s">
        <v>374</v>
      </c>
      <c r="G328" s="35" t="s">
        <v>627</v>
      </c>
      <c r="H328" s="35" t="s">
        <v>580</v>
      </c>
      <c r="I328">
        <v>1750</v>
      </c>
      <c r="J328" s="34">
        <v>1664.7757999999999</v>
      </c>
      <c r="K328" s="34">
        <f t="shared" si="65"/>
        <v>-85.22420000000011</v>
      </c>
      <c r="L328" s="56">
        <f t="shared" si="66"/>
        <v>7263.164265640019</v>
      </c>
      <c r="M328" s="56">
        <f t="shared" si="67"/>
        <v>85.22420000000011</v>
      </c>
      <c r="N328" s="56">
        <f t="shared" si="68"/>
        <v>1.9356291736141196</v>
      </c>
      <c r="O328" s="56">
        <f t="shared" si="77"/>
        <v>-1.9356291736141196</v>
      </c>
      <c r="P328" s="143">
        <f t="shared" si="69"/>
        <v>-4.8699542857142921</v>
      </c>
      <c r="Q328" s="143">
        <f t="shared" si="70"/>
        <v>4.8699542857142921</v>
      </c>
      <c r="R328" s="34">
        <v>1670.8058000000001</v>
      </c>
      <c r="S328" s="56">
        <f t="shared" si="71"/>
        <v>-79.19419999999991</v>
      </c>
      <c r="T328" s="56">
        <f t="shared" si="72"/>
        <v>6271.721313639986</v>
      </c>
      <c r="U328" s="56">
        <f t="shared" si="73"/>
        <v>79.19419999999991</v>
      </c>
      <c r="V328" s="56">
        <f t="shared" si="74"/>
        <v>1.9041429593180517</v>
      </c>
      <c r="W328" s="33">
        <f t="shared" si="75"/>
        <v>-4.5253828571428523</v>
      </c>
      <c r="X328" s="143">
        <f t="shared" si="76"/>
        <v>4.5253828571428523</v>
      </c>
    </row>
    <row r="329" spans="1:24" ht="15" x14ac:dyDescent="0.2">
      <c r="A329" t="s">
        <v>897</v>
      </c>
      <c r="B329" s="224" t="s">
        <v>512</v>
      </c>
      <c r="C329" s="224" t="s">
        <v>824</v>
      </c>
      <c r="D329" s="35" t="s">
        <v>148</v>
      </c>
      <c r="E329" s="35" t="s">
        <v>661</v>
      </c>
      <c r="F329" s="35" t="s">
        <v>494</v>
      </c>
      <c r="G329" s="35" t="s">
        <v>626</v>
      </c>
      <c r="H329" s="35" t="s">
        <v>580</v>
      </c>
      <c r="I329">
        <v>1031</v>
      </c>
      <c r="J329" s="34">
        <v>1094.8832</v>
      </c>
      <c r="K329" s="34">
        <f t="shared" si="65"/>
        <v>63.883199999999988</v>
      </c>
      <c r="L329" s="56">
        <f t="shared" si="66"/>
        <v>4081.0632422399985</v>
      </c>
      <c r="M329" s="56">
        <f t="shared" si="67"/>
        <v>63.883199999999988</v>
      </c>
      <c r="N329" s="56">
        <f t="shared" si="68"/>
        <v>1.81213226087127</v>
      </c>
      <c r="O329" s="56">
        <f t="shared" si="77"/>
        <v>1.81213226087127</v>
      </c>
      <c r="P329" s="143">
        <f t="shared" si="69"/>
        <v>6.1962366634335586</v>
      </c>
      <c r="Q329" s="143">
        <f t="shared" si="70"/>
        <v>6.1962366634335586</v>
      </c>
      <c r="R329" s="34">
        <v>1098.3196</v>
      </c>
      <c r="S329" s="56">
        <f t="shared" si="71"/>
        <v>67.319600000000037</v>
      </c>
      <c r="T329" s="56">
        <f t="shared" si="72"/>
        <v>4531.928544160005</v>
      </c>
      <c r="U329" s="56">
        <f t="shared" si="73"/>
        <v>67.319600000000037</v>
      </c>
      <c r="V329" s="56">
        <f t="shared" si="74"/>
        <v>1.8345453149657658</v>
      </c>
      <c r="W329" s="33">
        <f t="shared" si="75"/>
        <v>6.5295441319107699</v>
      </c>
      <c r="X329" s="143">
        <f t="shared" si="76"/>
        <v>6.5295441319107699</v>
      </c>
    </row>
    <row r="330" spans="1:24" ht="15" x14ac:dyDescent="0.2">
      <c r="A330" t="s">
        <v>898</v>
      </c>
      <c r="B330" s="224" t="s">
        <v>512</v>
      </c>
      <c r="C330" s="224" t="s">
        <v>824</v>
      </c>
      <c r="D330" s="35" t="s">
        <v>148</v>
      </c>
      <c r="E330" s="35" t="s">
        <v>661</v>
      </c>
      <c r="F330" s="225" t="s">
        <v>494</v>
      </c>
      <c r="G330" s="35" t="s">
        <v>626</v>
      </c>
      <c r="H330" s="35" t="s">
        <v>580</v>
      </c>
      <c r="I330">
        <v>874</v>
      </c>
      <c r="J330" s="34">
        <v>1024.1665999999998</v>
      </c>
      <c r="K330" s="34">
        <f t="shared" si="65"/>
        <v>150.16659999999979</v>
      </c>
      <c r="L330" s="56">
        <f t="shared" si="66"/>
        <v>22550.007755559938</v>
      </c>
      <c r="M330" s="56">
        <f t="shared" si="67"/>
        <v>150.16659999999979</v>
      </c>
      <c r="N330" s="56">
        <f t="shared" si="68"/>
        <v>2.1794558451463177</v>
      </c>
      <c r="O330" s="56">
        <f t="shared" si="77"/>
        <v>2.1794558451463177</v>
      </c>
      <c r="P330" s="143">
        <f t="shared" si="69"/>
        <v>17.181533180778008</v>
      </c>
      <c r="Q330" s="143">
        <f t="shared" si="70"/>
        <v>17.181533180778008</v>
      </c>
      <c r="R330" s="34">
        <v>1034.2652</v>
      </c>
      <c r="S330" s="56">
        <f t="shared" si="71"/>
        <v>160.26520000000005</v>
      </c>
      <c r="T330" s="56">
        <f t="shared" si="72"/>
        <v>25684.934331040015</v>
      </c>
      <c r="U330" s="56">
        <f t="shared" si="73"/>
        <v>160.26520000000005</v>
      </c>
      <c r="V330" s="56">
        <f t="shared" si="74"/>
        <v>2.20754065952445</v>
      </c>
      <c r="W330" s="33">
        <f t="shared" si="75"/>
        <v>18.336979405034331</v>
      </c>
      <c r="X330" s="143">
        <f t="shared" si="76"/>
        <v>18.336979405034331</v>
      </c>
    </row>
    <row r="331" spans="1:24" ht="15" x14ac:dyDescent="0.2">
      <c r="A331" t="s">
        <v>899</v>
      </c>
      <c r="B331" s="224" t="s">
        <v>512</v>
      </c>
      <c r="C331" s="224" t="s">
        <v>824</v>
      </c>
      <c r="D331" s="35" t="s">
        <v>148</v>
      </c>
      <c r="E331" s="35" t="s">
        <v>661</v>
      </c>
      <c r="F331" s="35" t="s">
        <v>374</v>
      </c>
      <c r="G331" s="35" t="s">
        <v>627</v>
      </c>
      <c r="H331" s="35" t="s">
        <v>580</v>
      </c>
      <c r="I331">
        <v>2060</v>
      </c>
      <c r="J331" s="34">
        <v>1955.9617999999998</v>
      </c>
      <c r="K331" s="34">
        <f t="shared" si="65"/>
        <v>-104.03820000000019</v>
      </c>
      <c r="L331" s="56">
        <f t="shared" si="66"/>
        <v>10823.947059240039</v>
      </c>
      <c r="M331" s="56">
        <f t="shared" si="67"/>
        <v>104.03820000000019</v>
      </c>
      <c r="N331" s="56">
        <f t="shared" si="68"/>
        <v>2.0213472708045246</v>
      </c>
      <c r="O331" s="56">
        <f t="shared" si="77"/>
        <v>-2.0213472708045246</v>
      </c>
      <c r="P331" s="143">
        <f t="shared" si="69"/>
        <v>-5.0503980582524362</v>
      </c>
      <c r="Q331" s="143">
        <f t="shared" si="70"/>
        <v>5.0503980582524362</v>
      </c>
      <c r="R331" s="34">
        <v>1947.0404000000001</v>
      </c>
      <c r="S331" s="56">
        <f t="shared" si="71"/>
        <v>-112.95959999999991</v>
      </c>
      <c r="T331" s="56">
        <f t="shared" si="72"/>
        <v>12759.87123215998</v>
      </c>
      <c r="U331" s="56">
        <f t="shared" si="73"/>
        <v>112.95959999999991</v>
      </c>
      <c r="V331" s="56">
        <f t="shared" si="74"/>
        <v>2.0567509161896078</v>
      </c>
      <c r="W331" s="33">
        <f t="shared" si="75"/>
        <v>-5.4834757281553355</v>
      </c>
      <c r="X331" s="143">
        <f t="shared" si="76"/>
        <v>5.4834757281553355</v>
      </c>
    </row>
    <row r="332" spans="1:24" ht="15" x14ac:dyDescent="0.2">
      <c r="A332" t="s">
        <v>836</v>
      </c>
      <c r="B332" s="224" t="s">
        <v>512</v>
      </c>
      <c r="C332" s="224" t="s">
        <v>824</v>
      </c>
      <c r="D332" s="35" t="s">
        <v>148</v>
      </c>
      <c r="E332" s="35" t="s">
        <v>661</v>
      </c>
      <c r="F332" s="35" t="s">
        <v>374</v>
      </c>
      <c r="G332" s="35" t="s">
        <v>627</v>
      </c>
      <c r="H332" s="35" t="s">
        <v>580</v>
      </c>
      <c r="I332">
        <v>2190</v>
      </c>
      <c r="J332" s="34">
        <v>2159.7919999999999</v>
      </c>
      <c r="K332" s="34">
        <f t="shared" si="65"/>
        <v>-30.208000000000084</v>
      </c>
      <c r="L332" s="56">
        <f t="shared" si="66"/>
        <v>912.52326400000504</v>
      </c>
      <c r="M332" s="56">
        <f t="shared" si="67"/>
        <v>30.208000000000084</v>
      </c>
      <c r="N332" s="56">
        <f t="shared" si="68"/>
        <v>1.4942659373037361</v>
      </c>
      <c r="O332" s="56">
        <f t="shared" si="77"/>
        <v>-1.4942659373037361</v>
      </c>
      <c r="P332" s="143">
        <f t="shared" si="69"/>
        <v>-1.3793607305936111</v>
      </c>
      <c r="Q332" s="143">
        <f t="shared" si="70"/>
        <v>1.3793607305936111</v>
      </c>
      <c r="R332" s="34">
        <v>2203.2579999999998</v>
      </c>
      <c r="S332" s="56">
        <f t="shared" si="71"/>
        <v>13.257999999999811</v>
      </c>
      <c r="T332" s="56">
        <f t="shared" si="72"/>
        <v>175.774563999995</v>
      </c>
      <c r="U332" s="56">
        <f t="shared" si="73"/>
        <v>13.257999999999811</v>
      </c>
      <c r="V332" s="56">
        <f t="shared" si="74"/>
        <v>1.1540586103769652</v>
      </c>
      <c r="W332" s="33">
        <f t="shared" si="75"/>
        <v>0.60538812785387264</v>
      </c>
      <c r="X332" s="143">
        <f t="shared" si="76"/>
        <v>0.60538812785387264</v>
      </c>
    </row>
    <row r="333" spans="1:24" ht="15" x14ac:dyDescent="0.2">
      <c r="A333" t="s">
        <v>837</v>
      </c>
      <c r="B333" s="224" t="s">
        <v>512</v>
      </c>
      <c r="C333" s="224" t="s">
        <v>824</v>
      </c>
      <c r="D333" s="35" t="s">
        <v>148</v>
      </c>
      <c r="E333" s="35" t="s">
        <v>661</v>
      </c>
      <c r="F333" s="225" t="s">
        <v>293</v>
      </c>
      <c r="G333" s="35" t="s">
        <v>627</v>
      </c>
      <c r="H333" s="29" t="s">
        <v>580</v>
      </c>
      <c r="I333">
        <v>2570</v>
      </c>
      <c r="J333" s="34">
        <v>2513.3749999999995</v>
      </c>
      <c r="K333" s="34">
        <f t="shared" si="65"/>
        <v>-56.625000000000455</v>
      </c>
      <c r="L333" s="56">
        <f t="shared" si="66"/>
        <v>3206.3906250000514</v>
      </c>
      <c r="M333" s="56">
        <f t="shared" si="67"/>
        <v>56.625000000000455</v>
      </c>
      <c r="N333" s="56">
        <f t="shared" si="68"/>
        <v>1.760610938397708</v>
      </c>
      <c r="O333" s="56">
        <f t="shared" si="77"/>
        <v>-1.760610938397708</v>
      </c>
      <c r="P333" s="143">
        <f t="shared" si="69"/>
        <v>-2.2033073929961264</v>
      </c>
      <c r="Q333" s="143">
        <f t="shared" si="70"/>
        <v>2.2033073929961264</v>
      </c>
      <c r="R333" s="34">
        <v>2563.5639999999999</v>
      </c>
      <c r="S333" s="56">
        <f t="shared" si="71"/>
        <v>-6.4360000000001492</v>
      </c>
      <c r="T333" s="56">
        <f t="shared" si="72"/>
        <v>41.422096000001922</v>
      </c>
      <c r="U333" s="56">
        <f t="shared" si="73"/>
        <v>6.4360000000001492</v>
      </c>
      <c r="V333" s="56">
        <f t="shared" si="74"/>
        <v>0.87133938109986964</v>
      </c>
      <c r="W333" s="33">
        <f t="shared" si="75"/>
        <v>-0.25042801556420813</v>
      </c>
      <c r="X333" s="143">
        <f t="shared" si="76"/>
        <v>0.25042801556420813</v>
      </c>
    </row>
    <row r="334" spans="1:24" ht="15" x14ac:dyDescent="0.2">
      <c r="A334" t="s">
        <v>838</v>
      </c>
      <c r="B334" s="224" t="s">
        <v>512</v>
      </c>
      <c r="C334" s="224" t="s">
        <v>824</v>
      </c>
      <c r="D334" s="35" t="s">
        <v>148</v>
      </c>
      <c r="E334" s="35" t="s">
        <v>661</v>
      </c>
      <c r="F334" s="35" t="s">
        <v>374</v>
      </c>
      <c r="G334" s="35" t="s">
        <v>627</v>
      </c>
      <c r="H334" s="35" t="s">
        <v>580</v>
      </c>
      <c r="I334">
        <v>2285</v>
      </c>
      <c r="J334" s="34">
        <v>2284.5859999999998</v>
      </c>
      <c r="K334" s="34">
        <f t="shared" si="65"/>
        <v>-0.41400000000021464</v>
      </c>
      <c r="L334" s="56">
        <f t="shared" si="66"/>
        <v>0.17139600000017771</v>
      </c>
      <c r="M334" s="56">
        <f t="shared" si="67"/>
        <v>0.41400000000021464</v>
      </c>
      <c r="N334" s="56">
        <f t="shared" si="68"/>
        <v>0.15044940946094654</v>
      </c>
      <c r="O334" s="56">
        <f t="shared" si="77"/>
        <v>-0.15044940946094654</v>
      </c>
      <c r="P334" s="143">
        <f t="shared" si="69"/>
        <v>-1.8118161925611144E-2</v>
      </c>
      <c r="Q334" s="143">
        <f t="shared" si="70"/>
        <v>1.8118161925611144E-2</v>
      </c>
      <c r="R334" s="34">
        <v>2323.3599999999997</v>
      </c>
      <c r="S334" s="56">
        <f t="shared" si="71"/>
        <v>38.359999999999673</v>
      </c>
      <c r="T334" s="56">
        <f t="shared" si="72"/>
        <v>1471.4895999999749</v>
      </c>
      <c r="U334" s="56">
        <f t="shared" si="73"/>
        <v>38.359999999999673</v>
      </c>
      <c r="V334" s="56">
        <f t="shared" si="74"/>
        <v>1.5950550897593003</v>
      </c>
      <c r="W334" s="33">
        <f t="shared" si="75"/>
        <v>1.6787746170678193</v>
      </c>
      <c r="X334" s="143">
        <f t="shared" si="76"/>
        <v>1.6787746170678193</v>
      </c>
    </row>
    <row r="335" spans="1:24" ht="16" x14ac:dyDescent="0.2">
      <c r="A335" t="s">
        <v>839</v>
      </c>
      <c r="B335" s="224" t="s">
        <v>512</v>
      </c>
      <c r="C335" s="224" t="s">
        <v>824</v>
      </c>
      <c r="D335" s="35" t="s">
        <v>148</v>
      </c>
      <c r="E335" s="35" t="s">
        <v>661</v>
      </c>
      <c r="F335" s="35" t="s">
        <v>374</v>
      </c>
      <c r="G335" s="35" t="s">
        <v>626</v>
      </c>
      <c r="H335" s="35" t="s">
        <v>580</v>
      </c>
      <c r="I335" s="147">
        <v>1380</v>
      </c>
      <c r="J335" s="34">
        <v>1369.4299999999998</v>
      </c>
      <c r="K335" s="34">
        <f t="shared" si="65"/>
        <v>-10.570000000000164</v>
      </c>
      <c r="L335" s="56">
        <f t="shared" si="66"/>
        <v>111.72490000000346</v>
      </c>
      <c r="M335" s="56">
        <f t="shared" si="67"/>
        <v>10.570000000000164</v>
      </c>
      <c r="N335" s="56">
        <f t="shared" si="68"/>
        <v>1.0633333589517557</v>
      </c>
      <c r="O335" s="56">
        <f t="shared" si="77"/>
        <v>-1.0633333589517557</v>
      </c>
      <c r="P335" s="143">
        <f t="shared" si="69"/>
        <v>-0.76594202898551911</v>
      </c>
      <c r="Q335" s="143">
        <f t="shared" si="70"/>
        <v>0.76594202898551911</v>
      </c>
      <c r="R335" s="34">
        <v>1390.5678</v>
      </c>
      <c r="S335" s="56">
        <f t="shared" si="71"/>
        <v>10.567800000000034</v>
      </c>
      <c r="T335" s="56">
        <f t="shared" si="72"/>
        <v>111.67839684000072</v>
      </c>
      <c r="U335" s="56">
        <f t="shared" si="73"/>
        <v>10.567800000000034</v>
      </c>
      <c r="V335" s="56">
        <f t="shared" si="74"/>
        <v>1.0632507713364143</v>
      </c>
      <c r="W335" s="33">
        <f t="shared" si="75"/>
        <v>0.76578260869565462</v>
      </c>
      <c r="X335" s="143">
        <f t="shared" si="76"/>
        <v>0.76578260869565462</v>
      </c>
    </row>
    <row r="336" spans="1:24" ht="16" x14ac:dyDescent="0.2">
      <c r="A336" t="s">
        <v>840</v>
      </c>
      <c r="B336" s="224" t="s">
        <v>512</v>
      </c>
      <c r="C336" s="224" t="s">
        <v>824</v>
      </c>
      <c r="D336" s="35" t="s">
        <v>148</v>
      </c>
      <c r="E336" s="35" t="s">
        <v>661</v>
      </c>
      <c r="F336" s="225" t="s">
        <v>293</v>
      </c>
      <c r="G336" s="35" t="s">
        <v>627</v>
      </c>
      <c r="H336" s="29" t="s">
        <v>580</v>
      </c>
      <c r="I336" s="147">
        <v>2645</v>
      </c>
      <c r="J336" s="34">
        <v>2450.9779999999996</v>
      </c>
      <c r="K336" s="34">
        <f t="shared" si="65"/>
        <v>-194.02200000000039</v>
      </c>
      <c r="L336" s="56">
        <f t="shared" si="66"/>
        <v>37644.536484000149</v>
      </c>
      <c r="M336" s="56">
        <f t="shared" si="67"/>
        <v>194.02200000000039</v>
      </c>
      <c r="N336" s="56">
        <f t="shared" si="68"/>
        <v>2.2900836059249383</v>
      </c>
      <c r="O336" s="56">
        <f t="shared" si="77"/>
        <v>-2.2900836059249383</v>
      </c>
      <c r="P336" s="143">
        <f t="shared" si="69"/>
        <v>-7.3354253308128694</v>
      </c>
      <c r="Q336" s="143">
        <f t="shared" si="70"/>
        <v>7.3354253308128694</v>
      </c>
      <c r="R336" s="34">
        <v>2483.4959999999996</v>
      </c>
      <c r="S336" s="56">
        <f t="shared" si="71"/>
        <v>-161.50400000000036</v>
      </c>
      <c r="T336" s="56">
        <f t="shared" si="72"/>
        <v>26083.542016000116</v>
      </c>
      <c r="U336" s="56">
        <f t="shared" si="73"/>
        <v>161.50400000000036</v>
      </c>
      <c r="V336" s="56">
        <f t="shared" si="74"/>
        <v>2.2108640555090315</v>
      </c>
      <c r="W336" s="33">
        <f t="shared" si="75"/>
        <v>-6.1060113421550231</v>
      </c>
      <c r="X336" s="143">
        <f t="shared" si="76"/>
        <v>6.1060113421550231</v>
      </c>
    </row>
    <row r="337" spans="1:24" ht="16" x14ac:dyDescent="0.2">
      <c r="A337" t="s">
        <v>841</v>
      </c>
      <c r="B337" s="224" t="s">
        <v>512</v>
      </c>
      <c r="C337" s="224" t="s">
        <v>824</v>
      </c>
      <c r="D337" s="35" t="s">
        <v>148</v>
      </c>
      <c r="E337" s="35" t="s">
        <v>661</v>
      </c>
      <c r="F337" s="35" t="s">
        <v>374</v>
      </c>
      <c r="G337" s="35" t="s">
        <v>626</v>
      </c>
      <c r="H337" s="35" t="s">
        <v>580</v>
      </c>
      <c r="I337" s="147">
        <v>1325</v>
      </c>
      <c r="J337" s="34">
        <v>1348.6309999999999</v>
      </c>
      <c r="K337" s="34">
        <f t="shared" si="65"/>
        <v>23.630999999999858</v>
      </c>
      <c r="L337" s="56">
        <f t="shared" si="66"/>
        <v>558.42416099999332</v>
      </c>
      <c r="M337" s="56">
        <f t="shared" si="67"/>
        <v>23.630999999999858</v>
      </c>
      <c r="N337" s="56">
        <f t="shared" si="68"/>
        <v>1.3914820442250435</v>
      </c>
      <c r="O337" s="56">
        <f t="shared" si="77"/>
        <v>1.3914820442250435</v>
      </c>
      <c r="P337" s="143">
        <f t="shared" si="69"/>
        <v>1.7834716981131968</v>
      </c>
      <c r="Q337" s="143">
        <f t="shared" si="70"/>
        <v>1.7834716981131968</v>
      </c>
      <c r="R337" s="34">
        <v>1362.5440000000001</v>
      </c>
      <c r="S337" s="56">
        <f t="shared" si="71"/>
        <v>37.544000000000096</v>
      </c>
      <c r="T337" s="56">
        <f t="shared" si="72"/>
        <v>1409.5519360000073</v>
      </c>
      <c r="U337" s="56">
        <f t="shared" si="73"/>
        <v>37.544000000000096</v>
      </c>
      <c r="V337" s="56">
        <f t="shared" si="74"/>
        <v>1.5859567826542693</v>
      </c>
      <c r="W337" s="33">
        <f t="shared" si="75"/>
        <v>2.8335094339622713</v>
      </c>
      <c r="X337" s="143">
        <f t="shared" si="76"/>
        <v>2.8335094339622713</v>
      </c>
    </row>
    <row r="338" spans="1:24" ht="16" x14ac:dyDescent="0.2">
      <c r="A338" t="s">
        <v>842</v>
      </c>
      <c r="B338" s="224" t="s">
        <v>512</v>
      </c>
      <c r="C338" s="224" t="s">
        <v>824</v>
      </c>
      <c r="D338" s="35" t="s">
        <v>148</v>
      </c>
      <c r="E338" s="35" t="s">
        <v>661</v>
      </c>
      <c r="F338" s="35" t="s">
        <v>374</v>
      </c>
      <c r="G338" s="35" t="s">
        <v>627</v>
      </c>
      <c r="H338" s="35" t="s">
        <v>580</v>
      </c>
      <c r="I338" s="147">
        <v>2435</v>
      </c>
      <c r="J338" s="34">
        <v>2326.1839999999997</v>
      </c>
      <c r="K338" s="34">
        <f t="shared" si="65"/>
        <v>-108.81600000000026</v>
      </c>
      <c r="L338" s="56">
        <f t="shared" si="66"/>
        <v>11840.921856000055</v>
      </c>
      <c r="M338" s="56">
        <f t="shared" si="67"/>
        <v>108.81600000000026</v>
      </c>
      <c r="N338" s="56">
        <f t="shared" si="68"/>
        <v>2.0406656206739853</v>
      </c>
      <c r="O338" s="56">
        <f t="shared" si="77"/>
        <v>-2.0406656206739853</v>
      </c>
      <c r="P338" s="143">
        <f t="shared" si="69"/>
        <v>-4.4688295687885118</v>
      </c>
      <c r="Q338" s="143">
        <f t="shared" si="70"/>
        <v>4.4688295687885118</v>
      </c>
      <c r="R338" s="34">
        <v>2323.3599999999997</v>
      </c>
      <c r="S338" s="56">
        <f t="shared" si="71"/>
        <v>-111.64000000000033</v>
      </c>
      <c r="T338" s="56">
        <f t="shared" si="72"/>
        <v>12463.489600000074</v>
      </c>
      <c r="U338" s="56">
        <f t="shared" si="73"/>
        <v>111.64000000000033</v>
      </c>
      <c r="V338" s="56">
        <f t="shared" si="74"/>
        <v>2.0516926417980383</v>
      </c>
      <c r="W338" s="33">
        <f t="shared" si="75"/>
        <v>-4.5848049281314305</v>
      </c>
      <c r="X338" s="143">
        <f t="shared" si="76"/>
        <v>4.5848049281314305</v>
      </c>
    </row>
    <row r="339" spans="1:24" ht="16" x14ac:dyDescent="0.2">
      <c r="A339" t="s">
        <v>843</v>
      </c>
      <c r="B339" s="224" t="s">
        <v>512</v>
      </c>
      <c r="C339" s="224" t="s">
        <v>824</v>
      </c>
      <c r="D339" s="35" t="s">
        <v>148</v>
      </c>
      <c r="E339" s="35" t="s">
        <v>661</v>
      </c>
      <c r="F339" s="35" t="s">
        <v>494</v>
      </c>
      <c r="G339" s="35" t="s">
        <v>626</v>
      </c>
      <c r="H339" s="35" t="s">
        <v>580</v>
      </c>
      <c r="I339" s="147">
        <v>1126</v>
      </c>
      <c r="J339" s="34">
        <v>1190.5585999999998</v>
      </c>
      <c r="K339" s="34">
        <f t="shared" si="65"/>
        <v>64.558599999999842</v>
      </c>
      <c r="L339" s="56">
        <f t="shared" si="66"/>
        <v>4167.8128339599798</v>
      </c>
      <c r="M339" s="56">
        <f t="shared" si="67"/>
        <v>64.558599999999842</v>
      </c>
      <c r="N339" s="56">
        <f t="shared" si="68"/>
        <v>1.8166296706646798</v>
      </c>
      <c r="O339" s="56">
        <f t="shared" si="77"/>
        <v>1.8166296706646798</v>
      </c>
      <c r="P339" s="143">
        <f t="shared" si="69"/>
        <v>5.7334458259324901</v>
      </c>
      <c r="Q339" s="143">
        <f t="shared" si="70"/>
        <v>5.7334458259324901</v>
      </c>
      <c r="R339" s="34">
        <v>1210.4148</v>
      </c>
      <c r="S339" s="56">
        <f t="shared" si="71"/>
        <v>84.414800000000014</v>
      </c>
      <c r="T339" s="56">
        <f t="shared" si="72"/>
        <v>7125.8584590400023</v>
      </c>
      <c r="U339" s="56">
        <f t="shared" si="73"/>
        <v>84.414800000000014</v>
      </c>
      <c r="V339" s="56">
        <f t="shared" si="74"/>
        <v>1.9315331283171293</v>
      </c>
      <c r="W339" s="33">
        <f t="shared" si="75"/>
        <v>7.4968738898756673</v>
      </c>
      <c r="X339" s="143">
        <f t="shared" si="76"/>
        <v>7.4968738898756673</v>
      </c>
    </row>
    <row r="340" spans="1:24" ht="16" x14ac:dyDescent="0.2">
      <c r="A340" t="s">
        <v>844</v>
      </c>
      <c r="B340" s="224" t="s">
        <v>512</v>
      </c>
      <c r="C340" s="224" t="s">
        <v>824</v>
      </c>
      <c r="D340" s="35" t="s">
        <v>148</v>
      </c>
      <c r="E340" s="35" t="s">
        <v>661</v>
      </c>
      <c r="F340" s="225" t="s">
        <v>494</v>
      </c>
      <c r="G340" s="35" t="s">
        <v>626</v>
      </c>
      <c r="H340" s="35" t="s">
        <v>580</v>
      </c>
      <c r="I340" s="147">
        <v>1028</v>
      </c>
      <c r="J340" s="34">
        <v>1107.3625999999999</v>
      </c>
      <c r="K340" s="34">
        <f t="shared" si="65"/>
        <v>79.362599999999929</v>
      </c>
      <c r="L340" s="56">
        <f t="shared" si="66"/>
        <v>6298.4222787599892</v>
      </c>
      <c r="M340" s="56">
        <f t="shared" si="67"/>
        <v>79.362599999999929</v>
      </c>
      <c r="N340" s="56">
        <f t="shared" si="68"/>
        <v>1.9050539791885381</v>
      </c>
      <c r="O340" s="56">
        <f t="shared" si="77"/>
        <v>1.9050539791885381</v>
      </c>
      <c r="P340" s="143">
        <f t="shared" si="69"/>
        <v>7.7200972762645845</v>
      </c>
      <c r="Q340" s="143">
        <f t="shared" si="70"/>
        <v>7.7200972762645845</v>
      </c>
      <c r="R340" s="34">
        <v>1114.3332</v>
      </c>
      <c r="S340" s="56">
        <f t="shared" si="71"/>
        <v>86.333200000000033</v>
      </c>
      <c r="T340" s="56">
        <f t="shared" si="72"/>
        <v>7453.421422240006</v>
      </c>
      <c r="U340" s="56">
        <f t="shared" si="73"/>
        <v>86.333200000000033</v>
      </c>
      <c r="V340" s="56">
        <f t="shared" si="74"/>
        <v>1.9411793735545666</v>
      </c>
      <c r="W340" s="33">
        <f t="shared" si="75"/>
        <v>8.398171206225685</v>
      </c>
      <c r="X340" s="143">
        <f t="shared" si="76"/>
        <v>8.398171206225685</v>
      </c>
    </row>
    <row r="341" spans="1:24" ht="16" x14ac:dyDescent="0.2">
      <c r="A341" t="s">
        <v>845</v>
      </c>
      <c r="B341" s="224" t="s">
        <v>512</v>
      </c>
      <c r="C341" s="224" t="s">
        <v>824</v>
      </c>
      <c r="D341" s="35" t="s">
        <v>148</v>
      </c>
      <c r="E341" s="35" t="s">
        <v>661</v>
      </c>
      <c r="F341" s="225" t="s">
        <v>494</v>
      </c>
      <c r="G341" s="35" t="s">
        <v>626</v>
      </c>
      <c r="H341" s="35" t="s">
        <v>580</v>
      </c>
      <c r="I341" s="147">
        <v>1059</v>
      </c>
      <c r="J341" s="34">
        <v>1148.9605999999999</v>
      </c>
      <c r="K341" s="34">
        <f t="shared" si="65"/>
        <v>89.960599999999886</v>
      </c>
      <c r="L341" s="56">
        <f t="shared" si="66"/>
        <v>8092.9095523599799</v>
      </c>
      <c r="M341" s="56">
        <f t="shared" si="67"/>
        <v>89.960599999999886</v>
      </c>
      <c r="N341" s="56">
        <f t="shared" si="68"/>
        <v>1.9588533164095561</v>
      </c>
      <c r="O341" s="56">
        <f t="shared" si="77"/>
        <v>1.9588533164095561</v>
      </c>
      <c r="P341" s="143">
        <f t="shared" si="69"/>
        <v>8.4948630783758148</v>
      </c>
      <c r="Q341" s="143">
        <f t="shared" si="70"/>
        <v>8.4948630783758148</v>
      </c>
      <c r="R341" s="34">
        <v>1142.357</v>
      </c>
      <c r="S341" s="56">
        <f t="shared" si="71"/>
        <v>83.356999999999971</v>
      </c>
      <c r="T341" s="56">
        <f t="shared" si="72"/>
        <v>6948.3894489999948</v>
      </c>
      <c r="U341" s="56">
        <f t="shared" si="73"/>
        <v>83.356999999999971</v>
      </c>
      <c r="V341" s="56">
        <f t="shared" si="74"/>
        <v>1.9261211264655906</v>
      </c>
      <c r="W341" s="33">
        <f t="shared" si="75"/>
        <v>7.8712936732766732</v>
      </c>
      <c r="X341" s="143">
        <f t="shared" si="76"/>
        <v>7.8712936732766732</v>
      </c>
    </row>
    <row r="342" spans="1:24" ht="16" x14ac:dyDescent="0.2">
      <c r="A342" t="s">
        <v>846</v>
      </c>
      <c r="B342" s="224" t="s">
        <v>512</v>
      </c>
      <c r="C342" s="224" t="s">
        <v>824</v>
      </c>
      <c r="D342" s="35" t="s">
        <v>148</v>
      </c>
      <c r="E342" s="35" t="s">
        <v>661</v>
      </c>
      <c r="F342" s="35" t="s">
        <v>374</v>
      </c>
      <c r="G342" s="35" t="s">
        <v>626</v>
      </c>
      <c r="H342" s="35" t="s">
        <v>580</v>
      </c>
      <c r="I342" s="147">
        <v>1312</v>
      </c>
      <c r="J342" s="34">
        <v>1344.4712</v>
      </c>
      <c r="K342" s="34">
        <f t="shared" si="65"/>
        <v>32.471199999999953</v>
      </c>
      <c r="L342" s="56">
        <f t="shared" si="66"/>
        <v>1054.3788294399969</v>
      </c>
      <c r="M342" s="56">
        <f t="shared" si="67"/>
        <v>32.471199999999953</v>
      </c>
      <c r="N342" s="56">
        <f t="shared" si="68"/>
        <v>1.5246712828398814</v>
      </c>
      <c r="O342" s="56">
        <f t="shared" si="77"/>
        <v>1.5246712828398814</v>
      </c>
      <c r="P342" s="143">
        <f t="shared" si="69"/>
        <v>2.4749390243902405</v>
      </c>
      <c r="Q342" s="143">
        <f t="shared" si="70"/>
        <v>2.4749390243902405</v>
      </c>
      <c r="R342" s="34">
        <v>1350.5337999999999</v>
      </c>
      <c r="S342" s="56">
        <f t="shared" si="71"/>
        <v>38.533799999999928</v>
      </c>
      <c r="T342" s="56">
        <f t="shared" si="72"/>
        <v>1484.8537424399944</v>
      </c>
      <c r="U342" s="56">
        <f t="shared" si="73"/>
        <v>38.533799999999928</v>
      </c>
      <c r="V342" s="56">
        <f t="shared" si="74"/>
        <v>1.5969685608573672</v>
      </c>
      <c r="W342" s="33">
        <f t="shared" si="75"/>
        <v>2.9370274390243849</v>
      </c>
      <c r="X342" s="143">
        <f t="shared" si="76"/>
        <v>2.9370274390243849</v>
      </c>
    </row>
    <row r="343" spans="1:24" ht="16" x14ac:dyDescent="0.2">
      <c r="A343" t="s">
        <v>847</v>
      </c>
      <c r="B343" s="224" t="s">
        <v>512</v>
      </c>
      <c r="C343" s="224" t="s">
        <v>824</v>
      </c>
      <c r="D343" s="35" t="s">
        <v>148</v>
      </c>
      <c r="E343" s="35" t="s">
        <v>661</v>
      </c>
      <c r="F343" s="35" t="s">
        <v>494</v>
      </c>
      <c r="G343" s="35" t="s">
        <v>626</v>
      </c>
      <c r="H343" s="35" t="s">
        <v>580</v>
      </c>
      <c r="I343" s="147">
        <v>1170</v>
      </c>
      <c r="J343" s="34">
        <v>1269.5947999999999</v>
      </c>
      <c r="K343" s="34">
        <f t="shared" si="65"/>
        <v>99.59479999999985</v>
      </c>
      <c r="L343" s="56">
        <f t="shared" si="66"/>
        <v>9919.1241870399699</v>
      </c>
      <c r="M343" s="56">
        <f t="shared" si="67"/>
        <v>99.59479999999985</v>
      </c>
      <c r="N343" s="56">
        <f t="shared" si="68"/>
        <v>2.002575531518374</v>
      </c>
      <c r="O343" s="56">
        <f t="shared" si="77"/>
        <v>2.002575531518374</v>
      </c>
      <c r="P343" s="143">
        <f t="shared" si="69"/>
        <v>8.5123760683760548</v>
      </c>
      <c r="Q343" s="143">
        <f t="shared" si="70"/>
        <v>8.5123760683760548</v>
      </c>
      <c r="R343" s="34">
        <v>1274.4692</v>
      </c>
      <c r="S343" s="56">
        <f t="shared" si="71"/>
        <v>104.4692</v>
      </c>
      <c r="T343" s="56">
        <f t="shared" si="72"/>
        <v>10913.813748640001</v>
      </c>
      <c r="U343" s="56">
        <f t="shared" si="73"/>
        <v>104.4692</v>
      </c>
      <c r="V343" s="56">
        <f t="shared" si="74"/>
        <v>2.0231256518329741</v>
      </c>
      <c r="W343" s="33">
        <f t="shared" si="75"/>
        <v>8.9289914529914522</v>
      </c>
      <c r="X343" s="143">
        <f t="shared" si="76"/>
        <v>8.9289914529914522</v>
      </c>
    </row>
    <row r="344" spans="1:24" ht="16" x14ac:dyDescent="0.2">
      <c r="A344" t="s">
        <v>848</v>
      </c>
      <c r="B344" s="224" t="s">
        <v>512</v>
      </c>
      <c r="C344" s="224" t="s">
        <v>824</v>
      </c>
      <c r="D344" s="35" t="s">
        <v>148</v>
      </c>
      <c r="E344" s="35" t="s">
        <v>661</v>
      </c>
      <c r="F344" s="35" t="s">
        <v>374</v>
      </c>
      <c r="G344" s="35" t="s">
        <v>626</v>
      </c>
      <c r="H344" s="35" t="s">
        <v>580</v>
      </c>
      <c r="I344" s="147">
        <v>1244</v>
      </c>
      <c r="J344" s="34">
        <v>1327.8319999999999</v>
      </c>
      <c r="K344" s="34">
        <f t="shared" si="65"/>
        <v>83.83199999999988</v>
      </c>
      <c r="L344" s="56">
        <f t="shared" si="66"/>
        <v>7027.8042239999795</v>
      </c>
      <c r="M344" s="56">
        <f t="shared" si="67"/>
        <v>83.83199999999988</v>
      </c>
      <c r="N344" s="56">
        <f t="shared" si="68"/>
        <v>1.9285597060529989</v>
      </c>
      <c r="O344" s="56">
        <f t="shared" si="77"/>
        <v>1.9285597060529989</v>
      </c>
      <c r="P344" s="143">
        <f t="shared" si="69"/>
        <v>6.738906752411566</v>
      </c>
      <c r="Q344" s="143">
        <f t="shared" si="70"/>
        <v>6.738906752411566</v>
      </c>
      <c r="R344" s="34">
        <v>1330.5168000000001</v>
      </c>
      <c r="S344" s="56">
        <f t="shared" si="71"/>
        <v>86.516800000000103</v>
      </c>
      <c r="T344" s="56">
        <f t="shared" si="72"/>
        <v>7485.1566822400182</v>
      </c>
      <c r="U344" s="56">
        <f t="shared" si="73"/>
        <v>86.516800000000103</v>
      </c>
      <c r="V344" s="56">
        <f t="shared" si="74"/>
        <v>1.9420914295589478</v>
      </c>
      <c r="W344" s="33">
        <f t="shared" si="75"/>
        <v>6.9547266881029026</v>
      </c>
      <c r="X344" s="143">
        <f t="shared" si="76"/>
        <v>6.9547266881029026</v>
      </c>
    </row>
    <row r="345" spans="1:24" ht="16" x14ac:dyDescent="0.2">
      <c r="A345" t="s">
        <v>849</v>
      </c>
      <c r="B345" s="224" t="s">
        <v>512</v>
      </c>
      <c r="C345" s="224" t="s">
        <v>824</v>
      </c>
      <c r="D345" s="35" t="s">
        <v>148</v>
      </c>
      <c r="E345" s="35" t="s">
        <v>661</v>
      </c>
      <c r="F345" s="35" t="s">
        <v>374</v>
      </c>
      <c r="G345" s="35" t="s">
        <v>626</v>
      </c>
      <c r="H345" s="35" t="s">
        <v>580</v>
      </c>
      <c r="I345" s="147">
        <v>1413</v>
      </c>
      <c r="J345" s="34">
        <v>1415.1877999999999</v>
      </c>
      <c r="K345" s="34">
        <f t="shared" si="65"/>
        <v>2.1877999999999247</v>
      </c>
      <c r="L345" s="56">
        <f t="shared" si="66"/>
        <v>4.7864688399996709</v>
      </c>
      <c r="M345" s="56">
        <f t="shared" si="67"/>
        <v>2.1877999999999247</v>
      </c>
      <c r="N345" s="56">
        <f t="shared" si="68"/>
        <v>0.50349106629337059</v>
      </c>
      <c r="O345" s="56">
        <f t="shared" si="77"/>
        <v>0.50349106629337059</v>
      </c>
      <c r="P345" s="143">
        <f t="shared" si="69"/>
        <v>0.15483368719036975</v>
      </c>
      <c r="Q345" s="143">
        <f t="shared" si="70"/>
        <v>0.15483368719036975</v>
      </c>
      <c r="R345" s="34">
        <v>1430.6018000000001</v>
      </c>
      <c r="S345" s="56">
        <f t="shared" si="71"/>
        <v>17.601800000000139</v>
      </c>
      <c r="T345" s="56">
        <f t="shared" si="72"/>
        <v>309.82336324000488</v>
      </c>
      <c r="U345" s="56">
        <f t="shared" si="73"/>
        <v>17.601800000000139</v>
      </c>
      <c r="V345" s="56">
        <f t="shared" si="74"/>
        <v>1.2695549706826625</v>
      </c>
      <c r="W345" s="33">
        <f t="shared" si="75"/>
        <v>1.2457041755131026</v>
      </c>
      <c r="X345" s="143">
        <f t="shared" si="76"/>
        <v>1.2457041755131026</v>
      </c>
    </row>
    <row r="346" spans="1:24" ht="16" x14ac:dyDescent="0.2">
      <c r="A346" t="s">
        <v>850</v>
      </c>
      <c r="B346" s="224" t="s">
        <v>512</v>
      </c>
      <c r="C346" s="224" t="s">
        <v>824</v>
      </c>
      <c r="D346" s="35" t="s">
        <v>148</v>
      </c>
      <c r="E346" s="35" t="s">
        <v>661</v>
      </c>
      <c r="F346" s="35" t="s">
        <v>374</v>
      </c>
      <c r="G346" s="35" t="s">
        <v>626</v>
      </c>
      <c r="H346" s="35" t="s">
        <v>580</v>
      </c>
      <c r="I346" s="147">
        <v>1240</v>
      </c>
      <c r="J346" s="34">
        <v>1261.2752</v>
      </c>
      <c r="K346" s="34">
        <f t="shared" si="65"/>
        <v>21.275200000000041</v>
      </c>
      <c r="L346" s="56">
        <f t="shared" si="66"/>
        <v>452.63413504000175</v>
      </c>
      <c r="M346" s="56">
        <f t="shared" si="67"/>
        <v>21.275200000000041</v>
      </c>
      <c r="N346" s="56">
        <f t="shared" si="68"/>
        <v>1.3478216120806952</v>
      </c>
      <c r="O346" s="56">
        <f t="shared" si="77"/>
        <v>1.3478216120806952</v>
      </c>
      <c r="P346" s="143">
        <f t="shared" si="69"/>
        <v>1.7157419354838743</v>
      </c>
      <c r="Q346" s="143">
        <f t="shared" si="70"/>
        <v>1.7157419354838743</v>
      </c>
      <c r="R346" s="34">
        <v>1262.4590000000001</v>
      </c>
      <c r="S346" s="56">
        <f t="shared" si="71"/>
        <v>22.45900000000006</v>
      </c>
      <c r="T346" s="56">
        <f t="shared" si="72"/>
        <v>504.40668100000272</v>
      </c>
      <c r="U346" s="56">
        <f t="shared" si="73"/>
        <v>22.45900000000006</v>
      </c>
      <c r="V346" s="56">
        <f t="shared" si="74"/>
        <v>1.3703094952587005</v>
      </c>
      <c r="W346" s="33">
        <f t="shared" si="75"/>
        <v>1.8112096774193598</v>
      </c>
      <c r="X346" s="143">
        <f t="shared" si="76"/>
        <v>1.8112096774193598</v>
      </c>
    </row>
    <row r="347" spans="1:24" ht="16" x14ac:dyDescent="0.2">
      <c r="A347" t="s">
        <v>851</v>
      </c>
      <c r="B347" s="224" t="s">
        <v>512</v>
      </c>
      <c r="C347" s="224" t="s">
        <v>824</v>
      </c>
      <c r="D347" s="35" t="s">
        <v>148</v>
      </c>
      <c r="E347" s="35" t="s">
        <v>661</v>
      </c>
      <c r="F347" s="35" t="s">
        <v>374</v>
      </c>
      <c r="G347" s="35" t="s">
        <v>627</v>
      </c>
      <c r="H347" s="35" t="s">
        <v>580</v>
      </c>
      <c r="I347" s="147">
        <v>1622</v>
      </c>
      <c r="J347" s="34">
        <v>1556.6209999999999</v>
      </c>
      <c r="K347" s="34">
        <f t="shared" si="65"/>
        <v>-65.379000000000133</v>
      </c>
      <c r="L347" s="56">
        <f t="shared" si="66"/>
        <v>4274.4136410000174</v>
      </c>
      <c r="M347" s="56">
        <f t="shared" si="67"/>
        <v>65.379000000000133</v>
      </c>
      <c r="N347" s="56">
        <f t="shared" si="68"/>
        <v>1.8220307054731102</v>
      </c>
      <c r="O347" s="56">
        <f t="shared" si="77"/>
        <v>-1.8220307054731102</v>
      </c>
      <c r="P347" s="143">
        <f t="shared" si="69"/>
        <v>-4.0307644882860751</v>
      </c>
      <c r="Q347" s="143">
        <f t="shared" si="70"/>
        <v>4.0307644882860751</v>
      </c>
      <c r="R347" s="34">
        <v>1570.7208000000001</v>
      </c>
      <c r="S347" s="56">
        <f t="shared" si="71"/>
        <v>-51.279199999999946</v>
      </c>
      <c r="T347" s="56">
        <f t="shared" si="72"/>
        <v>2629.5563526399947</v>
      </c>
      <c r="U347" s="56">
        <f t="shared" si="73"/>
        <v>51.279199999999946</v>
      </c>
      <c r="V347" s="56">
        <f t="shared" si="74"/>
        <v>1.7183289331884639</v>
      </c>
      <c r="W347" s="33">
        <f t="shared" si="75"/>
        <v>-3.1614796547472221</v>
      </c>
      <c r="X347" s="143">
        <f t="shared" si="76"/>
        <v>3.1614796547472221</v>
      </c>
    </row>
    <row r="348" spans="1:24" ht="16" x14ac:dyDescent="0.2">
      <c r="A348" t="s">
        <v>852</v>
      </c>
      <c r="B348" s="224" t="s">
        <v>512</v>
      </c>
      <c r="C348" s="224" t="s">
        <v>824</v>
      </c>
      <c r="D348" s="35" t="s">
        <v>148</v>
      </c>
      <c r="E348" s="35" t="s">
        <v>661</v>
      </c>
      <c r="F348" s="35" t="s">
        <v>374</v>
      </c>
      <c r="G348" s="35" t="s">
        <v>626</v>
      </c>
      <c r="H348" s="35" t="s">
        <v>580</v>
      </c>
      <c r="I348" s="147">
        <v>1210</v>
      </c>
      <c r="J348" s="34">
        <v>1211.3576</v>
      </c>
      <c r="K348" s="34">
        <f t="shared" si="65"/>
        <v>1.3576000000000477</v>
      </c>
      <c r="L348" s="56">
        <f t="shared" si="66"/>
        <v>1.8430777600001294</v>
      </c>
      <c r="M348" s="56">
        <f t="shared" si="67"/>
        <v>1.3576000000000477</v>
      </c>
      <c r="N348" s="56">
        <f t="shared" si="68"/>
        <v>0.37247012284187753</v>
      </c>
      <c r="O348" s="56">
        <f t="shared" si="77"/>
        <v>0.37247012284187753</v>
      </c>
      <c r="P348" s="143">
        <f t="shared" si="69"/>
        <v>0.11219834710744196</v>
      </c>
      <c r="Q348" s="143">
        <f t="shared" si="70"/>
        <v>0.11219834710744196</v>
      </c>
      <c r="R348" s="34">
        <v>1222.425</v>
      </c>
      <c r="S348" s="56">
        <f t="shared" si="71"/>
        <v>12.424999999999955</v>
      </c>
      <c r="T348" s="56">
        <f t="shared" si="72"/>
        <v>154.38062499999887</v>
      </c>
      <c r="U348" s="56">
        <f t="shared" si="73"/>
        <v>12.424999999999955</v>
      </c>
      <c r="V348" s="56">
        <f t="shared" si="74"/>
        <v>1.1279142943715919</v>
      </c>
      <c r="W348" s="33">
        <f t="shared" si="75"/>
        <v>1.0268595041322277</v>
      </c>
      <c r="X348" s="143">
        <f t="shared" si="76"/>
        <v>1.0268595041322277</v>
      </c>
    </row>
    <row r="349" spans="1:24" ht="16" x14ac:dyDescent="0.2">
      <c r="A349" t="s">
        <v>853</v>
      </c>
      <c r="B349" s="224" t="s">
        <v>512</v>
      </c>
      <c r="C349" s="224" t="s">
        <v>824</v>
      </c>
      <c r="D349" s="35" t="s">
        <v>148</v>
      </c>
      <c r="E349" s="35" t="s">
        <v>661</v>
      </c>
      <c r="F349" s="35" t="s">
        <v>374</v>
      </c>
      <c r="G349" s="35" t="s">
        <v>626</v>
      </c>
      <c r="H349" s="35" t="s">
        <v>580</v>
      </c>
      <c r="I349" s="147">
        <v>1274</v>
      </c>
      <c r="J349" s="34">
        <v>1302.8732</v>
      </c>
      <c r="K349" s="34">
        <f t="shared" si="65"/>
        <v>28.873199999999997</v>
      </c>
      <c r="L349" s="56">
        <f t="shared" si="66"/>
        <v>833.66167823999979</v>
      </c>
      <c r="M349" s="56">
        <f t="shared" si="67"/>
        <v>28.873199999999997</v>
      </c>
      <c r="N349" s="56">
        <f t="shared" si="68"/>
        <v>1.4752817464710595</v>
      </c>
      <c r="O349" s="56">
        <f t="shared" si="77"/>
        <v>1.4752817464710595</v>
      </c>
      <c r="P349" s="143">
        <f t="shared" si="69"/>
        <v>2.2663422291993718</v>
      </c>
      <c r="Q349" s="143">
        <f t="shared" si="70"/>
        <v>2.2663422291993718</v>
      </c>
      <c r="R349" s="34">
        <v>1306.4964</v>
      </c>
      <c r="S349" s="56">
        <f t="shared" si="71"/>
        <v>32.496399999999994</v>
      </c>
      <c r="T349" s="56">
        <f t="shared" si="72"/>
        <v>1056.0160129599997</v>
      </c>
      <c r="U349" s="56">
        <f t="shared" si="73"/>
        <v>32.496399999999994</v>
      </c>
      <c r="V349" s="56">
        <f t="shared" si="74"/>
        <v>1.5249981340772127</v>
      </c>
      <c r="W349" s="33">
        <f t="shared" si="75"/>
        <v>2.550737833594976</v>
      </c>
      <c r="X349" s="143">
        <f t="shared" si="76"/>
        <v>2.550737833594976</v>
      </c>
    </row>
    <row r="350" spans="1:24" ht="16" x14ac:dyDescent="0.2">
      <c r="A350" t="s">
        <v>854</v>
      </c>
      <c r="B350" s="224" t="s">
        <v>512</v>
      </c>
      <c r="C350" s="224" t="s">
        <v>824</v>
      </c>
      <c r="D350" s="35" t="s">
        <v>148</v>
      </c>
      <c r="E350" s="35" t="s">
        <v>661</v>
      </c>
      <c r="F350" s="35" t="s">
        <v>374</v>
      </c>
      <c r="G350" s="35" t="s">
        <v>626</v>
      </c>
      <c r="H350" s="35" t="s">
        <v>580</v>
      </c>
      <c r="I350" s="147">
        <v>1340</v>
      </c>
      <c r="J350" s="34">
        <v>1352.7908</v>
      </c>
      <c r="K350" s="34">
        <f t="shared" si="65"/>
        <v>12.79079999999999</v>
      </c>
      <c r="L350" s="56">
        <f t="shared" si="66"/>
        <v>163.60456463999975</v>
      </c>
      <c r="M350" s="56">
        <f t="shared" si="67"/>
        <v>12.79079999999999</v>
      </c>
      <c r="N350" s="56">
        <f t="shared" si="68"/>
        <v>1.1395894601938343</v>
      </c>
      <c r="O350" s="56">
        <f t="shared" si="77"/>
        <v>1.1395894601938343</v>
      </c>
      <c r="P350" s="143">
        <f t="shared" si="69"/>
        <v>0.9545373134328351</v>
      </c>
      <c r="Q350" s="143">
        <f t="shared" si="70"/>
        <v>0.9545373134328351</v>
      </c>
      <c r="R350" s="34">
        <v>1338.5236</v>
      </c>
      <c r="S350" s="56">
        <f t="shared" si="71"/>
        <v>-1.4764000000000124</v>
      </c>
      <c r="T350" s="56">
        <f t="shared" si="72"/>
        <v>2.1797569600000366</v>
      </c>
      <c r="U350" s="56">
        <f t="shared" si="73"/>
        <v>1.4764000000000124</v>
      </c>
      <c r="V350" s="56">
        <f t="shared" si="74"/>
        <v>0.3938207953408695</v>
      </c>
      <c r="W350" s="33">
        <f t="shared" si="75"/>
        <v>-0.11017910447761287</v>
      </c>
      <c r="X350" s="143">
        <f t="shared" si="76"/>
        <v>0.11017910447761287</v>
      </c>
    </row>
    <row r="351" spans="1:24" ht="16" x14ac:dyDescent="0.2">
      <c r="A351" t="s">
        <v>855</v>
      </c>
      <c r="B351" s="224" t="s">
        <v>512</v>
      </c>
      <c r="C351" s="224" t="s">
        <v>824</v>
      </c>
      <c r="D351" s="35" t="s">
        <v>148</v>
      </c>
      <c r="E351" s="35" t="s">
        <v>661</v>
      </c>
      <c r="F351" s="225" t="s">
        <v>494</v>
      </c>
      <c r="G351" s="35" t="s">
        <v>626</v>
      </c>
      <c r="H351" s="35" t="s">
        <v>580</v>
      </c>
      <c r="I351" s="147">
        <v>980</v>
      </c>
      <c r="J351" s="34">
        <v>1086.5636</v>
      </c>
      <c r="K351" s="34">
        <f t="shared" si="65"/>
        <v>106.56359999999995</v>
      </c>
      <c r="L351" s="56">
        <f t="shared" si="66"/>
        <v>11355.800844959989</v>
      </c>
      <c r="M351" s="56">
        <f t="shared" si="67"/>
        <v>106.56359999999995</v>
      </c>
      <c r="N351" s="56">
        <f t="shared" si="68"/>
        <v>2.0316653290102744</v>
      </c>
      <c r="O351" s="56">
        <f t="shared" si="77"/>
        <v>2.0316653290102744</v>
      </c>
      <c r="P351" s="143">
        <f t="shared" si="69"/>
        <v>10.873836734693873</v>
      </c>
      <c r="Q351" s="143">
        <f t="shared" si="70"/>
        <v>10.873836734693873</v>
      </c>
      <c r="R351" s="34">
        <v>1094.3162</v>
      </c>
      <c r="S351" s="56">
        <f t="shared" si="71"/>
        <v>114.31619999999998</v>
      </c>
      <c r="T351" s="56">
        <f t="shared" si="72"/>
        <v>13068.193582439995</v>
      </c>
      <c r="U351" s="56">
        <f t="shared" si="73"/>
        <v>114.31619999999998</v>
      </c>
      <c r="V351" s="56">
        <f t="shared" si="74"/>
        <v>2.0618903227014087</v>
      </c>
      <c r="W351" s="33">
        <f t="shared" si="75"/>
        <v>11.664918367346937</v>
      </c>
      <c r="X351" s="143">
        <f t="shared" si="76"/>
        <v>11.664918367346937</v>
      </c>
    </row>
    <row r="352" spans="1:24" ht="16" x14ac:dyDescent="0.2">
      <c r="A352" t="s">
        <v>856</v>
      </c>
      <c r="B352" s="224" t="s">
        <v>512</v>
      </c>
      <c r="C352" s="224" t="s">
        <v>824</v>
      </c>
      <c r="D352" s="35" t="s">
        <v>148</v>
      </c>
      <c r="E352" s="35" t="s">
        <v>661</v>
      </c>
      <c r="F352" s="225" t="s">
        <v>494</v>
      </c>
      <c r="G352" s="35" t="s">
        <v>626</v>
      </c>
      <c r="H352" s="35" t="s">
        <v>580</v>
      </c>
      <c r="I352" s="147">
        <v>1098</v>
      </c>
      <c r="J352" s="34">
        <v>1198.8781999999999</v>
      </c>
      <c r="K352" s="34">
        <f t="shared" si="65"/>
        <v>100.87819999999988</v>
      </c>
      <c r="L352" s="56">
        <f t="shared" si="66"/>
        <v>10176.411235239975</v>
      </c>
      <c r="M352" s="56">
        <f t="shared" si="67"/>
        <v>100.87819999999988</v>
      </c>
      <c r="N352" s="56">
        <f t="shared" si="68"/>
        <v>2.0080812631764098</v>
      </c>
      <c r="O352" s="56">
        <f t="shared" si="77"/>
        <v>2.0080812631764098</v>
      </c>
      <c r="P352" s="143">
        <f t="shared" si="69"/>
        <v>9.1874499089253092</v>
      </c>
      <c r="Q352" s="143">
        <f t="shared" si="70"/>
        <v>9.1874499089253092</v>
      </c>
      <c r="R352" s="34">
        <v>1214.4182000000001</v>
      </c>
      <c r="S352" s="56">
        <f t="shared" si="71"/>
        <v>116.41820000000007</v>
      </c>
      <c r="T352" s="56">
        <f t="shared" si="72"/>
        <v>13553.197291240016</v>
      </c>
      <c r="U352" s="56">
        <f t="shared" si="73"/>
        <v>116.41820000000007</v>
      </c>
      <c r="V352" s="56">
        <f t="shared" si="74"/>
        <v>2.069735418435962</v>
      </c>
      <c r="W352" s="33">
        <f t="shared" si="75"/>
        <v>10.602750455373412</v>
      </c>
      <c r="X352" s="143">
        <f t="shared" si="76"/>
        <v>10.602750455373412</v>
      </c>
    </row>
    <row r="353" spans="1:24" ht="16" x14ac:dyDescent="0.2">
      <c r="A353" t="s">
        <v>857</v>
      </c>
      <c r="B353" s="224" t="s">
        <v>512</v>
      </c>
      <c r="C353" s="224" t="s">
        <v>824</v>
      </c>
      <c r="D353" s="35" t="s">
        <v>148</v>
      </c>
      <c r="E353" s="35" t="s">
        <v>661</v>
      </c>
      <c r="F353" s="225" t="s">
        <v>494</v>
      </c>
      <c r="G353" s="35" t="s">
        <v>626</v>
      </c>
      <c r="H353" s="35" t="s">
        <v>580</v>
      </c>
      <c r="I353" s="147">
        <v>1022</v>
      </c>
      <c r="J353" s="34">
        <v>1107.3625999999999</v>
      </c>
      <c r="K353" s="34">
        <f t="shared" si="65"/>
        <v>85.362599999999929</v>
      </c>
      <c r="L353" s="56">
        <f t="shared" si="66"/>
        <v>7286.7734787599884</v>
      </c>
      <c r="M353" s="56">
        <f t="shared" si="67"/>
        <v>85.362599999999929</v>
      </c>
      <c r="N353" s="56">
        <f t="shared" si="68"/>
        <v>1.9363257085655701</v>
      </c>
      <c r="O353" s="56">
        <f t="shared" si="77"/>
        <v>1.9363257085655701</v>
      </c>
      <c r="P353" s="143">
        <f t="shared" si="69"/>
        <v>8.3525048923678984</v>
      </c>
      <c r="Q353" s="143">
        <f t="shared" si="70"/>
        <v>8.3525048923678984</v>
      </c>
      <c r="R353" s="34">
        <v>1110.3298</v>
      </c>
      <c r="S353" s="56">
        <f t="shared" si="71"/>
        <v>88.329799999999977</v>
      </c>
      <c r="T353" s="56">
        <f t="shared" si="72"/>
        <v>7802.1535680399957</v>
      </c>
      <c r="U353" s="56">
        <f t="shared" si="73"/>
        <v>88.329799999999977</v>
      </c>
      <c r="V353" s="56">
        <f t="shared" si="74"/>
        <v>1.9509963616503563</v>
      </c>
      <c r="W353" s="33">
        <f t="shared" si="75"/>
        <v>8.6428375733855169</v>
      </c>
      <c r="X353" s="143">
        <f t="shared" si="76"/>
        <v>8.6428375733855169</v>
      </c>
    </row>
    <row r="354" spans="1:24" ht="16" x14ac:dyDescent="0.2">
      <c r="A354" t="s">
        <v>858</v>
      </c>
      <c r="B354" s="224" t="s">
        <v>512</v>
      </c>
      <c r="C354" s="224" t="s">
        <v>824</v>
      </c>
      <c r="D354" s="35" t="s">
        <v>148</v>
      </c>
      <c r="E354" s="35" t="s">
        <v>661</v>
      </c>
      <c r="F354" s="225" t="s">
        <v>494</v>
      </c>
      <c r="G354" s="35" t="s">
        <v>626</v>
      </c>
      <c r="H354" s="35" t="s">
        <v>580</v>
      </c>
      <c r="I354" s="147">
        <v>1062</v>
      </c>
      <c r="J354" s="34">
        <v>1227.9967999999999</v>
      </c>
      <c r="K354" s="34">
        <f t="shared" si="65"/>
        <v>165.99679999999989</v>
      </c>
      <c r="L354" s="56">
        <f t="shared" si="66"/>
        <v>27554.937610239966</v>
      </c>
      <c r="M354" s="56">
        <f t="shared" si="67"/>
        <v>165.99679999999989</v>
      </c>
      <c r="N354" s="56">
        <f t="shared" si="68"/>
        <v>2.2227081492574206</v>
      </c>
      <c r="O354" s="56">
        <f t="shared" si="77"/>
        <v>2.2227081492574206</v>
      </c>
      <c r="P354" s="143">
        <f t="shared" si="69"/>
        <v>15.630583804143116</v>
      </c>
      <c r="Q354" s="143">
        <f t="shared" si="70"/>
        <v>15.630583804143116</v>
      </c>
      <c r="R354" s="34">
        <v>1222.425</v>
      </c>
      <c r="S354" s="56">
        <f t="shared" si="71"/>
        <v>160.42499999999995</v>
      </c>
      <c r="T354" s="56">
        <f t="shared" si="72"/>
        <v>25736.180624999986</v>
      </c>
      <c r="U354" s="56">
        <f t="shared" si="73"/>
        <v>160.42499999999995</v>
      </c>
      <c r="V354" s="56">
        <f t="shared" si="74"/>
        <v>2.2079707950778769</v>
      </c>
      <c r="W354" s="33">
        <f t="shared" si="75"/>
        <v>15.105932203389827</v>
      </c>
      <c r="X354" s="143">
        <f t="shared" si="76"/>
        <v>15.105932203389827</v>
      </c>
    </row>
    <row r="355" spans="1:24" ht="16" x14ac:dyDescent="0.2">
      <c r="A355" t="s">
        <v>859</v>
      </c>
      <c r="B355" s="224" t="s">
        <v>512</v>
      </c>
      <c r="C355" s="224" t="s">
        <v>824</v>
      </c>
      <c r="D355" s="35" t="s">
        <v>148</v>
      </c>
      <c r="E355" s="35" t="s">
        <v>661</v>
      </c>
      <c r="F355" s="35" t="s">
        <v>494</v>
      </c>
      <c r="G355" s="35" t="s">
        <v>626</v>
      </c>
      <c r="H355" s="35" t="s">
        <v>580</v>
      </c>
      <c r="I355" s="147">
        <v>1135</v>
      </c>
      <c r="J355" s="34">
        <v>1182.239</v>
      </c>
      <c r="K355" s="34">
        <f t="shared" si="65"/>
        <v>47.239000000000033</v>
      </c>
      <c r="L355" s="56">
        <f t="shared" si="66"/>
        <v>2231.5231210000029</v>
      </c>
      <c r="M355" s="56">
        <f t="shared" si="67"/>
        <v>47.239000000000033</v>
      </c>
      <c r="N355" s="56">
        <f t="shared" si="68"/>
        <v>1.6833982962510139</v>
      </c>
      <c r="O355" s="56">
        <f t="shared" si="77"/>
        <v>1.6833982962510139</v>
      </c>
      <c r="P355" s="143">
        <f t="shared" si="69"/>
        <v>4.1620264317180649</v>
      </c>
      <c r="Q355" s="143">
        <f t="shared" si="70"/>
        <v>4.1620264317180649</v>
      </c>
      <c r="R355" s="34">
        <v>1222.425</v>
      </c>
      <c r="S355" s="56">
        <f t="shared" si="71"/>
        <v>87.424999999999955</v>
      </c>
      <c r="T355" s="56">
        <f t="shared" si="72"/>
        <v>7643.1306249999916</v>
      </c>
      <c r="U355" s="56">
        <f t="shared" si="73"/>
        <v>87.424999999999955</v>
      </c>
      <c r="V355" s="56">
        <f t="shared" si="74"/>
        <v>1.9465750684867889</v>
      </c>
      <c r="W355" s="33">
        <f t="shared" si="75"/>
        <v>7.7026431718061641</v>
      </c>
      <c r="X355" s="143">
        <f t="shared" si="76"/>
        <v>7.7026431718061641</v>
      </c>
    </row>
    <row r="356" spans="1:24" ht="16" x14ac:dyDescent="0.2">
      <c r="A356" t="s">
        <v>860</v>
      </c>
      <c r="B356" s="224" t="s">
        <v>512</v>
      </c>
      <c r="C356" s="224" t="s">
        <v>824</v>
      </c>
      <c r="D356" s="35" t="s">
        <v>148</v>
      </c>
      <c r="E356" s="35" t="s">
        <v>661</v>
      </c>
      <c r="F356" s="35" t="s">
        <v>494</v>
      </c>
      <c r="G356" s="35" t="s">
        <v>626</v>
      </c>
      <c r="H356" s="35" t="s">
        <v>580</v>
      </c>
      <c r="I356" s="147">
        <v>1029</v>
      </c>
      <c r="J356" s="34">
        <v>1124.0017999999998</v>
      </c>
      <c r="K356" s="34">
        <f t="shared" si="65"/>
        <v>95.001799999999776</v>
      </c>
      <c r="L356" s="56">
        <f t="shared" si="66"/>
        <v>9025.3420032399572</v>
      </c>
      <c r="M356" s="56">
        <f t="shared" si="67"/>
        <v>95.001799999999776</v>
      </c>
      <c r="N356" s="56">
        <f t="shared" si="68"/>
        <v>1.9822793759847632</v>
      </c>
      <c r="O356" s="56">
        <f t="shared" si="77"/>
        <v>1.9822793759847632</v>
      </c>
      <c r="P356" s="143">
        <f t="shared" si="69"/>
        <v>9.2324392614188326</v>
      </c>
      <c r="Q356" s="143">
        <f t="shared" si="70"/>
        <v>9.2324392614188326</v>
      </c>
      <c r="R356" s="34">
        <v>1122.3399999999999</v>
      </c>
      <c r="S356" s="56">
        <f t="shared" si="71"/>
        <v>93.339999999999918</v>
      </c>
      <c r="T356" s="56">
        <f t="shared" si="72"/>
        <v>8712.3555999999844</v>
      </c>
      <c r="U356" s="56">
        <f t="shared" si="73"/>
        <v>93.339999999999918</v>
      </c>
      <c r="V356" s="56">
        <f t="shared" si="74"/>
        <v>1.9746958719096825</v>
      </c>
      <c r="W356" s="33">
        <f t="shared" si="75"/>
        <v>9.070942662779391</v>
      </c>
      <c r="X356" s="143">
        <f t="shared" si="76"/>
        <v>9.070942662779391</v>
      </c>
    </row>
    <row r="357" spans="1:24" ht="16" x14ac:dyDescent="0.2">
      <c r="A357" t="s">
        <v>861</v>
      </c>
      <c r="B357" s="224" t="s">
        <v>512</v>
      </c>
      <c r="C357" s="224" t="s">
        <v>824</v>
      </c>
      <c r="D357" s="35" t="s">
        <v>148</v>
      </c>
      <c r="E357" s="35" t="s">
        <v>661</v>
      </c>
      <c r="F357" s="35" t="s">
        <v>494</v>
      </c>
      <c r="G357" s="35" t="s">
        <v>626</v>
      </c>
      <c r="H357" s="35" t="s">
        <v>580</v>
      </c>
      <c r="I357" s="147">
        <v>1055</v>
      </c>
      <c r="J357" s="34">
        <v>1169.7595999999999</v>
      </c>
      <c r="K357" s="34">
        <f t="shared" si="65"/>
        <v>114.75959999999986</v>
      </c>
      <c r="L357" s="56">
        <f t="shared" si="66"/>
        <v>13169.765792159969</v>
      </c>
      <c r="M357" s="56">
        <f t="shared" si="67"/>
        <v>114.75959999999986</v>
      </c>
      <c r="N357" s="56">
        <f t="shared" si="68"/>
        <v>2.06355701743637</v>
      </c>
      <c r="O357" s="56">
        <f t="shared" si="77"/>
        <v>2.06355701743637</v>
      </c>
      <c r="P357" s="143">
        <f t="shared" si="69"/>
        <v>10.877687203791456</v>
      </c>
      <c r="Q357" s="143">
        <f t="shared" si="70"/>
        <v>10.877687203791456</v>
      </c>
      <c r="R357" s="34">
        <v>1182.3910000000001</v>
      </c>
      <c r="S357" s="56">
        <f t="shared" si="71"/>
        <v>127.39100000000008</v>
      </c>
      <c r="T357" s="56">
        <f t="shared" si="72"/>
        <v>16228.46688100002</v>
      </c>
      <c r="U357" s="56">
        <f t="shared" si="73"/>
        <v>127.39100000000008</v>
      </c>
      <c r="V357" s="56">
        <f t="shared" si="74"/>
        <v>2.1085345814639176</v>
      </c>
      <c r="W357" s="33">
        <f t="shared" si="75"/>
        <v>12.074976303317543</v>
      </c>
      <c r="X357" s="143">
        <f t="shared" si="76"/>
        <v>12.074976303317543</v>
      </c>
    </row>
    <row r="358" spans="1:24" ht="16" x14ac:dyDescent="0.2">
      <c r="A358" t="s">
        <v>862</v>
      </c>
      <c r="B358" s="224" t="s">
        <v>512</v>
      </c>
      <c r="C358" s="224" t="s">
        <v>824</v>
      </c>
      <c r="D358" s="35" t="s">
        <v>148</v>
      </c>
      <c r="E358" s="35" t="s">
        <v>661</v>
      </c>
      <c r="F358" s="35" t="s">
        <v>374</v>
      </c>
      <c r="G358" s="35" t="s">
        <v>626</v>
      </c>
      <c r="H358" s="35" t="s">
        <v>580</v>
      </c>
      <c r="I358" s="147">
        <v>1280</v>
      </c>
      <c r="J358" s="34">
        <v>1307.0329999999999</v>
      </c>
      <c r="K358" s="34">
        <f t="shared" si="65"/>
        <v>27.032999999999902</v>
      </c>
      <c r="L358" s="56">
        <f t="shared" si="66"/>
        <v>730.78308899999467</v>
      </c>
      <c r="M358" s="56">
        <f t="shared" si="67"/>
        <v>27.032999999999902</v>
      </c>
      <c r="N358" s="56">
        <f t="shared" si="68"/>
        <v>1.4476695770227912</v>
      </c>
      <c r="O358" s="56">
        <f t="shared" si="77"/>
        <v>1.4476695770227912</v>
      </c>
      <c r="P358" s="143">
        <f t="shared" si="69"/>
        <v>2.1119531249999923</v>
      </c>
      <c r="Q358" s="143">
        <f t="shared" si="70"/>
        <v>2.1119531249999923</v>
      </c>
      <c r="R358" s="34">
        <v>1282.4760000000001</v>
      </c>
      <c r="S358" s="56">
        <f t="shared" si="71"/>
        <v>2.4760000000001128</v>
      </c>
      <c r="T358" s="56">
        <f t="shared" si="72"/>
        <v>6.1305760000005582</v>
      </c>
      <c r="U358" s="56">
        <f t="shared" si="73"/>
        <v>2.4760000000001128</v>
      </c>
      <c r="V358" s="56">
        <f t="shared" si="74"/>
        <v>0.54107976777664291</v>
      </c>
      <c r="W358" s="33">
        <f t="shared" si="75"/>
        <v>0.19343750000000881</v>
      </c>
      <c r="X358" s="143">
        <f t="shared" si="76"/>
        <v>0.19343750000000881</v>
      </c>
    </row>
    <row r="359" spans="1:24" ht="16" x14ac:dyDescent="0.2">
      <c r="A359" t="s">
        <v>863</v>
      </c>
      <c r="B359" s="224" t="s">
        <v>512</v>
      </c>
      <c r="C359" s="224" t="s">
        <v>824</v>
      </c>
      <c r="D359" s="35" t="s">
        <v>148</v>
      </c>
      <c r="E359" s="35" t="s">
        <v>661</v>
      </c>
      <c r="F359" s="225" t="s">
        <v>494</v>
      </c>
      <c r="G359" s="35" t="s">
        <v>626</v>
      </c>
      <c r="H359" s="35" t="s">
        <v>580</v>
      </c>
      <c r="I359" s="147">
        <v>1110</v>
      </c>
      <c r="J359" s="34">
        <v>1182.239</v>
      </c>
      <c r="K359" s="34">
        <f t="shared" si="65"/>
        <v>72.239000000000033</v>
      </c>
      <c r="L359" s="56">
        <f t="shared" si="66"/>
        <v>5218.4731210000045</v>
      </c>
      <c r="M359" s="56">
        <f t="shared" si="67"/>
        <v>72.239000000000033</v>
      </c>
      <c r="N359" s="56">
        <f t="shared" si="68"/>
        <v>1.864742405844749</v>
      </c>
      <c r="O359" s="56">
        <f t="shared" si="77"/>
        <v>1.864742405844749</v>
      </c>
      <c r="P359" s="143">
        <f t="shared" si="69"/>
        <v>6.5080180180180207</v>
      </c>
      <c r="Q359" s="143">
        <f t="shared" si="70"/>
        <v>6.5080180180180207</v>
      </c>
      <c r="R359" s="34">
        <v>1182.3910000000001</v>
      </c>
      <c r="S359" s="56">
        <f t="shared" si="71"/>
        <v>72.391000000000076</v>
      </c>
      <c r="T359" s="56">
        <f t="shared" si="72"/>
        <v>5240.456881000011</v>
      </c>
      <c r="U359" s="56">
        <f t="shared" si="73"/>
        <v>72.391000000000076</v>
      </c>
      <c r="V359" s="56">
        <f t="shared" si="74"/>
        <v>1.8656428052840837</v>
      </c>
      <c r="W359" s="33">
        <f t="shared" si="75"/>
        <v>6.5217117117117187</v>
      </c>
      <c r="X359" s="143">
        <f t="shared" si="76"/>
        <v>6.5217117117117187</v>
      </c>
    </row>
    <row r="360" spans="1:24" ht="16" x14ac:dyDescent="0.2">
      <c r="A360" t="s">
        <v>864</v>
      </c>
      <c r="B360" s="224" t="s">
        <v>512</v>
      </c>
      <c r="C360" s="224" t="s">
        <v>824</v>
      </c>
      <c r="D360" s="35" t="s">
        <v>148</v>
      </c>
      <c r="E360" s="35" t="s">
        <v>661</v>
      </c>
      <c r="F360" s="35" t="s">
        <v>374</v>
      </c>
      <c r="G360" s="35" t="s">
        <v>626</v>
      </c>
      <c r="H360" s="35" t="s">
        <v>580</v>
      </c>
      <c r="I360" s="147">
        <v>1460</v>
      </c>
      <c r="J360" s="34">
        <v>1435.9867999999999</v>
      </c>
      <c r="K360" s="34">
        <f t="shared" si="65"/>
        <v>-24.013200000000097</v>
      </c>
      <c r="L360" s="56">
        <f t="shared" si="66"/>
        <v>576.63377424000464</v>
      </c>
      <c r="M360" s="56">
        <f t="shared" si="67"/>
        <v>24.013200000000097</v>
      </c>
      <c r="N360" s="56">
        <f t="shared" si="68"/>
        <v>1.3981692556426084</v>
      </c>
      <c r="O360" s="56">
        <f t="shared" si="77"/>
        <v>-1.3981692556426084</v>
      </c>
      <c r="P360" s="143">
        <f t="shared" si="69"/>
        <v>-1.6447397260274039</v>
      </c>
      <c r="Q360" s="143">
        <f t="shared" si="70"/>
        <v>1.6447397260274039</v>
      </c>
      <c r="R360" s="34">
        <v>1446.6154000000001</v>
      </c>
      <c r="S360" s="56">
        <f t="shared" si="71"/>
        <v>-13.384599999999864</v>
      </c>
      <c r="T360" s="56">
        <f t="shared" si="72"/>
        <v>179.14751715999637</v>
      </c>
      <c r="U360" s="56">
        <f t="shared" si="73"/>
        <v>13.384599999999864</v>
      </c>
      <c r="V360" s="56">
        <f t="shared" si="74"/>
        <v>1.1578977897433329</v>
      </c>
      <c r="W360" s="33">
        <f t="shared" si="75"/>
        <v>-0.91675342465752496</v>
      </c>
      <c r="X360" s="143">
        <f t="shared" si="76"/>
        <v>0.91675342465752496</v>
      </c>
    </row>
    <row r="361" spans="1:24" ht="16" x14ac:dyDescent="0.2">
      <c r="A361" t="s">
        <v>865</v>
      </c>
      <c r="B361" s="224" t="s">
        <v>512</v>
      </c>
      <c r="C361" s="224" t="s">
        <v>824</v>
      </c>
      <c r="D361" s="35" t="s">
        <v>148</v>
      </c>
      <c r="E361" s="35" t="s">
        <v>661</v>
      </c>
      <c r="F361" s="35" t="s">
        <v>374</v>
      </c>
      <c r="G361" s="35" t="s">
        <v>627</v>
      </c>
      <c r="H361" s="35" t="s">
        <v>580</v>
      </c>
      <c r="I361" s="147">
        <v>1598</v>
      </c>
      <c r="J361" s="34">
        <v>1614.8581999999999</v>
      </c>
      <c r="K361" s="34">
        <f t="shared" si="65"/>
        <v>16.858199999999897</v>
      </c>
      <c r="L361" s="56">
        <f t="shared" si="66"/>
        <v>284.19890723999652</v>
      </c>
      <c r="M361" s="56">
        <f t="shared" si="67"/>
        <v>16.858199999999897</v>
      </c>
      <c r="N361" s="56">
        <f t="shared" si="68"/>
        <v>1.2518376824661328</v>
      </c>
      <c r="O361" s="56">
        <f t="shared" si="77"/>
        <v>1.2518376824661328</v>
      </c>
      <c r="P361" s="143">
        <f t="shared" si="69"/>
        <v>1.0549561952440487</v>
      </c>
      <c r="Q361" s="143">
        <f t="shared" si="70"/>
        <v>1.0549561952440487</v>
      </c>
      <c r="R361" s="34">
        <v>1622.7650000000001</v>
      </c>
      <c r="S361" s="56">
        <f t="shared" si="71"/>
        <v>24.7650000000001</v>
      </c>
      <c r="T361" s="56">
        <f t="shared" si="72"/>
        <v>613.30522500000495</v>
      </c>
      <c r="U361" s="56">
        <f t="shared" si="73"/>
        <v>24.7650000000001</v>
      </c>
      <c r="V361" s="56">
        <f t="shared" si="74"/>
        <v>1.4110301467970952</v>
      </c>
      <c r="W361" s="33">
        <f t="shared" si="75"/>
        <v>1.5497496871088923</v>
      </c>
      <c r="X361" s="143">
        <f t="shared" si="76"/>
        <v>1.5497496871088923</v>
      </c>
    </row>
    <row r="362" spans="1:24" ht="16" x14ac:dyDescent="0.2">
      <c r="A362" t="s">
        <v>866</v>
      </c>
      <c r="B362" s="224" t="s">
        <v>512</v>
      </c>
      <c r="C362" s="224" t="s">
        <v>824</v>
      </c>
      <c r="D362" s="35" t="s">
        <v>148</v>
      </c>
      <c r="E362" s="35" t="s">
        <v>661</v>
      </c>
      <c r="F362" s="35" t="s">
        <v>374</v>
      </c>
      <c r="G362" s="35" t="s">
        <v>627</v>
      </c>
      <c r="H362" s="35" t="s">
        <v>580</v>
      </c>
      <c r="I362" s="147">
        <v>1565</v>
      </c>
      <c r="J362" s="34">
        <v>1552.4612</v>
      </c>
      <c r="K362" s="34">
        <f t="shared" si="65"/>
        <v>-12.538800000000037</v>
      </c>
      <c r="L362" s="56">
        <f t="shared" si="66"/>
        <v>157.22150544000095</v>
      </c>
      <c r="M362" s="56">
        <f t="shared" si="67"/>
        <v>12.538800000000037</v>
      </c>
      <c r="N362" s="56">
        <f t="shared" si="68"/>
        <v>1.131580172733647</v>
      </c>
      <c r="O362" s="56">
        <f t="shared" si="77"/>
        <v>-1.131580172733647</v>
      </c>
      <c r="P362" s="143">
        <f t="shared" si="69"/>
        <v>-0.80120127795527396</v>
      </c>
      <c r="Q362" s="143">
        <f t="shared" si="70"/>
        <v>0.80120127795527396</v>
      </c>
      <c r="R362" s="34">
        <v>1550.7038</v>
      </c>
      <c r="S362" s="56">
        <f t="shared" si="71"/>
        <v>-14.296199999999999</v>
      </c>
      <c r="T362" s="56">
        <f t="shared" si="72"/>
        <v>204.38133443999996</v>
      </c>
      <c r="U362" s="56">
        <f t="shared" si="73"/>
        <v>14.296199999999999</v>
      </c>
      <c r="V362" s="56">
        <f t="shared" si="74"/>
        <v>1.1845835534315365</v>
      </c>
      <c r="W362" s="33">
        <f t="shared" si="75"/>
        <v>-0.91349520766773151</v>
      </c>
      <c r="X362" s="143">
        <f t="shared" si="76"/>
        <v>0.91349520766773151</v>
      </c>
    </row>
    <row r="363" spans="1:24" ht="15" x14ac:dyDescent="0.2">
      <c r="A363" s="28" t="s">
        <v>416</v>
      </c>
      <c r="B363" s="224" t="s">
        <v>512</v>
      </c>
      <c r="C363" s="35" t="s">
        <v>458</v>
      </c>
      <c r="D363" s="35" t="s">
        <v>82</v>
      </c>
      <c r="E363" s="35" t="s">
        <v>661</v>
      </c>
      <c r="F363" s="35" t="s">
        <v>374</v>
      </c>
      <c r="G363" s="35" t="s">
        <v>626</v>
      </c>
      <c r="H363" s="35" t="s">
        <v>580</v>
      </c>
      <c r="I363" s="141">
        <v>1250</v>
      </c>
      <c r="J363" s="34">
        <v>1356.9505999999999</v>
      </c>
      <c r="K363" s="34">
        <f t="shared" si="65"/>
        <v>106.95059999999989</v>
      </c>
      <c r="L363" s="56">
        <f t="shared" si="66"/>
        <v>11438.430840359977</v>
      </c>
      <c r="M363" s="56">
        <f t="shared" si="67"/>
        <v>106.95059999999989</v>
      </c>
      <c r="N363" s="56">
        <f t="shared" si="68"/>
        <v>2.0332250605281925</v>
      </c>
      <c r="O363" s="56">
        <f t="shared" si="77"/>
        <v>2.0332250605281925</v>
      </c>
      <c r="P363" s="143">
        <f t="shared" si="69"/>
        <v>8.5560479999999917</v>
      </c>
      <c r="Q363" s="143">
        <f t="shared" si="70"/>
        <v>8.5560479999999917</v>
      </c>
      <c r="R363" s="34">
        <v>1342.527</v>
      </c>
      <c r="S363" s="56">
        <f t="shared" si="71"/>
        <v>92.527000000000044</v>
      </c>
      <c r="T363" s="56">
        <f t="shared" si="72"/>
        <v>8561.2457290000075</v>
      </c>
      <c r="U363" s="56">
        <f t="shared" si="73"/>
        <v>92.527000000000044</v>
      </c>
      <c r="V363" s="56">
        <f t="shared" si="74"/>
        <v>1.9709370040092613</v>
      </c>
      <c r="W363" s="33">
        <f t="shared" si="75"/>
        <v>7.4021600000000038</v>
      </c>
      <c r="X363" s="143">
        <f t="shared" si="76"/>
        <v>7.4021600000000038</v>
      </c>
    </row>
    <row r="364" spans="1:24" ht="15" x14ac:dyDescent="0.2">
      <c r="A364" s="28" t="s">
        <v>421</v>
      </c>
      <c r="B364" s="224" t="s">
        <v>512</v>
      </c>
      <c r="C364" s="35" t="s">
        <v>458</v>
      </c>
      <c r="D364" s="35" t="s">
        <v>82</v>
      </c>
      <c r="E364" s="35" t="s">
        <v>661</v>
      </c>
      <c r="F364" s="35" t="s">
        <v>494</v>
      </c>
      <c r="G364" s="35" t="s">
        <v>626</v>
      </c>
      <c r="H364" s="35" t="s">
        <v>580</v>
      </c>
      <c r="I364" s="141">
        <v>825</v>
      </c>
      <c r="J364" s="34">
        <v>924.33139999999992</v>
      </c>
      <c r="K364" s="34">
        <f t="shared" si="65"/>
        <v>99.331399999999917</v>
      </c>
      <c r="L364" s="56">
        <f t="shared" si="66"/>
        <v>9866.7270259599827</v>
      </c>
      <c r="M364" s="56">
        <f t="shared" si="67"/>
        <v>99.331399999999917</v>
      </c>
      <c r="N364" s="56">
        <f t="shared" si="68"/>
        <v>2.0014368723284535</v>
      </c>
      <c r="O364" s="56">
        <f t="shared" si="77"/>
        <v>2.0014368723284535</v>
      </c>
      <c r="P364" s="143">
        <f t="shared" si="69"/>
        <v>12.040169696969688</v>
      </c>
      <c r="Q364" s="143">
        <f t="shared" si="70"/>
        <v>12.040169696969688</v>
      </c>
      <c r="R364" s="34">
        <v>942.18700000000001</v>
      </c>
      <c r="S364" s="56">
        <f t="shared" si="71"/>
        <v>117.18700000000001</v>
      </c>
      <c r="T364" s="56">
        <f t="shared" si="72"/>
        <v>13732.792969000002</v>
      </c>
      <c r="U364" s="56">
        <f t="shared" si="73"/>
        <v>117.18700000000001</v>
      </c>
      <c r="V364" s="56">
        <f t="shared" si="74"/>
        <v>2.0725697088738295</v>
      </c>
      <c r="W364" s="33">
        <f t="shared" si="75"/>
        <v>14.204484848484849</v>
      </c>
      <c r="X364" s="143">
        <f t="shared" si="76"/>
        <v>14.204484848484849</v>
      </c>
    </row>
    <row r="365" spans="1:24" ht="15" x14ac:dyDescent="0.2">
      <c r="A365" s="28" t="s">
        <v>422</v>
      </c>
      <c r="B365" s="224" t="s">
        <v>512</v>
      </c>
      <c r="C365" s="35" t="s">
        <v>458</v>
      </c>
      <c r="D365" s="35" t="s">
        <v>82</v>
      </c>
      <c r="E365" s="35" t="s">
        <v>661</v>
      </c>
      <c r="F365" s="35" t="s">
        <v>494</v>
      </c>
      <c r="G365" s="35" t="s">
        <v>626</v>
      </c>
      <c r="H365" s="35" t="s">
        <v>580</v>
      </c>
      <c r="I365" s="141">
        <v>1070</v>
      </c>
      <c r="J365" s="34">
        <v>1190.5585999999998</v>
      </c>
      <c r="K365" s="34">
        <f t="shared" si="65"/>
        <v>120.55859999999984</v>
      </c>
      <c r="L365" s="56">
        <f t="shared" si="66"/>
        <v>14534.376033959961</v>
      </c>
      <c r="M365" s="56">
        <f t="shared" si="67"/>
        <v>120.55859999999984</v>
      </c>
      <c r="N365" s="56">
        <f t="shared" si="68"/>
        <v>2.0847856896328478</v>
      </c>
      <c r="O365" s="56">
        <f t="shared" si="77"/>
        <v>2.0847856896328478</v>
      </c>
      <c r="P365" s="143">
        <f t="shared" si="69"/>
        <v>11.267158878504658</v>
      </c>
      <c r="Q365" s="143">
        <f t="shared" si="70"/>
        <v>11.267158878504658</v>
      </c>
      <c r="R365" s="34">
        <v>1182.3910000000001</v>
      </c>
      <c r="S365" s="56">
        <f t="shared" si="71"/>
        <v>112.39100000000008</v>
      </c>
      <c r="T365" s="56">
        <f t="shared" si="72"/>
        <v>12631.736881000017</v>
      </c>
      <c r="U365" s="56">
        <f t="shared" si="73"/>
        <v>112.39100000000008</v>
      </c>
      <c r="V365" s="56">
        <f t="shared" si="74"/>
        <v>2.054578585373021</v>
      </c>
      <c r="W365" s="33">
        <f t="shared" si="75"/>
        <v>10.503831775700942</v>
      </c>
      <c r="X365" s="143">
        <f t="shared" si="76"/>
        <v>10.503831775700942</v>
      </c>
    </row>
    <row r="366" spans="1:24" ht="15" x14ac:dyDescent="0.2">
      <c r="A366" s="28" t="s">
        <v>423</v>
      </c>
      <c r="B366" s="224" t="s">
        <v>512</v>
      </c>
      <c r="C366" s="35" t="s">
        <v>458</v>
      </c>
      <c r="D366" s="208" t="s">
        <v>82</v>
      </c>
      <c r="E366" s="35" t="s">
        <v>661</v>
      </c>
      <c r="F366" s="35" t="s">
        <v>494</v>
      </c>
      <c r="G366" s="35" t="s">
        <v>626</v>
      </c>
      <c r="H366" s="35" t="s">
        <v>580</v>
      </c>
      <c r="I366" s="141">
        <v>1150</v>
      </c>
      <c r="J366" s="34">
        <v>1236.3163999999999</v>
      </c>
      <c r="K366" s="34">
        <f t="shared" si="65"/>
        <v>86.316399999999931</v>
      </c>
      <c r="L366" s="56">
        <f t="shared" si="66"/>
        <v>7450.5209089599884</v>
      </c>
      <c r="M366" s="56">
        <f t="shared" si="67"/>
        <v>86.316399999999931</v>
      </c>
      <c r="N366" s="56">
        <f t="shared" si="68"/>
        <v>1.941095821719137</v>
      </c>
      <c r="O366" s="56">
        <f t="shared" si="77"/>
        <v>1.941095821719137</v>
      </c>
      <c r="P366" s="143">
        <f t="shared" si="69"/>
        <v>7.5057739130434715</v>
      </c>
      <c r="Q366" s="143">
        <f t="shared" si="70"/>
        <v>7.5057739130434715</v>
      </c>
      <c r="R366" s="34">
        <v>1222.425</v>
      </c>
      <c r="S366" s="56">
        <f t="shared" si="71"/>
        <v>72.424999999999955</v>
      </c>
      <c r="T366" s="56">
        <f t="shared" si="72"/>
        <v>5245.3806249999934</v>
      </c>
      <c r="U366" s="56">
        <f t="shared" si="73"/>
        <v>72.424999999999955</v>
      </c>
      <c r="V366" s="56">
        <f t="shared" si="74"/>
        <v>1.8658439551948376</v>
      </c>
      <c r="W366" s="33">
        <f t="shared" si="75"/>
        <v>6.2978260869565181</v>
      </c>
      <c r="X366" s="143">
        <f t="shared" si="76"/>
        <v>6.2978260869565181</v>
      </c>
    </row>
    <row r="367" spans="1:24" ht="15" x14ac:dyDescent="0.2">
      <c r="A367" s="28" t="s">
        <v>424</v>
      </c>
      <c r="B367" s="224" t="s">
        <v>512</v>
      </c>
      <c r="C367" s="35" t="s">
        <v>458</v>
      </c>
      <c r="D367" s="208" t="s">
        <v>82</v>
      </c>
      <c r="E367" s="35" t="s">
        <v>661</v>
      </c>
      <c r="F367" s="35" t="s">
        <v>374</v>
      </c>
      <c r="G367" s="35" t="s">
        <v>627</v>
      </c>
      <c r="H367" s="35" t="s">
        <v>580</v>
      </c>
      <c r="I367" s="141">
        <v>1800</v>
      </c>
      <c r="J367" s="34">
        <v>1777.0903999999998</v>
      </c>
      <c r="K367" s="34">
        <f t="shared" si="65"/>
        <v>-22.909600000000182</v>
      </c>
      <c r="L367" s="56">
        <f t="shared" si="66"/>
        <v>524.84977216000834</v>
      </c>
      <c r="M367" s="56">
        <f t="shared" si="67"/>
        <v>22.909600000000182</v>
      </c>
      <c r="N367" s="56">
        <f t="shared" si="68"/>
        <v>1.3785723105680627</v>
      </c>
      <c r="O367" s="56">
        <f t="shared" si="77"/>
        <v>-1.3785723105680627</v>
      </c>
      <c r="P367" s="143">
        <f t="shared" si="69"/>
        <v>-1.2727555555555656</v>
      </c>
      <c r="Q367" s="143">
        <f t="shared" si="70"/>
        <v>1.2727555555555656</v>
      </c>
      <c r="R367" s="34">
        <v>1822.9349999999999</v>
      </c>
      <c r="S367" s="56">
        <f t="shared" si="71"/>
        <v>22.934999999999945</v>
      </c>
      <c r="T367" s="56">
        <f t="shared" si="72"/>
        <v>526.01422499999751</v>
      </c>
      <c r="U367" s="56">
        <f t="shared" si="73"/>
        <v>22.934999999999945</v>
      </c>
      <c r="V367" s="56">
        <f t="shared" si="74"/>
        <v>1.3790334318179664</v>
      </c>
      <c r="W367" s="33">
        <f t="shared" si="75"/>
        <v>1.2741666666666636</v>
      </c>
      <c r="X367" s="143">
        <f t="shared" si="76"/>
        <v>1.2741666666666636</v>
      </c>
    </row>
    <row r="368" spans="1:24" ht="15" x14ac:dyDescent="0.2">
      <c r="A368" s="28" t="s">
        <v>426</v>
      </c>
      <c r="B368" s="224" t="s">
        <v>512</v>
      </c>
      <c r="C368" s="35" t="s">
        <v>458</v>
      </c>
      <c r="D368" s="208" t="s">
        <v>82</v>
      </c>
      <c r="E368" s="35" t="s">
        <v>661</v>
      </c>
      <c r="F368" s="35" t="s">
        <v>374</v>
      </c>
      <c r="G368" s="35" t="s">
        <v>627</v>
      </c>
      <c r="H368" s="35" t="s">
        <v>580</v>
      </c>
      <c r="I368" s="141">
        <v>1620</v>
      </c>
      <c r="J368" s="34">
        <v>1681.415</v>
      </c>
      <c r="K368" s="34">
        <f t="shared" si="65"/>
        <v>61.414999999999964</v>
      </c>
      <c r="L368" s="56">
        <f t="shared" si="66"/>
        <v>3771.8022249999954</v>
      </c>
      <c r="M368" s="56">
        <f t="shared" si="67"/>
        <v>61.414999999999964</v>
      </c>
      <c r="N368" s="56">
        <f t="shared" si="68"/>
        <v>1.7952889748486283</v>
      </c>
      <c r="O368" s="56">
        <f t="shared" si="77"/>
        <v>1.7952889748486283</v>
      </c>
      <c r="P368" s="143">
        <f t="shared" si="69"/>
        <v>3.791049382716047</v>
      </c>
      <c r="Q368" s="143">
        <f t="shared" si="70"/>
        <v>3.791049382716047</v>
      </c>
      <c r="R368" s="34">
        <v>1682.816</v>
      </c>
      <c r="S368" s="56">
        <f t="shared" si="71"/>
        <v>62.816000000000031</v>
      </c>
      <c r="T368" s="56">
        <f t="shared" si="72"/>
        <v>3945.8498560000039</v>
      </c>
      <c r="U368" s="56">
        <f t="shared" si="73"/>
        <v>62.816000000000031</v>
      </c>
      <c r="V368" s="56">
        <f t="shared" si="74"/>
        <v>1.8049295790431732</v>
      </c>
      <c r="W368" s="33">
        <f t="shared" si="75"/>
        <v>3.8775308641975328</v>
      </c>
      <c r="X368" s="143">
        <f t="shared" si="76"/>
        <v>3.8775308641975328</v>
      </c>
    </row>
    <row r="369" spans="1:24" ht="15" x14ac:dyDescent="0.2">
      <c r="A369" s="28" t="s">
        <v>427</v>
      </c>
      <c r="B369" s="224" t="s">
        <v>512</v>
      </c>
      <c r="C369" s="35" t="s">
        <v>458</v>
      </c>
      <c r="D369" s="208" t="s">
        <v>82</v>
      </c>
      <c r="E369" s="35" t="s">
        <v>661</v>
      </c>
      <c r="F369" s="35" t="s">
        <v>374</v>
      </c>
      <c r="G369" s="35" t="s">
        <v>627</v>
      </c>
      <c r="H369" s="35" t="s">
        <v>580</v>
      </c>
      <c r="I369" s="141">
        <v>1650</v>
      </c>
      <c r="J369" s="34">
        <v>1681.415</v>
      </c>
      <c r="K369" s="34">
        <f t="shared" si="65"/>
        <v>31.414999999999964</v>
      </c>
      <c r="L369" s="56">
        <f t="shared" si="66"/>
        <v>986.90222499999777</v>
      </c>
      <c r="M369" s="56">
        <f t="shared" si="67"/>
        <v>31.414999999999964</v>
      </c>
      <c r="N369" s="56">
        <f t="shared" si="68"/>
        <v>1.510746025938922</v>
      </c>
      <c r="O369" s="56">
        <f t="shared" si="77"/>
        <v>1.510746025938922</v>
      </c>
      <c r="P369" s="143">
        <f t="shared" si="69"/>
        <v>1.9039393939393918</v>
      </c>
      <c r="Q369" s="143">
        <f t="shared" si="70"/>
        <v>1.9039393939393918</v>
      </c>
      <c r="R369" s="34">
        <v>1702.8330000000001</v>
      </c>
      <c r="S369" s="56">
        <f t="shared" si="71"/>
        <v>52.833000000000084</v>
      </c>
      <c r="T369" s="56">
        <f t="shared" si="72"/>
        <v>2791.3258890000088</v>
      </c>
      <c r="U369" s="56">
        <f t="shared" si="73"/>
        <v>52.833000000000084</v>
      </c>
      <c r="V369" s="56">
        <f t="shared" si="74"/>
        <v>1.7310485828092155</v>
      </c>
      <c r="W369" s="33">
        <f t="shared" si="75"/>
        <v>3.2020000000000053</v>
      </c>
      <c r="X369" s="143">
        <f t="shared" si="76"/>
        <v>3.2020000000000053</v>
      </c>
    </row>
    <row r="370" spans="1:24" ht="15" x14ac:dyDescent="0.2">
      <c r="A370" s="28" t="s">
        <v>459</v>
      </c>
      <c r="B370" s="224" t="s">
        <v>512</v>
      </c>
      <c r="C370" s="35" t="s">
        <v>458</v>
      </c>
      <c r="D370" s="208" t="s">
        <v>82</v>
      </c>
      <c r="E370" s="35" t="s">
        <v>661</v>
      </c>
      <c r="F370" s="35" t="s">
        <v>374</v>
      </c>
      <c r="G370" s="35" t="s">
        <v>627</v>
      </c>
      <c r="H370" s="35" t="s">
        <v>580</v>
      </c>
      <c r="I370" s="141">
        <v>1640</v>
      </c>
      <c r="J370" s="34">
        <v>1610.6984</v>
      </c>
      <c r="K370" s="34">
        <f t="shared" si="65"/>
        <v>-29.301600000000008</v>
      </c>
      <c r="L370" s="56">
        <f t="shared" si="66"/>
        <v>858.58376256000042</v>
      </c>
      <c r="M370" s="56">
        <f t="shared" si="67"/>
        <v>29.301600000000008</v>
      </c>
      <c r="N370" s="56">
        <f t="shared" si="68"/>
        <v>1.4814655609387823</v>
      </c>
      <c r="O370" s="56">
        <f t="shared" si="77"/>
        <v>-1.4814655609387823</v>
      </c>
      <c r="P370" s="143">
        <f t="shared" si="69"/>
        <v>-1.7866829268292688</v>
      </c>
      <c r="Q370" s="143">
        <f t="shared" si="70"/>
        <v>1.7866829268292688</v>
      </c>
      <c r="R370" s="34">
        <v>1622.7650000000001</v>
      </c>
      <c r="S370" s="56">
        <f t="shared" si="71"/>
        <v>-17.2349999999999</v>
      </c>
      <c r="T370" s="56">
        <f t="shared" si="72"/>
        <v>297.04522499999655</v>
      </c>
      <c r="U370" s="56">
        <f t="shared" si="73"/>
        <v>17.2349999999999</v>
      </c>
      <c r="V370" s="56">
        <f t="shared" si="74"/>
        <v>1.2609057676497977</v>
      </c>
      <c r="W370" s="33">
        <f t="shared" si="75"/>
        <v>-1.0509146341463353</v>
      </c>
      <c r="X370" s="143">
        <f t="shared" si="76"/>
        <v>1.0509146341463353</v>
      </c>
    </row>
    <row r="371" spans="1:24" ht="15" x14ac:dyDescent="0.2">
      <c r="A371" s="28" t="s">
        <v>425</v>
      </c>
      <c r="B371" s="224" t="s">
        <v>512</v>
      </c>
      <c r="C371" s="35" t="s">
        <v>458</v>
      </c>
      <c r="D371" s="208" t="s">
        <v>82</v>
      </c>
      <c r="E371" s="35" t="s">
        <v>661</v>
      </c>
      <c r="F371" s="35" t="s">
        <v>293</v>
      </c>
      <c r="G371" s="35" t="s">
        <v>627</v>
      </c>
      <c r="H371" s="35" t="s">
        <v>580</v>
      </c>
      <c r="I371" s="141">
        <v>2690</v>
      </c>
      <c r="J371" s="34">
        <v>2629.8493999999996</v>
      </c>
      <c r="K371" s="34">
        <f t="shared" si="65"/>
        <v>-60.150600000000395</v>
      </c>
      <c r="L371" s="56">
        <f t="shared" si="66"/>
        <v>3618.0946803600477</v>
      </c>
      <c r="M371" s="56">
        <f t="shared" si="67"/>
        <v>60.150600000000395</v>
      </c>
      <c r="N371" s="56">
        <f t="shared" si="68"/>
        <v>1.7864007226218699</v>
      </c>
      <c r="O371" s="56">
        <f t="shared" si="77"/>
        <v>-1.7864007226218699</v>
      </c>
      <c r="P371" s="143">
        <f t="shared" si="69"/>
        <v>-2.2360817843866316</v>
      </c>
      <c r="Q371" s="143">
        <f t="shared" si="70"/>
        <v>2.2360817843866316</v>
      </c>
      <c r="R371" s="34">
        <v>2603.598</v>
      </c>
      <c r="S371" s="56">
        <f t="shared" si="71"/>
        <v>-86.402000000000044</v>
      </c>
      <c r="T371" s="56">
        <f t="shared" si="72"/>
        <v>7465.3056040000074</v>
      </c>
      <c r="U371" s="56">
        <f t="shared" si="73"/>
        <v>86.402000000000044</v>
      </c>
      <c r="V371" s="56">
        <f t="shared" si="74"/>
        <v>1.9415213706095276</v>
      </c>
      <c r="W371" s="33">
        <f t="shared" si="75"/>
        <v>-3.2119702602230498</v>
      </c>
      <c r="X371" s="143">
        <f t="shared" si="76"/>
        <v>3.2119702602230498</v>
      </c>
    </row>
    <row r="372" spans="1:24" ht="15" x14ac:dyDescent="0.2">
      <c r="A372" s="28" t="s">
        <v>433</v>
      </c>
      <c r="B372" s="224" t="s">
        <v>512</v>
      </c>
      <c r="C372" s="35" t="s">
        <v>458</v>
      </c>
      <c r="D372" s="208" t="s">
        <v>82</v>
      </c>
      <c r="E372" s="35" t="s">
        <v>661</v>
      </c>
      <c r="F372" s="35" t="s">
        <v>374</v>
      </c>
      <c r="G372" s="35" t="s">
        <v>627</v>
      </c>
      <c r="H372" s="35" t="s">
        <v>580</v>
      </c>
      <c r="I372" s="141">
        <v>1520</v>
      </c>
      <c r="J372" s="34">
        <v>1465.1053999999999</v>
      </c>
      <c r="K372" s="34">
        <f t="shared" si="65"/>
        <v>-54.894600000000082</v>
      </c>
      <c r="L372" s="56">
        <f t="shared" si="66"/>
        <v>3013.4171091600092</v>
      </c>
      <c r="M372" s="56">
        <f t="shared" si="67"/>
        <v>54.894600000000082</v>
      </c>
      <c r="N372" s="56">
        <f t="shared" si="68"/>
        <v>1.7473698525468262</v>
      </c>
      <c r="O372" s="56">
        <f t="shared" si="77"/>
        <v>-1.7473698525468262</v>
      </c>
      <c r="P372" s="143">
        <f t="shared" si="69"/>
        <v>-3.6114868421052684</v>
      </c>
      <c r="Q372" s="143">
        <f t="shared" si="70"/>
        <v>3.6114868421052684</v>
      </c>
      <c r="R372" s="34">
        <v>1462.6290000000001</v>
      </c>
      <c r="S372" s="56">
        <f t="shared" si="71"/>
        <v>-57.370999999999867</v>
      </c>
      <c r="T372" s="56">
        <f t="shared" si="72"/>
        <v>3291.4316409999847</v>
      </c>
      <c r="U372" s="56">
        <f t="shared" si="73"/>
        <v>57.370999999999867</v>
      </c>
      <c r="V372" s="56">
        <f t="shared" si="74"/>
        <v>1.7661971336178814</v>
      </c>
      <c r="W372" s="33">
        <f t="shared" si="75"/>
        <v>-3.7744078947368336</v>
      </c>
      <c r="X372" s="143">
        <f t="shared" si="76"/>
        <v>3.7744078947368336</v>
      </c>
    </row>
    <row r="373" spans="1:24" ht="15" x14ac:dyDescent="0.2">
      <c r="A373" s="28" t="s">
        <v>434</v>
      </c>
      <c r="B373" s="224" t="s">
        <v>512</v>
      </c>
      <c r="C373" s="35" t="s">
        <v>458</v>
      </c>
      <c r="D373" s="208" t="s">
        <v>82</v>
      </c>
      <c r="E373" s="35" t="s">
        <v>661</v>
      </c>
      <c r="F373" s="35" t="s">
        <v>374</v>
      </c>
      <c r="G373" s="35" t="s">
        <v>627</v>
      </c>
      <c r="H373" s="35" t="s">
        <v>580</v>
      </c>
      <c r="I373" s="141">
        <v>2370</v>
      </c>
      <c r="J373" s="34">
        <v>2305.3849999999998</v>
      </c>
      <c r="K373" s="34">
        <f t="shared" si="65"/>
        <v>-64.615000000000236</v>
      </c>
      <c r="L373" s="56">
        <f t="shared" si="66"/>
        <v>4175.0982250000307</v>
      </c>
      <c r="M373" s="56">
        <f t="shared" si="67"/>
        <v>64.615000000000236</v>
      </c>
      <c r="N373" s="56">
        <f t="shared" si="68"/>
        <v>1.8170031331645873</v>
      </c>
      <c r="O373" s="56">
        <f t="shared" si="77"/>
        <v>-1.8170031331645873</v>
      </c>
      <c r="P373" s="143">
        <f t="shared" si="69"/>
        <v>-2.7263713080168874</v>
      </c>
      <c r="Q373" s="143">
        <f t="shared" si="70"/>
        <v>2.7263713080168874</v>
      </c>
      <c r="R373" s="34">
        <v>2323.3599999999997</v>
      </c>
      <c r="S373" s="56">
        <f t="shared" si="71"/>
        <v>-46.640000000000327</v>
      </c>
      <c r="T373" s="56">
        <f t="shared" si="72"/>
        <v>2175.2896000000305</v>
      </c>
      <c r="U373" s="56">
        <f t="shared" si="73"/>
        <v>46.640000000000327</v>
      </c>
      <c r="V373" s="56">
        <f t="shared" si="74"/>
        <v>1.677971752810743</v>
      </c>
      <c r="W373" s="33">
        <f t="shared" si="75"/>
        <v>-1.9679324894514907</v>
      </c>
      <c r="X373" s="143">
        <f t="shared" si="76"/>
        <v>1.9679324894514907</v>
      </c>
    </row>
    <row r="374" spans="1:24" ht="15" x14ac:dyDescent="0.2">
      <c r="A374" s="28" t="s">
        <v>435</v>
      </c>
      <c r="B374" s="224" t="s">
        <v>512</v>
      </c>
      <c r="C374" s="35" t="s">
        <v>458</v>
      </c>
      <c r="D374" s="208" t="s">
        <v>82</v>
      </c>
      <c r="E374" s="35" t="s">
        <v>661</v>
      </c>
      <c r="F374" s="35" t="s">
        <v>494</v>
      </c>
      <c r="G374" s="35" t="s">
        <v>626</v>
      </c>
      <c r="H374" s="35" t="s">
        <v>580</v>
      </c>
      <c r="I374" s="141">
        <v>1150</v>
      </c>
      <c r="J374" s="34">
        <v>1194.7184</v>
      </c>
      <c r="K374" s="34">
        <f t="shared" si="65"/>
        <v>44.718399999999974</v>
      </c>
      <c r="L374" s="56">
        <f t="shared" si="66"/>
        <v>1999.7352985599978</v>
      </c>
      <c r="M374" s="56">
        <f t="shared" si="67"/>
        <v>44.718399999999974</v>
      </c>
      <c r="N374" s="56">
        <f t="shared" si="68"/>
        <v>1.660091023050233</v>
      </c>
      <c r="O374" s="56">
        <f t="shared" si="77"/>
        <v>1.660091023050233</v>
      </c>
      <c r="P374" s="143">
        <f t="shared" si="69"/>
        <v>3.8885565217391282</v>
      </c>
      <c r="Q374" s="143">
        <f t="shared" si="70"/>
        <v>3.8885565217391282</v>
      </c>
      <c r="R374" s="34">
        <v>1202.4080000000001</v>
      </c>
      <c r="S374" s="56">
        <f t="shared" si="71"/>
        <v>52.408000000000129</v>
      </c>
      <c r="T374" s="56">
        <f t="shared" si="72"/>
        <v>2746.5984640000133</v>
      </c>
      <c r="U374" s="56">
        <f t="shared" si="73"/>
        <v>52.408000000000129</v>
      </c>
      <c r="V374" s="56">
        <f t="shared" si="74"/>
        <v>1.7276063149991538</v>
      </c>
      <c r="W374" s="33">
        <f t="shared" si="75"/>
        <v>4.5572173913043592</v>
      </c>
      <c r="X374" s="143">
        <f t="shared" si="76"/>
        <v>4.5572173913043592</v>
      </c>
    </row>
    <row r="375" spans="1:24" ht="15" x14ac:dyDescent="0.2">
      <c r="A375" s="28" t="s">
        <v>734</v>
      </c>
      <c r="B375" s="224" t="s">
        <v>512</v>
      </c>
      <c r="C375" s="35" t="s">
        <v>403</v>
      </c>
      <c r="D375" s="35" t="s">
        <v>82</v>
      </c>
      <c r="E375" s="35" t="s">
        <v>661</v>
      </c>
      <c r="F375" s="35" t="s">
        <v>203</v>
      </c>
      <c r="G375" s="35" t="s">
        <v>627</v>
      </c>
      <c r="H375" s="35" t="s">
        <v>581</v>
      </c>
      <c r="I375" s="141">
        <v>5600</v>
      </c>
      <c r="J375" s="34">
        <v>5069.9880799999992</v>
      </c>
      <c r="K375" s="34">
        <f t="shared" si="65"/>
        <v>-530.01192000000083</v>
      </c>
      <c r="L375" s="56">
        <f t="shared" si="66"/>
        <v>280912.63534208731</v>
      </c>
      <c r="M375" s="56">
        <f t="shared" si="67"/>
        <v>530.01192000000083</v>
      </c>
      <c r="N375" s="56">
        <f t="shared" si="68"/>
        <v>2.7251042701061783</v>
      </c>
      <c r="O375" s="56">
        <f t="shared" si="77"/>
        <v>-2.7251042701061783</v>
      </c>
      <c r="P375" s="143">
        <f t="shared" si="69"/>
        <v>-9.464498571428587</v>
      </c>
      <c r="Q375" s="143">
        <f t="shared" si="70"/>
        <v>9.464498571428587</v>
      </c>
      <c r="R375" s="34">
        <v>5107.3243600000005</v>
      </c>
      <c r="S375" s="56">
        <f t="shared" si="71"/>
        <v>-492.67563999999948</v>
      </c>
      <c r="T375" s="56">
        <f t="shared" si="72"/>
        <v>242729.28624940908</v>
      </c>
      <c r="U375" s="56">
        <f t="shared" si="73"/>
        <v>492.67563999999948</v>
      </c>
      <c r="V375" s="56">
        <f t="shared" si="74"/>
        <v>2.6934416978604241</v>
      </c>
      <c r="W375" s="33">
        <f t="shared" si="75"/>
        <v>-8.7977792857142756</v>
      </c>
      <c r="X375" s="143">
        <f t="shared" si="76"/>
        <v>8.7977792857142756</v>
      </c>
    </row>
    <row r="376" spans="1:24" ht="15" x14ac:dyDescent="0.2">
      <c r="A376" s="206" t="s">
        <v>460</v>
      </c>
      <c r="B376" s="224" t="s">
        <v>512</v>
      </c>
      <c r="C376" s="35" t="s">
        <v>403</v>
      </c>
      <c r="D376" s="35" t="s">
        <v>82</v>
      </c>
      <c r="E376" s="35" t="s">
        <v>661</v>
      </c>
      <c r="F376" s="35" t="s">
        <v>203</v>
      </c>
      <c r="G376" s="35" t="s">
        <v>627</v>
      </c>
      <c r="H376" s="35" t="s">
        <v>581</v>
      </c>
      <c r="I376" s="141">
        <v>4340</v>
      </c>
      <c r="J376" s="34">
        <v>3777.9541999999997</v>
      </c>
      <c r="K376" s="34">
        <f t="shared" si="65"/>
        <v>-562.04580000000033</v>
      </c>
      <c r="L376" s="56">
        <f t="shared" si="66"/>
        <v>315895.48129764036</v>
      </c>
      <c r="M376" s="56">
        <f t="shared" si="67"/>
        <v>562.04580000000033</v>
      </c>
      <c r="N376" s="56">
        <f t="shared" si="68"/>
        <v>2.7505437232319188</v>
      </c>
      <c r="O376" s="56">
        <f t="shared" si="77"/>
        <v>-2.7505437232319188</v>
      </c>
      <c r="P376" s="143">
        <f t="shared" si="69"/>
        <v>-12.950364055299547</v>
      </c>
      <c r="Q376" s="143">
        <f t="shared" si="70"/>
        <v>12.950364055299547</v>
      </c>
      <c r="R376" s="34">
        <v>3776.5942</v>
      </c>
      <c r="S376" s="56">
        <f t="shared" si="71"/>
        <v>-563.4058</v>
      </c>
      <c r="T376" s="56">
        <f t="shared" si="72"/>
        <v>317426.09547364002</v>
      </c>
      <c r="U376" s="56">
        <f t="shared" si="73"/>
        <v>563.4058</v>
      </c>
      <c r="V376" s="56">
        <f t="shared" si="74"/>
        <v>2.7515914680430695</v>
      </c>
      <c r="W376" s="33">
        <f t="shared" si="75"/>
        <v>-12.981700460829494</v>
      </c>
      <c r="X376" s="143">
        <f t="shared" si="76"/>
        <v>12.981700460829494</v>
      </c>
    </row>
    <row r="377" spans="1:24" ht="15" x14ac:dyDescent="0.2">
      <c r="A377" s="28" t="s">
        <v>327</v>
      </c>
      <c r="B377" s="224" t="s">
        <v>512</v>
      </c>
      <c r="C377" s="208" t="s">
        <v>403</v>
      </c>
      <c r="D377" s="35" t="s">
        <v>82</v>
      </c>
      <c r="E377" s="35" t="s">
        <v>661</v>
      </c>
      <c r="F377" s="35" t="s">
        <v>374</v>
      </c>
      <c r="G377" s="35" t="s">
        <v>626</v>
      </c>
      <c r="H377" s="35" t="s">
        <v>580</v>
      </c>
      <c r="I377" s="141">
        <v>1217.5999999999999</v>
      </c>
      <c r="J377" s="34">
        <v>1278.7463599999999</v>
      </c>
      <c r="K377" s="34">
        <f t="shared" si="65"/>
        <v>61.146359999999959</v>
      </c>
      <c r="L377" s="56">
        <f t="shared" si="66"/>
        <v>3738.8773412495948</v>
      </c>
      <c r="M377" s="56">
        <f t="shared" si="67"/>
        <v>61.146359999999959</v>
      </c>
      <c r="N377" s="56">
        <f t="shared" si="68"/>
        <v>1.7934156964819432</v>
      </c>
      <c r="O377" s="56">
        <f t="shared" si="77"/>
        <v>1.7934156964819432</v>
      </c>
      <c r="P377" s="143">
        <f t="shared" si="69"/>
        <v>5.0218758212877761</v>
      </c>
      <c r="Q377" s="143">
        <f t="shared" si="70"/>
        <v>5.0218758212877761</v>
      </c>
      <c r="R377" s="34">
        <v>1297.2885799999999</v>
      </c>
      <c r="S377" s="56">
        <f t="shared" si="71"/>
        <v>79.688580000000002</v>
      </c>
      <c r="T377" s="56">
        <f t="shared" si="72"/>
        <v>6350.2697824164006</v>
      </c>
      <c r="U377" s="56">
        <f t="shared" si="73"/>
        <v>79.688580000000002</v>
      </c>
      <c r="V377" s="56">
        <f t="shared" si="74"/>
        <v>1.9068120725914586</v>
      </c>
      <c r="W377" s="33">
        <f t="shared" si="75"/>
        <v>6.5447256898817354</v>
      </c>
      <c r="X377" s="143">
        <f t="shared" si="76"/>
        <v>6.5447256898817354</v>
      </c>
    </row>
    <row r="378" spans="1:24" ht="15" x14ac:dyDescent="0.2">
      <c r="A378" s="28" t="s">
        <v>597</v>
      </c>
      <c r="B378" s="224" t="s">
        <v>512</v>
      </c>
      <c r="C378" s="208" t="s">
        <v>403</v>
      </c>
      <c r="D378" s="35" t="s">
        <v>82</v>
      </c>
      <c r="E378" s="35" t="s">
        <v>661</v>
      </c>
      <c r="F378" s="35" t="s">
        <v>203</v>
      </c>
      <c r="G378" s="35" t="s">
        <v>627</v>
      </c>
      <c r="H378" s="35" t="s">
        <v>581</v>
      </c>
      <c r="I378" s="141">
        <v>5241.7</v>
      </c>
      <c r="J378" s="34">
        <v>4847.0227999999997</v>
      </c>
      <c r="K378" s="34">
        <f t="shared" si="65"/>
        <v>-394.67720000000008</v>
      </c>
      <c r="L378" s="56">
        <f t="shared" si="66"/>
        <v>155770.09219984006</v>
      </c>
      <c r="M378" s="56">
        <f t="shared" si="67"/>
        <v>394.67720000000008</v>
      </c>
      <c r="N378" s="56">
        <f t="shared" si="68"/>
        <v>2.5973410257538481</v>
      </c>
      <c r="O378" s="56">
        <f t="shared" si="77"/>
        <v>-2.5973410257538481</v>
      </c>
      <c r="P378" s="143">
        <f t="shared" si="69"/>
        <v>-7.5295648358357044</v>
      </c>
      <c r="Q378" s="143">
        <f t="shared" si="70"/>
        <v>7.5295648358357044</v>
      </c>
      <c r="R378" s="34">
        <v>4909.5563999999995</v>
      </c>
      <c r="S378" s="56">
        <f t="shared" si="71"/>
        <v>-332.14360000000033</v>
      </c>
      <c r="T378" s="56">
        <f t="shared" si="72"/>
        <v>110319.37102096023</v>
      </c>
      <c r="U378" s="56">
        <f t="shared" si="73"/>
        <v>332.14360000000033</v>
      </c>
      <c r="V378" s="56">
        <f t="shared" si="74"/>
        <v>2.5226314744812912</v>
      </c>
      <c r="W378" s="33">
        <f t="shared" si="75"/>
        <v>-6.3365625655798752</v>
      </c>
      <c r="X378" s="143">
        <f t="shared" si="76"/>
        <v>6.3365625655798752</v>
      </c>
    </row>
    <row r="379" spans="1:24" ht="15" x14ac:dyDescent="0.2">
      <c r="A379" s="28" t="s">
        <v>360</v>
      </c>
      <c r="B379" s="224" t="s">
        <v>512</v>
      </c>
      <c r="C379" s="208" t="s">
        <v>403</v>
      </c>
      <c r="D379" s="35" t="s">
        <v>82</v>
      </c>
      <c r="E379" s="35" t="s">
        <v>661</v>
      </c>
      <c r="F379" s="35" t="s">
        <v>494</v>
      </c>
      <c r="G379" s="35" t="s">
        <v>626</v>
      </c>
      <c r="H379" s="35" t="s">
        <v>580</v>
      </c>
      <c r="I379" s="141">
        <v>906.8</v>
      </c>
      <c r="J379" s="34">
        <v>1169.7595999999999</v>
      </c>
      <c r="K379" s="34">
        <f t="shared" si="65"/>
        <v>262.95959999999991</v>
      </c>
      <c r="L379" s="56">
        <f t="shared" si="66"/>
        <v>69147.75123215995</v>
      </c>
      <c r="M379" s="56">
        <f t="shared" si="67"/>
        <v>262.95959999999991</v>
      </c>
      <c r="N379" s="56">
        <f t="shared" si="68"/>
        <v>2.4215374615679286</v>
      </c>
      <c r="O379" s="56">
        <f t="shared" si="77"/>
        <v>2.4215374615679286</v>
      </c>
      <c r="P379" s="143">
        <f t="shared" si="69"/>
        <v>28.998632554036163</v>
      </c>
      <c r="Q379" s="143">
        <f t="shared" si="70"/>
        <v>28.998632554036163</v>
      </c>
      <c r="R379" s="34">
        <v>1162.4941019999999</v>
      </c>
      <c r="S379" s="56">
        <f t="shared" si="71"/>
        <v>255.69410199999993</v>
      </c>
      <c r="T379" s="56">
        <f t="shared" si="72"/>
        <v>65379.473797586368</v>
      </c>
      <c r="U379" s="56">
        <f t="shared" si="73"/>
        <v>255.69410199999993</v>
      </c>
      <c r="V379" s="56">
        <f t="shared" si="74"/>
        <v>2.409415890103928</v>
      </c>
      <c r="W379" s="33">
        <f t="shared" si="75"/>
        <v>28.197408689898538</v>
      </c>
      <c r="X379" s="143">
        <f t="shared" si="76"/>
        <v>28.197408689898538</v>
      </c>
    </row>
    <row r="380" spans="1:24" ht="15" x14ac:dyDescent="0.2">
      <c r="A380" s="28" t="s">
        <v>136</v>
      </c>
      <c r="B380" s="224" t="s">
        <v>512</v>
      </c>
      <c r="C380" s="208" t="s">
        <v>403</v>
      </c>
      <c r="D380" s="35" t="s">
        <v>96</v>
      </c>
      <c r="E380" s="35" t="s">
        <v>661</v>
      </c>
      <c r="F380" s="35" t="s">
        <v>374</v>
      </c>
      <c r="G380" s="35" t="s">
        <v>627</v>
      </c>
      <c r="H380" s="35" t="s">
        <v>580</v>
      </c>
      <c r="I380" s="141">
        <v>2365.6</v>
      </c>
      <c r="J380" s="34">
        <v>2171.6058319999997</v>
      </c>
      <c r="K380" s="34">
        <f t="shared" si="65"/>
        <v>-193.99416800000017</v>
      </c>
      <c r="L380" s="56">
        <f t="shared" si="66"/>
        <v>37633.737218012291</v>
      </c>
      <c r="M380" s="56">
        <f t="shared" si="67"/>
        <v>193.99416800000017</v>
      </c>
      <c r="N380" s="56">
        <f t="shared" si="68"/>
        <v>2.2900216224225471</v>
      </c>
      <c r="O380" s="56">
        <f t="shared" si="77"/>
        <v>-2.2900216224225471</v>
      </c>
      <c r="P380" s="143">
        <f t="shared" si="69"/>
        <v>-8.2006327358809674</v>
      </c>
      <c r="Q380" s="143">
        <f t="shared" si="70"/>
        <v>8.2006327358809674</v>
      </c>
      <c r="R380" s="34">
        <v>2224.0756799999999</v>
      </c>
      <c r="S380" s="56">
        <f t="shared" si="71"/>
        <v>-141.52431999999999</v>
      </c>
      <c r="T380" s="56">
        <f t="shared" si="72"/>
        <v>20029.133151462396</v>
      </c>
      <c r="U380" s="56">
        <f t="shared" si="73"/>
        <v>141.52431999999999</v>
      </c>
      <c r="V380" s="56">
        <f t="shared" si="74"/>
        <v>2.1538889776119547</v>
      </c>
      <c r="W380" s="33">
        <f t="shared" si="75"/>
        <v>-5.9825972269191743</v>
      </c>
      <c r="X380" s="143">
        <f t="shared" si="76"/>
        <v>5.9825972269191743</v>
      </c>
    </row>
    <row r="381" spans="1:24" ht="15" x14ac:dyDescent="0.2">
      <c r="A381" s="28" t="s">
        <v>157</v>
      </c>
      <c r="B381" s="224" t="s">
        <v>512</v>
      </c>
      <c r="C381" s="208" t="s">
        <v>403</v>
      </c>
      <c r="D381" s="35" t="s">
        <v>82</v>
      </c>
      <c r="E381" s="35" t="s">
        <v>661</v>
      </c>
      <c r="F381" s="35" t="s">
        <v>203</v>
      </c>
      <c r="G381" s="35" t="s">
        <v>627</v>
      </c>
      <c r="H381" s="35" t="s">
        <v>581</v>
      </c>
      <c r="I381" s="141">
        <v>6408.96</v>
      </c>
      <c r="J381" s="34">
        <v>5805.0247399999989</v>
      </c>
      <c r="K381" s="34">
        <f t="shared" si="65"/>
        <v>-603.93526000000111</v>
      </c>
      <c r="L381" s="56">
        <f t="shared" si="66"/>
        <v>364737.79827126896</v>
      </c>
      <c r="M381" s="56">
        <f t="shared" si="67"/>
        <v>603.93526000000111</v>
      </c>
      <c r="N381" s="56">
        <f t="shared" si="68"/>
        <v>2.7817088990670151</v>
      </c>
      <c r="O381" s="56">
        <f t="shared" si="77"/>
        <v>-2.7817088990670151</v>
      </c>
      <c r="P381" s="143">
        <f t="shared" si="69"/>
        <v>-9.4232958233473312</v>
      </c>
      <c r="Q381" s="143">
        <f t="shared" si="70"/>
        <v>9.4232958233473312</v>
      </c>
      <c r="R381" s="34">
        <v>5760.2789000000002</v>
      </c>
      <c r="S381" s="56">
        <f t="shared" si="71"/>
        <v>-648.68109999999979</v>
      </c>
      <c r="T381" s="56">
        <f t="shared" si="72"/>
        <v>420787.16949720972</v>
      </c>
      <c r="U381" s="56">
        <f t="shared" si="73"/>
        <v>648.68109999999979</v>
      </c>
      <c r="V381" s="56">
        <f t="shared" si="74"/>
        <v>2.8127002328033868</v>
      </c>
      <c r="W381" s="33">
        <f t="shared" si="75"/>
        <v>-10.121472126522864</v>
      </c>
      <c r="X381" s="143">
        <f t="shared" si="76"/>
        <v>10.121472126522864</v>
      </c>
    </row>
    <row r="382" spans="1:24" ht="15" x14ac:dyDescent="0.2">
      <c r="A382" s="28" t="s">
        <v>322</v>
      </c>
      <c r="B382" s="224" t="s">
        <v>512</v>
      </c>
      <c r="C382" s="208" t="s">
        <v>403</v>
      </c>
      <c r="D382" s="35" t="s">
        <v>96</v>
      </c>
      <c r="E382" s="35" t="s">
        <v>661</v>
      </c>
      <c r="F382" s="35" t="s">
        <v>374</v>
      </c>
      <c r="G382" s="35" t="s">
        <v>627</v>
      </c>
      <c r="H382" s="35" t="s">
        <v>580</v>
      </c>
      <c r="I382" s="141">
        <f>337.19+626.59+495.45+752.43</f>
        <v>2211.66</v>
      </c>
      <c r="J382" s="34">
        <v>2494.6558999999997</v>
      </c>
      <c r="K382" s="34">
        <f t="shared" si="65"/>
        <v>282.99589999999989</v>
      </c>
      <c r="L382" s="56">
        <f t="shared" si="66"/>
        <v>80086.679416809944</v>
      </c>
      <c r="M382" s="56">
        <f t="shared" si="67"/>
        <v>282.99589999999989</v>
      </c>
      <c r="N382" s="56">
        <f t="shared" si="68"/>
        <v>2.4533120702574993</v>
      </c>
      <c r="O382" s="56">
        <f t="shared" si="77"/>
        <v>2.4533120702574993</v>
      </c>
      <c r="P382" s="143">
        <f t="shared" si="69"/>
        <v>12.795633144335021</v>
      </c>
      <c r="Q382" s="143">
        <f t="shared" si="70"/>
        <v>12.795633144335021</v>
      </c>
      <c r="R382" s="34">
        <v>2518.2855460000001</v>
      </c>
      <c r="S382" s="56">
        <f t="shared" si="71"/>
        <v>306.62554600000021</v>
      </c>
      <c r="T382" s="56">
        <f t="shared" si="72"/>
        <v>94019.225459798254</v>
      </c>
      <c r="U382" s="56">
        <f t="shared" si="73"/>
        <v>306.62554600000021</v>
      </c>
      <c r="V382" s="56">
        <f t="shared" si="74"/>
        <v>2.4880223975343512</v>
      </c>
      <c r="W382" s="33">
        <f t="shared" si="75"/>
        <v>13.864045377680124</v>
      </c>
      <c r="X382" s="143">
        <f t="shared" si="76"/>
        <v>13.864045377680124</v>
      </c>
    </row>
    <row r="383" spans="1:24" ht="15" x14ac:dyDescent="0.2">
      <c r="A383" s="28" t="s">
        <v>152</v>
      </c>
      <c r="B383" s="224" t="s">
        <v>512</v>
      </c>
      <c r="C383" s="208" t="s">
        <v>403</v>
      </c>
      <c r="D383" s="35" t="s">
        <v>82</v>
      </c>
      <c r="E383" s="35" t="s">
        <v>661</v>
      </c>
      <c r="F383" s="35" t="s">
        <v>203</v>
      </c>
      <c r="G383" s="35" t="s">
        <v>627</v>
      </c>
      <c r="H383" s="35" t="s">
        <v>581</v>
      </c>
      <c r="I383" s="141">
        <v>5810</v>
      </c>
      <c r="J383" s="34">
        <v>6032.9817799999992</v>
      </c>
      <c r="K383" s="34">
        <f t="shared" si="65"/>
        <v>222.98177999999916</v>
      </c>
      <c r="L383" s="56">
        <f t="shared" si="66"/>
        <v>49720.874211968025</v>
      </c>
      <c r="M383" s="56">
        <f t="shared" si="67"/>
        <v>222.98177999999916</v>
      </c>
      <c r="N383" s="56">
        <f t="shared" si="68"/>
        <v>2.3502126916944723</v>
      </c>
      <c r="O383" s="56">
        <f t="shared" si="77"/>
        <v>2.3502126916944723</v>
      </c>
      <c r="P383" s="143">
        <f t="shared" si="69"/>
        <v>3.8378963855421544</v>
      </c>
      <c r="Q383" s="143">
        <f t="shared" si="70"/>
        <v>3.8378963855421544</v>
      </c>
      <c r="R383" s="34">
        <v>6201.0532399999993</v>
      </c>
      <c r="S383" s="56">
        <f t="shared" si="71"/>
        <v>391.05323999999928</v>
      </c>
      <c r="T383" s="56">
        <f t="shared" si="72"/>
        <v>152922.63651449705</v>
      </c>
      <c r="U383" s="56">
        <f t="shared" si="73"/>
        <v>391.05323999999928</v>
      </c>
      <c r="V383" s="56">
        <f t="shared" si="74"/>
        <v>2.5933450472964696</v>
      </c>
      <c r="W383" s="33">
        <f t="shared" si="75"/>
        <v>6.730692598967285</v>
      </c>
      <c r="X383" s="143">
        <f t="shared" si="76"/>
        <v>6.730692598967285</v>
      </c>
    </row>
    <row r="384" spans="1:24" ht="15" x14ac:dyDescent="0.2">
      <c r="A384" s="28" t="s">
        <v>345</v>
      </c>
      <c r="B384" s="224" t="s">
        <v>512</v>
      </c>
      <c r="C384" s="208" t="s">
        <v>403</v>
      </c>
      <c r="D384" s="35" t="s">
        <v>82</v>
      </c>
      <c r="E384" s="35" t="s">
        <v>661</v>
      </c>
      <c r="F384" s="35" t="s">
        <v>374</v>
      </c>
      <c r="G384" s="35" t="s">
        <v>626</v>
      </c>
      <c r="H384" s="35" t="s">
        <v>580</v>
      </c>
      <c r="I384" s="141">
        <v>1499</v>
      </c>
      <c r="J384" s="34">
        <v>1635.6571999999999</v>
      </c>
      <c r="K384" s="34">
        <f t="shared" si="65"/>
        <v>136.65719999999988</v>
      </c>
      <c r="L384" s="56">
        <f t="shared" si="66"/>
        <v>18675.190311839964</v>
      </c>
      <c r="M384" s="56">
        <f t="shared" si="67"/>
        <v>136.65719999999988</v>
      </c>
      <c r="N384" s="56">
        <f t="shared" si="68"/>
        <v>2.1387989315919955</v>
      </c>
      <c r="O384" s="56">
        <f t="shared" si="77"/>
        <v>2.1387989315919955</v>
      </c>
      <c r="P384" s="143">
        <f t="shared" si="69"/>
        <v>9.1165577051367492</v>
      </c>
      <c r="Q384" s="143">
        <f t="shared" si="70"/>
        <v>9.1165577051367492</v>
      </c>
      <c r="R384" s="34">
        <v>1650.7888</v>
      </c>
      <c r="S384" s="56">
        <f t="shared" si="71"/>
        <v>151.78880000000004</v>
      </c>
      <c r="T384" s="56">
        <f t="shared" si="72"/>
        <v>23039.839805440013</v>
      </c>
      <c r="U384" s="56">
        <f t="shared" si="73"/>
        <v>151.78880000000004</v>
      </c>
      <c r="V384" s="56">
        <f t="shared" si="74"/>
        <v>2.1840915199695705</v>
      </c>
      <c r="W384" s="33">
        <f t="shared" si="75"/>
        <v>10.126004002668449</v>
      </c>
      <c r="X384" s="143">
        <f t="shared" si="76"/>
        <v>10.126004002668449</v>
      </c>
    </row>
    <row r="385" spans="1:24" ht="15" x14ac:dyDescent="0.2">
      <c r="A385" s="218" t="s">
        <v>344</v>
      </c>
      <c r="B385" s="224" t="s">
        <v>512</v>
      </c>
      <c r="C385" s="208" t="s">
        <v>403</v>
      </c>
      <c r="D385" s="35" t="s">
        <v>82</v>
      </c>
      <c r="E385" s="35" t="s">
        <v>661</v>
      </c>
      <c r="F385" s="35" t="s">
        <v>374</v>
      </c>
      <c r="G385" s="35" t="s">
        <v>626</v>
      </c>
      <c r="H385" s="35" t="s">
        <v>580</v>
      </c>
      <c r="I385" s="141">
        <v>1427.7</v>
      </c>
      <c r="J385" s="34">
        <v>1456.203428</v>
      </c>
      <c r="K385" s="34">
        <f t="shared" si="65"/>
        <v>28.503427999999985</v>
      </c>
      <c r="L385" s="56">
        <f t="shared" si="66"/>
        <v>812.44540775118321</v>
      </c>
      <c r="M385" s="56">
        <f t="shared" si="67"/>
        <v>28.503427999999985</v>
      </c>
      <c r="N385" s="56">
        <f t="shared" si="68"/>
        <v>1.4698724795371831</v>
      </c>
      <c r="O385" s="56">
        <f t="shared" si="77"/>
        <v>1.4698724795371831</v>
      </c>
      <c r="P385" s="143">
        <f t="shared" si="69"/>
        <v>1.9964577992575461</v>
      </c>
      <c r="Q385" s="143">
        <f t="shared" si="70"/>
        <v>1.9964577992575461</v>
      </c>
      <c r="R385" s="34">
        <v>1468.6341</v>
      </c>
      <c r="S385" s="56">
        <f t="shared" si="71"/>
        <v>40.934099999999944</v>
      </c>
      <c r="T385" s="56">
        <f t="shared" si="72"/>
        <v>1675.6005428099954</v>
      </c>
      <c r="U385" s="56">
        <f t="shared" si="73"/>
        <v>40.934099999999944</v>
      </c>
      <c r="V385" s="56">
        <f t="shared" si="74"/>
        <v>1.6225673265181821</v>
      </c>
      <c r="W385" s="33">
        <f t="shared" si="75"/>
        <v>2.8671359529312839</v>
      </c>
      <c r="X385" s="143">
        <f t="shared" si="76"/>
        <v>2.8671359529312839</v>
      </c>
    </row>
    <row r="386" spans="1:24" ht="15" x14ac:dyDescent="0.2">
      <c r="A386" s="28" t="s">
        <v>306</v>
      </c>
      <c r="B386" s="224" t="s">
        <v>512</v>
      </c>
      <c r="C386" s="208" t="s">
        <v>403</v>
      </c>
      <c r="D386" s="35" t="s">
        <v>148</v>
      </c>
      <c r="E386" s="35" t="s">
        <v>661</v>
      </c>
      <c r="F386" s="35" t="s">
        <v>494</v>
      </c>
      <c r="G386" s="35" t="s">
        <v>626</v>
      </c>
      <c r="H386" s="35" t="s">
        <v>580</v>
      </c>
      <c r="I386" s="141">
        <v>1098.0999999999999</v>
      </c>
      <c r="J386" s="34">
        <v>1368.3068539999999</v>
      </c>
      <c r="K386" s="34">
        <f t="shared" ref="K386:K449" si="78">J386-I386</f>
        <v>270.20685400000002</v>
      </c>
      <c r="L386" s="56">
        <f t="shared" ref="L386:L449" si="79">K386^2</f>
        <v>73011.743948577321</v>
      </c>
      <c r="M386" s="56">
        <f t="shared" ref="M386:M449" si="80">SQRT(L386)</f>
        <v>270.20685400000002</v>
      </c>
      <c r="N386" s="56">
        <f t="shared" ref="N386:N449" si="81">LOG10(M386+1)</f>
        <v>2.4333006609205614</v>
      </c>
      <c r="O386" s="56">
        <f t="shared" si="77"/>
        <v>2.4333006609205614</v>
      </c>
      <c r="P386" s="143">
        <f t="shared" ref="P386:P449" si="82">100*K386/I386</f>
        <v>24.606762043529738</v>
      </c>
      <c r="Q386" s="143">
        <f t="shared" ref="Q386:Q449" si="83">ABS(P386)</f>
        <v>24.606762043529738</v>
      </c>
      <c r="R386" s="34">
        <v>1372.632568</v>
      </c>
      <c r="S386" s="56">
        <f t="shared" ref="S386:S449" si="84">R386-I386</f>
        <v>274.53256800000008</v>
      </c>
      <c r="T386" s="56">
        <f t="shared" ref="T386:T449" si="85">S386^2</f>
        <v>75368.130892674671</v>
      </c>
      <c r="U386" s="56">
        <f t="shared" ref="U386:U449" si="86">SQRT(T386)</f>
        <v>274.53256800000008</v>
      </c>
      <c r="V386" s="56">
        <f t="shared" ref="V386:V449" si="87">LOG10(U386+1)</f>
        <v>2.4401729399091683</v>
      </c>
      <c r="W386" s="33">
        <f t="shared" ref="W386:W449" si="88">100*S386/I386</f>
        <v>25.000689190419827</v>
      </c>
      <c r="X386" s="143">
        <f t="shared" ref="X386:X449" si="89">ABS(W386)</f>
        <v>25.000689190419827</v>
      </c>
    </row>
    <row r="387" spans="1:24" ht="15" x14ac:dyDescent="0.2">
      <c r="A387" s="28" t="s">
        <v>75</v>
      </c>
      <c r="B387" s="224" t="s">
        <v>512</v>
      </c>
      <c r="C387" s="208" t="s">
        <v>403</v>
      </c>
      <c r="D387" s="35" t="s">
        <v>82</v>
      </c>
      <c r="E387" s="35" t="s">
        <v>661</v>
      </c>
      <c r="F387" s="35" t="s">
        <v>374</v>
      </c>
      <c r="G387" s="35" t="s">
        <v>627</v>
      </c>
      <c r="H387" s="35" t="s">
        <v>580</v>
      </c>
      <c r="I387" s="141">
        <v>2106.6</v>
      </c>
      <c r="J387" s="34">
        <v>1842.7320439999999</v>
      </c>
      <c r="K387" s="34">
        <f t="shared" si="78"/>
        <v>-263.86795600000005</v>
      </c>
      <c r="L387" s="56">
        <f t="shared" si="79"/>
        <v>69626.29820361796</v>
      </c>
      <c r="M387" s="56">
        <f t="shared" si="80"/>
        <v>263.86795600000005</v>
      </c>
      <c r="N387" s="56">
        <f t="shared" si="81"/>
        <v>2.4230294200784224</v>
      </c>
      <c r="O387" s="56">
        <f t="shared" ref="O387:O450" si="90">N387*SIGN(K387)</f>
        <v>-2.4230294200784224</v>
      </c>
      <c r="P387" s="143">
        <f t="shared" si="82"/>
        <v>-12.525774043482391</v>
      </c>
      <c r="Q387" s="143">
        <f t="shared" si="83"/>
        <v>12.525774043482391</v>
      </c>
      <c r="R387" s="34">
        <v>1835.3855740000001</v>
      </c>
      <c r="S387" s="56">
        <f t="shared" si="84"/>
        <v>-271.21442599999978</v>
      </c>
      <c r="T387" s="56">
        <f t="shared" si="85"/>
        <v>73557.26487050936</v>
      </c>
      <c r="U387" s="56">
        <f t="shared" si="86"/>
        <v>271.21442599999978</v>
      </c>
      <c r="V387" s="56">
        <f t="shared" si="87"/>
        <v>2.4349111369076635</v>
      </c>
      <c r="W387" s="33">
        <f t="shared" si="88"/>
        <v>-12.874509921200028</v>
      </c>
      <c r="X387" s="143">
        <f t="shared" si="89"/>
        <v>12.874509921200028</v>
      </c>
    </row>
    <row r="388" spans="1:24" ht="15" x14ac:dyDescent="0.2">
      <c r="A388" s="28" t="s">
        <v>301</v>
      </c>
      <c r="B388" s="224" t="s">
        <v>512</v>
      </c>
      <c r="C388" s="208" t="s">
        <v>403</v>
      </c>
      <c r="D388" s="35" t="s">
        <v>82</v>
      </c>
      <c r="E388" s="35" t="s">
        <v>661</v>
      </c>
      <c r="F388" s="35" t="s">
        <v>374</v>
      </c>
      <c r="G388" s="35" t="s">
        <v>626</v>
      </c>
      <c r="H388" s="35" t="s">
        <v>580</v>
      </c>
      <c r="I388" s="141">
        <v>1300</v>
      </c>
      <c r="J388" s="34">
        <v>1307.0329999999999</v>
      </c>
      <c r="K388" s="34">
        <f t="shared" si="78"/>
        <v>7.0329999999999018</v>
      </c>
      <c r="L388" s="56">
        <f t="shared" si="79"/>
        <v>49.463088999998618</v>
      </c>
      <c r="M388" s="56">
        <f t="shared" si="80"/>
        <v>7.0329999999999018</v>
      </c>
      <c r="N388" s="56">
        <f t="shared" si="81"/>
        <v>0.90487776696339928</v>
      </c>
      <c r="O388" s="56">
        <f t="shared" si="90"/>
        <v>0.90487776696339928</v>
      </c>
      <c r="P388" s="143">
        <f t="shared" si="82"/>
        <v>0.54099999999999249</v>
      </c>
      <c r="Q388" s="143">
        <f t="shared" si="83"/>
        <v>0.54099999999999249</v>
      </c>
      <c r="R388" s="34">
        <v>1322.51</v>
      </c>
      <c r="S388" s="56">
        <f t="shared" si="84"/>
        <v>22.509999999999991</v>
      </c>
      <c r="T388" s="56">
        <f t="shared" si="85"/>
        <v>506.70009999999957</v>
      </c>
      <c r="U388" s="56">
        <f t="shared" si="86"/>
        <v>22.509999999999991</v>
      </c>
      <c r="V388" s="56">
        <f t="shared" si="87"/>
        <v>1.3712526291249392</v>
      </c>
      <c r="W388" s="33">
        <f t="shared" si="88"/>
        <v>1.7315384615384608</v>
      </c>
      <c r="X388" s="143">
        <f t="shared" si="89"/>
        <v>1.7315384615384608</v>
      </c>
    </row>
    <row r="389" spans="1:24" ht="15" x14ac:dyDescent="0.2">
      <c r="A389" s="28" t="s">
        <v>664</v>
      </c>
      <c r="B389" s="224" t="s">
        <v>512</v>
      </c>
      <c r="C389" s="208" t="s">
        <v>403</v>
      </c>
      <c r="D389" s="35" t="s">
        <v>82</v>
      </c>
      <c r="E389" s="35" t="s">
        <v>661</v>
      </c>
      <c r="F389" s="35" t="s">
        <v>374</v>
      </c>
      <c r="G389" s="35" t="s">
        <v>627</v>
      </c>
      <c r="H389" s="35" t="s">
        <v>580</v>
      </c>
      <c r="I389" s="141">
        <v>1730.8</v>
      </c>
      <c r="J389" s="34">
        <v>1652.0468119999998</v>
      </c>
      <c r="K389" s="34">
        <f t="shared" si="78"/>
        <v>-78.753188000000137</v>
      </c>
      <c r="L389" s="56">
        <f t="shared" si="79"/>
        <v>6202.0646201633654</v>
      </c>
      <c r="M389" s="56">
        <f t="shared" si="80"/>
        <v>78.753188000000137</v>
      </c>
      <c r="N389" s="56">
        <f t="shared" si="81"/>
        <v>1.9017480522701071</v>
      </c>
      <c r="O389" s="56">
        <f t="shared" si="90"/>
        <v>-1.9017480522701071</v>
      </c>
      <c r="P389" s="143">
        <f t="shared" si="82"/>
        <v>-4.5501033048301442</v>
      </c>
      <c r="Q389" s="143">
        <f t="shared" si="83"/>
        <v>4.5501033048301442</v>
      </c>
      <c r="R389" s="34">
        <v>1715.7239480000001</v>
      </c>
      <c r="S389" s="56">
        <f t="shared" si="84"/>
        <v>-15.076051999999891</v>
      </c>
      <c r="T389" s="56">
        <f t="shared" si="85"/>
        <v>227.2873439067007</v>
      </c>
      <c r="U389" s="56">
        <f t="shared" si="86"/>
        <v>15.076051999999891</v>
      </c>
      <c r="V389" s="56">
        <f t="shared" si="87"/>
        <v>1.2061794023020629</v>
      </c>
      <c r="W389" s="33">
        <f t="shared" si="88"/>
        <v>-0.871045296972492</v>
      </c>
      <c r="X389" s="143">
        <f t="shared" si="89"/>
        <v>0.871045296972492</v>
      </c>
    </row>
    <row r="390" spans="1:24" ht="15" x14ac:dyDescent="0.2">
      <c r="A390" s="28" t="s">
        <v>282</v>
      </c>
      <c r="B390" s="224" t="s">
        <v>512</v>
      </c>
      <c r="C390" s="208" t="s">
        <v>403</v>
      </c>
      <c r="D390" s="35" t="s">
        <v>96</v>
      </c>
      <c r="E390" s="35" t="s">
        <v>661</v>
      </c>
      <c r="F390" s="35" t="s">
        <v>494</v>
      </c>
      <c r="G390" s="35" t="s">
        <v>626</v>
      </c>
      <c r="H390" s="35" t="s">
        <v>580</v>
      </c>
      <c r="I390" s="141">
        <v>872.2</v>
      </c>
      <c r="J390" s="34">
        <v>974.24899999999991</v>
      </c>
      <c r="K390" s="34">
        <f t="shared" si="78"/>
        <v>102.04899999999986</v>
      </c>
      <c r="L390" s="56">
        <f t="shared" si="79"/>
        <v>10413.998400999972</v>
      </c>
      <c r="M390" s="56">
        <f t="shared" si="80"/>
        <v>102.04899999999986</v>
      </c>
      <c r="N390" s="56">
        <f t="shared" si="81"/>
        <v>2.0130437816893298</v>
      </c>
      <c r="O390" s="56">
        <f t="shared" si="90"/>
        <v>2.0130437816893298</v>
      </c>
      <c r="P390" s="143">
        <f t="shared" si="82"/>
        <v>11.700183444164168</v>
      </c>
      <c r="Q390" s="143">
        <f t="shared" si="83"/>
        <v>11.700183444164168</v>
      </c>
      <c r="R390" s="34">
        <v>977.81726000000003</v>
      </c>
      <c r="S390" s="56">
        <f t="shared" si="84"/>
        <v>105.61725999999999</v>
      </c>
      <c r="T390" s="56">
        <f t="shared" si="85"/>
        <v>11155.005609907597</v>
      </c>
      <c r="U390" s="56">
        <f t="shared" si="86"/>
        <v>105.61725999999999</v>
      </c>
      <c r="V390" s="56">
        <f t="shared" si="87"/>
        <v>2.0278275172231695</v>
      </c>
      <c r="W390" s="33">
        <f t="shared" si="88"/>
        <v>12.109293739967896</v>
      </c>
      <c r="X390" s="143">
        <f t="shared" si="89"/>
        <v>12.109293739967896</v>
      </c>
    </row>
    <row r="391" spans="1:24" ht="15" x14ac:dyDescent="0.2">
      <c r="A391" s="28" t="s">
        <v>600</v>
      </c>
      <c r="B391" s="224" t="s">
        <v>512</v>
      </c>
      <c r="C391" s="208" t="s">
        <v>403</v>
      </c>
      <c r="D391" s="35" t="s">
        <v>82</v>
      </c>
      <c r="E391" s="35" t="s">
        <v>661</v>
      </c>
      <c r="F391" s="35" t="s">
        <v>293</v>
      </c>
      <c r="G391" s="35" t="s">
        <v>627</v>
      </c>
      <c r="H391" s="35" t="s">
        <v>580</v>
      </c>
      <c r="I391" s="141">
        <v>2516.1099999999997</v>
      </c>
      <c r="J391" s="34">
        <v>2847.6981259999998</v>
      </c>
      <c r="K391" s="34">
        <f t="shared" si="78"/>
        <v>331.5881260000001</v>
      </c>
      <c r="L391" s="56">
        <f t="shared" si="79"/>
        <v>109950.68530419194</v>
      </c>
      <c r="M391" s="56">
        <f t="shared" si="80"/>
        <v>331.5881260000001</v>
      </c>
      <c r="N391" s="56">
        <f t="shared" si="81"/>
        <v>2.5219067400586934</v>
      </c>
      <c r="O391" s="56">
        <f t="shared" si="90"/>
        <v>2.5219067400586934</v>
      </c>
      <c r="P391" s="143">
        <f t="shared" si="82"/>
        <v>13.178602127887897</v>
      </c>
      <c r="Q391" s="143">
        <f t="shared" si="83"/>
        <v>13.178602127887897</v>
      </c>
      <c r="R391" s="34">
        <v>2841.1997900000001</v>
      </c>
      <c r="S391" s="56">
        <f t="shared" si="84"/>
        <v>325.08979000000045</v>
      </c>
      <c r="T391" s="56">
        <f t="shared" si="85"/>
        <v>105683.37156224439</v>
      </c>
      <c r="U391" s="56">
        <f t="shared" si="86"/>
        <v>325.08979000000045</v>
      </c>
      <c r="V391" s="56">
        <f t="shared" si="87"/>
        <v>2.5133372010872304</v>
      </c>
      <c r="W391" s="33">
        <f t="shared" si="88"/>
        <v>12.920332974313542</v>
      </c>
      <c r="X391" s="143">
        <f t="shared" si="89"/>
        <v>12.920332974313542</v>
      </c>
    </row>
    <row r="392" spans="1:24" ht="15" x14ac:dyDescent="0.2">
      <c r="A392" s="28" t="s">
        <v>289</v>
      </c>
      <c r="B392" s="224" t="s">
        <v>512</v>
      </c>
      <c r="C392" s="208" t="s">
        <v>403</v>
      </c>
      <c r="D392" s="35" t="s">
        <v>148</v>
      </c>
      <c r="E392" s="35" t="s">
        <v>661</v>
      </c>
      <c r="F392" s="35" t="s">
        <v>494</v>
      </c>
      <c r="G392" s="35" t="s">
        <v>626</v>
      </c>
      <c r="H392" s="35" t="s">
        <v>580</v>
      </c>
      <c r="I392" s="141">
        <v>899.05</v>
      </c>
      <c r="J392" s="34">
        <v>1035.3980599999998</v>
      </c>
      <c r="K392" s="34">
        <f t="shared" si="78"/>
        <v>136.3480599999998</v>
      </c>
      <c r="L392" s="56">
        <f t="shared" si="79"/>
        <v>18590.793465763545</v>
      </c>
      <c r="M392" s="56">
        <f t="shared" si="80"/>
        <v>136.3480599999998</v>
      </c>
      <c r="N392" s="56">
        <f t="shared" si="81"/>
        <v>2.137822529521086</v>
      </c>
      <c r="O392" s="56">
        <f t="shared" si="90"/>
        <v>2.137822529521086</v>
      </c>
      <c r="P392" s="143">
        <f t="shared" si="82"/>
        <v>15.165792781269097</v>
      </c>
      <c r="Q392" s="143">
        <f t="shared" si="83"/>
        <v>15.165792781269097</v>
      </c>
      <c r="R392" s="34">
        <v>1035.7464580000001</v>
      </c>
      <c r="S392" s="56">
        <f t="shared" si="84"/>
        <v>136.69645800000012</v>
      </c>
      <c r="T392" s="56">
        <f t="shared" si="85"/>
        <v>18685.921629745797</v>
      </c>
      <c r="U392" s="56">
        <f t="shared" si="86"/>
        <v>136.69645800000012</v>
      </c>
      <c r="V392" s="56">
        <f t="shared" si="87"/>
        <v>2.1389227689363763</v>
      </c>
      <c r="W392" s="33">
        <f t="shared" si="88"/>
        <v>15.204544574829001</v>
      </c>
      <c r="X392" s="143">
        <f t="shared" si="89"/>
        <v>15.204544574829001</v>
      </c>
    </row>
    <row r="393" spans="1:24" ht="15" x14ac:dyDescent="0.2">
      <c r="A393" s="28" t="s">
        <v>310</v>
      </c>
      <c r="B393" s="224" t="s">
        <v>512</v>
      </c>
      <c r="C393" s="208" t="s">
        <v>403</v>
      </c>
      <c r="D393" s="35" t="s">
        <v>82</v>
      </c>
      <c r="E393" s="35" t="s">
        <v>661</v>
      </c>
      <c r="F393" s="35" t="s">
        <v>374</v>
      </c>
      <c r="G393" s="35" t="s">
        <v>626</v>
      </c>
      <c r="H393" s="35" t="s">
        <v>580</v>
      </c>
      <c r="I393" s="142">
        <f>489.03+252.1+310.1+413</f>
        <v>1464.23</v>
      </c>
      <c r="J393" s="34">
        <v>1753.7955199999999</v>
      </c>
      <c r="K393" s="34">
        <f t="shared" si="78"/>
        <v>289.56551999999988</v>
      </c>
      <c r="L393" s="56">
        <f t="shared" si="79"/>
        <v>83848.190372870333</v>
      </c>
      <c r="M393" s="56">
        <f t="shared" si="80"/>
        <v>289.56551999999988</v>
      </c>
      <c r="N393" s="56">
        <f t="shared" si="81"/>
        <v>2.4632440774011801</v>
      </c>
      <c r="O393" s="56">
        <f t="shared" si="90"/>
        <v>2.4632440774011801</v>
      </c>
      <c r="P393" s="143">
        <f t="shared" si="82"/>
        <v>19.775958695013752</v>
      </c>
      <c r="Q393" s="143">
        <f t="shared" si="83"/>
        <v>19.775958695013752</v>
      </c>
      <c r="R393" s="34">
        <v>1774.8942</v>
      </c>
      <c r="S393" s="56">
        <f t="shared" si="84"/>
        <v>310.66419999999994</v>
      </c>
      <c r="T393" s="56">
        <f t="shared" si="85"/>
        <v>96512.245161639963</v>
      </c>
      <c r="U393" s="56">
        <f t="shared" si="86"/>
        <v>310.66419999999994</v>
      </c>
      <c r="V393" s="56">
        <f t="shared" si="87"/>
        <v>2.4936869189422843</v>
      </c>
      <c r="W393" s="33">
        <f t="shared" si="88"/>
        <v>21.216898984449159</v>
      </c>
      <c r="X393" s="143">
        <f t="shared" si="89"/>
        <v>21.216898984449159</v>
      </c>
    </row>
    <row r="394" spans="1:24" ht="15" x14ac:dyDescent="0.2">
      <c r="A394" s="28" t="s">
        <v>290</v>
      </c>
      <c r="B394" s="224" t="s">
        <v>512</v>
      </c>
      <c r="C394" s="208" t="s">
        <v>403</v>
      </c>
      <c r="D394" s="35" t="s">
        <v>82</v>
      </c>
      <c r="E394" s="35" t="s">
        <v>661</v>
      </c>
      <c r="F394" s="35" t="s">
        <v>374</v>
      </c>
      <c r="G394" s="35" t="s">
        <v>626</v>
      </c>
      <c r="H394" s="35" t="s">
        <v>580</v>
      </c>
      <c r="I394" s="141">
        <v>1369.3</v>
      </c>
      <c r="J394" s="34">
        <v>1449.71414</v>
      </c>
      <c r="K394" s="34">
        <f t="shared" si="78"/>
        <v>80.414140000000089</v>
      </c>
      <c r="L394" s="56">
        <f t="shared" si="79"/>
        <v>6466.4339119396145</v>
      </c>
      <c r="M394" s="56">
        <f t="shared" si="80"/>
        <v>80.414140000000089</v>
      </c>
      <c r="N394" s="56">
        <f t="shared" si="81"/>
        <v>1.9106998396639645</v>
      </c>
      <c r="O394" s="56">
        <f t="shared" si="90"/>
        <v>1.9106998396639645</v>
      </c>
      <c r="P394" s="143">
        <f t="shared" si="82"/>
        <v>5.8726458774556409</v>
      </c>
      <c r="Q394" s="143">
        <f t="shared" si="83"/>
        <v>5.8726458774556409</v>
      </c>
      <c r="R394" s="34">
        <v>1442.7321019999999</v>
      </c>
      <c r="S394" s="56">
        <f t="shared" si="84"/>
        <v>73.432101999999986</v>
      </c>
      <c r="T394" s="56">
        <f t="shared" si="85"/>
        <v>5392.2736041384023</v>
      </c>
      <c r="U394" s="56">
        <f t="shared" si="86"/>
        <v>73.432101999999986</v>
      </c>
      <c r="V394" s="56">
        <f t="shared" si="87"/>
        <v>1.8717602838596754</v>
      </c>
      <c r="W394" s="33">
        <f t="shared" si="88"/>
        <v>5.3627475352369816</v>
      </c>
      <c r="X394" s="143">
        <f t="shared" si="89"/>
        <v>5.3627475352369816</v>
      </c>
    </row>
    <row r="395" spans="1:24" ht="15" x14ac:dyDescent="0.2">
      <c r="A395" s="28" t="s">
        <v>365</v>
      </c>
      <c r="B395" s="224" t="s">
        <v>512</v>
      </c>
      <c r="C395" s="208" t="s">
        <v>403</v>
      </c>
      <c r="D395" s="35" t="s">
        <v>148</v>
      </c>
      <c r="E395" s="35" t="s">
        <v>661</v>
      </c>
      <c r="F395" s="35" t="s">
        <v>494</v>
      </c>
      <c r="G395" s="35" t="s">
        <v>626</v>
      </c>
      <c r="H395" s="35" t="s">
        <v>580</v>
      </c>
      <c r="I395" s="141">
        <v>992.24</v>
      </c>
      <c r="J395" s="34">
        <v>1058.1105679999998</v>
      </c>
      <c r="K395" s="34">
        <f t="shared" si="78"/>
        <v>65.870567999999821</v>
      </c>
      <c r="L395" s="56">
        <f t="shared" si="79"/>
        <v>4338.9317286426003</v>
      </c>
      <c r="M395" s="56">
        <f t="shared" si="80"/>
        <v>65.870567999999821</v>
      </c>
      <c r="N395" s="56">
        <f t="shared" si="81"/>
        <v>1.8252350121219578</v>
      </c>
      <c r="O395" s="56">
        <f t="shared" si="90"/>
        <v>1.8252350121219578</v>
      </c>
      <c r="P395" s="143">
        <f t="shared" si="82"/>
        <v>6.6385721196484537</v>
      </c>
      <c r="Q395" s="143">
        <f t="shared" si="83"/>
        <v>6.6385721196484537</v>
      </c>
      <c r="R395" s="34">
        <v>1089.552154</v>
      </c>
      <c r="S395" s="56">
        <f t="shared" si="84"/>
        <v>97.312153999999964</v>
      </c>
      <c r="T395" s="56">
        <f t="shared" si="85"/>
        <v>9469.6553161197098</v>
      </c>
      <c r="U395" s="56">
        <f t="shared" si="86"/>
        <v>97.312153999999964</v>
      </c>
      <c r="V395" s="56">
        <f t="shared" si="87"/>
        <v>1.9926072115131455</v>
      </c>
      <c r="W395" s="33">
        <f t="shared" si="88"/>
        <v>9.8073202047891606</v>
      </c>
      <c r="X395" s="143">
        <f t="shared" si="89"/>
        <v>9.8073202047891606</v>
      </c>
    </row>
    <row r="396" spans="1:24" ht="15" x14ac:dyDescent="0.2">
      <c r="A396" s="28" t="s">
        <v>601</v>
      </c>
      <c r="B396" s="224" t="s">
        <v>512</v>
      </c>
      <c r="C396" s="208" t="s">
        <v>403</v>
      </c>
      <c r="D396" s="35" t="s">
        <v>82</v>
      </c>
      <c r="E396" s="35" t="s">
        <v>661</v>
      </c>
      <c r="F396" s="35" t="s">
        <v>203</v>
      </c>
      <c r="G396" s="35" t="s">
        <v>627</v>
      </c>
      <c r="H396" s="35" t="s">
        <v>581</v>
      </c>
      <c r="I396" s="141">
        <v>5182</v>
      </c>
      <c r="J396" s="34">
        <v>4343.6869999999999</v>
      </c>
      <c r="K396" s="34">
        <f t="shared" si="78"/>
        <v>-838.3130000000001</v>
      </c>
      <c r="L396" s="56">
        <f t="shared" si="79"/>
        <v>702768.68596900022</v>
      </c>
      <c r="M396" s="56">
        <f t="shared" si="80"/>
        <v>838.3130000000001</v>
      </c>
      <c r="N396" s="56">
        <f t="shared" si="81"/>
        <v>2.9239239498908258</v>
      </c>
      <c r="O396" s="56">
        <f t="shared" si="90"/>
        <v>-2.9239239498908258</v>
      </c>
      <c r="P396" s="143">
        <f t="shared" si="82"/>
        <v>-16.177402547279048</v>
      </c>
      <c r="Q396" s="143">
        <f t="shared" si="83"/>
        <v>16.177402547279048</v>
      </c>
      <c r="R396" s="34">
        <v>4389.1143999999995</v>
      </c>
      <c r="S396" s="56">
        <f t="shared" si="84"/>
        <v>-792.88560000000052</v>
      </c>
      <c r="T396" s="56">
        <f t="shared" si="85"/>
        <v>628667.57468736079</v>
      </c>
      <c r="U396" s="56">
        <f t="shared" si="86"/>
        <v>792.88560000000052</v>
      </c>
      <c r="V396" s="56">
        <f t="shared" si="87"/>
        <v>2.8997579245073575</v>
      </c>
      <c r="W396" s="33">
        <f t="shared" si="88"/>
        <v>-15.300764183712863</v>
      </c>
      <c r="X396" s="143">
        <f t="shared" si="89"/>
        <v>15.300764183712863</v>
      </c>
    </row>
    <row r="397" spans="1:24" ht="15" x14ac:dyDescent="0.2">
      <c r="A397" s="206" t="s">
        <v>593</v>
      </c>
      <c r="B397" s="224" t="s">
        <v>512</v>
      </c>
      <c r="C397" s="35" t="s">
        <v>403</v>
      </c>
      <c r="D397" s="35" t="s">
        <v>82</v>
      </c>
      <c r="E397" s="35" t="s">
        <v>661</v>
      </c>
      <c r="F397" s="35" t="s">
        <v>374</v>
      </c>
      <c r="G397" s="35" t="s">
        <v>626</v>
      </c>
      <c r="H397" s="35" t="s">
        <v>580</v>
      </c>
      <c r="I397" s="141">
        <v>1284.8</v>
      </c>
      <c r="J397" s="34">
        <v>1340.1450079999997</v>
      </c>
      <c r="K397" s="34">
        <f t="shared" si="78"/>
        <v>55.34500799999978</v>
      </c>
      <c r="L397" s="56">
        <f t="shared" si="79"/>
        <v>3063.0699105200397</v>
      </c>
      <c r="M397" s="56">
        <f t="shared" si="80"/>
        <v>55.34500799999978</v>
      </c>
      <c r="N397" s="56">
        <f t="shared" si="81"/>
        <v>1.7508554448880702</v>
      </c>
      <c r="O397" s="56">
        <f t="shared" si="90"/>
        <v>1.7508554448880702</v>
      </c>
      <c r="P397" s="143">
        <f t="shared" si="82"/>
        <v>4.3076749688667331</v>
      </c>
      <c r="Q397" s="143">
        <f t="shared" si="83"/>
        <v>4.3076749688667331</v>
      </c>
      <c r="R397" s="34">
        <v>1345.969924</v>
      </c>
      <c r="S397" s="56">
        <f t="shared" si="84"/>
        <v>61.169924000000037</v>
      </c>
      <c r="T397" s="56">
        <f t="shared" si="85"/>
        <v>3741.7596021657805</v>
      </c>
      <c r="U397" s="56">
        <f t="shared" si="86"/>
        <v>61.169924000000037</v>
      </c>
      <c r="V397" s="56">
        <f t="shared" si="87"/>
        <v>1.7935803364625618</v>
      </c>
      <c r="W397" s="33">
        <f t="shared" si="88"/>
        <v>4.761046388542967</v>
      </c>
      <c r="X397" s="143">
        <f t="shared" si="89"/>
        <v>4.761046388542967</v>
      </c>
    </row>
    <row r="398" spans="1:24" ht="16" x14ac:dyDescent="0.2">
      <c r="A398" t="s">
        <v>867</v>
      </c>
      <c r="B398" s="224" t="s">
        <v>612</v>
      </c>
      <c r="C398" s="224" t="s">
        <v>824</v>
      </c>
      <c r="D398" s="35" t="s">
        <v>148</v>
      </c>
      <c r="E398" s="35" t="s">
        <v>662</v>
      </c>
      <c r="F398" s="35" t="s">
        <v>374</v>
      </c>
      <c r="G398" s="35" t="s">
        <v>627</v>
      </c>
      <c r="H398" s="35" t="s">
        <v>580</v>
      </c>
      <c r="I398" s="147">
        <v>1842</v>
      </c>
      <c r="J398" s="34">
        <v>1730.1453126886154</v>
      </c>
      <c r="K398" s="34">
        <f t="shared" si="78"/>
        <v>-111.85468731138462</v>
      </c>
      <c r="L398" s="56">
        <f t="shared" si="79"/>
        <v>12511.471073527628</v>
      </c>
      <c r="M398" s="56">
        <f t="shared" si="80"/>
        <v>111.85468731138462</v>
      </c>
      <c r="N398" s="56">
        <f t="shared" si="81"/>
        <v>2.0525196017938767</v>
      </c>
      <c r="O398" s="56">
        <f t="shared" si="90"/>
        <v>-2.0525196017938767</v>
      </c>
      <c r="P398" s="143">
        <f t="shared" si="82"/>
        <v>-6.0724585945377099</v>
      </c>
      <c r="Q398" s="143">
        <f t="shared" si="83"/>
        <v>6.0724585945377099</v>
      </c>
      <c r="R398" s="34">
        <v>1733.8354523071885</v>
      </c>
      <c r="S398" s="56">
        <f t="shared" si="84"/>
        <v>-108.16454769281154</v>
      </c>
      <c r="T398" s="56">
        <f t="shared" si="85"/>
        <v>11699.569377590502</v>
      </c>
      <c r="U398" s="56">
        <f t="shared" si="86"/>
        <v>108.16454769281154</v>
      </c>
      <c r="V398" s="56">
        <f t="shared" si="87"/>
        <v>2.0380816196760723</v>
      </c>
      <c r="W398" s="33">
        <f t="shared" si="88"/>
        <v>-5.8721252819115923</v>
      </c>
      <c r="X398" s="143">
        <f t="shared" si="89"/>
        <v>5.8721252819115923</v>
      </c>
    </row>
    <row r="399" spans="1:24" ht="16" x14ac:dyDescent="0.2">
      <c r="A399" t="s">
        <v>868</v>
      </c>
      <c r="B399" s="224" t="s">
        <v>612</v>
      </c>
      <c r="C399" s="224" t="s">
        <v>824</v>
      </c>
      <c r="D399" s="35" t="s">
        <v>148</v>
      </c>
      <c r="E399" s="35" t="s">
        <v>662</v>
      </c>
      <c r="F399" s="35" t="s">
        <v>374</v>
      </c>
      <c r="G399" s="35" t="s">
        <v>627</v>
      </c>
      <c r="H399" s="35" t="s">
        <v>580</v>
      </c>
      <c r="I399" s="147">
        <v>1530</v>
      </c>
      <c r="J399" s="34">
        <v>1572.6371446579628</v>
      </c>
      <c r="K399" s="34">
        <f t="shared" si="78"/>
        <v>42.637144657962835</v>
      </c>
      <c r="L399" s="56">
        <f t="shared" si="79"/>
        <v>1817.9261045840487</v>
      </c>
      <c r="M399" s="56">
        <f t="shared" si="80"/>
        <v>42.637144657962835</v>
      </c>
      <c r="N399" s="56">
        <f t="shared" si="81"/>
        <v>1.6398563253292129</v>
      </c>
      <c r="O399" s="56">
        <f t="shared" si="90"/>
        <v>1.6398563253292129</v>
      </c>
      <c r="P399" s="143">
        <f t="shared" si="82"/>
        <v>2.7867414809126037</v>
      </c>
      <c r="Q399" s="143">
        <f t="shared" si="83"/>
        <v>2.7867414809126037</v>
      </c>
      <c r="R399" s="34">
        <v>1593.4631300088072</v>
      </c>
      <c r="S399" s="56">
        <f t="shared" si="84"/>
        <v>63.463130008807184</v>
      </c>
      <c r="T399" s="56">
        <f t="shared" si="85"/>
        <v>4027.5688705147627</v>
      </c>
      <c r="U399" s="56">
        <f t="shared" si="86"/>
        <v>63.463130008807184</v>
      </c>
      <c r="V399" s="56">
        <f t="shared" si="87"/>
        <v>1.8093113888671504</v>
      </c>
      <c r="W399" s="33">
        <f t="shared" si="88"/>
        <v>4.1479169940396856</v>
      </c>
      <c r="X399" s="143">
        <f t="shared" si="89"/>
        <v>4.1479169940396856</v>
      </c>
    </row>
    <row r="400" spans="1:24" ht="16" x14ac:dyDescent="0.2">
      <c r="A400" t="s">
        <v>869</v>
      </c>
      <c r="B400" s="224" t="s">
        <v>612</v>
      </c>
      <c r="C400" s="224" t="s">
        <v>824</v>
      </c>
      <c r="D400" s="35" t="s">
        <v>148</v>
      </c>
      <c r="E400" s="35" t="s">
        <v>662</v>
      </c>
      <c r="F400" s="35" t="s">
        <v>374</v>
      </c>
      <c r="G400" s="35" t="s">
        <v>627</v>
      </c>
      <c r="H400" s="35" t="s">
        <v>580</v>
      </c>
      <c r="I400" s="147">
        <v>1686</v>
      </c>
      <c r="J400" s="34">
        <v>1665.9977334134985</v>
      </c>
      <c r="K400" s="34">
        <f t="shared" si="78"/>
        <v>-20.002266586501491</v>
      </c>
      <c r="L400" s="56">
        <f t="shared" si="79"/>
        <v>400.09066859747401</v>
      </c>
      <c r="M400" s="56">
        <f t="shared" si="80"/>
        <v>20.002266586501491</v>
      </c>
      <c r="N400" s="56">
        <f t="shared" si="81"/>
        <v>1.3222661667763735</v>
      </c>
      <c r="O400" s="56">
        <f t="shared" si="90"/>
        <v>-1.3222661667763735</v>
      </c>
      <c r="P400" s="143">
        <f t="shared" si="82"/>
        <v>-1.1863740561388785</v>
      </c>
      <c r="Q400" s="143">
        <f t="shared" si="83"/>
        <v>1.1863740561388785</v>
      </c>
      <c r="R400" s="34">
        <v>1663.5183363937106</v>
      </c>
      <c r="S400" s="56">
        <f t="shared" si="84"/>
        <v>-22.48166360628943</v>
      </c>
      <c r="T400" s="56">
        <f t="shared" si="85"/>
        <v>505.4251985063587</v>
      </c>
      <c r="U400" s="56">
        <f t="shared" si="86"/>
        <v>22.48166360628943</v>
      </c>
      <c r="V400" s="56">
        <f t="shared" si="87"/>
        <v>1.3707288621427676</v>
      </c>
      <c r="W400" s="33">
        <f t="shared" si="88"/>
        <v>-1.3334320051179971</v>
      </c>
      <c r="X400" s="143">
        <f t="shared" si="89"/>
        <v>1.3334320051179971</v>
      </c>
    </row>
    <row r="401" spans="1:24" ht="16" x14ac:dyDescent="0.2">
      <c r="A401" t="s">
        <v>870</v>
      </c>
      <c r="B401" s="224" t="s">
        <v>612</v>
      </c>
      <c r="C401" s="224" t="s">
        <v>824</v>
      </c>
      <c r="D401" s="35" t="s">
        <v>148</v>
      </c>
      <c r="E401" s="35" t="s">
        <v>662</v>
      </c>
      <c r="F401" s="35" t="s">
        <v>374</v>
      </c>
      <c r="G401" s="35" t="s">
        <v>627</v>
      </c>
      <c r="H401" s="35" t="s">
        <v>580</v>
      </c>
      <c r="I401" s="147">
        <v>1582</v>
      </c>
      <c r="J401" s="34">
        <v>1592.2522642489546</v>
      </c>
      <c r="K401" s="34">
        <f t="shared" si="78"/>
        <v>10.252264248954589</v>
      </c>
      <c r="L401" s="56">
        <f t="shared" si="79"/>
        <v>105.10892223039239</v>
      </c>
      <c r="M401" s="56">
        <f t="shared" si="80"/>
        <v>10.252264248954589</v>
      </c>
      <c r="N401" s="56">
        <f t="shared" si="81"/>
        <v>1.0512399226146776</v>
      </c>
      <c r="O401" s="56">
        <f t="shared" si="90"/>
        <v>1.0512399226146776</v>
      </c>
      <c r="P401" s="143">
        <f t="shared" si="82"/>
        <v>0.6480571585938425</v>
      </c>
      <c r="Q401" s="143">
        <f t="shared" si="83"/>
        <v>0.6480571585938425</v>
      </c>
      <c r="R401" s="34">
        <v>1588.8023225594759</v>
      </c>
      <c r="S401" s="56">
        <f t="shared" si="84"/>
        <v>6.8023225594758969</v>
      </c>
      <c r="T401" s="56">
        <f t="shared" si="85"/>
        <v>46.271592203154718</v>
      </c>
      <c r="U401" s="56">
        <f t="shared" si="86"/>
        <v>6.8023225594758969</v>
      </c>
      <c r="V401" s="56">
        <f t="shared" si="87"/>
        <v>0.89222390071875535</v>
      </c>
      <c r="W401" s="33">
        <f t="shared" si="88"/>
        <v>0.429982462672307</v>
      </c>
      <c r="X401" s="143">
        <f t="shared" si="89"/>
        <v>0.429982462672307</v>
      </c>
    </row>
    <row r="402" spans="1:24" ht="16" x14ac:dyDescent="0.2">
      <c r="A402" t="s">
        <v>871</v>
      </c>
      <c r="B402" s="224" t="s">
        <v>612</v>
      </c>
      <c r="C402" s="224" t="s">
        <v>824</v>
      </c>
      <c r="D402" s="35" t="s">
        <v>148</v>
      </c>
      <c r="E402" s="35" t="s">
        <v>662</v>
      </c>
      <c r="F402" s="35" t="s">
        <v>374</v>
      </c>
      <c r="G402" s="35" t="s">
        <v>627</v>
      </c>
      <c r="H402" s="35" t="s">
        <v>580</v>
      </c>
      <c r="I402" s="147">
        <v>1575</v>
      </c>
      <c r="J402" s="34">
        <v>1543.2550534015791</v>
      </c>
      <c r="K402" s="34">
        <f t="shared" si="78"/>
        <v>-31.744946598420938</v>
      </c>
      <c r="L402" s="56">
        <f t="shared" si="79"/>
        <v>1007.7416345365971</v>
      </c>
      <c r="M402" s="56">
        <f t="shared" si="80"/>
        <v>31.744946598420938</v>
      </c>
      <c r="N402" s="56">
        <f t="shared" si="81"/>
        <v>1.5151442865031004</v>
      </c>
      <c r="O402" s="56">
        <f t="shared" si="90"/>
        <v>-1.5151442865031004</v>
      </c>
      <c r="P402" s="143">
        <f t="shared" si="82"/>
        <v>-2.0155521649791073</v>
      </c>
      <c r="Q402" s="143">
        <f t="shared" si="83"/>
        <v>2.0155521649791073</v>
      </c>
      <c r="R402" s="34">
        <v>1546.9097996363096</v>
      </c>
      <c r="S402" s="56">
        <f t="shared" si="84"/>
        <v>-28.090200363690428</v>
      </c>
      <c r="T402" s="56">
        <f t="shared" si="85"/>
        <v>789.05935647227386</v>
      </c>
      <c r="U402" s="56">
        <f t="shared" si="86"/>
        <v>28.090200363690428</v>
      </c>
      <c r="V402" s="56">
        <f t="shared" si="87"/>
        <v>1.4637467125342869</v>
      </c>
      <c r="W402" s="33">
        <f t="shared" si="88"/>
        <v>-1.7835047849962176</v>
      </c>
      <c r="X402" s="143">
        <f t="shared" si="89"/>
        <v>1.7835047849962176</v>
      </c>
    </row>
    <row r="403" spans="1:24" ht="16" x14ac:dyDescent="0.2">
      <c r="A403" t="s">
        <v>872</v>
      </c>
      <c r="B403" s="224" t="s">
        <v>612</v>
      </c>
      <c r="C403" s="224" t="s">
        <v>824</v>
      </c>
      <c r="D403" s="35" t="s">
        <v>148</v>
      </c>
      <c r="E403" s="35" t="s">
        <v>662</v>
      </c>
      <c r="F403" s="35" t="s">
        <v>374</v>
      </c>
      <c r="G403" s="35" t="s">
        <v>627</v>
      </c>
      <c r="H403" s="35" t="s">
        <v>580</v>
      </c>
      <c r="I403" s="147">
        <v>1684</v>
      </c>
      <c r="J403" s="34">
        <v>1685.7125808519991</v>
      </c>
      <c r="K403" s="34">
        <f t="shared" si="78"/>
        <v>1.7125808519990642</v>
      </c>
      <c r="L403" s="56">
        <f t="shared" si="79"/>
        <v>2.9329331746338405</v>
      </c>
      <c r="M403" s="56">
        <f t="shared" si="80"/>
        <v>1.7125808519990642</v>
      </c>
      <c r="N403" s="56">
        <f t="shared" si="81"/>
        <v>0.43338269176118915</v>
      </c>
      <c r="O403" s="56">
        <f t="shared" si="90"/>
        <v>0.43338269176118915</v>
      </c>
      <c r="P403" s="143">
        <f t="shared" si="82"/>
        <v>0.10169720023747413</v>
      </c>
      <c r="Q403" s="143">
        <f t="shared" si="83"/>
        <v>0.10169720023747413</v>
      </c>
      <c r="R403" s="34">
        <v>1635.4643114388182</v>
      </c>
      <c r="S403" s="56">
        <f t="shared" si="84"/>
        <v>-48.535688561181814</v>
      </c>
      <c r="T403" s="56">
        <f t="shared" si="85"/>
        <v>2355.7130641080353</v>
      </c>
      <c r="U403" s="56">
        <f t="shared" si="86"/>
        <v>48.535688561181814</v>
      </c>
      <c r="V403" s="56">
        <f t="shared" si="87"/>
        <v>1.6949182041963062</v>
      </c>
      <c r="W403" s="33">
        <f t="shared" si="88"/>
        <v>-2.8821667791675663</v>
      </c>
      <c r="X403" s="143">
        <f t="shared" si="89"/>
        <v>2.8821667791675663</v>
      </c>
    </row>
    <row r="404" spans="1:24" ht="16" x14ac:dyDescent="0.2">
      <c r="A404" t="s">
        <v>873</v>
      </c>
      <c r="B404" s="224" t="s">
        <v>612</v>
      </c>
      <c r="C404" s="224" t="s">
        <v>824</v>
      </c>
      <c r="D404" s="35" t="s">
        <v>148</v>
      </c>
      <c r="E404" s="35" t="s">
        <v>662</v>
      </c>
      <c r="F404" s="35" t="s">
        <v>374</v>
      </c>
      <c r="G404" s="35" t="s">
        <v>627</v>
      </c>
      <c r="H404" s="35" t="s">
        <v>580</v>
      </c>
      <c r="I404" s="147">
        <v>1646</v>
      </c>
      <c r="J404" s="34">
        <v>1661.0722336790759</v>
      </c>
      <c r="K404" s="34">
        <f t="shared" si="78"/>
        <v>15.072233679075907</v>
      </c>
      <c r="L404" s="56">
        <f t="shared" si="79"/>
        <v>227.17222807667005</v>
      </c>
      <c r="M404" s="56">
        <f t="shared" si="80"/>
        <v>15.072233679075907</v>
      </c>
      <c r="N404" s="56">
        <f t="shared" si="81"/>
        <v>1.2060762381251751</v>
      </c>
      <c r="O404" s="56">
        <f t="shared" si="90"/>
        <v>1.2060762381251751</v>
      </c>
      <c r="P404" s="143">
        <f t="shared" si="82"/>
        <v>0.91568855887459943</v>
      </c>
      <c r="Q404" s="143">
        <f t="shared" si="83"/>
        <v>0.91568855887459943</v>
      </c>
      <c r="R404" s="34">
        <v>1663.5183363937106</v>
      </c>
      <c r="S404" s="56">
        <f t="shared" si="84"/>
        <v>17.51833639371057</v>
      </c>
      <c r="T404" s="56">
        <f t="shared" si="85"/>
        <v>306.89211000320427</v>
      </c>
      <c r="U404" s="56">
        <f t="shared" si="86"/>
        <v>17.51833639371057</v>
      </c>
      <c r="V404" s="56">
        <f t="shared" si="87"/>
        <v>1.2676019689828766</v>
      </c>
      <c r="W404" s="33">
        <f t="shared" si="88"/>
        <v>1.0642974722788925</v>
      </c>
      <c r="X404" s="143">
        <f t="shared" si="89"/>
        <v>1.0642974722788925</v>
      </c>
    </row>
    <row r="405" spans="1:24" ht="16" x14ac:dyDescent="0.2">
      <c r="A405" t="s">
        <v>874</v>
      </c>
      <c r="B405" s="224" t="s">
        <v>612</v>
      </c>
      <c r="C405" s="224" t="s">
        <v>824</v>
      </c>
      <c r="D405" s="35" t="s">
        <v>148</v>
      </c>
      <c r="E405" s="35" t="s">
        <v>662</v>
      </c>
      <c r="F405" s="35" t="s">
        <v>374</v>
      </c>
      <c r="G405" s="35" t="s">
        <v>627</v>
      </c>
      <c r="H405" s="35" t="s">
        <v>580</v>
      </c>
      <c r="I405" s="147">
        <v>1540</v>
      </c>
      <c r="J405" s="34">
        <v>1562.8376746187287</v>
      </c>
      <c r="K405" s="34">
        <f t="shared" si="78"/>
        <v>22.83767461872867</v>
      </c>
      <c r="L405" s="56">
        <f t="shared" si="79"/>
        <v>521.55938199092373</v>
      </c>
      <c r="M405" s="56">
        <f t="shared" si="80"/>
        <v>22.83767461872867</v>
      </c>
      <c r="N405" s="56">
        <f t="shared" si="81"/>
        <v>1.3772638874142105</v>
      </c>
      <c r="O405" s="56">
        <f t="shared" si="90"/>
        <v>1.3772638874142105</v>
      </c>
      <c r="P405" s="143">
        <f t="shared" si="82"/>
        <v>1.4829658843330304</v>
      </c>
      <c r="Q405" s="143">
        <f t="shared" si="83"/>
        <v>1.4829658843330304</v>
      </c>
      <c r="R405" s="34">
        <v>1560.8629627260837</v>
      </c>
      <c r="S405" s="56">
        <f t="shared" si="84"/>
        <v>20.862962726083651</v>
      </c>
      <c r="T405" s="56">
        <f t="shared" si="85"/>
        <v>435.26321370995578</v>
      </c>
      <c r="U405" s="56">
        <f t="shared" si="86"/>
        <v>20.862962726083651</v>
      </c>
      <c r="V405" s="56">
        <f t="shared" si="87"/>
        <v>1.3397090143567438</v>
      </c>
      <c r="W405" s="33">
        <f t="shared" si="88"/>
        <v>1.3547378393560812</v>
      </c>
      <c r="X405" s="143">
        <f t="shared" si="89"/>
        <v>1.3547378393560812</v>
      </c>
    </row>
    <row r="406" spans="1:24" ht="16" x14ac:dyDescent="0.2">
      <c r="A406" t="s">
        <v>875</v>
      </c>
      <c r="B406" s="224" t="s">
        <v>612</v>
      </c>
      <c r="C406" s="224" t="s">
        <v>824</v>
      </c>
      <c r="D406" s="35" t="s">
        <v>148</v>
      </c>
      <c r="E406" s="35" t="s">
        <v>662</v>
      </c>
      <c r="F406" s="35" t="s">
        <v>374</v>
      </c>
      <c r="G406" s="35" t="s">
        <v>626</v>
      </c>
      <c r="H406" s="35" t="s">
        <v>580</v>
      </c>
      <c r="I406" s="147">
        <v>1490</v>
      </c>
      <c r="J406" s="34">
        <v>1553.0436348087781</v>
      </c>
      <c r="K406" s="34">
        <f t="shared" si="78"/>
        <v>63.043634808778052</v>
      </c>
      <c r="L406" s="56">
        <f t="shared" si="79"/>
        <v>3974.4998899025718</v>
      </c>
      <c r="M406" s="56">
        <f t="shared" si="80"/>
        <v>63.043634808778052</v>
      </c>
      <c r="N406" s="56">
        <f t="shared" si="81"/>
        <v>1.806475972413377</v>
      </c>
      <c r="O406" s="56">
        <f t="shared" si="90"/>
        <v>1.806475972413377</v>
      </c>
      <c r="P406" s="143">
        <f t="shared" si="82"/>
        <v>4.2311164301193323</v>
      </c>
      <c r="Q406" s="143">
        <f t="shared" si="83"/>
        <v>4.2311164301193323</v>
      </c>
      <c r="R406" s="34">
        <v>1514.3958074576315</v>
      </c>
      <c r="S406" s="56">
        <f t="shared" si="84"/>
        <v>24.395807457631463</v>
      </c>
      <c r="T406" s="56">
        <f t="shared" si="85"/>
        <v>595.15542150982685</v>
      </c>
      <c r="U406" s="56">
        <f t="shared" si="86"/>
        <v>24.395807457631463</v>
      </c>
      <c r="V406" s="56">
        <f t="shared" si="87"/>
        <v>1.4047620257418492</v>
      </c>
      <c r="W406" s="33">
        <f t="shared" si="88"/>
        <v>1.6373025139349975</v>
      </c>
      <c r="X406" s="143">
        <f t="shared" si="89"/>
        <v>1.6373025139349975</v>
      </c>
    </row>
    <row r="407" spans="1:24" ht="16" x14ac:dyDescent="0.2">
      <c r="A407" t="s">
        <v>876</v>
      </c>
      <c r="B407" s="224" t="s">
        <v>612</v>
      </c>
      <c r="C407" s="224" t="s">
        <v>824</v>
      </c>
      <c r="D407" s="35" t="s">
        <v>148</v>
      </c>
      <c r="E407" s="35" t="s">
        <v>662</v>
      </c>
      <c r="F407" s="35" t="s">
        <v>374</v>
      </c>
      <c r="G407" s="35" t="s">
        <v>627</v>
      </c>
      <c r="H407" s="35" t="s">
        <v>580</v>
      </c>
      <c r="I407" s="147">
        <v>1668</v>
      </c>
      <c r="J407" s="34">
        <v>1769.7260468528993</v>
      </c>
      <c r="K407" s="34">
        <f t="shared" si="78"/>
        <v>101.72604685289934</v>
      </c>
      <c r="L407" s="56">
        <f t="shared" si="79"/>
        <v>10348.188608318273</v>
      </c>
      <c r="M407" s="56">
        <f t="shared" si="80"/>
        <v>101.72604685289934</v>
      </c>
      <c r="N407" s="56">
        <f t="shared" si="81"/>
        <v>2.0116805757321177</v>
      </c>
      <c r="O407" s="56">
        <f t="shared" si="90"/>
        <v>2.0116805757321177</v>
      </c>
      <c r="P407" s="143">
        <f t="shared" si="82"/>
        <v>6.0986838640826946</v>
      </c>
      <c r="Q407" s="143">
        <f t="shared" si="83"/>
        <v>6.0986838640826946</v>
      </c>
      <c r="R407" s="34">
        <v>1747.9295211247979</v>
      </c>
      <c r="S407" s="56">
        <f t="shared" si="84"/>
        <v>79.92952112479793</v>
      </c>
      <c r="T407" s="56">
        <f t="shared" si="85"/>
        <v>6388.7283472395184</v>
      </c>
      <c r="U407" s="56">
        <f t="shared" si="86"/>
        <v>79.92952112479793</v>
      </c>
      <c r="V407" s="56">
        <f t="shared" si="87"/>
        <v>1.9081069705980003</v>
      </c>
      <c r="W407" s="33">
        <f t="shared" si="88"/>
        <v>4.791937717314025</v>
      </c>
      <c r="X407" s="143">
        <f t="shared" si="89"/>
        <v>4.791937717314025</v>
      </c>
    </row>
    <row r="408" spans="1:24" ht="16" x14ac:dyDescent="0.2">
      <c r="A408" t="s">
        <v>877</v>
      </c>
      <c r="B408" s="224" t="s">
        <v>612</v>
      </c>
      <c r="C408" s="224" t="s">
        <v>824</v>
      </c>
      <c r="D408" s="35" t="s">
        <v>148</v>
      </c>
      <c r="E408" s="35" t="s">
        <v>662</v>
      </c>
      <c r="F408" s="35" t="s">
        <v>374</v>
      </c>
      <c r="G408" s="35" t="s">
        <v>627</v>
      </c>
      <c r="H408" s="35" t="s">
        <v>580</v>
      </c>
      <c r="I408" s="147">
        <v>1647</v>
      </c>
      <c r="J408" s="34">
        <v>1577.5389072928072</v>
      </c>
      <c r="K408" s="34">
        <f t="shared" si="78"/>
        <v>-69.461092707192847</v>
      </c>
      <c r="L408" s="56">
        <f t="shared" si="79"/>
        <v>4824.8434000772395</v>
      </c>
      <c r="M408" s="56">
        <f t="shared" si="80"/>
        <v>69.461092707192847</v>
      </c>
      <c r="N408" s="56">
        <f t="shared" si="81"/>
        <v>1.847949373915114</v>
      </c>
      <c r="O408" s="56">
        <f t="shared" si="90"/>
        <v>-1.847949373915114</v>
      </c>
      <c r="P408" s="143">
        <f t="shared" si="82"/>
        <v>-4.2174312511956797</v>
      </c>
      <c r="Q408" s="143">
        <f t="shared" si="83"/>
        <v>4.2174312511956797</v>
      </c>
      <c r="R408" s="34">
        <v>1570.171208730731</v>
      </c>
      <c r="S408" s="56">
        <f t="shared" si="84"/>
        <v>-76.828791269269004</v>
      </c>
      <c r="T408" s="56">
        <f t="shared" si="85"/>
        <v>5902.6631678969052</v>
      </c>
      <c r="U408" s="56">
        <f t="shared" si="86"/>
        <v>76.828791269269004</v>
      </c>
      <c r="V408" s="56">
        <f t="shared" si="87"/>
        <v>1.891140285631054</v>
      </c>
      <c r="W408" s="33">
        <f t="shared" si="88"/>
        <v>-4.6647717831978754</v>
      </c>
      <c r="X408" s="143">
        <f t="shared" si="89"/>
        <v>4.6647717831978754</v>
      </c>
    </row>
    <row r="409" spans="1:24" ht="16" x14ac:dyDescent="0.2">
      <c r="A409" t="s">
        <v>878</v>
      </c>
      <c r="B409" s="224" t="s">
        <v>612</v>
      </c>
      <c r="C409" s="224" t="s">
        <v>824</v>
      </c>
      <c r="D409" s="35" t="s">
        <v>148</v>
      </c>
      <c r="E409" s="35" t="s">
        <v>662</v>
      </c>
      <c r="F409" s="35" t="s">
        <v>374</v>
      </c>
      <c r="G409" s="35" t="s">
        <v>627</v>
      </c>
      <c r="H409" s="35" t="s">
        <v>580</v>
      </c>
      <c r="I409" s="147">
        <v>1520</v>
      </c>
      <c r="J409" s="34">
        <v>1509.0384174830942</v>
      </c>
      <c r="K409" s="34">
        <f t="shared" si="78"/>
        <v>-10.961582516905764</v>
      </c>
      <c r="L409" s="56">
        <f t="shared" si="79"/>
        <v>120.15629127493411</v>
      </c>
      <c r="M409" s="56">
        <f t="shared" si="80"/>
        <v>10.961582516905764</v>
      </c>
      <c r="N409" s="56">
        <f t="shared" si="81"/>
        <v>1.0777886405967263</v>
      </c>
      <c r="O409" s="56">
        <f t="shared" si="90"/>
        <v>-1.0777886405967263</v>
      </c>
      <c r="P409" s="143">
        <f t="shared" si="82"/>
        <v>-0.72115674453327394</v>
      </c>
      <c r="Q409" s="143">
        <f t="shared" si="83"/>
        <v>0.72115674453327394</v>
      </c>
      <c r="R409" s="34">
        <v>1505.1173643560228</v>
      </c>
      <c r="S409" s="56">
        <f t="shared" si="84"/>
        <v>-14.88263564397721</v>
      </c>
      <c r="T409" s="56">
        <f t="shared" si="85"/>
        <v>221.49284371138094</v>
      </c>
      <c r="U409" s="56">
        <f t="shared" si="86"/>
        <v>14.88263564397721</v>
      </c>
      <c r="V409" s="56">
        <f t="shared" si="87"/>
        <v>1.2009225730694275</v>
      </c>
      <c r="W409" s="33">
        <f t="shared" si="88"/>
        <v>-0.97912076605113219</v>
      </c>
      <c r="X409" s="143">
        <f t="shared" si="89"/>
        <v>0.97912076605113219</v>
      </c>
    </row>
    <row r="410" spans="1:24" ht="16" x14ac:dyDescent="0.2">
      <c r="A410" t="s">
        <v>879</v>
      </c>
      <c r="B410" s="224" t="s">
        <v>612</v>
      </c>
      <c r="C410" s="224" t="s">
        <v>824</v>
      </c>
      <c r="D410" s="35" t="s">
        <v>148</v>
      </c>
      <c r="E410" s="35" t="s">
        <v>662</v>
      </c>
      <c r="F410" s="35" t="s">
        <v>374</v>
      </c>
      <c r="G410" s="35" t="s">
        <v>627</v>
      </c>
      <c r="H410" s="35" t="s">
        <v>580</v>
      </c>
      <c r="I410" s="147">
        <v>1550</v>
      </c>
      <c r="J410" s="34">
        <v>1587.3464705158938</v>
      </c>
      <c r="K410" s="34">
        <f t="shared" si="78"/>
        <v>37.34647051589377</v>
      </c>
      <c r="L410" s="56">
        <f t="shared" si="79"/>
        <v>1394.7588599945227</v>
      </c>
      <c r="M410" s="56">
        <f t="shared" si="80"/>
        <v>37.34647051589377</v>
      </c>
      <c r="N410" s="56">
        <f t="shared" si="81"/>
        <v>1.5837253968114215</v>
      </c>
      <c r="O410" s="56">
        <f t="shared" si="90"/>
        <v>1.5837253968114215</v>
      </c>
      <c r="P410" s="143">
        <f t="shared" si="82"/>
        <v>2.4094497107028241</v>
      </c>
      <c r="Q410" s="143">
        <f t="shared" si="83"/>
        <v>2.4094497107028241</v>
      </c>
      <c r="R410" s="34">
        <v>1570.171208730731</v>
      </c>
      <c r="S410" s="56">
        <f t="shared" si="84"/>
        <v>20.171208730730996</v>
      </c>
      <c r="T410" s="56">
        <f t="shared" si="85"/>
        <v>406.87766165871835</v>
      </c>
      <c r="U410" s="56">
        <f t="shared" si="86"/>
        <v>20.171208730730996</v>
      </c>
      <c r="V410" s="56">
        <f t="shared" si="87"/>
        <v>1.3257456539618264</v>
      </c>
      <c r="W410" s="33">
        <f t="shared" si="88"/>
        <v>1.3013683052084513</v>
      </c>
      <c r="X410" s="143">
        <f t="shared" si="89"/>
        <v>1.3013683052084513</v>
      </c>
    </row>
    <row r="411" spans="1:24" ht="16" x14ac:dyDescent="0.2">
      <c r="A411" t="s">
        <v>880</v>
      </c>
      <c r="B411" s="224" t="s">
        <v>612</v>
      </c>
      <c r="C411" s="224" t="s">
        <v>824</v>
      </c>
      <c r="D411" s="35" t="s">
        <v>148</v>
      </c>
      <c r="E411" s="35" t="s">
        <v>662</v>
      </c>
      <c r="F411" s="35" t="s">
        <v>374</v>
      </c>
      <c r="G411" s="35" t="s">
        <v>627</v>
      </c>
      <c r="H411" s="35" t="s">
        <v>580</v>
      </c>
      <c r="I411" s="147">
        <v>1695</v>
      </c>
      <c r="J411" s="34">
        <v>1685.7125808519991</v>
      </c>
      <c r="K411" s="34">
        <f t="shared" si="78"/>
        <v>-9.2874191480009358</v>
      </c>
      <c r="L411" s="56">
        <f t="shared" si="79"/>
        <v>86.256154430654433</v>
      </c>
      <c r="M411" s="56">
        <f t="shared" si="80"/>
        <v>9.2874191480009358</v>
      </c>
      <c r="N411" s="56">
        <f t="shared" si="81"/>
        <v>1.0123064349794972</v>
      </c>
      <c r="O411" s="56">
        <f t="shared" si="90"/>
        <v>-1.0123064349794972</v>
      </c>
      <c r="P411" s="143">
        <f t="shared" si="82"/>
        <v>-0.54793033321539442</v>
      </c>
      <c r="Q411" s="143">
        <f t="shared" si="83"/>
        <v>0.54793033321539442</v>
      </c>
      <c r="R411" s="34">
        <v>1640.1370478225808</v>
      </c>
      <c r="S411" s="56">
        <f t="shared" si="84"/>
        <v>-54.862952177419174</v>
      </c>
      <c r="T411" s="56">
        <f t="shared" si="85"/>
        <v>3009.9435216217835</v>
      </c>
      <c r="U411" s="56">
        <f t="shared" si="86"/>
        <v>54.862952177419174</v>
      </c>
      <c r="V411" s="56">
        <f t="shared" si="87"/>
        <v>1.7471238830385334</v>
      </c>
      <c r="W411" s="33">
        <f t="shared" si="88"/>
        <v>-3.2367523408506886</v>
      </c>
      <c r="X411" s="143">
        <f t="shared" si="89"/>
        <v>3.2367523408506886</v>
      </c>
    </row>
    <row r="412" spans="1:24" ht="16" x14ac:dyDescent="0.2">
      <c r="A412" t="s">
        <v>881</v>
      </c>
      <c r="B412" s="224" t="s">
        <v>612</v>
      </c>
      <c r="C412" s="224" t="s">
        <v>824</v>
      </c>
      <c r="D412" s="35" t="s">
        <v>148</v>
      </c>
      <c r="E412" s="35" t="s">
        <v>662</v>
      </c>
      <c r="F412" s="35" t="s">
        <v>374</v>
      </c>
      <c r="G412" s="35" t="s">
        <v>627</v>
      </c>
      <c r="H412" s="35" t="s">
        <v>580</v>
      </c>
      <c r="I412" s="147">
        <v>1835</v>
      </c>
      <c r="J412" s="34">
        <v>1735.0885651309043</v>
      </c>
      <c r="K412" s="34">
        <f t="shared" si="78"/>
        <v>-99.911434869095729</v>
      </c>
      <c r="L412" s="56">
        <f t="shared" si="79"/>
        <v>9982.294817601558</v>
      </c>
      <c r="M412" s="56">
        <f t="shared" si="80"/>
        <v>99.911434869095729</v>
      </c>
      <c r="N412" s="56">
        <f t="shared" si="81"/>
        <v>2.0039403814913195</v>
      </c>
      <c r="O412" s="56">
        <f t="shared" si="90"/>
        <v>-2.0039403814913195</v>
      </c>
      <c r="P412" s="143">
        <f t="shared" si="82"/>
        <v>-5.4447648430024911</v>
      </c>
      <c r="Q412" s="143">
        <f t="shared" si="83"/>
        <v>5.4447648430024911</v>
      </c>
      <c r="R412" s="34">
        <v>1710.367867470758</v>
      </c>
      <c r="S412" s="56">
        <f t="shared" si="84"/>
        <v>-124.63213252924197</v>
      </c>
      <c r="T412" s="56">
        <f t="shared" si="85"/>
        <v>15533.168458786535</v>
      </c>
      <c r="U412" s="56">
        <f t="shared" si="86"/>
        <v>124.63213252924197</v>
      </c>
      <c r="V412" s="56">
        <f t="shared" si="87"/>
        <v>2.099100731721057</v>
      </c>
      <c r="W412" s="33">
        <f t="shared" si="88"/>
        <v>-6.7919418272066467</v>
      </c>
      <c r="X412" s="143">
        <f t="shared" si="89"/>
        <v>6.7919418272066467</v>
      </c>
    </row>
    <row r="413" spans="1:24" ht="16" x14ac:dyDescent="0.2">
      <c r="A413" t="s">
        <v>882</v>
      </c>
      <c r="B413" s="224" t="s">
        <v>612</v>
      </c>
      <c r="C413" s="224" t="s">
        <v>824</v>
      </c>
      <c r="D413" s="35" t="s">
        <v>148</v>
      </c>
      <c r="E413" s="35" t="s">
        <v>662</v>
      </c>
      <c r="F413" s="35" t="s">
        <v>374</v>
      </c>
      <c r="G413" s="35" t="s">
        <v>627</v>
      </c>
      <c r="H413" s="35" t="s">
        <v>580</v>
      </c>
      <c r="I413" s="147">
        <v>1643</v>
      </c>
      <c r="J413" s="34">
        <v>1690.6444893216526</v>
      </c>
      <c r="K413" s="34">
        <f t="shared" si="78"/>
        <v>47.6444893216526</v>
      </c>
      <c r="L413" s="56">
        <f t="shared" si="79"/>
        <v>2269.9973627210684</v>
      </c>
      <c r="M413" s="56">
        <f t="shared" si="80"/>
        <v>47.6444893216526</v>
      </c>
      <c r="N413" s="56">
        <f t="shared" si="81"/>
        <v>1.6870336484532409</v>
      </c>
      <c r="O413" s="56">
        <f t="shared" si="90"/>
        <v>1.6870336484532409</v>
      </c>
      <c r="P413" s="143">
        <f t="shared" si="82"/>
        <v>2.8998471893884723</v>
      </c>
      <c r="Q413" s="143">
        <f t="shared" si="83"/>
        <v>2.8998471893884723</v>
      </c>
      <c r="R413" s="34">
        <v>1672.8790174010835</v>
      </c>
      <c r="S413" s="56">
        <f t="shared" si="84"/>
        <v>29.879017401083502</v>
      </c>
      <c r="T413" s="56">
        <f t="shared" si="85"/>
        <v>892.75568085425073</v>
      </c>
      <c r="U413" s="56">
        <f t="shared" si="86"/>
        <v>29.879017401083502</v>
      </c>
      <c r="V413" s="56">
        <f t="shared" si="87"/>
        <v>1.4896634722311572</v>
      </c>
      <c r="W413" s="33">
        <f t="shared" si="88"/>
        <v>1.8185646622692333</v>
      </c>
      <c r="X413" s="143">
        <f t="shared" si="89"/>
        <v>1.8185646622692333</v>
      </c>
    </row>
    <row r="414" spans="1:24" ht="16" x14ac:dyDescent="0.2">
      <c r="A414" t="s">
        <v>883</v>
      </c>
      <c r="B414" s="224" t="s">
        <v>612</v>
      </c>
      <c r="C414" s="224" t="s">
        <v>824</v>
      </c>
      <c r="D414" s="35" t="s">
        <v>148</v>
      </c>
      <c r="E414" s="35" t="s">
        <v>662</v>
      </c>
      <c r="F414" s="35" t="s">
        <v>374</v>
      </c>
      <c r="G414" s="35" t="s">
        <v>627</v>
      </c>
      <c r="H414" s="35" t="s">
        <v>580</v>
      </c>
      <c r="I414" s="147">
        <v>1670</v>
      </c>
      <c r="J414" s="34">
        <v>1764.7741359056704</v>
      </c>
      <c r="K414" s="34">
        <f t="shared" si="78"/>
        <v>94.774135905670391</v>
      </c>
      <c r="L414" s="56">
        <f t="shared" si="79"/>
        <v>8982.136836666481</v>
      </c>
      <c r="M414" s="56">
        <f t="shared" si="80"/>
        <v>94.774135905670391</v>
      </c>
      <c r="N414" s="56">
        <f t="shared" si="81"/>
        <v>1.9812482423769417</v>
      </c>
      <c r="O414" s="56">
        <f t="shared" si="90"/>
        <v>1.9812482423769417</v>
      </c>
      <c r="P414" s="143">
        <f t="shared" si="82"/>
        <v>5.6750979584233772</v>
      </c>
      <c r="Q414" s="143">
        <f t="shared" si="83"/>
        <v>5.6750979584233772</v>
      </c>
      <c r="R414" s="34">
        <v>1733.8354523071885</v>
      </c>
      <c r="S414" s="56">
        <f t="shared" si="84"/>
        <v>63.835452307188461</v>
      </c>
      <c r="T414" s="56">
        <f t="shared" si="85"/>
        <v>4074.9649712633327</v>
      </c>
      <c r="U414" s="56">
        <f t="shared" si="86"/>
        <v>63.835452307188461</v>
      </c>
      <c r="V414" s="56">
        <f t="shared" si="87"/>
        <v>1.8118125449309739</v>
      </c>
      <c r="W414" s="33">
        <f t="shared" si="88"/>
        <v>3.8224821740831416</v>
      </c>
      <c r="X414" s="143">
        <f t="shared" si="89"/>
        <v>3.8224821740831416</v>
      </c>
    </row>
    <row r="415" spans="1:24" ht="15" x14ac:dyDescent="0.2">
      <c r="A415" t="s">
        <v>884</v>
      </c>
      <c r="B415" s="224" t="s">
        <v>612</v>
      </c>
      <c r="C415" s="224" t="s">
        <v>824</v>
      </c>
      <c r="D415" s="35" t="s">
        <v>148</v>
      </c>
      <c r="E415" s="35" t="s">
        <v>662</v>
      </c>
      <c r="F415" s="35" t="s">
        <v>374</v>
      </c>
      <c r="G415" s="35" t="s">
        <v>627</v>
      </c>
      <c r="H415" s="35" t="s">
        <v>580</v>
      </c>
      <c r="I415">
        <v>1733</v>
      </c>
      <c r="J415" s="34">
        <v>1859.0673267948566</v>
      </c>
      <c r="K415" s="34">
        <f t="shared" si="78"/>
        <v>126.06732679485663</v>
      </c>
      <c r="L415" s="56">
        <f t="shared" si="79"/>
        <v>15892.970885201175</v>
      </c>
      <c r="M415" s="56">
        <f t="shared" si="80"/>
        <v>126.06732679485663</v>
      </c>
      <c r="N415" s="56">
        <f t="shared" si="81"/>
        <v>2.1040338934582126</v>
      </c>
      <c r="O415" s="56">
        <f t="shared" si="90"/>
        <v>2.1040338934582126</v>
      </c>
      <c r="P415" s="143">
        <f t="shared" si="82"/>
        <v>7.2745139523864184</v>
      </c>
      <c r="Q415" s="143">
        <f t="shared" si="83"/>
        <v>7.2745139523864184</v>
      </c>
      <c r="R415" s="34">
        <v>1851.5890943521374</v>
      </c>
      <c r="S415" s="56">
        <f t="shared" si="84"/>
        <v>118.58909435213741</v>
      </c>
      <c r="T415" s="56">
        <f t="shared" si="85"/>
        <v>14063.373299260149</v>
      </c>
      <c r="U415" s="56">
        <f t="shared" si="86"/>
        <v>118.58909435213741</v>
      </c>
      <c r="V415" s="56">
        <f t="shared" si="87"/>
        <v>2.0776915769881952</v>
      </c>
      <c r="W415" s="33">
        <f t="shared" si="88"/>
        <v>6.8429944807926946</v>
      </c>
      <c r="X415" s="143">
        <f t="shared" si="89"/>
        <v>6.8429944807926946</v>
      </c>
    </row>
    <row r="416" spans="1:24" ht="15" x14ac:dyDescent="0.2">
      <c r="A416" t="s">
        <v>885</v>
      </c>
      <c r="B416" s="224" t="s">
        <v>612</v>
      </c>
      <c r="C416" s="224" t="s">
        <v>824</v>
      </c>
      <c r="D416" s="35" t="s">
        <v>148</v>
      </c>
      <c r="E416" s="35" t="s">
        <v>662</v>
      </c>
      <c r="F416" s="35" t="s">
        <v>374</v>
      </c>
      <c r="G416" s="35" t="s">
        <v>627</v>
      </c>
      <c r="H416" s="35" t="s">
        <v>580</v>
      </c>
      <c r="I416">
        <v>1714</v>
      </c>
      <c r="J416" s="34">
        <v>1656.1480250565612</v>
      </c>
      <c r="K416" s="34">
        <f t="shared" si="78"/>
        <v>-57.85197494343879</v>
      </c>
      <c r="L416" s="56">
        <f t="shared" si="79"/>
        <v>3346.8510048562698</v>
      </c>
      <c r="M416" s="56">
        <f t="shared" si="80"/>
        <v>57.85197494343879</v>
      </c>
      <c r="N416" s="56">
        <f t="shared" si="81"/>
        <v>1.7697610413960378</v>
      </c>
      <c r="O416" s="56">
        <f t="shared" si="90"/>
        <v>-1.7697610413960378</v>
      </c>
      <c r="P416" s="143">
        <f t="shared" si="82"/>
        <v>-3.3752610818809097</v>
      </c>
      <c r="Q416" s="143">
        <f t="shared" si="83"/>
        <v>3.3752610818809097</v>
      </c>
      <c r="R416" s="34">
        <v>1640.1370478225808</v>
      </c>
      <c r="S416" s="56">
        <f t="shared" si="84"/>
        <v>-73.862952177419174</v>
      </c>
      <c r="T416" s="56">
        <f t="shared" si="85"/>
        <v>5455.7357043637121</v>
      </c>
      <c r="U416" s="56">
        <f t="shared" si="86"/>
        <v>73.862952177419174</v>
      </c>
      <c r="V416" s="56">
        <f t="shared" si="87"/>
        <v>1.8742669492689548</v>
      </c>
      <c r="W416" s="33">
        <f t="shared" si="88"/>
        <v>-4.3093904420897999</v>
      </c>
      <c r="X416" s="143">
        <f t="shared" si="89"/>
        <v>4.3093904420897999</v>
      </c>
    </row>
    <row r="417" spans="1:24" ht="15" x14ac:dyDescent="0.2">
      <c r="A417" t="s">
        <v>886</v>
      </c>
      <c r="B417" s="224" t="s">
        <v>612</v>
      </c>
      <c r="C417" s="224" t="s">
        <v>824</v>
      </c>
      <c r="D417" s="35" t="s">
        <v>148</v>
      </c>
      <c r="E417" s="35" t="s">
        <v>662</v>
      </c>
      <c r="F417" s="35" t="s">
        <v>374</v>
      </c>
      <c r="G417" s="35" t="s">
        <v>627</v>
      </c>
      <c r="H417" s="35" t="s">
        <v>580</v>
      </c>
      <c r="I417">
        <v>2100</v>
      </c>
      <c r="J417" s="34">
        <v>2124.2888741272041</v>
      </c>
      <c r="K417" s="34">
        <f t="shared" si="78"/>
        <v>24.288874127204053</v>
      </c>
      <c r="L417" s="56">
        <f t="shared" si="79"/>
        <v>589.94940636716251</v>
      </c>
      <c r="M417" s="56">
        <f t="shared" si="80"/>
        <v>24.288874127204053</v>
      </c>
      <c r="N417" s="56">
        <f t="shared" si="81"/>
        <v>1.4029294947763218</v>
      </c>
      <c r="O417" s="56">
        <f t="shared" si="90"/>
        <v>1.4029294947763218</v>
      </c>
      <c r="P417" s="143">
        <f t="shared" si="82"/>
        <v>1.1566130536763835</v>
      </c>
      <c r="Q417" s="143">
        <f t="shared" si="83"/>
        <v>1.1566130536763835</v>
      </c>
      <c r="R417" s="34">
        <v>2103.3895930957046</v>
      </c>
      <c r="S417" s="56">
        <f t="shared" si="84"/>
        <v>3.3895930957046403</v>
      </c>
      <c r="T417" s="56">
        <f t="shared" si="85"/>
        <v>11.489341354448566</v>
      </c>
      <c r="U417" s="56">
        <f t="shared" si="86"/>
        <v>3.3895930957046403</v>
      </c>
      <c r="V417" s="56">
        <f t="shared" si="87"/>
        <v>0.64242426409622999</v>
      </c>
      <c r="W417" s="33">
        <f t="shared" si="88"/>
        <v>0.1614091950335543</v>
      </c>
      <c r="X417" s="143">
        <f t="shared" si="89"/>
        <v>0.1614091950335543</v>
      </c>
    </row>
    <row r="418" spans="1:24" ht="15" x14ac:dyDescent="0.2">
      <c r="A418" t="s">
        <v>887</v>
      </c>
      <c r="B418" s="224" t="s">
        <v>612</v>
      </c>
      <c r="C418" s="224" t="s">
        <v>824</v>
      </c>
      <c r="D418" s="35" t="s">
        <v>148</v>
      </c>
      <c r="E418" s="35" t="s">
        <v>662</v>
      </c>
      <c r="F418" s="225" t="s">
        <v>494</v>
      </c>
      <c r="G418" s="35" t="s">
        <v>626</v>
      </c>
      <c r="H418" s="35" t="s">
        <v>580</v>
      </c>
      <c r="I418">
        <v>1056</v>
      </c>
      <c r="J418" s="34">
        <v>1052.053600132547</v>
      </c>
      <c r="K418" s="34">
        <f t="shared" si="78"/>
        <v>-3.9463998674530103</v>
      </c>
      <c r="L418" s="56">
        <f t="shared" si="79"/>
        <v>15.574071913833137</v>
      </c>
      <c r="M418" s="56">
        <f t="shared" si="80"/>
        <v>3.9463998674530103</v>
      </c>
      <c r="N418" s="56">
        <f t="shared" si="81"/>
        <v>0.69428922185317798</v>
      </c>
      <c r="O418" s="56">
        <f t="shared" si="90"/>
        <v>-0.69428922185317798</v>
      </c>
      <c r="P418" s="143">
        <f t="shared" si="82"/>
        <v>-0.37371210866032295</v>
      </c>
      <c r="Q418" s="143">
        <f t="shared" si="83"/>
        <v>0.37371210866032295</v>
      </c>
      <c r="R418" s="34">
        <v>1052.7526776168315</v>
      </c>
      <c r="S418" s="56">
        <f t="shared" si="84"/>
        <v>-3.2473223831684663</v>
      </c>
      <c r="T418" s="56">
        <f t="shared" si="85"/>
        <v>10.545102660226927</v>
      </c>
      <c r="U418" s="56">
        <f t="shared" si="86"/>
        <v>3.2473223831684663</v>
      </c>
      <c r="V418" s="56">
        <f t="shared" si="87"/>
        <v>0.62811522635857464</v>
      </c>
      <c r="W418" s="33">
        <f t="shared" si="88"/>
        <v>-0.30751158931519568</v>
      </c>
      <c r="X418" s="143">
        <f t="shared" si="89"/>
        <v>0.30751158931519568</v>
      </c>
    </row>
    <row r="419" spans="1:24" ht="15" x14ac:dyDescent="0.2">
      <c r="A419" t="s">
        <v>888</v>
      </c>
      <c r="B419" s="224" t="s">
        <v>612</v>
      </c>
      <c r="C419" s="224" t="s">
        <v>824</v>
      </c>
      <c r="D419" s="35" t="s">
        <v>148</v>
      </c>
      <c r="E419" s="35" t="s">
        <v>662</v>
      </c>
      <c r="F419" s="35" t="s">
        <v>374</v>
      </c>
      <c r="G419" s="35" t="s">
        <v>627</v>
      </c>
      <c r="H419" s="35" t="s">
        <v>580</v>
      </c>
      <c r="I419">
        <v>2150</v>
      </c>
      <c r="J419" s="34">
        <v>2018.8286383397806</v>
      </c>
      <c r="K419" s="34">
        <f t="shared" si="78"/>
        <v>-131.17136166021942</v>
      </c>
      <c r="L419" s="56">
        <f t="shared" si="79"/>
        <v>17205.92611979608</v>
      </c>
      <c r="M419" s="56">
        <f t="shared" si="80"/>
        <v>131.17136166021942</v>
      </c>
      <c r="N419" s="56">
        <f t="shared" si="81"/>
        <v>2.1211373642245825</v>
      </c>
      <c r="O419" s="56">
        <f t="shared" si="90"/>
        <v>-2.1211373642245825</v>
      </c>
      <c r="P419" s="143">
        <f t="shared" si="82"/>
        <v>-6.1009935655916001</v>
      </c>
      <c r="Q419" s="143">
        <f t="shared" si="83"/>
        <v>6.1009935655916001</v>
      </c>
      <c r="R419" s="34">
        <v>1974.7592227978682</v>
      </c>
      <c r="S419" s="56">
        <f t="shared" si="84"/>
        <v>-175.24077720213177</v>
      </c>
      <c r="T419" s="56">
        <f t="shared" si="85"/>
        <v>30709.329994407184</v>
      </c>
      <c r="U419" s="56">
        <f t="shared" si="86"/>
        <v>175.24077720213177</v>
      </c>
      <c r="V419" s="56">
        <f t="shared" si="87"/>
        <v>2.2461063993370649</v>
      </c>
      <c r="W419" s="33">
        <f t="shared" si="88"/>
        <v>-8.1507338233549653</v>
      </c>
      <c r="X419" s="143">
        <f t="shared" si="89"/>
        <v>8.1507338233549653</v>
      </c>
    </row>
    <row r="420" spans="1:24" ht="15" x14ac:dyDescent="0.2">
      <c r="A420" t="s">
        <v>889</v>
      </c>
      <c r="B420" s="224" t="s">
        <v>612</v>
      </c>
      <c r="C420" s="224" t="s">
        <v>824</v>
      </c>
      <c r="D420" s="35" t="s">
        <v>148</v>
      </c>
      <c r="E420" s="35" t="s">
        <v>662</v>
      </c>
      <c r="F420" s="35" t="s">
        <v>374</v>
      </c>
      <c r="G420" s="35" t="s">
        <v>627</v>
      </c>
      <c r="H420" s="35" t="s">
        <v>580</v>
      </c>
      <c r="I420">
        <v>1895</v>
      </c>
      <c r="J420" s="34">
        <v>1958.7820842145891</v>
      </c>
      <c r="K420" s="34">
        <f t="shared" si="78"/>
        <v>63.782084214589077</v>
      </c>
      <c r="L420" s="56">
        <f t="shared" si="79"/>
        <v>4068.1542667569329</v>
      </c>
      <c r="M420" s="56">
        <f t="shared" si="80"/>
        <v>63.782084214589077</v>
      </c>
      <c r="N420" s="56">
        <f t="shared" si="81"/>
        <v>1.8114549163251956</v>
      </c>
      <c r="O420" s="56">
        <f t="shared" si="90"/>
        <v>1.8114549163251956</v>
      </c>
      <c r="P420" s="143">
        <f t="shared" si="82"/>
        <v>3.3658091933820091</v>
      </c>
      <c r="Q420" s="143">
        <f t="shared" si="83"/>
        <v>3.3658091933820091</v>
      </c>
      <c r="R420" s="34">
        <v>1913.0864956828634</v>
      </c>
      <c r="S420" s="56">
        <f t="shared" si="84"/>
        <v>18.086495682863415</v>
      </c>
      <c r="T420" s="56">
        <f t="shared" si="85"/>
        <v>327.12132608623693</v>
      </c>
      <c r="U420" s="56">
        <f t="shared" si="86"/>
        <v>18.086495682863415</v>
      </c>
      <c r="V420" s="56">
        <f t="shared" si="87"/>
        <v>1.2807261984146674</v>
      </c>
      <c r="W420" s="33">
        <f t="shared" si="88"/>
        <v>0.95443248986086626</v>
      </c>
      <c r="X420" s="143">
        <f t="shared" si="89"/>
        <v>0.95443248986086626</v>
      </c>
    </row>
    <row r="421" spans="1:24" ht="15" x14ac:dyDescent="0.2">
      <c r="A421" t="s">
        <v>890</v>
      </c>
      <c r="B421" s="224" t="s">
        <v>612</v>
      </c>
      <c r="C421" s="224" t="s">
        <v>824</v>
      </c>
      <c r="D421" s="35" t="s">
        <v>148</v>
      </c>
      <c r="E421" s="35" t="s">
        <v>662</v>
      </c>
      <c r="F421" s="35" t="s">
        <v>374</v>
      </c>
      <c r="G421" s="35" t="s">
        <v>626</v>
      </c>
      <c r="H421" s="35" t="s">
        <v>580</v>
      </c>
      <c r="I421">
        <v>1316</v>
      </c>
      <c r="J421" s="34">
        <v>1281.1388919363008</v>
      </c>
      <c r="K421" s="34">
        <f t="shared" si="78"/>
        <v>-34.861108063699248</v>
      </c>
      <c r="L421" s="56">
        <f t="shared" si="79"/>
        <v>1215.2968554289168</v>
      </c>
      <c r="M421" s="56">
        <f t="shared" si="80"/>
        <v>34.861108063699248</v>
      </c>
      <c r="N421" s="56">
        <f t="shared" si="81"/>
        <v>1.554623704593578</v>
      </c>
      <c r="O421" s="56">
        <f t="shared" si="90"/>
        <v>-1.554623704593578</v>
      </c>
      <c r="P421" s="143">
        <f t="shared" si="82"/>
        <v>-2.6490203695820096</v>
      </c>
      <c r="Q421" s="143">
        <f t="shared" si="83"/>
        <v>2.6490203695820096</v>
      </c>
      <c r="R421" s="34">
        <v>1274.8706509366782</v>
      </c>
      <c r="S421" s="56">
        <f t="shared" si="84"/>
        <v>-41.129349063321797</v>
      </c>
      <c r="T421" s="56">
        <f t="shared" si="85"/>
        <v>1691.6233543725696</v>
      </c>
      <c r="U421" s="56">
        <f t="shared" si="86"/>
        <v>41.129349063321797</v>
      </c>
      <c r="V421" s="56">
        <f t="shared" si="87"/>
        <v>1.6245847489347904</v>
      </c>
      <c r="W421" s="33">
        <f t="shared" si="88"/>
        <v>-3.1253304759363068</v>
      </c>
      <c r="X421" s="143">
        <f t="shared" si="89"/>
        <v>3.1253304759363068</v>
      </c>
    </row>
    <row r="422" spans="1:24" ht="15" x14ac:dyDescent="0.2">
      <c r="A422" t="s">
        <v>891</v>
      </c>
      <c r="B422" s="224" t="s">
        <v>612</v>
      </c>
      <c r="C422" s="224" t="s">
        <v>824</v>
      </c>
      <c r="D422" s="35" t="s">
        <v>148</v>
      </c>
      <c r="E422" s="35" t="s">
        <v>662</v>
      </c>
      <c r="F422" s="35" t="s">
        <v>374</v>
      </c>
      <c r="G422" s="35" t="s">
        <v>627</v>
      </c>
      <c r="H422" s="35" t="s">
        <v>580</v>
      </c>
      <c r="I422">
        <v>1704</v>
      </c>
      <c r="J422" s="34">
        <v>1670.9245211168936</v>
      </c>
      <c r="K422" s="34">
        <f t="shared" si="78"/>
        <v>-33.075478883106371</v>
      </c>
      <c r="L422" s="56">
        <f t="shared" si="79"/>
        <v>1093.9873033468155</v>
      </c>
      <c r="M422" s="56">
        <f t="shared" si="80"/>
        <v>33.075478883106371</v>
      </c>
      <c r="N422" s="56">
        <f t="shared" si="81"/>
        <v>1.5324419679499734</v>
      </c>
      <c r="O422" s="56">
        <f t="shared" si="90"/>
        <v>-1.5324419679499734</v>
      </c>
      <c r="P422" s="143">
        <f t="shared" si="82"/>
        <v>-1.941049230229247</v>
      </c>
      <c r="Q422" s="143">
        <f t="shared" si="83"/>
        <v>1.941049230229247</v>
      </c>
      <c r="R422" s="34">
        <v>1658.8397402411433</v>
      </c>
      <c r="S422" s="56">
        <f t="shared" si="84"/>
        <v>-45.160259758856682</v>
      </c>
      <c r="T422" s="56">
        <f t="shared" si="85"/>
        <v>2039.4490614874103</v>
      </c>
      <c r="U422" s="56">
        <f t="shared" si="86"/>
        <v>45.160259758856682</v>
      </c>
      <c r="V422" s="56">
        <f t="shared" si="87"/>
        <v>1.6642682440714329</v>
      </c>
      <c r="W422" s="33">
        <f t="shared" si="88"/>
        <v>-2.6502499858483968</v>
      </c>
      <c r="X422" s="143">
        <f t="shared" si="89"/>
        <v>2.6502499858483968</v>
      </c>
    </row>
    <row r="423" spans="1:24" ht="15" x14ac:dyDescent="0.2">
      <c r="A423" t="s">
        <v>892</v>
      </c>
      <c r="B423" s="224" t="s">
        <v>612</v>
      </c>
      <c r="C423" s="224" t="s">
        <v>824</v>
      </c>
      <c r="D423" s="35" t="s">
        <v>148</v>
      </c>
      <c r="E423" s="35" t="s">
        <v>662</v>
      </c>
      <c r="F423" s="35" t="s">
        <v>494</v>
      </c>
      <c r="G423" s="35" t="s">
        <v>626</v>
      </c>
      <c r="H423" s="35" t="s">
        <v>580</v>
      </c>
      <c r="I423">
        <v>1090</v>
      </c>
      <c r="J423" s="34">
        <v>1070.9882872274618</v>
      </c>
      <c r="K423" s="34">
        <f t="shared" si="78"/>
        <v>-19.011712772538203</v>
      </c>
      <c r="L423" s="56">
        <f t="shared" si="79"/>
        <v>361.44522254549224</v>
      </c>
      <c r="M423" s="56">
        <f t="shared" si="80"/>
        <v>19.011712772538203</v>
      </c>
      <c r="N423" s="56">
        <f t="shared" si="81"/>
        <v>1.301284260841548</v>
      </c>
      <c r="O423" s="56">
        <f t="shared" si="90"/>
        <v>-1.301284260841548</v>
      </c>
      <c r="P423" s="143">
        <f t="shared" si="82"/>
        <v>-1.7441938323429544</v>
      </c>
      <c r="Q423" s="143">
        <f t="shared" si="83"/>
        <v>1.7441938323429544</v>
      </c>
      <c r="R423" s="34">
        <v>1052.7526776168315</v>
      </c>
      <c r="S423" s="56">
        <f t="shared" si="84"/>
        <v>-37.247322383168466</v>
      </c>
      <c r="T423" s="56">
        <f t="shared" si="85"/>
        <v>1387.3630247156827</v>
      </c>
      <c r="U423" s="56">
        <f t="shared" si="86"/>
        <v>37.247322383168466</v>
      </c>
      <c r="V423" s="56">
        <f t="shared" si="87"/>
        <v>1.5826010364852219</v>
      </c>
      <c r="W423" s="33">
        <f t="shared" si="88"/>
        <v>-3.4171855397402262</v>
      </c>
      <c r="X423" s="143">
        <f t="shared" si="89"/>
        <v>3.4171855397402262</v>
      </c>
    </row>
    <row r="424" spans="1:24" ht="15" x14ac:dyDescent="0.2">
      <c r="A424" t="s">
        <v>893</v>
      </c>
      <c r="B424" s="224" t="s">
        <v>612</v>
      </c>
      <c r="C424" s="224" t="s">
        <v>824</v>
      </c>
      <c r="D424" s="35" t="s">
        <v>148</v>
      </c>
      <c r="E424" s="35" t="s">
        <v>662</v>
      </c>
      <c r="F424" s="35" t="s">
        <v>374</v>
      </c>
      <c r="G424" s="35" t="s">
        <v>626</v>
      </c>
      <c r="H424" s="35" t="s">
        <v>580</v>
      </c>
      <c r="I424">
        <v>1274</v>
      </c>
      <c r="J424" s="34">
        <v>1209.1259278033285</v>
      </c>
      <c r="K424" s="34">
        <f t="shared" si="78"/>
        <v>-64.874072196671477</v>
      </c>
      <c r="L424" s="56">
        <f t="shared" si="79"/>
        <v>4208.6452433789436</v>
      </c>
      <c r="M424" s="56">
        <f t="shared" si="80"/>
        <v>64.874072196671477</v>
      </c>
      <c r="N424" s="56">
        <f t="shared" si="81"/>
        <v>1.818714511443321</v>
      </c>
      <c r="O424" s="56">
        <f t="shared" si="90"/>
        <v>-1.818714511443321</v>
      </c>
      <c r="P424" s="143">
        <f t="shared" si="82"/>
        <v>-5.0921563733651078</v>
      </c>
      <c r="Q424" s="143">
        <f t="shared" si="83"/>
        <v>5.0921563733651078</v>
      </c>
      <c r="R424" s="34">
        <v>1188.3001696309327</v>
      </c>
      <c r="S424" s="56">
        <f t="shared" si="84"/>
        <v>-85.699830369067286</v>
      </c>
      <c r="T424" s="56">
        <f t="shared" si="85"/>
        <v>7344.4609252869077</v>
      </c>
      <c r="U424" s="56">
        <f t="shared" si="86"/>
        <v>85.699830369067286</v>
      </c>
      <c r="V424" s="56">
        <f t="shared" si="87"/>
        <v>1.9380182477662897</v>
      </c>
      <c r="W424" s="33">
        <f t="shared" si="88"/>
        <v>-6.7268312691575574</v>
      </c>
      <c r="X424" s="143">
        <f t="shared" si="89"/>
        <v>6.7268312691575574</v>
      </c>
    </row>
    <row r="425" spans="1:24" ht="15" x14ac:dyDescent="0.2">
      <c r="A425" t="s">
        <v>894</v>
      </c>
      <c r="B425" s="224" t="s">
        <v>612</v>
      </c>
      <c r="C425" s="224" t="s">
        <v>824</v>
      </c>
      <c r="D425" s="35" t="s">
        <v>148</v>
      </c>
      <c r="E425" s="35" t="s">
        <v>662</v>
      </c>
      <c r="F425" s="35" t="s">
        <v>494</v>
      </c>
      <c r="G425" s="35" t="s">
        <v>626</v>
      </c>
      <c r="H425" s="35" t="s">
        <v>580</v>
      </c>
      <c r="I425">
        <v>1111</v>
      </c>
      <c r="J425" s="34">
        <v>1099.4457745182804</v>
      </c>
      <c r="K425" s="34">
        <f t="shared" si="78"/>
        <v>-11.554225481719641</v>
      </c>
      <c r="L425" s="56">
        <f t="shared" si="79"/>
        <v>133.50012648241946</v>
      </c>
      <c r="M425" s="56">
        <f t="shared" si="80"/>
        <v>11.554225481719641</v>
      </c>
      <c r="N425" s="56">
        <f t="shared" si="81"/>
        <v>1.0987899245845025</v>
      </c>
      <c r="O425" s="56">
        <f t="shared" si="90"/>
        <v>-1.0987899245845025</v>
      </c>
      <c r="P425" s="143">
        <f t="shared" si="82"/>
        <v>-1.0399842917839461</v>
      </c>
      <c r="Q425" s="143">
        <f t="shared" si="83"/>
        <v>1.0399842917839461</v>
      </c>
      <c r="R425" s="34">
        <v>1084.2494890956987</v>
      </c>
      <c r="S425" s="56">
        <f t="shared" si="84"/>
        <v>-26.750510904301336</v>
      </c>
      <c r="T425" s="56">
        <f t="shared" si="85"/>
        <v>715.58983364114465</v>
      </c>
      <c r="U425" s="56">
        <f t="shared" si="86"/>
        <v>26.750510904301336</v>
      </c>
      <c r="V425" s="56">
        <f t="shared" si="87"/>
        <v>1.4432709831659505</v>
      </c>
      <c r="W425" s="33">
        <f t="shared" si="88"/>
        <v>-2.4077867600631264</v>
      </c>
      <c r="X425" s="143">
        <f t="shared" si="89"/>
        <v>2.4077867600631264</v>
      </c>
    </row>
    <row r="426" spans="1:24" ht="15" x14ac:dyDescent="0.2">
      <c r="A426" t="s">
        <v>895</v>
      </c>
      <c r="B426" s="224" t="s">
        <v>612</v>
      </c>
      <c r="C426" s="224" t="s">
        <v>824</v>
      </c>
      <c r="D426" s="35" t="s">
        <v>148</v>
      </c>
      <c r="E426" s="35" t="s">
        <v>662</v>
      </c>
      <c r="F426" s="35" t="s">
        <v>494</v>
      </c>
      <c r="G426" s="35" t="s">
        <v>626</v>
      </c>
      <c r="H426" s="35" t="s">
        <v>580</v>
      </c>
      <c r="I426">
        <v>1185</v>
      </c>
      <c r="J426" s="34">
        <v>1189.9854496754178</v>
      </c>
      <c r="K426" s="34">
        <f t="shared" si="78"/>
        <v>4.9854496754178399</v>
      </c>
      <c r="L426" s="56">
        <f t="shared" si="79"/>
        <v>24.854708466123846</v>
      </c>
      <c r="M426" s="56">
        <f t="shared" si="80"/>
        <v>4.9854496754178399</v>
      </c>
      <c r="N426" s="56">
        <f t="shared" si="81"/>
        <v>0.77709678368419899</v>
      </c>
      <c r="O426" s="56">
        <f t="shared" si="90"/>
        <v>0.77709678368419899</v>
      </c>
      <c r="P426" s="143">
        <f t="shared" si="82"/>
        <v>0.42071305277787679</v>
      </c>
      <c r="Q426" s="143">
        <f t="shared" si="83"/>
        <v>0.42071305277787679</v>
      </c>
      <c r="R426" s="34">
        <v>1179.2191676723578</v>
      </c>
      <c r="S426" s="56">
        <f t="shared" si="84"/>
        <v>-5.7808323276422016</v>
      </c>
      <c r="T426" s="56">
        <f t="shared" si="85"/>
        <v>33.418022400313156</v>
      </c>
      <c r="U426" s="56">
        <f t="shared" si="86"/>
        <v>5.7808323276422016</v>
      </c>
      <c r="V426" s="56">
        <f t="shared" si="87"/>
        <v>0.83128300553612078</v>
      </c>
      <c r="W426" s="33">
        <f t="shared" si="88"/>
        <v>-0.48783395169976385</v>
      </c>
      <c r="X426" s="143">
        <f t="shared" si="89"/>
        <v>0.48783395169976385</v>
      </c>
    </row>
    <row r="427" spans="1:24" ht="15" x14ac:dyDescent="0.2">
      <c r="A427" t="s">
        <v>896</v>
      </c>
      <c r="B427" s="224" t="s">
        <v>612</v>
      </c>
      <c r="C427" s="224" t="s">
        <v>824</v>
      </c>
      <c r="D427" s="35" t="s">
        <v>148</v>
      </c>
      <c r="E427" s="35" t="s">
        <v>662</v>
      </c>
      <c r="F427" s="35" t="s">
        <v>374</v>
      </c>
      <c r="G427" s="35" t="s">
        <v>627</v>
      </c>
      <c r="H427" s="35" t="s">
        <v>580</v>
      </c>
      <c r="I427">
        <v>1750</v>
      </c>
      <c r="J427" s="34">
        <v>1665.9977334134985</v>
      </c>
      <c r="K427" s="34">
        <f t="shared" si="78"/>
        <v>-84.002266586501491</v>
      </c>
      <c r="L427" s="56">
        <f t="shared" si="79"/>
        <v>7056.3807916696651</v>
      </c>
      <c r="M427" s="56">
        <f t="shared" si="80"/>
        <v>84.002266586501491</v>
      </c>
      <c r="N427" s="56">
        <f t="shared" si="81"/>
        <v>1.9294305063364829</v>
      </c>
      <c r="O427" s="56">
        <f t="shared" si="90"/>
        <v>-1.9294305063364829</v>
      </c>
      <c r="P427" s="143">
        <f t="shared" si="82"/>
        <v>-4.8001295192286575</v>
      </c>
      <c r="Q427" s="143">
        <f t="shared" si="83"/>
        <v>4.8001295192286575</v>
      </c>
      <c r="R427" s="34">
        <v>1649.4860501445089</v>
      </c>
      <c r="S427" s="56">
        <f t="shared" si="84"/>
        <v>-100.51394985549109</v>
      </c>
      <c r="T427" s="56">
        <f t="shared" si="85"/>
        <v>10103.054115552177</v>
      </c>
      <c r="U427" s="56">
        <f t="shared" si="86"/>
        <v>100.51394985549109</v>
      </c>
      <c r="V427" s="56">
        <f t="shared" si="87"/>
        <v>2.0065257262785998</v>
      </c>
      <c r="W427" s="33">
        <f t="shared" si="88"/>
        <v>-5.743654277456633</v>
      </c>
      <c r="X427" s="143">
        <f t="shared" si="89"/>
        <v>5.743654277456633</v>
      </c>
    </row>
    <row r="428" spans="1:24" ht="15" x14ac:dyDescent="0.2">
      <c r="A428" t="s">
        <v>897</v>
      </c>
      <c r="B428" s="224" t="s">
        <v>612</v>
      </c>
      <c r="C428" s="224" t="s">
        <v>824</v>
      </c>
      <c r="D428" s="35" t="s">
        <v>148</v>
      </c>
      <c r="E428" s="35" t="s">
        <v>662</v>
      </c>
      <c r="F428" s="35" t="s">
        <v>494</v>
      </c>
      <c r="G428" s="35" t="s">
        <v>626</v>
      </c>
      <c r="H428" s="35" t="s">
        <v>580</v>
      </c>
      <c r="I428">
        <v>1031</v>
      </c>
      <c r="J428" s="34">
        <v>1004.8495050857928</v>
      </c>
      <c r="K428" s="34">
        <f t="shared" si="78"/>
        <v>-26.150494914207229</v>
      </c>
      <c r="L428" s="56">
        <f t="shared" si="79"/>
        <v>683.84838425797818</v>
      </c>
      <c r="M428" s="56">
        <f t="shared" si="80"/>
        <v>26.150494914207229</v>
      </c>
      <c r="N428" s="56">
        <f t="shared" si="81"/>
        <v>1.4337777505565488</v>
      </c>
      <c r="O428" s="56">
        <f t="shared" si="90"/>
        <v>-1.4337777505565488</v>
      </c>
      <c r="P428" s="143">
        <f t="shared" si="82"/>
        <v>-2.536420457246094</v>
      </c>
      <c r="Q428" s="143">
        <f t="shared" si="83"/>
        <v>2.536420457246094</v>
      </c>
      <c r="R428" s="34">
        <v>994.48069715238523</v>
      </c>
      <c r="S428" s="56">
        <f t="shared" si="84"/>
        <v>-36.519302847614767</v>
      </c>
      <c r="T428" s="56">
        <f t="shared" si="85"/>
        <v>1333.659480475804</v>
      </c>
      <c r="U428" s="56">
        <f t="shared" si="86"/>
        <v>36.519302847614767</v>
      </c>
      <c r="V428" s="56">
        <f t="shared" si="87"/>
        <v>1.5742547600842434</v>
      </c>
      <c r="W428" s="33">
        <f t="shared" si="88"/>
        <v>-3.5421244275087069</v>
      </c>
      <c r="X428" s="143">
        <f t="shared" si="89"/>
        <v>3.5421244275087069</v>
      </c>
    </row>
    <row r="429" spans="1:24" ht="15" x14ac:dyDescent="0.2">
      <c r="A429" t="s">
        <v>898</v>
      </c>
      <c r="B429" s="224" t="s">
        <v>612</v>
      </c>
      <c r="C429" s="224" t="s">
        <v>824</v>
      </c>
      <c r="D429" s="35" t="s">
        <v>148</v>
      </c>
      <c r="E429" s="35" t="s">
        <v>662</v>
      </c>
      <c r="F429" s="225" t="s">
        <v>494</v>
      </c>
      <c r="G429" s="35" t="s">
        <v>626</v>
      </c>
      <c r="H429" s="35" t="s">
        <v>580</v>
      </c>
      <c r="I429">
        <v>874</v>
      </c>
      <c r="J429" s="34">
        <v>925.0550010906868</v>
      </c>
      <c r="K429" s="34">
        <f t="shared" si="78"/>
        <v>51.055001090686801</v>
      </c>
      <c r="L429" s="56">
        <f t="shared" si="79"/>
        <v>2606.6131363700306</v>
      </c>
      <c r="M429" s="56">
        <f t="shared" si="80"/>
        <v>51.055001090686801</v>
      </c>
      <c r="N429" s="56">
        <f t="shared" si="81"/>
        <v>1.7164624599128859</v>
      </c>
      <c r="O429" s="56">
        <f t="shared" si="90"/>
        <v>1.7164624599128859</v>
      </c>
      <c r="P429" s="143">
        <f t="shared" si="82"/>
        <v>5.8415333055705725</v>
      </c>
      <c r="Q429" s="143">
        <f t="shared" si="83"/>
        <v>5.8415333055705725</v>
      </c>
      <c r="R429" s="34">
        <v>923.17544742347354</v>
      </c>
      <c r="S429" s="56">
        <f t="shared" si="84"/>
        <v>49.175447423473543</v>
      </c>
      <c r="T429" s="56">
        <f t="shared" si="85"/>
        <v>2418.2246292988107</v>
      </c>
      <c r="U429" s="56">
        <f t="shared" si="86"/>
        <v>49.175447423473543</v>
      </c>
      <c r="V429" s="56">
        <f t="shared" si="87"/>
        <v>1.7004912538586614</v>
      </c>
      <c r="W429" s="33">
        <f t="shared" si="88"/>
        <v>5.6264813985667672</v>
      </c>
      <c r="X429" s="143">
        <f t="shared" si="89"/>
        <v>5.6264813985667672</v>
      </c>
    </row>
    <row r="430" spans="1:24" ht="15" x14ac:dyDescent="0.2">
      <c r="A430" t="s">
        <v>899</v>
      </c>
      <c r="B430" s="224" t="s">
        <v>612</v>
      </c>
      <c r="C430" s="224" t="s">
        <v>824</v>
      </c>
      <c r="D430" s="35" t="s">
        <v>148</v>
      </c>
      <c r="E430" s="35" t="s">
        <v>662</v>
      </c>
      <c r="F430" s="35" t="s">
        <v>374</v>
      </c>
      <c r="G430" s="35" t="s">
        <v>627</v>
      </c>
      <c r="H430" s="35" t="s">
        <v>580</v>
      </c>
      <c r="I430">
        <v>2060</v>
      </c>
      <c r="J430" s="34">
        <v>2013.8186568017638</v>
      </c>
      <c r="K430" s="34">
        <f t="shared" si="78"/>
        <v>-46.181343198236164</v>
      </c>
      <c r="L430" s="56">
        <f t="shared" si="79"/>
        <v>2132.7164595932736</v>
      </c>
      <c r="M430" s="56">
        <f t="shared" si="80"/>
        <v>46.181343198236164</v>
      </c>
      <c r="N430" s="56">
        <f t="shared" si="81"/>
        <v>1.6737703005868474</v>
      </c>
      <c r="O430" s="56">
        <f t="shared" si="90"/>
        <v>-1.6737703005868474</v>
      </c>
      <c r="P430" s="143">
        <f t="shared" si="82"/>
        <v>-2.2418127766134059</v>
      </c>
      <c r="Q430" s="143">
        <f t="shared" si="83"/>
        <v>2.2418127766134059</v>
      </c>
      <c r="R430" s="34">
        <v>1974.7592227978682</v>
      </c>
      <c r="S430" s="56">
        <f t="shared" si="84"/>
        <v>-85.240777202131767</v>
      </c>
      <c r="T430" s="56">
        <f t="shared" si="85"/>
        <v>7265.990098023467</v>
      </c>
      <c r="U430" s="56">
        <f t="shared" si="86"/>
        <v>85.240777202131767</v>
      </c>
      <c r="V430" s="56">
        <f t="shared" si="87"/>
        <v>1.9357126617234173</v>
      </c>
      <c r="W430" s="33">
        <f t="shared" si="88"/>
        <v>-4.1379018059287258</v>
      </c>
      <c r="X430" s="143">
        <f t="shared" si="89"/>
        <v>4.1379018059287258</v>
      </c>
    </row>
    <row r="431" spans="1:24" ht="15" x14ac:dyDescent="0.2">
      <c r="A431" t="s">
        <v>836</v>
      </c>
      <c r="B431" s="224" t="s">
        <v>612</v>
      </c>
      <c r="C431" s="224" t="s">
        <v>824</v>
      </c>
      <c r="D431" s="35" t="s">
        <v>148</v>
      </c>
      <c r="E431" s="35" t="s">
        <v>662</v>
      </c>
      <c r="F431" s="35" t="s">
        <v>374</v>
      </c>
      <c r="G431" s="35" t="s">
        <v>627</v>
      </c>
      <c r="H431" s="35" t="s">
        <v>580</v>
      </c>
      <c r="I431">
        <v>2190</v>
      </c>
      <c r="J431" s="34">
        <v>2260.5615019359157</v>
      </c>
      <c r="K431" s="34">
        <f t="shared" si="78"/>
        <v>70.561501935915658</v>
      </c>
      <c r="L431" s="56">
        <f t="shared" si="79"/>
        <v>4978.9255554522288</v>
      </c>
      <c r="M431" s="56">
        <f t="shared" si="80"/>
        <v>70.561501935915658</v>
      </c>
      <c r="N431" s="56">
        <f t="shared" si="81"/>
        <v>1.8546794469824683</v>
      </c>
      <c r="O431" s="56">
        <f t="shared" si="90"/>
        <v>1.8546794469824683</v>
      </c>
      <c r="P431" s="143">
        <f t="shared" si="82"/>
        <v>3.2219863897678382</v>
      </c>
      <c r="Q431" s="143">
        <f t="shared" si="83"/>
        <v>3.2219863897678382</v>
      </c>
      <c r="R431" s="34">
        <v>2280.7904527244486</v>
      </c>
      <c r="S431" s="56">
        <f t="shared" si="84"/>
        <v>90.790452724448642</v>
      </c>
      <c r="T431" s="56">
        <f t="shared" si="85"/>
        <v>8242.9063059103446</v>
      </c>
      <c r="U431" s="56">
        <f t="shared" si="86"/>
        <v>90.790452724448642</v>
      </c>
      <c r="V431" s="56">
        <f t="shared" si="87"/>
        <v>1.9627975118688357</v>
      </c>
      <c r="W431" s="33">
        <f t="shared" si="88"/>
        <v>4.1456827728058743</v>
      </c>
      <c r="X431" s="143">
        <f t="shared" si="89"/>
        <v>4.1456827728058743</v>
      </c>
    </row>
    <row r="432" spans="1:24" ht="15" x14ac:dyDescent="0.2">
      <c r="A432" t="s">
        <v>837</v>
      </c>
      <c r="B432" s="224" t="s">
        <v>612</v>
      </c>
      <c r="C432" s="224" t="s">
        <v>824</v>
      </c>
      <c r="D432" s="35" t="s">
        <v>148</v>
      </c>
      <c r="E432" s="35" t="s">
        <v>662</v>
      </c>
      <c r="F432" s="225" t="s">
        <v>293</v>
      </c>
      <c r="G432" s="35" t="s">
        <v>627</v>
      </c>
      <c r="H432" s="29" t="s">
        <v>580</v>
      </c>
      <c r="I432">
        <v>2570</v>
      </c>
      <c r="J432" s="34">
        <v>2694.1815206523534</v>
      </c>
      <c r="K432" s="34">
        <f t="shared" si="78"/>
        <v>124.18152065235336</v>
      </c>
      <c r="L432" s="56">
        <f t="shared" si="79"/>
        <v>15421.050071530863</v>
      </c>
      <c r="M432" s="56">
        <f t="shared" si="80"/>
        <v>124.18152065235336</v>
      </c>
      <c r="N432" s="56">
        <f t="shared" si="81"/>
        <v>2.0975402228756472</v>
      </c>
      <c r="O432" s="56">
        <f t="shared" si="90"/>
        <v>2.0975402228756472</v>
      </c>
      <c r="P432" s="143">
        <f t="shared" si="82"/>
        <v>4.8319657841382631</v>
      </c>
      <c r="Q432" s="143">
        <f t="shared" si="83"/>
        <v>4.8319657841382631</v>
      </c>
      <c r="R432" s="34">
        <v>2717.2934843037528</v>
      </c>
      <c r="S432" s="56">
        <f t="shared" si="84"/>
        <v>147.29348430375285</v>
      </c>
      <c r="T432" s="56">
        <f t="shared" si="85"/>
        <v>21695.370518339885</v>
      </c>
      <c r="U432" s="56">
        <f t="shared" si="86"/>
        <v>147.29348430375285</v>
      </c>
      <c r="V432" s="56">
        <f t="shared" si="87"/>
        <v>2.1711220694836002</v>
      </c>
      <c r="W432" s="33">
        <f t="shared" si="88"/>
        <v>5.7312639806907724</v>
      </c>
      <c r="X432" s="143">
        <f t="shared" si="89"/>
        <v>5.7312639806907724</v>
      </c>
    </row>
    <row r="433" spans="1:24" ht="15" x14ac:dyDescent="0.2">
      <c r="A433" t="s">
        <v>838</v>
      </c>
      <c r="B433" s="224" t="s">
        <v>612</v>
      </c>
      <c r="C433" s="224" t="s">
        <v>824</v>
      </c>
      <c r="D433" s="35" t="s">
        <v>148</v>
      </c>
      <c r="E433" s="35" t="s">
        <v>662</v>
      </c>
      <c r="F433" s="35" t="s">
        <v>374</v>
      </c>
      <c r="G433" s="35" t="s">
        <v>627</v>
      </c>
      <c r="H433" s="35" t="s">
        <v>580</v>
      </c>
      <c r="I433">
        <v>2285</v>
      </c>
      <c r="J433" s="34">
        <v>2412.8309516791137</v>
      </c>
      <c r="K433" s="34">
        <f t="shared" si="78"/>
        <v>127.8309516791137</v>
      </c>
      <c r="L433" s="56">
        <f t="shared" si="79"/>
        <v>16340.752207187901</v>
      </c>
      <c r="M433" s="56">
        <f t="shared" si="80"/>
        <v>127.8309516791137</v>
      </c>
      <c r="N433" s="56">
        <f t="shared" si="81"/>
        <v>2.1100202149537286</v>
      </c>
      <c r="O433" s="56">
        <f t="shared" si="90"/>
        <v>2.1100202149537286</v>
      </c>
      <c r="P433" s="143">
        <f t="shared" si="82"/>
        <v>5.5943523710771856</v>
      </c>
      <c r="Q433" s="143">
        <f t="shared" si="83"/>
        <v>5.5943523710771856</v>
      </c>
      <c r="R433" s="34">
        <v>2425.5352400733977</v>
      </c>
      <c r="S433" s="56">
        <f t="shared" si="84"/>
        <v>140.53524007339774</v>
      </c>
      <c r="T433" s="56">
        <f t="shared" si="85"/>
        <v>19750.15370248754</v>
      </c>
      <c r="U433" s="56">
        <f t="shared" si="86"/>
        <v>140.53524007339774</v>
      </c>
      <c r="V433" s="56">
        <f t="shared" si="87"/>
        <v>2.1508645858953654</v>
      </c>
      <c r="W433" s="33">
        <f t="shared" si="88"/>
        <v>6.1503387340655467</v>
      </c>
      <c r="X433" s="143">
        <f t="shared" si="89"/>
        <v>6.1503387340655467</v>
      </c>
    </row>
    <row r="434" spans="1:24" ht="16" x14ac:dyDescent="0.2">
      <c r="A434" t="s">
        <v>839</v>
      </c>
      <c r="B434" s="224" t="s">
        <v>612</v>
      </c>
      <c r="C434" s="224" t="s">
        <v>824</v>
      </c>
      <c r="D434" s="35" t="s">
        <v>148</v>
      </c>
      <c r="E434" s="35" t="s">
        <v>662</v>
      </c>
      <c r="F434" s="35" t="s">
        <v>374</v>
      </c>
      <c r="G434" s="35" t="s">
        <v>626</v>
      </c>
      <c r="H434" s="35" t="s">
        <v>580</v>
      </c>
      <c r="I434" s="147">
        <v>1380</v>
      </c>
      <c r="J434" s="34">
        <v>1319.6940049127575</v>
      </c>
      <c r="K434" s="34">
        <f t="shared" si="78"/>
        <v>-60.305995087242536</v>
      </c>
      <c r="L434" s="56">
        <f t="shared" si="79"/>
        <v>3636.8130434625209</v>
      </c>
      <c r="M434" s="56">
        <f t="shared" si="80"/>
        <v>60.305995087242536</v>
      </c>
      <c r="N434" s="56">
        <f t="shared" si="81"/>
        <v>1.7875029460681657</v>
      </c>
      <c r="O434" s="56">
        <f t="shared" si="90"/>
        <v>-1.7875029460681657</v>
      </c>
      <c r="P434" s="143">
        <f t="shared" si="82"/>
        <v>-4.3699996440030819</v>
      </c>
      <c r="Q434" s="143">
        <f t="shared" si="83"/>
        <v>4.3699996440030819</v>
      </c>
      <c r="R434" s="34">
        <v>1325.2314352780211</v>
      </c>
      <c r="S434" s="56">
        <f t="shared" si="84"/>
        <v>-54.768564721978919</v>
      </c>
      <c r="T434" s="56">
        <f t="shared" si="85"/>
        <v>2999.595681705594</v>
      </c>
      <c r="U434" s="56">
        <f t="shared" si="86"/>
        <v>54.768564721978919</v>
      </c>
      <c r="V434" s="56">
        <f t="shared" si="87"/>
        <v>1.7463894674905633</v>
      </c>
      <c r="W434" s="33">
        <f t="shared" si="88"/>
        <v>-3.9687365740564435</v>
      </c>
      <c r="X434" s="143">
        <f t="shared" si="89"/>
        <v>3.9687365740564435</v>
      </c>
    </row>
    <row r="435" spans="1:24" ht="16" x14ac:dyDescent="0.2">
      <c r="A435" t="s">
        <v>840</v>
      </c>
      <c r="B435" s="224" t="s">
        <v>612</v>
      </c>
      <c r="C435" s="224" t="s">
        <v>824</v>
      </c>
      <c r="D435" s="35" t="s">
        <v>148</v>
      </c>
      <c r="E435" s="35" t="s">
        <v>662</v>
      </c>
      <c r="F435" s="225" t="s">
        <v>293</v>
      </c>
      <c r="G435" s="35" t="s">
        <v>627</v>
      </c>
      <c r="H435" s="29" t="s">
        <v>580</v>
      </c>
      <c r="I435" s="147">
        <v>2645</v>
      </c>
      <c r="J435" s="34">
        <v>2617.1793982802774</v>
      </c>
      <c r="K435" s="34">
        <f t="shared" si="78"/>
        <v>-27.820601719722617</v>
      </c>
      <c r="L435" s="56">
        <f t="shared" si="79"/>
        <v>773.98588004743306</v>
      </c>
      <c r="M435" s="56">
        <f t="shared" si="80"/>
        <v>27.820601719722617</v>
      </c>
      <c r="N435" s="56">
        <f t="shared" si="81"/>
        <v>1.4597030438210377</v>
      </c>
      <c r="O435" s="56">
        <f t="shared" si="90"/>
        <v>-1.4597030438210377</v>
      </c>
      <c r="P435" s="143">
        <f t="shared" si="82"/>
        <v>-1.0518185905377171</v>
      </c>
      <c r="Q435" s="143">
        <f t="shared" si="83"/>
        <v>1.0518185905377171</v>
      </c>
      <c r="R435" s="34">
        <v>2619.7169808334784</v>
      </c>
      <c r="S435" s="56">
        <f t="shared" si="84"/>
        <v>-25.283019166521626</v>
      </c>
      <c r="T435" s="56">
        <f t="shared" si="85"/>
        <v>639.23105817469991</v>
      </c>
      <c r="U435" s="56">
        <f t="shared" si="86"/>
        <v>25.283019166521626</v>
      </c>
      <c r="V435" s="56">
        <f t="shared" si="87"/>
        <v>1.4196752517571234</v>
      </c>
      <c r="W435" s="33">
        <f t="shared" si="88"/>
        <v>-0.9558797416454301</v>
      </c>
      <c r="X435" s="143">
        <f t="shared" si="89"/>
        <v>0.9558797416454301</v>
      </c>
    </row>
    <row r="436" spans="1:24" ht="16" x14ac:dyDescent="0.2">
      <c r="A436" t="s">
        <v>841</v>
      </c>
      <c r="B436" s="224" t="s">
        <v>612</v>
      </c>
      <c r="C436" s="224" t="s">
        <v>824</v>
      </c>
      <c r="D436" s="35" t="s">
        <v>148</v>
      </c>
      <c r="E436" s="35" t="s">
        <v>662</v>
      </c>
      <c r="F436" s="35" t="s">
        <v>374</v>
      </c>
      <c r="G436" s="35" t="s">
        <v>626</v>
      </c>
      <c r="H436" s="35" t="s">
        <v>580</v>
      </c>
      <c r="I436" s="147">
        <v>1325</v>
      </c>
      <c r="J436" s="34">
        <v>1295.5852019447393</v>
      </c>
      <c r="K436" s="34">
        <f t="shared" si="78"/>
        <v>-29.41479805526069</v>
      </c>
      <c r="L436" s="56">
        <f t="shared" si="79"/>
        <v>865.23034463176805</v>
      </c>
      <c r="M436" s="56">
        <f t="shared" si="80"/>
        <v>29.41479805526069</v>
      </c>
      <c r="N436" s="56">
        <f t="shared" si="81"/>
        <v>1.4830849372290886</v>
      </c>
      <c r="O436" s="56">
        <f t="shared" si="90"/>
        <v>-1.4830849372290886</v>
      </c>
      <c r="P436" s="143">
        <f t="shared" si="82"/>
        <v>-2.2199847588875992</v>
      </c>
      <c r="Q436" s="143">
        <f t="shared" si="83"/>
        <v>2.2199847588875992</v>
      </c>
      <c r="R436" s="34">
        <v>1293.163674317866</v>
      </c>
      <c r="S436" s="56">
        <f t="shared" si="84"/>
        <v>-31.836325682133975</v>
      </c>
      <c r="T436" s="56">
        <f t="shared" si="85"/>
        <v>1013.5516329389033</v>
      </c>
      <c r="U436" s="56">
        <f t="shared" si="86"/>
        <v>31.836325682133975</v>
      </c>
      <c r="V436" s="56">
        <f t="shared" si="87"/>
        <v>1.5163545544994603</v>
      </c>
      <c r="W436" s="33">
        <f t="shared" si="88"/>
        <v>-2.4027415609157718</v>
      </c>
      <c r="X436" s="143">
        <f t="shared" si="89"/>
        <v>2.4027415609157718</v>
      </c>
    </row>
    <row r="437" spans="1:24" ht="16" x14ac:dyDescent="0.2">
      <c r="A437" t="s">
        <v>842</v>
      </c>
      <c r="B437" s="224" t="s">
        <v>612</v>
      </c>
      <c r="C437" s="224" t="s">
        <v>824</v>
      </c>
      <c r="D437" s="35" t="s">
        <v>148</v>
      </c>
      <c r="E437" s="35" t="s">
        <v>662</v>
      </c>
      <c r="F437" s="35" t="s">
        <v>374</v>
      </c>
      <c r="G437" s="35" t="s">
        <v>627</v>
      </c>
      <c r="H437" s="35" t="s">
        <v>580</v>
      </c>
      <c r="I437" s="147">
        <v>2435</v>
      </c>
      <c r="J437" s="34">
        <v>2463.7796077111529</v>
      </c>
      <c r="K437" s="34">
        <f t="shared" si="78"/>
        <v>28.779607711152948</v>
      </c>
      <c r="L437" s="56">
        <f t="shared" si="79"/>
        <v>828.26582000785424</v>
      </c>
      <c r="M437" s="56">
        <f t="shared" si="80"/>
        <v>28.779607711152948</v>
      </c>
      <c r="N437" s="56">
        <f t="shared" si="81"/>
        <v>1.4739189724623722</v>
      </c>
      <c r="O437" s="56">
        <f t="shared" si="90"/>
        <v>1.4739189724623722</v>
      </c>
      <c r="P437" s="143">
        <f t="shared" si="82"/>
        <v>1.1819140743799978</v>
      </c>
      <c r="Q437" s="143">
        <f t="shared" si="83"/>
        <v>1.1819140743799978</v>
      </c>
      <c r="R437" s="34">
        <v>2425.5352400733977</v>
      </c>
      <c r="S437" s="56">
        <f t="shared" si="84"/>
        <v>-9.4647599266022553</v>
      </c>
      <c r="T437" s="56">
        <f t="shared" si="85"/>
        <v>89.581680468215936</v>
      </c>
      <c r="U437" s="56">
        <f t="shared" si="86"/>
        <v>9.4647599266022553</v>
      </c>
      <c r="V437" s="56">
        <f t="shared" si="87"/>
        <v>1.0197292695836557</v>
      </c>
      <c r="W437" s="33">
        <f t="shared" si="88"/>
        <v>-0.3886965062259653</v>
      </c>
      <c r="X437" s="143">
        <f t="shared" si="89"/>
        <v>0.3886965062259653</v>
      </c>
    </row>
    <row r="438" spans="1:24" ht="16" x14ac:dyDescent="0.2">
      <c r="A438" t="s">
        <v>843</v>
      </c>
      <c r="B438" s="224" t="s">
        <v>612</v>
      </c>
      <c r="C438" s="224" t="s">
        <v>824</v>
      </c>
      <c r="D438" s="35" t="s">
        <v>148</v>
      </c>
      <c r="E438" s="35" t="s">
        <v>662</v>
      </c>
      <c r="F438" s="35" t="s">
        <v>494</v>
      </c>
      <c r="G438" s="35" t="s">
        <v>626</v>
      </c>
      <c r="H438" s="35" t="s">
        <v>580</v>
      </c>
      <c r="I438" s="147">
        <v>1126</v>
      </c>
      <c r="J438" s="34">
        <v>1113.6990870786656</v>
      </c>
      <c r="K438" s="34">
        <f t="shared" si="78"/>
        <v>-12.300912921334429</v>
      </c>
      <c r="L438" s="56">
        <f t="shared" si="79"/>
        <v>151.31245869825233</v>
      </c>
      <c r="M438" s="56">
        <f t="shared" si="80"/>
        <v>12.300912921334429</v>
      </c>
      <c r="N438" s="56">
        <f t="shared" si="81"/>
        <v>1.1238814502220751</v>
      </c>
      <c r="O438" s="56">
        <f t="shared" si="90"/>
        <v>-1.1238814502220751</v>
      </c>
      <c r="P438" s="143">
        <f t="shared" si="82"/>
        <v>-1.0924434210776581</v>
      </c>
      <c r="Q438" s="143">
        <f t="shared" si="83"/>
        <v>1.0924434210776581</v>
      </c>
      <c r="R438" s="34">
        <v>1120.3450666774934</v>
      </c>
      <c r="S438" s="56">
        <f t="shared" si="84"/>
        <v>-5.6549333225066221</v>
      </c>
      <c r="T438" s="56">
        <f t="shared" si="85"/>
        <v>31.978270881995783</v>
      </c>
      <c r="U438" s="56">
        <f t="shared" si="86"/>
        <v>5.6549333225066221</v>
      </c>
      <c r="V438" s="56">
        <f t="shared" si="87"/>
        <v>0.82314370852406615</v>
      </c>
      <c r="W438" s="33">
        <f t="shared" si="88"/>
        <v>-0.50221432704321689</v>
      </c>
      <c r="X438" s="143">
        <f t="shared" si="89"/>
        <v>0.50221432704321689</v>
      </c>
    </row>
    <row r="439" spans="1:24" ht="16" x14ac:dyDescent="0.2">
      <c r="A439" t="s">
        <v>844</v>
      </c>
      <c r="B439" s="224" t="s">
        <v>612</v>
      </c>
      <c r="C439" s="224" t="s">
        <v>824</v>
      </c>
      <c r="D439" s="35" t="s">
        <v>148</v>
      </c>
      <c r="E439" s="35" t="s">
        <v>662</v>
      </c>
      <c r="F439" s="225" t="s">
        <v>494</v>
      </c>
      <c r="G439" s="35" t="s">
        <v>626</v>
      </c>
      <c r="H439" s="35" t="s">
        <v>580</v>
      </c>
      <c r="I439" s="147">
        <v>1028</v>
      </c>
      <c r="J439" s="34">
        <v>1018.9905652774856</v>
      </c>
      <c r="K439" s="34">
        <f t="shared" si="78"/>
        <v>-9.0094347225143565</v>
      </c>
      <c r="L439" s="56">
        <f t="shared" si="79"/>
        <v>81.169914019247344</v>
      </c>
      <c r="M439" s="56">
        <f t="shared" si="80"/>
        <v>9.0094347225143565</v>
      </c>
      <c r="N439" s="56">
        <f t="shared" si="81"/>
        <v>1.0004095516226972</v>
      </c>
      <c r="O439" s="56">
        <f t="shared" si="90"/>
        <v>-1.0004095516226972</v>
      </c>
      <c r="P439" s="143">
        <f t="shared" si="82"/>
        <v>-0.87640415588661058</v>
      </c>
      <c r="Q439" s="143">
        <f t="shared" si="83"/>
        <v>0.87640415588661058</v>
      </c>
      <c r="R439" s="34">
        <v>1012.3791966396165</v>
      </c>
      <c r="S439" s="56">
        <f t="shared" si="84"/>
        <v>-15.620803360383547</v>
      </c>
      <c r="T439" s="56">
        <f t="shared" si="85"/>
        <v>244.00949762376993</v>
      </c>
      <c r="U439" s="56">
        <f t="shared" si="86"/>
        <v>15.620803360383547</v>
      </c>
      <c r="V439" s="56">
        <f t="shared" si="87"/>
        <v>1.2206520114185835</v>
      </c>
      <c r="W439" s="33">
        <f t="shared" si="88"/>
        <v>-1.5195334008155201</v>
      </c>
      <c r="X439" s="143">
        <f t="shared" si="89"/>
        <v>1.5195334008155201</v>
      </c>
    </row>
    <row r="440" spans="1:24" ht="16" x14ac:dyDescent="0.2">
      <c r="A440" t="s">
        <v>845</v>
      </c>
      <c r="B440" s="224" t="s">
        <v>612</v>
      </c>
      <c r="C440" s="224" t="s">
        <v>824</v>
      </c>
      <c r="D440" s="35" t="s">
        <v>148</v>
      </c>
      <c r="E440" s="35" t="s">
        <v>662</v>
      </c>
      <c r="F440" s="225" t="s">
        <v>494</v>
      </c>
      <c r="G440" s="35" t="s">
        <v>626</v>
      </c>
      <c r="H440" s="35" t="s">
        <v>580</v>
      </c>
      <c r="I440" s="147">
        <v>1059</v>
      </c>
      <c r="J440" s="34">
        <v>1066.2518190500787</v>
      </c>
      <c r="K440" s="34">
        <f t="shared" si="78"/>
        <v>7.2518190500786659</v>
      </c>
      <c r="L440" s="56">
        <f t="shared" si="79"/>
        <v>52.588879535083841</v>
      </c>
      <c r="M440" s="56">
        <f t="shared" si="80"/>
        <v>7.2518190500786659</v>
      </c>
      <c r="N440" s="56">
        <f t="shared" si="81"/>
        <v>0.91654969598386227</v>
      </c>
      <c r="O440" s="56">
        <f t="shared" si="90"/>
        <v>0.91654969598386227</v>
      </c>
      <c r="P440" s="143">
        <f t="shared" si="82"/>
        <v>0.68477989141441609</v>
      </c>
      <c r="Q440" s="143">
        <f t="shared" si="83"/>
        <v>0.68477989141441609</v>
      </c>
      <c r="R440" s="34">
        <v>1043.7687649486713</v>
      </c>
      <c r="S440" s="56">
        <f t="shared" si="84"/>
        <v>-15.231235051328667</v>
      </c>
      <c r="T440" s="56">
        <f t="shared" si="85"/>
        <v>231.99052118882298</v>
      </c>
      <c r="U440" s="56">
        <f t="shared" si="86"/>
        <v>15.231235051328667</v>
      </c>
      <c r="V440" s="56">
        <f t="shared" si="87"/>
        <v>1.2103515669962683</v>
      </c>
      <c r="W440" s="33">
        <f t="shared" si="88"/>
        <v>-1.4382658216552093</v>
      </c>
      <c r="X440" s="143">
        <f t="shared" si="89"/>
        <v>1.4382658216552093</v>
      </c>
    </row>
    <row r="441" spans="1:24" ht="16" x14ac:dyDescent="0.2">
      <c r="A441" t="s">
        <v>846</v>
      </c>
      <c r="B441" s="224" t="s">
        <v>612</v>
      </c>
      <c r="C441" s="224" t="s">
        <v>824</v>
      </c>
      <c r="D441" s="35" t="s">
        <v>148</v>
      </c>
      <c r="E441" s="35" t="s">
        <v>662</v>
      </c>
      <c r="F441" s="35" t="s">
        <v>374</v>
      </c>
      <c r="G441" s="35" t="s">
        <v>626</v>
      </c>
      <c r="H441" s="35" t="s">
        <v>580</v>
      </c>
      <c r="I441" s="147">
        <v>1312</v>
      </c>
      <c r="J441" s="34">
        <v>1290.7681746110088</v>
      </c>
      <c r="K441" s="34">
        <f t="shared" si="78"/>
        <v>-21.231825388991183</v>
      </c>
      <c r="L441" s="56">
        <f t="shared" si="79"/>
        <v>450.79040934861058</v>
      </c>
      <c r="M441" s="56">
        <f t="shared" si="80"/>
        <v>21.231825388991183</v>
      </c>
      <c r="N441" s="56">
        <f t="shared" si="81"/>
        <v>1.3469751227898532</v>
      </c>
      <c r="O441" s="56">
        <f t="shared" si="90"/>
        <v>-1.3469751227898532</v>
      </c>
      <c r="P441" s="143">
        <f t="shared" si="82"/>
        <v>-1.6182793741609134</v>
      </c>
      <c r="Q441" s="143">
        <f t="shared" si="83"/>
        <v>1.6182793741609134</v>
      </c>
      <c r="R441" s="34">
        <v>1279.44174423505</v>
      </c>
      <c r="S441" s="56">
        <f t="shared" si="84"/>
        <v>-32.55825576494999</v>
      </c>
      <c r="T441" s="56">
        <f t="shared" si="85"/>
        <v>1060.0400184558994</v>
      </c>
      <c r="U441" s="56">
        <f t="shared" si="86"/>
        <v>32.55825576494999</v>
      </c>
      <c r="V441" s="56">
        <f t="shared" si="87"/>
        <v>1.5257993797090059</v>
      </c>
      <c r="W441" s="33">
        <f t="shared" si="88"/>
        <v>-2.4815743723285055</v>
      </c>
      <c r="X441" s="143">
        <f t="shared" si="89"/>
        <v>2.4815743723285055</v>
      </c>
    </row>
    <row r="442" spans="1:24" ht="16" x14ac:dyDescent="0.2">
      <c r="A442" t="s">
        <v>847</v>
      </c>
      <c r="B442" s="224" t="s">
        <v>612</v>
      </c>
      <c r="C442" s="224" t="s">
        <v>824</v>
      </c>
      <c r="D442" s="35" t="s">
        <v>148</v>
      </c>
      <c r="E442" s="35" t="s">
        <v>662</v>
      </c>
      <c r="F442" s="35" t="s">
        <v>494</v>
      </c>
      <c r="G442" s="35" t="s">
        <v>626</v>
      </c>
      <c r="H442" s="35" t="s">
        <v>580</v>
      </c>
      <c r="I442" s="147">
        <v>1170</v>
      </c>
      <c r="J442" s="34">
        <v>1204.3382792533635</v>
      </c>
      <c r="K442" s="34">
        <f t="shared" si="78"/>
        <v>34.338279253363453</v>
      </c>
      <c r="L442" s="56">
        <f t="shared" si="79"/>
        <v>1179.117422081971</v>
      </c>
      <c r="M442" s="56">
        <f t="shared" si="80"/>
        <v>34.338279253363453</v>
      </c>
      <c r="N442" s="56">
        <f t="shared" si="81"/>
        <v>1.5482453983409965</v>
      </c>
      <c r="O442" s="56">
        <f t="shared" si="90"/>
        <v>1.5482453983409965</v>
      </c>
      <c r="P442" s="143">
        <f t="shared" si="82"/>
        <v>2.9348956626806371</v>
      </c>
      <c r="Q442" s="143">
        <f t="shared" si="83"/>
        <v>2.9348956626806371</v>
      </c>
      <c r="R442" s="34">
        <v>1192.8429757087717</v>
      </c>
      <c r="S442" s="56">
        <f t="shared" si="84"/>
        <v>22.842975708771746</v>
      </c>
      <c r="T442" s="56">
        <f t="shared" si="85"/>
        <v>521.80153923153603</v>
      </c>
      <c r="U442" s="56">
        <f t="shared" si="86"/>
        <v>22.842975708771746</v>
      </c>
      <c r="V442" s="56">
        <f t="shared" si="87"/>
        <v>1.3773604563220359</v>
      </c>
      <c r="W442" s="33">
        <f t="shared" si="88"/>
        <v>1.9523910862198073</v>
      </c>
      <c r="X442" s="143">
        <f t="shared" si="89"/>
        <v>1.9523910862198073</v>
      </c>
    </row>
    <row r="443" spans="1:24" ht="16" x14ac:dyDescent="0.2">
      <c r="A443" t="s">
        <v>848</v>
      </c>
      <c r="B443" s="224" t="s">
        <v>612</v>
      </c>
      <c r="C443" s="224" t="s">
        <v>824</v>
      </c>
      <c r="D443" s="35" t="s">
        <v>148</v>
      </c>
      <c r="E443" s="35" t="s">
        <v>662</v>
      </c>
      <c r="F443" s="35" t="s">
        <v>374</v>
      </c>
      <c r="G443" s="35" t="s">
        <v>626</v>
      </c>
      <c r="H443" s="35" t="s">
        <v>580</v>
      </c>
      <c r="I443" s="147">
        <v>1244</v>
      </c>
      <c r="J443" s="34">
        <v>1271.5160047215384</v>
      </c>
      <c r="K443" s="34">
        <f t="shared" si="78"/>
        <v>27.516004721538366</v>
      </c>
      <c r="L443" s="56">
        <f t="shared" si="79"/>
        <v>757.13051583572167</v>
      </c>
      <c r="M443" s="56">
        <f t="shared" si="80"/>
        <v>27.516004721538366</v>
      </c>
      <c r="N443" s="56">
        <f t="shared" si="81"/>
        <v>1.4550886779492804</v>
      </c>
      <c r="O443" s="56">
        <f t="shared" si="90"/>
        <v>1.4550886779492804</v>
      </c>
      <c r="P443" s="143">
        <f t="shared" si="82"/>
        <v>2.2118974856542093</v>
      </c>
      <c r="Q443" s="143">
        <f t="shared" si="83"/>
        <v>2.2118974856542093</v>
      </c>
      <c r="R443" s="34">
        <v>1256.600808559509</v>
      </c>
      <c r="S443" s="56">
        <f t="shared" si="84"/>
        <v>12.600808559509005</v>
      </c>
      <c r="T443" s="56">
        <f t="shared" si="85"/>
        <v>158.78037635339541</v>
      </c>
      <c r="U443" s="56">
        <f t="shared" si="86"/>
        <v>12.600808559509005</v>
      </c>
      <c r="V443" s="56">
        <f t="shared" si="87"/>
        <v>1.1335647276713157</v>
      </c>
      <c r="W443" s="33">
        <f t="shared" si="88"/>
        <v>1.012926733079502</v>
      </c>
      <c r="X443" s="143">
        <f t="shared" si="89"/>
        <v>1.012926733079502</v>
      </c>
    </row>
    <row r="444" spans="1:24" ht="16" x14ac:dyDescent="0.2">
      <c r="A444" t="s">
        <v>849</v>
      </c>
      <c r="B444" s="224" t="s">
        <v>612</v>
      </c>
      <c r="C444" s="224" t="s">
        <v>824</v>
      </c>
      <c r="D444" s="35" t="s">
        <v>148</v>
      </c>
      <c r="E444" s="35" t="s">
        <v>662</v>
      </c>
      <c r="F444" s="35" t="s">
        <v>374</v>
      </c>
      <c r="G444" s="35" t="s">
        <v>626</v>
      </c>
      <c r="H444" s="35" t="s">
        <v>580</v>
      </c>
      <c r="I444" s="147">
        <v>1413</v>
      </c>
      <c r="J444" s="34">
        <v>1372.8698710879501</v>
      </c>
      <c r="K444" s="34">
        <f t="shared" si="78"/>
        <v>-40.13012891204994</v>
      </c>
      <c r="L444" s="56">
        <f t="shared" si="79"/>
        <v>1610.4272464977466</v>
      </c>
      <c r="M444" s="56">
        <f t="shared" si="80"/>
        <v>40.13012891204994</v>
      </c>
      <c r="N444" s="56">
        <f t="shared" si="81"/>
        <v>1.6141600706981905</v>
      </c>
      <c r="O444" s="56">
        <f t="shared" si="90"/>
        <v>-1.6141600706981905</v>
      </c>
      <c r="P444" s="143">
        <f t="shared" si="82"/>
        <v>-2.8400657404140084</v>
      </c>
      <c r="Q444" s="143">
        <f t="shared" si="83"/>
        <v>2.8400657404140084</v>
      </c>
      <c r="R444" s="34">
        <v>1371.1614766625828</v>
      </c>
      <c r="S444" s="56">
        <f t="shared" si="84"/>
        <v>-41.8385233374172</v>
      </c>
      <c r="T444" s="56">
        <f t="shared" si="85"/>
        <v>1750.4620350556038</v>
      </c>
      <c r="U444" s="56">
        <f t="shared" si="86"/>
        <v>41.8385233374172</v>
      </c>
      <c r="V444" s="56">
        <f t="shared" si="87"/>
        <v>1.6318344920976269</v>
      </c>
      <c r="W444" s="33">
        <f t="shared" si="88"/>
        <v>-2.9609712199162916</v>
      </c>
      <c r="X444" s="143">
        <f t="shared" si="89"/>
        <v>2.9609712199162916</v>
      </c>
    </row>
    <row r="445" spans="1:24" ht="16" x14ac:dyDescent="0.2">
      <c r="A445" t="s">
        <v>850</v>
      </c>
      <c r="B445" s="224" t="s">
        <v>612</v>
      </c>
      <c r="C445" s="224" t="s">
        <v>824</v>
      </c>
      <c r="D445" s="35" t="s">
        <v>148</v>
      </c>
      <c r="E445" s="35" t="s">
        <v>662</v>
      </c>
      <c r="F445" s="35" t="s">
        <v>374</v>
      </c>
      <c r="G445" s="35" t="s">
        <v>626</v>
      </c>
      <c r="H445" s="35" t="s">
        <v>580</v>
      </c>
      <c r="I445" s="147">
        <v>1240</v>
      </c>
      <c r="J445" s="34">
        <v>1194.768034647044</v>
      </c>
      <c r="K445" s="34">
        <f t="shared" si="78"/>
        <v>-45.231965352955967</v>
      </c>
      <c r="L445" s="56">
        <f t="shared" si="79"/>
        <v>2045.9306896910091</v>
      </c>
      <c r="M445" s="56">
        <f t="shared" si="80"/>
        <v>45.231965352955967</v>
      </c>
      <c r="N445" s="56">
        <f t="shared" si="81"/>
        <v>1.6649423559905625</v>
      </c>
      <c r="O445" s="56">
        <f t="shared" si="90"/>
        <v>-1.6649423559905625</v>
      </c>
      <c r="P445" s="143">
        <f t="shared" si="82"/>
        <v>-3.6477391413674165</v>
      </c>
      <c r="Q445" s="143">
        <f t="shared" si="83"/>
        <v>3.6477391413674165</v>
      </c>
      <c r="R445" s="34">
        <v>1179.2191676723578</v>
      </c>
      <c r="S445" s="56">
        <f t="shared" si="84"/>
        <v>-60.780832327642202</v>
      </c>
      <c r="T445" s="56">
        <f t="shared" si="85"/>
        <v>3694.3095784409552</v>
      </c>
      <c r="U445" s="56">
        <f t="shared" si="86"/>
        <v>60.780832327642202</v>
      </c>
      <c r="V445" s="56">
        <f t="shared" si="87"/>
        <v>1.7908537549344701</v>
      </c>
      <c r="W445" s="33">
        <f t="shared" si="88"/>
        <v>-4.901680026422758</v>
      </c>
      <c r="X445" s="143">
        <f t="shared" si="89"/>
        <v>4.901680026422758</v>
      </c>
    </row>
    <row r="446" spans="1:24" ht="16" x14ac:dyDescent="0.2">
      <c r="A446" t="s">
        <v>851</v>
      </c>
      <c r="B446" s="224" t="s">
        <v>612</v>
      </c>
      <c r="C446" s="224" t="s">
        <v>824</v>
      </c>
      <c r="D446" s="35" t="s">
        <v>148</v>
      </c>
      <c r="E446" s="35" t="s">
        <v>662</v>
      </c>
      <c r="F446" s="35" t="s">
        <v>374</v>
      </c>
      <c r="G446" s="35" t="s">
        <v>627</v>
      </c>
      <c r="H446" s="35" t="s">
        <v>580</v>
      </c>
      <c r="I446" s="147">
        <v>1622</v>
      </c>
      <c r="J446" s="34">
        <v>1538.3628184878016</v>
      </c>
      <c r="K446" s="34">
        <f t="shared" si="78"/>
        <v>-83.637181512198367</v>
      </c>
      <c r="L446" s="56">
        <f t="shared" si="79"/>
        <v>6995.1781313044166</v>
      </c>
      <c r="M446" s="56">
        <f t="shared" si="80"/>
        <v>83.637181512198367</v>
      </c>
      <c r="N446" s="56">
        <f t="shared" si="81"/>
        <v>1.9275611925682332</v>
      </c>
      <c r="O446" s="56">
        <f t="shared" si="90"/>
        <v>-1.9275611925682332</v>
      </c>
      <c r="P446" s="143">
        <f t="shared" si="82"/>
        <v>-5.156423027879061</v>
      </c>
      <c r="Q446" s="143">
        <f t="shared" si="83"/>
        <v>5.156423027879061</v>
      </c>
      <c r="R446" s="34">
        <v>1532.9677565349434</v>
      </c>
      <c r="S446" s="56">
        <f t="shared" si="84"/>
        <v>-89.032243465056581</v>
      </c>
      <c r="T446" s="56">
        <f t="shared" si="85"/>
        <v>7926.7403764211103</v>
      </c>
      <c r="U446" s="56">
        <f t="shared" si="86"/>
        <v>89.032243465056581</v>
      </c>
      <c r="V446" s="56">
        <f t="shared" si="87"/>
        <v>1.9543980722299863</v>
      </c>
      <c r="W446" s="33">
        <f t="shared" si="88"/>
        <v>-5.4890409041341908</v>
      </c>
      <c r="X446" s="143">
        <f t="shared" si="89"/>
        <v>5.4890409041341908</v>
      </c>
    </row>
    <row r="447" spans="1:24" ht="16" x14ac:dyDescent="0.2">
      <c r="A447" t="s">
        <v>852</v>
      </c>
      <c r="B447" s="224" t="s">
        <v>612</v>
      </c>
      <c r="C447" s="224" t="s">
        <v>824</v>
      </c>
      <c r="D447" s="35" t="s">
        <v>148</v>
      </c>
      <c r="E447" s="35" t="s">
        <v>662</v>
      </c>
      <c r="F447" s="35" t="s">
        <v>374</v>
      </c>
      <c r="G447" s="35" t="s">
        <v>626</v>
      </c>
      <c r="H447" s="35" t="s">
        <v>580</v>
      </c>
      <c r="I447" s="147">
        <v>1210</v>
      </c>
      <c r="J447" s="34">
        <v>1137.4904101763043</v>
      </c>
      <c r="K447" s="34">
        <f t="shared" si="78"/>
        <v>-72.509589823695705</v>
      </c>
      <c r="L447" s="56">
        <f t="shared" si="79"/>
        <v>5257.6406164005957</v>
      </c>
      <c r="M447" s="56">
        <f t="shared" si="80"/>
        <v>72.509589823695705</v>
      </c>
      <c r="N447" s="56">
        <f t="shared" si="81"/>
        <v>1.866343999435732</v>
      </c>
      <c r="O447" s="56">
        <f t="shared" si="90"/>
        <v>-1.866343999435732</v>
      </c>
      <c r="P447" s="143">
        <f t="shared" si="82"/>
        <v>-5.9925280846029505</v>
      </c>
      <c r="Q447" s="143">
        <f t="shared" si="83"/>
        <v>5.9925280846029505</v>
      </c>
      <c r="R447" s="34">
        <v>1133.9076453703744</v>
      </c>
      <c r="S447" s="56">
        <f t="shared" si="84"/>
        <v>-76.092354629625561</v>
      </c>
      <c r="T447" s="56">
        <f t="shared" si="85"/>
        <v>5790.0464330806981</v>
      </c>
      <c r="U447" s="56">
        <f t="shared" si="86"/>
        <v>76.092354629625561</v>
      </c>
      <c r="V447" s="56">
        <f t="shared" si="87"/>
        <v>1.8870113105178563</v>
      </c>
      <c r="W447" s="33">
        <f t="shared" si="88"/>
        <v>-6.2886243495558318</v>
      </c>
      <c r="X447" s="143">
        <f t="shared" si="89"/>
        <v>6.2886243495558318</v>
      </c>
    </row>
    <row r="448" spans="1:24" ht="16" x14ac:dyDescent="0.2">
      <c r="A448" t="s">
        <v>853</v>
      </c>
      <c r="B448" s="224" t="s">
        <v>612</v>
      </c>
      <c r="C448" s="224" t="s">
        <v>824</v>
      </c>
      <c r="D448" s="35" t="s">
        <v>148</v>
      </c>
      <c r="E448" s="35" t="s">
        <v>662</v>
      </c>
      <c r="F448" s="35" t="s">
        <v>374</v>
      </c>
      <c r="G448" s="35" t="s">
        <v>626</v>
      </c>
      <c r="H448" s="35" t="s">
        <v>580</v>
      </c>
      <c r="I448" s="147">
        <v>1274</v>
      </c>
      <c r="J448" s="34">
        <v>1242.6861166335275</v>
      </c>
      <c r="K448" s="34">
        <f t="shared" si="78"/>
        <v>-31.31388336647251</v>
      </c>
      <c r="L448" s="56">
        <f t="shared" si="79"/>
        <v>980.55929148904374</v>
      </c>
      <c r="M448" s="56">
        <f t="shared" si="80"/>
        <v>31.31388336647251</v>
      </c>
      <c r="N448" s="56">
        <f t="shared" si="81"/>
        <v>1.5093891531054162</v>
      </c>
      <c r="O448" s="56">
        <f t="shared" si="90"/>
        <v>-1.5093891531054162</v>
      </c>
      <c r="P448" s="143">
        <f t="shared" si="82"/>
        <v>-2.4579186315912489</v>
      </c>
      <c r="Q448" s="143">
        <f t="shared" si="83"/>
        <v>2.4579186315912489</v>
      </c>
      <c r="R448" s="34">
        <v>1229.2401174352347</v>
      </c>
      <c r="S448" s="56">
        <f t="shared" si="84"/>
        <v>-44.759882564765348</v>
      </c>
      <c r="T448" s="56">
        <f t="shared" si="85"/>
        <v>2003.4470872115851</v>
      </c>
      <c r="U448" s="56">
        <f t="shared" si="86"/>
        <v>44.759882564765348</v>
      </c>
      <c r="V448" s="56">
        <f t="shared" si="87"/>
        <v>1.660484901240828</v>
      </c>
      <c r="W448" s="33">
        <f t="shared" si="88"/>
        <v>-3.5133345812217698</v>
      </c>
      <c r="X448" s="143">
        <f t="shared" si="89"/>
        <v>3.5133345812217698</v>
      </c>
    </row>
    <row r="449" spans="1:24" ht="16" x14ac:dyDescent="0.2">
      <c r="A449" t="s">
        <v>854</v>
      </c>
      <c r="B449" s="224" t="s">
        <v>612</v>
      </c>
      <c r="C449" s="224" t="s">
        <v>824</v>
      </c>
      <c r="D449" s="35" t="s">
        <v>148</v>
      </c>
      <c r="E449" s="35" t="s">
        <v>662</v>
      </c>
      <c r="F449" s="35" t="s">
        <v>374</v>
      </c>
      <c r="G449" s="35" t="s">
        <v>626</v>
      </c>
      <c r="H449" s="35" t="s">
        <v>580</v>
      </c>
      <c r="I449" s="147">
        <v>1340</v>
      </c>
      <c r="J449" s="34">
        <v>1300.4038134456923</v>
      </c>
      <c r="K449" s="34">
        <f t="shared" si="78"/>
        <v>-39.596186554307678</v>
      </c>
      <c r="L449" s="56">
        <f t="shared" si="79"/>
        <v>1567.8579896435363</v>
      </c>
      <c r="M449" s="56">
        <f t="shared" si="80"/>
        <v>39.596186554307678</v>
      </c>
      <c r="N449" s="56">
        <f t="shared" si="81"/>
        <v>1.6084852395819904</v>
      </c>
      <c r="O449" s="56">
        <f t="shared" si="90"/>
        <v>-1.6084852395819904</v>
      </c>
      <c r="P449" s="143">
        <f t="shared" si="82"/>
        <v>-2.9549392950975881</v>
      </c>
      <c r="Q449" s="143">
        <f t="shared" si="83"/>
        <v>2.9549392950975881</v>
      </c>
      <c r="R449" s="34">
        <v>1265.7328149671487</v>
      </c>
      <c r="S449" s="56">
        <f t="shared" si="84"/>
        <v>-74.26718503285133</v>
      </c>
      <c r="T449" s="56">
        <f t="shared" si="85"/>
        <v>5515.6147727037769</v>
      </c>
      <c r="U449" s="56">
        <f t="shared" si="86"/>
        <v>74.26718503285133</v>
      </c>
      <c r="V449" s="56">
        <f t="shared" si="87"/>
        <v>1.8766056738719223</v>
      </c>
      <c r="W449" s="33">
        <f t="shared" si="88"/>
        <v>-5.5423272412575617</v>
      </c>
      <c r="X449" s="143">
        <f t="shared" si="89"/>
        <v>5.5423272412575617</v>
      </c>
    </row>
    <row r="450" spans="1:24" ht="16" x14ac:dyDescent="0.2">
      <c r="A450" t="s">
        <v>855</v>
      </c>
      <c r="B450" s="224" t="s">
        <v>612</v>
      </c>
      <c r="C450" s="224" t="s">
        <v>824</v>
      </c>
      <c r="D450" s="35" t="s">
        <v>148</v>
      </c>
      <c r="E450" s="35" t="s">
        <v>662</v>
      </c>
      <c r="F450" s="225" t="s">
        <v>494</v>
      </c>
      <c r="G450" s="35" t="s">
        <v>626</v>
      </c>
      <c r="H450" s="35" t="s">
        <v>580</v>
      </c>
      <c r="I450" s="147">
        <v>980</v>
      </c>
      <c r="J450" s="34">
        <v>995.43188301621899</v>
      </c>
      <c r="K450" s="34">
        <f t="shared" ref="K450:K513" si="91">J450-I450</f>
        <v>15.43188301621899</v>
      </c>
      <c r="L450" s="56">
        <f t="shared" ref="L450:L513" si="92">K450^2</f>
        <v>238.14301342626811</v>
      </c>
      <c r="M450" s="56">
        <f t="shared" ref="M450:M513" si="93">SQRT(L450)</f>
        <v>15.43188301621899</v>
      </c>
      <c r="N450" s="56">
        <f t="shared" ref="N450:N513" si="94">LOG10(M450+1)</f>
        <v>1.2156873343842025</v>
      </c>
      <c r="O450" s="56">
        <f t="shared" si="90"/>
        <v>1.2156873343842025</v>
      </c>
      <c r="P450" s="143">
        <f t="shared" ref="P450:P513" si="95">100*K450/I450</f>
        <v>1.5746819404305092</v>
      </c>
      <c r="Q450" s="143">
        <f t="shared" ref="Q450:Q513" si="96">ABS(P450)</f>
        <v>1.5746819404305092</v>
      </c>
      <c r="R450" s="34">
        <v>990.01049957447628</v>
      </c>
      <c r="S450" s="56">
        <f t="shared" ref="S450:S513" si="97">R450-I450</f>
        <v>10.010499574476285</v>
      </c>
      <c r="T450" s="56">
        <f t="shared" ref="T450:T513" si="98">S450^2</f>
        <v>100.21010173058987</v>
      </c>
      <c r="U450" s="56">
        <f t="shared" ref="U450:U513" si="99">SQRT(T450)</f>
        <v>10.010499574476285</v>
      </c>
      <c r="V450" s="56">
        <f t="shared" ref="V450:V513" si="100">LOG10(U450+1)</f>
        <v>1.0418070244682283</v>
      </c>
      <c r="W450" s="33">
        <f t="shared" ref="W450:W513" si="101">100*S450/I450</f>
        <v>1.0214795484159473</v>
      </c>
      <c r="X450" s="143">
        <f t="shared" ref="X450:X513" si="102">ABS(W450)</f>
        <v>1.0214795484159473</v>
      </c>
    </row>
    <row r="451" spans="1:24" ht="16" x14ac:dyDescent="0.2">
      <c r="A451" t="s">
        <v>856</v>
      </c>
      <c r="B451" s="224" t="s">
        <v>612</v>
      </c>
      <c r="C451" s="224" t="s">
        <v>824</v>
      </c>
      <c r="D451" s="35" t="s">
        <v>148</v>
      </c>
      <c r="E451" s="35" t="s">
        <v>662</v>
      </c>
      <c r="F451" s="225" t="s">
        <v>494</v>
      </c>
      <c r="G451" s="35" t="s">
        <v>626</v>
      </c>
      <c r="H451" s="35" t="s">
        <v>580</v>
      </c>
      <c r="I451" s="147">
        <v>1098</v>
      </c>
      <c r="J451" s="34">
        <v>1123.2102772846224</v>
      </c>
      <c r="K451" s="34">
        <f t="shared" si="91"/>
        <v>25.210277284622407</v>
      </c>
      <c r="L451" s="56">
        <f t="shared" si="92"/>
        <v>635.55808076754852</v>
      </c>
      <c r="M451" s="56">
        <f t="shared" si="93"/>
        <v>25.210277284622407</v>
      </c>
      <c r="N451" s="56">
        <f t="shared" si="94"/>
        <v>1.4184716154732862</v>
      </c>
      <c r="O451" s="56">
        <f t="shared" ref="O451:O514" si="103">N451*SIGN(K451)</f>
        <v>1.4184716154732862</v>
      </c>
      <c r="P451" s="143">
        <f t="shared" si="95"/>
        <v>2.296017967634099</v>
      </c>
      <c r="Q451" s="143">
        <f t="shared" si="96"/>
        <v>2.296017967634099</v>
      </c>
      <c r="R451" s="34">
        <v>1124.8643219749504</v>
      </c>
      <c r="S451" s="56">
        <f t="shared" si="97"/>
        <v>26.864321974950371</v>
      </c>
      <c r="T451" s="56">
        <f t="shared" si="98"/>
        <v>721.69179517380144</v>
      </c>
      <c r="U451" s="56">
        <f t="shared" si="99"/>
        <v>26.864321974950371</v>
      </c>
      <c r="V451" s="56">
        <f t="shared" si="100"/>
        <v>1.4450484797941494</v>
      </c>
      <c r="W451" s="33">
        <f t="shared" si="101"/>
        <v>2.4466595605601431</v>
      </c>
      <c r="X451" s="143">
        <f t="shared" si="102"/>
        <v>2.4466595605601431</v>
      </c>
    </row>
    <row r="452" spans="1:24" ht="16" x14ac:dyDescent="0.2">
      <c r="A452" t="s">
        <v>857</v>
      </c>
      <c r="B452" s="224" t="s">
        <v>612</v>
      </c>
      <c r="C452" s="224" t="s">
        <v>824</v>
      </c>
      <c r="D452" s="35" t="s">
        <v>148</v>
      </c>
      <c r="E452" s="35" t="s">
        <v>662</v>
      </c>
      <c r="F452" s="225" t="s">
        <v>494</v>
      </c>
      <c r="G452" s="35" t="s">
        <v>626</v>
      </c>
      <c r="H452" s="35" t="s">
        <v>580</v>
      </c>
      <c r="I452" s="147">
        <v>1022</v>
      </c>
      <c r="J452" s="34">
        <v>1018.9905652774856</v>
      </c>
      <c r="K452" s="34">
        <f t="shared" si="91"/>
        <v>-3.0094347225143565</v>
      </c>
      <c r="L452" s="56">
        <f t="shared" si="92"/>
        <v>9.056697349075062</v>
      </c>
      <c r="M452" s="56">
        <f t="shared" si="93"/>
        <v>3.0094347225143565</v>
      </c>
      <c r="N452" s="56">
        <f t="shared" si="94"/>
        <v>0.60308314713443167</v>
      </c>
      <c r="O452" s="56">
        <f t="shared" si="103"/>
        <v>-0.60308314713443167</v>
      </c>
      <c r="P452" s="143">
        <f t="shared" si="95"/>
        <v>-0.2944652370366298</v>
      </c>
      <c r="Q452" s="143">
        <f t="shared" si="96"/>
        <v>0.2944652370366298</v>
      </c>
      <c r="R452" s="34">
        <v>1007.9019283954028</v>
      </c>
      <c r="S452" s="56">
        <f t="shared" si="97"/>
        <v>-14.09807160459718</v>
      </c>
      <c r="T452" s="56">
        <f t="shared" si="98"/>
        <v>198.75562296834931</v>
      </c>
      <c r="U452" s="56">
        <f t="shared" si="99"/>
        <v>14.09807160459718</v>
      </c>
      <c r="V452" s="56">
        <f t="shared" si="100"/>
        <v>1.1789214807392467</v>
      </c>
      <c r="W452" s="33">
        <f t="shared" si="101"/>
        <v>-1.379459061115184</v>
      </c>
      <c r="X452" s="143">
        <f t="shared" si="102"/>
        <v>1.379459061115184</v>
      </c>
    </row>
    <row r="453" spans="1:24" ht="16" x14ac:dyDescent="0.2">
      <c r="A453" t="s">
        <v>858</v>
      </c>
      <c r="B453" s="224" t="s">
        <v>612</v>
      </c>
      <c r="C453" s="224" t="s">
        <v>824</v>
      </c>
      <c r="D453" s="35" t="s">
        <v>148</v>
      </c>
      <c r="E453" s="35" t="s">
        <v>662</v>
      </c>
      <c r="F453" s="225" t="s">
        <v>494</v>
      </c>
      <c r="G453" s="35" t="s">
        <v>626</v>
      </c>
      <c r="H453" s="35" t="s">
        <v>580</v>
      </c>
      <c r="I453" s="147">
        <v>1062</v>
      </c>
      <c r="J453" s="34">
        <v>1156.555245718622</v>
      </c>
      <c r="K453" s="34">
        <f t="shared" si="91"/>
        <v>94.555245718622018</v>
      </c>
      <c r="L453" s="56">
        <f t="shared" si="92"/>
        <v>8940.6944929089877</v>
      </c>
      <c r="M453" s="56">
        <f t="shared" si="93"/>
        <v>94.555245718622018</v>
      </c>
      <c r="N453" s="56">
        <f t="shared" si="94"/>
        <v>1.9802545336109891</v>
      </c>
      <c r="O453" s="56">
        <f t="shared" si="103"/>
        <v>1.9802545336109891</v>
      </c>
      <c r="P453" s="143">
        <f t="shared" si="95"/>
        <v>8.9035071298137503</v>
      </c>
      <c r="Q453" s="143">
        <f t="shared" si="96"/>
        <v>8.9035071298137503</v>
      </c>
      <c r="R453" s="34">
        <v>1133.9076453703744</v>
      </c>
      <c r="S453" s="56">
        <f t="shared" si="97"/>
        <v>71.907645370374439</v>
      </c>
      <c r="T453" s="56">
        <f t="shared" si="98"/>
        <v>5170.7094627115321</v>
      </c>
      <c r="U453" s="56">
        <f t="shared" si="99"/>
        <v>71.907645370374439</v>
      </c>
      <c r="V453" s="56">
        <f t="shared" si="100"/>
        <v>1.8627730724615665</v>
      </c>
      <c r="W453" s="33">
        <f t="shared" si="101"/>
        <v>6.7709647241407191</v>
      </c>
      <c r="X453" s="143">
        <f t="shared" si="102"/>
        <v>6.7709647241407191</v>
      </c>
    </row>
    <row r="454" spans="1:24" ht="16" x14ac:dyDescent="0.2">
      <c r="A454" t="s">
        <v>859</v>
      </c>
      <c r="B454" s="224" t="s">
        <v>612</v>
      </c>
      <c r="C454" s="224" t="s">
        <v>824</v>
      </c>
      <c r="D454" s="35" t="s">
        <v>148</v>
      </c>
      <c r="E454" s="35" t="s">
        <v>662</v>
      </c>
      <c r="F454" s="35" t="s">
        <v>494</v>
      </c>
      <c r="G454" s="35" t="s">
        <v>626</v>
      </c>
      <c r="H454" s="35" t="s">
        <v>580</v>
      </c>
      <c r="I454" s="147">
        <v>1135</v>
      </c>
      <c r="J454" s="34">
        <v>1104.1950738857709</v>
      </c>
      <c r="K454" s="34">
        <f t="shared" si="91"/>
        <v>-30.804926114229147</v>
      </c>
      <c r="L454" s="56">
        <f t="shared" si="92"/>
        <v>948.94347290311691</v>
      </c>
      <c r="M454" s="56">
        <f t="shared" si="93"/>
        <v>30.804926114229147</v>
      </c>
      <c r="N454" s="56">
        <f t="shared" si="94"/>
        <v>1.5024943910076669</v>
      </c>
      <c r="O454" s="56">
        <f t="shared" si="103"/>
        <v>-1.5024943910076669</v>
      </c>
      <c r="P454" s="143">
        <f t="shared" si="95"/>
        <v>-2.7140904065400129</v>
      </c>
      <c r="Q454" s="143">
        <f t="shared" si="96"/>
        <v>2.7140904065400129</v>
      </c>
      <c r="R454" s="34">
        <v>1133.9076453703744</v>
      </c>
      <c r="S454" s="56">
        <f t="shared" si="97"/>
        <v>-1.0923546296255608</v>
      </c>
      <c r="T454" s="56">
        <f t="shared" si="98"/>
        <v>1.1932386368643961</v>
      </c>
      <c r="U454" s="56">
        <f t="shared" si="99"/>
        <v>1.0923546296255608</v>
      </c>
      <c r="V454" s="56">
        <f t="shared" si="100"/>
        <v>0.32063529426646226</v>
      </c>
      <c r="W454" s="33">
        <f t="shared" si="101"/>
        <v>-9.6242698645423869E-2</v>
      </c>
      <c r="X454" s="143">
        <f t="shared" si="102"/>
        <v>9.6242698645423869E-2</v>
      </c>
    </row>
    <row r="455" spans="1:24" ht="16" x14ac:dyDescent="0.2">
      <c r="A455" t="s">
        <v>860</v>
      </c>
      <c r="B455" s="224" t="s">
        <v>612</v>
      </c>
      <c r="C455" s="224" t="s">
        <v>824</v>
      </c>
      <c r="D455" s="35" t="s">
        <v>148</v>
      </c>
      <c r="E455" s="35" t="s">
        <v>662</v>
      </c>
      <c r="F455" s="35" t="s">
        <v>494</v>
      </c>
      <c r="G455" s="35" t="s">
        <v>626</v>
      </c>
      <c r="H455" s="35" t="s">
        <v>580</v>
      </c>
      <c r="I455" s="147">
        <v>1029</v>
      </c>
      <c r="J455" s="34">
        <v>1037.8723046488305</v>
      </c>
      <c r="K455" s="34">
        <f t="shared" si="91"/>
        <v>8.8723046488305499</v>
      </c>
      <c r="L455" s="56">
        <f t="shared" si="92"/>
        <v>78.717789781660187</v>
      </c>
      <c r="M455" s="56">
        <f t="shared" si="93"/>
        <v>8.8723046488305499</v>
      </c>
      <c r="N455" s="56">
        <f t="shared" si="94"/>
        <v>0.99441854876215807</v>
      </c>
      <c r="O455" s="56">
        <f t="shared" si="103"/>
        <v>0.99441854876215807</v>
      </c>
      <c r="P455" s="143">
        <f t="shared" si="95"/>
        <v>0.8622259133946113</v>
      </c>
      <c r="Q455" s="143">
        <f t="shared" si="96"/>
        <v>0.8622259133946113</v>
      </c>
      <c r="R455" s="34">
        <v>1021.3389813846983</v>
      </c>
      <c r="S455" s="56">
        <f t="shared" si="97"/>
        <v>-7.6610186153017139</v>
      </c>
      <c r="T455" s="56">
        <f t="shared" si="98"/>
        <v>58.691206223999387</v>
      </c>
      <c r="U455" s="56">
        <f t="shared" si="99"/>
        <v>7.6610186153017139</v>
      </c>
      <c r="V455" s="56">
        <f t="shared" si="100"/>
        <v>0.93756897203926126</v>
      </c>
      <c r="W455" s="33">
        <f t="shared" si="101"/>
        <v>-0.74451104133155621</v>
      </c>
      <c r="X455" s="143">
        <f t="shared" si="102"/>
        <v>0.74451104133155621</v>
      </c>
    </row>
    <row r="456" spans="1:24" ht="16" x14ac:dyDescent="0.2">
      <c r="A456" t="s">
        <v>861</v>
      </c>
      <c r="B456" s="224" t="s">
        <v>612</v>
      </c>
      <c r="C456" s="224" t="s">
        <v>824</v>
      </c>
      <c r="D456" s="35" t="s">
        <v>148</v>
      </c>
      <c r="E456" s="35" t="s">
        <v>662</v>
      </c>
      <c r="F456" s="35" t="s">
        <v>494</v>
      </c>
      <c r="G456" s="35" t="s">
        <v>626</v>
      </c>
      <c r="H456" s="35" t="s">
        <v>580</v>
      </c>
      <c r="I456" s="147">
        <v>1055</v>
      </c>
      <c r="J456" s="34">
        <v>1089.9526223552932</v>
      </c>
      <c r="K456" s="34">
        <f t="shared" si="91"/>
        <v>34.952622355293215</v>
      </c>
      <c r="L456" s="56">
        <f t="shared" si="92"/>
        <v>1221.6858095117429</v>
      </c>
      <c r="M456" s="56">
        <f t="shared" si="93"/>
        <v>34.952622355293215</v>
      </c>
      <c r="N456" s="56">
        <f t="shared" si="94"/>
        <v>1.5557305729636339</v>
      </c>
      <c r="O456" s="56">
        <f t="shared" si="103"/>
        <v>1.5557305729636339</v>
      </c>
      <c r="P456" s="143">
        <f t="shared" si="95"/>
        <v>3.313044773013575</v>
      </c>
      <c r="Q456" s="143">
        <f t="shared" si="96"/>
        <v>3.313044773013575</v>
      </c>
      <c r="R456" s="34">
        <v>1088.7557010352145</v>
      </c>
      <c r="S456" s="56">
        <f t="shared" si="97"/>
        <v>33.755701035214543</v>
      </c>
      <c r="T456" s="56">
        <f t="shared" si="98"/>
        <v>1139.4473523787842</v>
      </c>
      <c r="U456" s="56">
        <f t="shared" si="99"/>
        <v>33.755701035214543</v>
      </c>
      <c r="V456" s="56">
        <f t="shared" si="100"/>
        <v>1.5410260528127058</v>
      </c>
      <c r="W456" s="33">
        <f t="shared" si="101"/>
        <v>3.1995925151862123</v>
      </c>
      <c r="X456" s="143">
        <f t="shared" si="102"/>
        <v>3.1995925151862123</v>
      </c>
    </row>
    <row r="457" spans="1:24" ht="16" x14ac:dyDescent="0.2">
      <c r="A457" t="s">
        <v>862</v>
      </c>
      <c r="B457" s="224" t="s">
        <v>612</v>
      </c>
      <c r="C457" s="224" t="s">
        <v>824</v>
      </c>
      <c r="D457" s="35" t="s">
        <v>148</v>
      </c>
      <c r="E457" s="35" t="s">
        <v>662</v>
      </c>
      <c r="F457" s="35" t="s">
        <v>374</v>
      </c>
      <c r="G457" s="35" t="s">
        <v>626</v>
      </c>
      <c r="H457" s="35" t="s">
        <v>580</v>
      </c>
      <c r="I457" s="147">
        <v>1280</v>
      </c>
      <c r="J457" s="34">
        <v>1247.4870294087882</v>
      </c>
      <c r="K457" s="34">
        <f t="shared" si="91"/>
        <v>-32.512970591211797</v>
      </c>
      <c r="L457" s="56">
        <f t="shared" si="92"/>
        <v>1057.0932566650031</v>
      </c>
      <c r="M457" s="56">
        <f t="shared" si="93"/>
        <v>32.512970591211797</v>
      </c>
      <c r="N457" s="56">
        <f t="shared" si="94"/>
        <v>1.5252129254238069</v>
      </c>
      <c r="O457" s="56">
        <f t="shared" si="103"/>
        <v>-1.5252129254238069</v>
      </c>
      <c r="P457" s="143">
        <f t="shared" si="95"/>
        <v>-2.5400758274384216</v>
      </c>
      <c r="Q457" s="143">
        <f t="shared" si="96"/>
        <v>2.5400758274384216</v>
      </c>
      <c r="R457" s="34">
        <v>1201.9331739909244</v>
      </c>
      <c r="S457" s="56">
        <f t="shared" si="97"/>
        <v>-78.066826009075612</v>
      </c>
      <c r="T457" s="56">
        <f t="shared" si="98"/>
        <v>6094.429323131284</v>
      </c>
      <c r="U457" s="56">
        <f t="shared" si="99"/>
        <v>78.066826009075612</v>
      </c>
      <c r="V457" s="56">
        <f t="shared" si="100"/>
        <v>1.8979943052018104</v>
      </c>
      <c r="W457" s="33">
        <f t="shared" si="101"/>
        <v>-6.0989707819590322</v>
      </c>
      <c r="X457" s="143">
        <f t="shared" si="102"/>
        <v>6.0989707819590322</v>
      </c>
    </row>
    <row r="458" spans="1:24" ht="16" x14ac:dyDescent="0.2">
      <c r="A458" t="s">
        <v>863</v>
      </c>
      <c r="B458" s="224" t="s">
        <v>612</v>
      </c>
      <c r="C458" s="224" t="s">
        <v>824</v>
      </c>
      <c r="D458" s="35" t="s">
        <v>148</v>
      </c>
      <c r="E458" s="35" t="s">
        <v>662</v>
      </c>
      <c r="F458" s="225" t="s">
        <v>494</v>
      </c>
      <c r="G458" s="35" t="s">
        <v>626</v>
      </c>
      <c r="H458" s="35" t="s">
        <v>580</v>
      </c>
      <c r="I458" s="147">
        <v>1110</v>
      </c>
      <c r="J458" s="34">
        <v>1104.1950738857709</v>
      </c>
      <c r="K458" s="34">
        <f t="shared" si="91"/>
        <v>-5.8049261142291471</v>
      </c>
      <c r="L458" s="56">
        <f t="shared" si="92"/>
        <v>33.697167191659503</v>
      </c>
      <c r="M458" s="56">
        <f t="shared" si="93"/>
        <v>5.8049261142291471</v>
      </c>
      <c r="N458" s="56">
        <f t="shared" si="94"/>
        <v>0.83282341413056971</v>
      </c>
      <c r="O458" s="56">
        <f t="shared" si="103"/>
        <v>-0.83282341413056971</v>
      </c>
      <c r="P458" s="143">
        <f t="shared" si="95"/>
        <v>-0.52296631659722048</v>
      </c>
      <c r="Q458" s="143">
        <f t="shared" si="96"/>
        <v>0.52296631659722048</v>
      </c>
      <c r="R458" s="34">
        <v>1088.7557010352145</v>
      </c>
      <c r="S458" s="56">
        <f t="shared" si="97"/>
        <v>-21.244298964785457</v>
      </c>
      <c r="T458" s="56">
        <f t="shared" si="98"/>
        <v>451.32023850518448</v>
      </c>
      <c r="U458" s="56">
        <f t="shared" si="99"/>
        <v>21.244298964785457</v>
      </c>
      <c r="V458" s="56">
        <f t="shared" si="100"/>
        <v>1.3472187233894015</v>
      </c>
      <c r="W458" s="33">
        <f t="shared" si="101"/>
        <v>-1.9139008076383295</v>
      </c>
      <c r="X458" s="143">
        <f t="shared" si="102"/>
        <v>1.9139008076383295</v>
      </c>
    </row>
    <row r="459" spans="1:24" ht="16" x14ac:dyDescent="0.2">
      <c r="A459" t="s">
        <v>864</v>
      </c>
      <c r="B459" s="224" t="s">
        <v>612</v>
      </c>
      <c r="C459" s="224" t="s">
        <v>824</v>
      </c>
      <c r="D459" s="35" t="s">
        <v>148</v>
      </c>
      <c r="E459" s="35" t="s">
        <v>662</v>
      </c>
      <c r="F459" s="35" t="s">
        <v>374</v>
      </c>
      <c r="G459" s="35" t="s">
        <v>626</v>
      </c>
      <c r="H459" s="35" t="s">
        <v>580</v>
      </c>
      <c r="I459" s="147">
        <v>1460</v>
      </c>
      <c r="J459" s="34">
        <v>1397.1014937770574</v>
      </c>
      <c r="K459" s="34">
        <f t="shared" si="91"/>
        <v>-62.898506222942615</v>
      </c>
      <c r="L459" s="56">
        <f t="shared" si="92"/>
        <v>3956.2220850775507</v>
      </c>
      <c r="M459" s="56">
        <f t="shared" si="93"/>
        <v>62.898506222942615</v>
      </c>
      <c r="N459" s="56">
        <f t="shared" si="94"/>
        <v>1.8054907056276326</v>
      </c>
      <c r="O459" s="56">
        <f t="shared" si="103"/>
        <v>-1.8054907056276326</v>
      </c>
      <c r="P459" s="143">
        <f t="shared" si="95"/>
        <v>-4.3081168645851102</v>
      </c>
      <c r="Q459" s="143">
        <f t="shared" si="96"/>
        <v>4.3081168645851102</v>
      </c>
      <c r="R459" s="34">
        <v>1389.571913994821</v>
      </c>
      <c r="S459" s="56">
        <f t="shared" si="97"/>
        <v>-70.428086005179011</v>
      </c>
      <c r="T459" s="56">
        <f t="shared" si="98"/>
        <v>4960.1152983528918</v>
      </c>
      <c r="U459" s="56">
        <f t="shared" si="99"/>
        <v>70.428086005179011</v>
      </c>
      <c r="V459" s="56">
        <f t="shared" si="100"/>
        <v>1.8538690128779232</v>
      </c>
      <c r="W459" s="33">
        <f t="shared" si="101"/>
        <v>-4.8238415072040421</v>
      </c>
      <c r="X459" s="143">
        <f t="shared" si="102"/>
        <v>4.8238415072040421</v>
      </c>
    </row>
    <row r="460" spans="1:24" ht="16" x14ac:dyDescent="0.2">
      <c r="A460" t="s">
        <v>865</v>
      </c>
      <c r="B460" s="224" t="s">
        <v>612</v>
      </c>
      <c r="C460" s="224" t="s">
        <v>824</v>
      </c>
      <c r="D460" s="35" t="s">
        <v>148</v>
      </c>
      <c r="E460" s="35" t="s">
        <v>662</v>
      </c>
      <c r="F460" s="35" t="s">
        <v>374</v>
      </c>
      <c r="G460" s="35" t="s">
        <v>627</v>
      </c>
      <c r="H460" s="35" t="s">
        <v>580</v>
      </c>
      <c r="I460" s="147">
        <v>1598</v>
      </c>
      <c r="J460" s="34">
        <v>1606.9776531869206</v>
      </c>
      <c r="K460" s="34">
        <f t="shared" si="91"/>
        <v>8.9776531869206337</v>
      </c>
      <c r="L460" s="56">
        <f t="shared" si="92"/>
        <v>80.598256744626212</v>
      </c>
      <c r="M460" s="56">
        <f t="shared" si="93"/>
        <v>8.9776531869206337</v>
      </c>
      <c r="N460" s="56">
        <f t="shared" si="94"/>
        <v>0.99902840423091677</v>
      </c>
      <c r="O460" s="56">
        <f t="shared" si="103"/>
        <v>0.99902840423091677</v>
      </c>
      <c r="P460" s="143">
        <f t="shared" si="95"/>
        <v>0.56180558115898838</v>
      </c>
      <c r="Q460" s="143">
        <f t="shared" si="96"/>
        <v>0.56180558115898838</v>
      </c>
      <c r="R460" s="34">
        <v>1593.4631300088072</v>
      </c>
      <c r="S460" s="56">
        <f t="shared" si="97"/>
        <v>-4.5368699911928161</v>
      </c>
      <c r="T460" s="56">
        <f t="shared" si="98"/>
        <v>20.583189316985901</v>
      </c>
      <c r="U460" s="56">
        <f t="shared" si="99"/>
        <v>4.5368699911928161</v>
      </c>
      <c r="V460" s="56">
        <f t="shared" si="100"/>
        <v>0.74326432615407989</v>
      </c>
      <c r="W460" s="33">
        <f t="shared" si="101"/>
        <v>-0.2839092610258333</v>
      </c>
      <c r="X460" s="143">
        <f t="shared" si="102"/>
        <v>0.2839092610258333</v>
      </c>
    </row>
    <row r="461" spans="1:24" ht="16" x14ac:dyDescent="0.2">
      <c r="A461" t="s">
        <v>866</v>
      </c>
      <c r="B461" s="224" t="s">
        <v>612</v>
      </c>
      <c r="C461" s="224" t="s">
        <v>824</v>
      </c>
      <c r="D461" s="35" t="s">
        <v>148</v>
      </c>
      <c r="E461" s="35" t="s">
        <v>662</v>
      </c>
      <c r="F461" s="35" t="s">
        <v>374</v>
      </c>
      <c r="G461" s="35" t="s">
        <v>627</v>
      </c>
      <c r="H461" s="35" t="s">
        <v>580</v>
      </c>
      <c r="I461" s="147">
        <v>1565</v>
      </c>
      <c r="J461" s="34">
        <v>1533.4719588804367</v>
      </c>
      <c r="K461" s="34">
        <f t="shared" si="91"/>
        <v>-31.528041119563341</v>
      </c>
      <c r="L461" s="56">
        <f t="shared" si="92"/>
        <v>994.01737683687679</v>
      </c>
      <c r="M461" s="56">
        <f t="shared" si="93"/>
        <v>31.528041119563341</v>
      </c>
      <c r="N461" s="56">
        <f t="shared" si="94"/>
        <v>1.5122579102975349</v>
      </c>
      <c r="O461" s="56">
        <f t="shared" si="103"/>
        <v>-1.5122579102975349</v>
      </c>
      <c r="P461" s="143">
        <f t="shared" si="95"/>
        <v>-2.0145713175439832</v>
      </c>
      <c r="Q461" s="143">
        <f t="shared" si="96"/>
        <v>2.0145713175439832</v>
      </c>
      <c r="R461" s="34">
        <v>1509.7559556476579</v>
      </c>
      <c r="S461" s="56">
        <f t="shared" si="97"/>
        <v>-55.244044352342144</v>
      </c>
      <c r="T461" s="56">
        <f t="shared" si="98"/>
        <v>3051.9044364035458</v>
      </c>
      <c r="U461" s="56">
        <f t="shared" si="99"/>
        <v>55.244044352342144</v>
      </c>
      <c r="V461" s="56">
        <f t="shared" si="100"/>
        <v>1.7500765420393849</v>
      </c>
      <c r="W461" s="33">
        <f t="shared" si="101"/>
        <v>-3.5299708851336833</v>
      </c>
      <c r="X461" s="143">
        <f t="shared" si="102"/>
        <v>3.5299708851336833</v>
      </c>
    </row>
    <row r="462" spans="1:24" ht="15" x14ac:dyDescent="0.2">
      <c r="A462" s="28" t="s">
        <v>416</v>
      </c>
      <c r="B462" s="224" t="s">
        <v>612</v>
      </c>
      <c r="C462" s="35" t="s">
        <v>458</v>
      </c>
      <c r="D462" s="35" t="s">
        <v>82</v>
      </c>
      <c r="E462" s="35" t="s">
        <v>662</v>
      </c>
      <c r="F462" s="35" t="s">
        <v>374</v>
      </c>
      <c r="G462" s="35" t="s">
        <v>626</v>
      </c>
      <c r="H462" s="35" t="s">
        <v>580</v>
      </c>
      <c r="I462" s="141">
        <v>1250</v>
      </c>
      <c r="J462" s="34">
        <v>1305.22400428028</v>
      </c>
      <c r="K462" s="34">
        <f t="shared" si="91"/>
        <v>55.224004280280042</v>
      </c>
      <c r="L462" s="56">
        <f t="shared" si="92"/>
        <v>3049.6906487483884</v>
      </c>
      <c r="M462" s="56">
        <f t="shared" si="93"/>
        <v>55.224004280280042</v>
      </c>
      <c r="N462" s="56">
        <f t="shared" si="94"/>
        <v>1.7499217728776286</v>
      </c>
      <c r="O462" s="56">
        <f t="shared" si="103"/>
        <v>1.7499217728776286</v>
      </c>
      <c r="P462" s="143">
        <f t="shared" si="95"/>
        <v>4.4179203424224029</v>
      </c>
      <c r="Q462" s="143">
        <f t="shared" si="96"/>
        <v>4.4179203424224029</v>
      </c>
      <c r="R462" s="34">
        <v>1270.3010064178213</v>
      </c>
      <c r="S462" s="56">
        <f t="shared" si="97"/>
        <v>20.301006417821327</v>
      </c>
      <c r="T462" s="56">
        <f t="shared" si="98"/>
        <v>412.13086157642272</v>
      </c>
      <c r="U462" s="56">
        <f t="shared" si="99"/>
        <v>20.301006417821327</v>
      </c>
      <c r="V462" s="56">
        <f t="shared" si="100"/>
        <v>1.3284001232218661</v>
      </c>
      <c r="W462" s="33">
        <f t="shared" si="101"/>
        <v>1.6240805134257061</v>
      </c>
      <c r="X462" s="143">
        <f t="shared" si="102"/>
        <v>1.6240805134257061</v>
      </c>
    </row>
    <row r="463" spans="1:24" ht="15" x14ac:dyDescent="0.2">
      <c r="A463" s="28" t="s">
        <v>421</v>
      </c>
      <c r="B463" s="224" t="s">
        <v>612</v>
      </c>
      <c r="C463" s="35" t="s">
        <v>458</v>
      </c>
      <c r="D463" s="35" t="s">
        <v>82</v>
      </c>
      <c r="E463" s="35" t="s">
        <v>662</v>
      </c>
      <c r="F463" s="35" t="s">
        <v>494</v>
      </c>
      <c r="G463" s="35" t="s">
        <v>626</v>
      </c>
      <c r="H463" s="35" t="s">
        <v>580</v>
      </c>
      <c r="I463" s="141">
        <v>825</v>
      </c>
      <c r="J463" s="34">
        <v>813.44387866770978</v>
      </c>
      <c r="K463" s="34">
        <f t="shared" si="91"/>
        <v>-11.556121332290218</v>
      </c>
      <c r="L463" s="56">
        <f t="shared" si="92"/>
        <v>133.54394024661303</v>
      </c>
      <c r="M463" s="56">
        <f t="shared" si="93"/>
        <v>11.556121332290218</v>
      </c>
      <c r="N463" s="56">
        <f t="shared" si="94"/>
        <v>1.0988555037219776</v>
      </c>
      <c r="O463" s="56">
        <f t="shared" si="103"/>
        <v>-1.0988555037219776</v>
      </c>
      <c r="P463" s="143">
        <f t="shared" si="95"/>
        <v>-1.4007419796715415</v>
      </c>
      <c r="Q463" s="143">
        <f t="shared" si="96"/>
        <v>1.4007419796715415</v>
      </c>
      <c r="R463" s="34">
        <v>821.53052339634894</v>
      </c>
      <c r="S463" s="56">
        <f t="shared" si="97"/>
        <v>-3.46947660365106</v>
      </c>
      <c r="T463" s="56">
        <f t="shared" si="98"/>
        <v>12.037267903282094</v>
      </c>
      <c r="U463" s="56">
        <f t="shared" si="99"/>
        <v>3.46947660365106</v>
      </c>
      <c r="V463" s="56">
        <f t="shared" si="100"/>
        <v>0.65025666822028316</v>
      </c>
      <c r="W463" s="33">
        <f t="shared" si="101"/>
        <v>-0.42054261862437092</v>
      </c>
      <c r="X463" s="143">
        <f t="shared" si="102"/>
        <v>0.42054261862437092</v>
      </c>
    </row>
    <row r="464" spans="1:24" ht="15" x14ac:dyDescent="0.2">
      <c r="A464" s="28" t="s">
        <v>422</v>
      </c>
      <c r="B464" s="224" t="s">
        <v>612</v>
      </c>
      <c r="C464" s="35" t="s">
        <v>458</v>
      </c>
      <c r="D464" s="35" t="s">
        <v>82</v>
      </c>
      <c r="E464" s="35" t="s">
        <v>662</v>
      </c>
      <c r="F464" s="35" t="s">
        <v>494</v>
      </c>
      <c r="G464" s="35" t="s">
        <v>626</v>
      </c>
      <c r="H464" s="35" t="s">
        <v>580</v>
      </c>
      <c r="I464" s="141">
        <v>1070</v>
      </c>
      <c r="J464" s="34">
        <v>1113.6990870786656</v>
      </c>
      <c r="K464" s="34">
        <f t="shared" si="91"/>
        <v>43.699087078665571</v>
      </c>
      <c r="L464" s="56">
        <f t="shared" si="92"/>
        <v>1909.6102115087963</v>
      </c>
      <c r="M464" s="56">
        <f t="shared" si="93"/>
        <v>43.699087078665571</v>
      </c>
      <c r="N464" s="56">
        <f t="shared" si="94"/>
        <v>1.6502986533165742</v>
      </c>
      <c r="O464" s="56">
        <f t="shared" si="103"/>
        <v>1.6502986533165742</v>
      </c>
      <c r="P464" s="143">
        <f t="shared" si="95"/>
        <v>4.0840268297818287</v>
      </c>
      <c r="Q464" s="143">
        <f t="shared" si="96"/>
        <v>4.0840268297818287</v>
      </c>
      <c r="R464" s="34">
        <v>1088.7557010352145</v>
      </c>
      <c r="S464" s="56">
        <f t="shared" si="97"/>
        <v>18.755701035214543</v>
      </c>
      <c r="T464" s="56">
        <f t="shared" si="98"/>
        <v>351.77632132234788</v>
      </c>
      <c r="U464" s="56">
        <f t="shared" si="99"/>
        <v>18.755701035214543</v>
      </c>
      <c r="V464" s="56">
        <f t="shared" si="100"/>
        <v>1.2956924453221168</v>
      </c>
      <c r="W464" s="33">
        <f t="shared" si="101"/>
        <v>1.7528692556275274</v>
      </c>
      <c r="X464" s="143">
        <f t="shared" si="102"/>
        <v>1.7528692556275274</v>
      </c>
    </row>
    <row r="465" spans="1:24" ht="15" x14ac:dyDescent="0.2">
      <c r="A465" s="28" t="s">
        <v>423</v>
      </c>
      <c r="B465" s="224" t="s">
        <v>612</v>
      </c>
      <c r="C465" s="35" t="s">
        <v>458</v>
      </c>
      <c r="D465" s="208" t="s">
        <v>82</v>
      </c>
      <c r="E465" s="35" t="s">
        <v>662</v>
      </c>
      <c r="F465" s="35" t="s">
        <v>494</v>
      </c>
      <c r="G465" s="35" t="s">
        <v>626</v>
      </c>
      <c r="H465" s="35" t="s">
        <v>580</v>
      </c>
      <c r="I465" s="141">
        <v>1150</v>
      </c>
      <c r="J465" s="34">
        <v>1166.0981233309301</v>
      </c>
      <c r="K465" s="34">
        <f t="shared" si="91"/>
        <v>16.098123330930093</v>
      </c>
      <c r="L465" s="56">
        <f t="shared" si="92"/>
        <v>259.14957477783582</v>
      </c>
      <c r="M465" s="56">
        <f t="shared" si="93"/>
        <v>16.098123330930093</v>
      </c>
      <c r="N465" s="56">
        <f t="shared" si="94"/>
        <v>1.2329484453776529</v>
      </c>
      <c r="O465" s="56">
        <f t="shared" si="103"/>
        <v>1.2329484453776529</v>
      </c>
      <c r="P465" s="143">
        <f t="shared" si="95"/>
        <v>1.3998368113852255</v>
      </c>
      <c r="Q465" s="143">
        <f t="shared" si="96"/>
        <v>1.3998368113852255</v>
      </c>
      <c r="R465" s="34">
        <v>1133.9076453703744</v>
      </c>
      <c r="S465" s="56">
        <f t="shared" si="97"/>
        <v>-16.092354629625561</v>
      </c>
      <c r="T465" s="56">
        <f t="shared" si="98"/>
        <v>258.96387752563123</v>
      </c>
      <c r="U465" s="56">
        <f t="shared" si="99"/>
        <v>16.092354629625561</v>
      </c>
      <c r="V465" s="56">
        <f t="shared" si="100"/>
        <v>1.2328018949157979</v>
      </c>
      <c r="W465" s="33">
        <f t="shared" si="101"/>
        <v>-1.3993351851848315</v>
      </c>
      <c r="X465" s="143">
        <f t="shared" si="102"/>
        <v>1.3993351851848315</v>
      </c>
    </row>
    <row r="466" spans="1:24" ht="15" x14ac:dyDescent="0.2">
      <c r="A466" s="28" t="s">
        <v>424</v>
      </c>
      <c r="B466" s="224" t="s">
        <v>612</v>
      </c>
      <c r="C466" s="35" t="s">
        <v>458</v>
      </c>
      <c r="D466" s="208" t="s">
        <v>82</v>
      </c>
      <c r="E466" s="35" t="s">
        <v>662</v>
      </c>
      <c r="F466" s="35" t="s">
        <v>374</v>
      </c>
      <c r="G466" s="35" t="s">
        <v>627</v>
      </c>
      <c r="H466" s="35" t="s">
        <v>580</v>
      </c>
      <c r="I466" s="141">
        <v>1800</v>
      </c>
      <c r="J466" s="34">
        <v>1799.4631499056293</v>
      </c>
      <c r="K466" s="34">
        <f t="shared" si="91"/>
        <v>-0.5368500943707204</v>
      </c>
      <c r="L466" s="56">
        <f t="shared" si="92"/>
        <v>0.28820802382585142</v>
      </c>
      <c r="M466" s="56">
        <f t="shared" si="93"/>
        <v>0.5368500943707204</v>
      </c>
      <c r="N466" s="56">
        <f t="shared" si="94"/>
        <v>0.18663150812264134</v>
      </c>
      <c r="O466" s="56">
        <f t="shared" si="103"/>
        <v>-0.18663150812264134</v>
      </c>
      <c r="P466" s="143">
        <f t="shared" si="95"/>
        <v>-2.9825005242817799E-2</v>
      </c>
      <c r="Q466" s="143">
        <f t="shared" si="96"/>
        <v>2.9825005242817799E-2</v>
      </c>
      <c r="R466" s="34">
        <v>1827.9839349751801</v>
      </c>
      <c r="S466" s="56">
        <f t="shared" si="97"/>
        <v>27.983934975180091</v>
      </c>
      <c r="T466" s="56">
        <f t="shared" si="98"/>
        <v>783.10061669510753</v>
      </c>
      <c r="U466" s="56">
        <f t="shared" si="99"/>
        <v>27.983934975180091</v>
      </c>
      <c r="V466" s="56">
        <f t="shared" si="100"/>
        <v>1.462157346697466</v>
      </c>
      <c r="W466" s="33">
        <f t="shared" si="101"/>
        <v>1.5546630541766717</v>
      </c>
      <c r="X466" s="143">
        <f t="shared" si="102"/>
        <v>1.5546630541766717</v>
      </c>
    </row>
    <row r="467" spans="1:24" ht="15" x14ac:dyDescent="0.2">
      <c r="A467" s="28" t="s">
        <v>426</v>
      </c>
      <c r="B467" s="224" t="s">
        <v>612</v>
      </c>
      <c r="C467" s="35" t="s">
        <v>458</v>
      </c>
      <c r="D467" s="208" t="s">
        <v>82</v>
      </c>
      <c r="E467" s="35" t="s">
        <v>662</v>
      </c>
      <c r="F467" s="35" t="s">
        <v>374</v>
      </c>
      <c r="G467" s="35" t="s">
        <v>627</v>
      </c>
      <c r="H467" s="35" t="s">
        <v>580</v>
      </c>
      <c r="I467" s="141">
        <v>1620</v>
      </c>
      <c r="J467" s="34">
        <v>1685.7125808519991</v>
      </c>
      <c r="K467" s="34">
        <f t="shared" si="91"/>
        <v>65.712580851999064</v>
      </c>
      <c r="L467" s="56">
        <f t="shared" si="92"/>
        <v>4318.1432822305142</v>
      </c>
      <c r="M467" s="56">
        <f t="shared" si="93"/>
        <v>65.712580851999064</v>
      </c>
      <c r="N467" s="56">
        <f t="shared" si="94"/>
        <v>1.8242077421531206</v>
      </c>
      <c r="O467" s="56">
        <f t="shared" si="103"/>
        <v>1.8242077421531206</v>
      </c>
      <c r="P467" s="143">
        <f t="shared" si="95"/>
        <v>4.0563321513579673</v>
      </c>
      <c r="Q467" s="143">
        <f t="shared" si="96"/>
        <v>4.0563321513579673</v>
      </c>
      <c r="R467" s="34">
        <v>1663.5183363937106</v>
      </c>
      <c r="S467" s="56">
        <f t="shared" si="97"/>
        <v>43.51833639371057</v>
      </c>
      <c r="T467" s="56">
        <f t="shared" si="98"/>
        <v>1893.8456024761538</v>
      </c>
      <c r="U467" s="56">
        <f t="shared" si="99"/>
        <v>43.51833639371057</v>
      </c>
      <c r="V467" s="56">
        <f t="shared" si="100"/>
        <v>1.6485389268097763</v>
      </c>
      <c r="W467" s="33">
        <f t="shared" si="101"/>
        <v>2.6863170613401586</v>
      </c>
      <c r="X467" s="143">
        <f t="shared" si="102"/>
        <v>2.6863170613401586</v>
      </c>
    </row>
    <row r="468" spans="1:24" ht="15" x14ac:dyDescent="0.2">
      <c r="A468" s="28" t="s">
        <v>427</v>
      </c>
      <c r="B468" s="224" t="s">
        <v>612</v>
      </c>
      <c r="C468" s="35" t="s">
        <v>458</v>
      </c>
      <c r="D468" s="208" t="s">
        <v>82</v>
      </c>
      <c r="E468" s="35" t="s">
        <v>662</v>
      </c>
      <c r="F468" s="35" t="s">
        <v>374</v>
      </c>
      <c r="G468" s="35" t="s">
        <v>627</v>
      </c>
      <c r="H468" s="35" t="s">
        <v>580</v>
      </c>
      <c r="I468" s="141">
        <v>1650</v>
      </c>
      <c r="J468" s="34">
        <v>1685.7125808519991</v>
      </c>
      <c r="K468" s="34">
        <f t="shared" si="91"/>
        <v>35.712580851999064</v>
      </c>
      <c r="L468" s="56">
        <f t="shared" si="92"/>
        <v>1275.3884311105703</v>
      </c>
      <c r="M468" s="56">
        <f t="shared" si="93"/>
        <v>35.712580851999064</v>
      </c>
      <c r="N468" s="56">
        <f t="shared" si="94"/>
        <v>1.5648149159772544</v>
      </c>
      <c r="O468" s="56">
        <f t="shared" si="103"/>
        <v>1.5648149159772544</v>
      </c>
      <c r="P468" s="143">
        <f t="shared" si="95"/>
        <v>2.1643988395150946</v>
      </c>
      <c r="Q468" s="143">
        <f t="shared" si="96"/>
        <v>2.1643988395150946</v>
      </c>
      <c r="R468" s="34">
        <v>1686.9287205416531</v>
      </c>
      <c r="S468" s="56">
        <f t="shared" si="97"/>
        <v>36.928720541653092</v>
      </c>
      <c r="T468" s="56">
        <f t="shared" si="98"/>
        <v>1363.730400843511</v>
      </c>
      <c r="U468" s="56">
        <f t="shared" si="99"/>
        <v>36.928720541653092</v>
      </c>
      <c r="V468" s="56">
        <f t="shared" si="100"/>
        <v>1.5789681927931698</v>
      </c>
      <c r="W468" s="33">
        <f t="shared" si="101"/>
        <v>2.2381042752517026</v>
      </c>
      <c r="X468" s="143">
        <f t="shared" si="102"/>
        <v>2.2381042752517026</v>
      </c>
    </row>
    <row r="469" spans="1:24" ht="15" x14ac:dyDescent="0.2">
      <c r="A469" s="28" t="s">
        <v>459</v>
      </c>
      <c r="B469" s="224" t="s">
        <v>612</v>
      </c>
      <c r="C469" s="35" t="s">
        <v>458</v>
      </c>
      <c r="D469" s="208" t="s">
        <v>82</v>
      </c>
      <c r="E469" s="35" t="s">
        <v>662</v>
      </c>
      <c r="F469" s="35" t="s">
        <v>374</v>
      </c>
      <c r="G469" s="35" t="s">
        <v>627</v>
      </c>
      <c r="H469" s="35" t="s">
        <v>580</v>
      </c>
      <c r="I469" s="141">
        <v>1640</v>
      </c>
      <c r="J469" s="34">
        <v>1602.0678589574541</v>
      </c>
      <c r="K469" s="34">
        <f t="shared" si="91"/>
        <v>-37.932141042545936</v>
      </c>
      <c r="L469" s="56">
        <f t="shared" si="92"/>
        <v>1438.847324071598</v>
      </c>
      <c r="M469" s="56">
        <f t="shared" si="93"/>
        <v>37.932141042545936</v>
      </c>
      <c r="N469" s="56">
        <f t="shared" si="94"/>
        <v>1.5903082880591524</v>
      </c>
      <c r="O469" s="56">
        <f t="shared" si="103"/>
        <v>-1.5903082880591524</v>
      </c>
      <c r="P469" s="143">
        <f t="shared" si="95"/>
        <v>-2.3129354294235327</v>
      </c>
      <c r="Q469" s="143">
        <f t="shared" si="96"/>
        <v>2.3129354294235327</v>
      </c>
      <c r="R469" s="34">
        <v>1593.4631300088072</v>
      </c>
      <c r="S469" s="56">
        <f t="shared" si="97"/>
        <v>-46.536869991192816</v>
      </c>
      <c r="T469" s="56">
        <f t="shared" si="98"/>
        <v>2165.6802685771822</v>
      </c>
      <c r="U469" s="56">
        <f t="shared" si="99"/>
        <v>46.536869991192816</v>
      </c>
      <c r="V469" s="56">
        <f t="shared" si="100"/>
        <v>1.6770305827286247</v>
      </c>
      <c r="W469" s="33">
        <f t="shared" si="101"/>
        <v>-2.8376140238532206</v>
      </c>
      <c r="X469" s="143">
        <f t="shared" si="102"/>
        <v>2.8376140238532206</v>
      </c>
    </row>
    <row r="470" spans="1:24" ht="15" x14ac:dyDescent="0.2">
      <c r="A470" s="28" t="s">
        <v>425</v>
      </c>
      <c r="B470" s="224" t="s">
        <v>612</v>
      </c>
      <c r="C470" s="35" t="s">
        <v>458</v>
      </c>
      <c r="D470" s="208" t="s">
        <v>82</v>
      </c>
      <c r="E470" s="35" t="s">
        <v>662</v>
      </c>
      <c r="F470" s="35" t="s">
        <v>293</v>
      </c>
      <c r="G470" s="35" t="s">
        <v>627</v>
      </c>
      <c r="H470" s="35" t="s">
        <v>580</v>
      </c>
      <c r="I470" s="141">
        <v>2690</v>
      </c>
      <c r="J470" s="34">
        <v>2838.4373883432436</v>
      </c>
      <c r="K470" s="34">
        <f t="shared" si="91"/>
        <v>148.43738834324358</v>
      </c>
      <c r="L470" s="56">
        <f t="shared" si="92"/>
        <v>22033.658258162905</v>
      </c>
      <c r="M470" s="56">
        <f t="shared" si="93"/>
        <v>148.43738834324358</v>
      </c>
      <c r="N470" s="56">
        <f t="shared" si="94"/>
        <v>2.1744592689634463</v>
      </c>
      <c r="O470" s="56">
        <f t="shared" si="103"/>
        <v>2.1744592689634463</v>
      </c>
      <c r="P470" s="143">
        <f t="shared" si="95"/>
        <v>5.5181185257711372</v>
      </c>
      <c r="Q470" s="143">
        <f t="shared" si="96"/>
        <v>5.5181185257711372</v>
      </c>
      <c r="R470" s="34">
        <v>2766.1988840513136</v>
      </c>
      <c r="S470" s="56">
        <f t="shared" si="97"/>
        <v>76.198884051313598</v>
      </c>
      <c r="T470" s="56">
        <f t="shared" si="98"/>
        <v>5806.269930665534</v>
      </c>
      <c r="U470" s="56">
        <f t="shared" si="99"/>
        <v>76.198884051313598</v>
      </c>
      <c r="V470" s="56">
        <f t="shared" si="100"/>
        <v>1.8876110224360017</v>
      </c>
      <c r="W470" s="33">
        <f t="shared" si="101"/>
        <v>2.8326722695655611</v>
      </c>
      <c r="X470" s="143">
        <f t="shared" si="102"/>
        <v>2.8326722695655611</v>
      </c>
    </row>
    <row r="471" spans="1:24" ht="15" x14ac:dyDescent="0.2">
      <c r="A471" s="28" t="s">
        <v>433</v>
      </c>
      <c r="B471" s="224" t="s">
        <v>612</v>
      </c>
      <c r="C471" s="35" t="s">
        <v>458</v>
      </c>
      <c r="D471" s="208" t="s">
        <v>82</v>
      </c>
      <c r="E471" s="35" t="s">
        <v>662</v>
      </c>
      <c r="F471" s="35" t="s">
        <v>374</v>
      </c>
      <c r="G471" s="35" t="s">
        <v>627</v>
      </c>
      <c r="H471" s="35" t="s">
        <v>580</v>
      </c>
      <c r="I471" s="141">
        <v>1520</v>
      </c>
      <c r="J471" s="34">
        <v>1431.0881788878094</v>
      </c>
      <c r="K471" s="34">
        <f t="shared" si="91"/>
        <v>-88.911821112190637</v>
      </c>
      <c r="L471" s="56">
        <f t="shared" si="92"/>
        <v>7905.3119334861885</v>
      </c>
      <c r="M471" s="56">
        <f t="shared" si="93"/>
        <v>88.911821112190637</v>
      </c>
      <c r="N471" s="56">
        <f t="shared" si="94"/>
        <v>1.9538167941391773</v>
      </c>
      <c r="O471" s="56">
        <f t="shared" si="103"/>
        <v>-1.9538167941391773</v>
      </c>
      <c r="P471" s="143">
        <f t="shared" si="95"/>
        <v>-5.8494619152756995</v>
      </c>
      <c r="Q471" s="143">
        <f t="shared" si="96"/>
        <v>5.8494619152756995</v>
      </c>
      <c r="R471" s="34">
        <v>1408.0039452957403</v>
      </c>
      <c r="S471" s="56">
        <f t="shared" si="97"/>
        <v>-111.99605470425968</v>
      </c>
      <c r="T471" s="56">
        <f t="shared" si="98"/>
        <v>12543.116269319526</v>
      </c>
      <c r="U471" s="56">
        <f t="shared" si="99"/>
        <v>111.99605470425968</v>
      </c>
      <c r="V471" s="56">
        <f t="shared" si="100"/>
        <v>2.0530632802083626</v>
      </c>
      <c r="W471" s="33">
        <f t="shared" si="101"/>
        <v>-7.3681614937012947</v>
      </c>
      <c r="X471" s="143">
        <f t="shared" si="102"/>
        <v>7.3681614937012947</v>
      </c>
    </row>
    <row r="472" spans="1:24" ht="15" x14ac:dyDescent="0.2">
      <c r="A472" s="28" t="s">
        <v>434</v>
      </c>
      <c r="B472" s="224" t="s">
        <v>612</v>
      </c>
      <c r="C472" s="35" t="s">
        <v>458</v>
      </c>
      <c r="D472" s="208" t="s">
        <v>82</v>
      </c>
      <c r="E472" s="35" t="s">
        <v>662</v>
      </c>
      <c r="F472" s="35" t="s">
        <v>374</v>
      </c>
      <c r="G472" s="35" t="s">
        <v>627</v>
      </c>
      <c r="H472" s="35" t="s">
        <v>580</v>
      </c>
      <c r="I472" s="141">
        <v>2370</v>
      </c>
      <c r="J472" s="34">
        <v>2438.293512813294</v>
      </c>
      <c r="K472" s="34">
        <f t="shared" si="91"/>
        <v>68.293512813294001</v>
      </c>
      <c r="L472" s="56">
        <f t="shared" si="92"/>
        <v>4664.0038923795519</v>
      </c>
      <c r="M472" s="56">
        <f t="shared" si="93"/>
        <v>68.293512813294001</v>
      </c>
      <c r="N472" s="56">
        <f t="shared" si="94"/>
        <v>1.8406925783165105</v>
      </c>
      <c r="O472" s="56">
        <f t="shared" si="103"/>
        <v>1.8406925783165105</v>
      </c>
      <c r="P472" s="143">
        <f t="shared" si="95"/>
        <v>2.8815828191263293</v>
      </c>
      <c r="Q472" s="143">
        <f t="shared" si="96"/>
        <v>2.8815828191263293</v>
      </c>
      <c r="R472" s="34">
        <v>2425.5352400733977</v>
      </c>
      <c r="S472" s="56">
        <f t="shared" si="97"/>
        <v>55.535240073397745</v>
      </c>
      <c r="T472" s="56">
        <f t="shared" si="98"/>
        <v>3084.1628900099226</v>
      </c>
      <c r="U472" s="56">
        <f t="shared" si="99"/>
        <v>55.535240073397745</v>
      </c>
      <c r="V472" s="56">
        <f t="shared" si="100"/>
        <v>1.7523192407138388</v>
      </c>
      <c r="W472" s="33">
        <f t="shared" si="101"/>
        <v>2.3432590748269089</v>
      </c>
      <c r="X472" s="143">
        <f t="shared" si="102"/>
        <v>2.3432590748269089</v>
      </c>
    </row>
    <row r="473" spans="1:24" ht="15" x14ac:dyDescent="0.2">
      <c r="A473" s="28" t="s">
        <v>435</v>
      </c>
      <c r="B473" s="224" t="s">
        <v>612</v>
      </c>
      <c r="C473" s="35" t="s">
        <v>458</v>
      </c>
      <c r="D473" s="208" t="s">
        <v>82</v>
      </c>
      <c r="E473" s="35" t="s">
        <v>662</v>
      </c>
      <c r="F473" s="35" t="s">
        <v>494</v>
      </c>
      <c r="G473" s="35" t="s">
        <v>626</v>
      </c>
      <c r="H473" s="35" t="s">
        <v>580</v>
      </c>
      <c r="I473" s="141">
        <v>1150</v>
      </c>
      <c r="J473" s="34">
        <v>1118.4537882013749</v>
      </c>
      <c r="K473" s="34">
        <f t="shared" si="91"/>
        <v>-31.546211798625109</v>
      </c>
      <c r="L473" s="56">
        <f t="shared" si="92"/>
        <v>995.16347884371396</v>
      </c>
      <c r="M473" s="56">
        <f t="shared" si="93"/>
        <v>31.546211798625109</v>
      </c>
      <c r="N473" s="56">
        <f t="shared" si="94"/>
        <v>1.5125004463390619</v>
      </c>
      <c r="O473" s="56">
        <f t="shared" si="103"/>
        <v>-1.5125004463390619</v>
      </c>
      <c r="P473" s="143">
        <f t="shared" si="95"/>
        <v>-2.7431488520543574</v>
      </c>
      <c r="Q473" s="143">
        <f t="shared" si="96"/>
        <v>2.7431488520543574</v>
      </c>
      <c r="R473" s="34">
        <v>1111.3113955377892</v>
      </c>
      <c r="S473" s="56">
        <f t="shared" si="97"/>
        <v>-38.688604462210833</v>
      </c>
      <c r="T473" s="56">
        <f t="shared" si="98"/>
        <v>1496.8081152334</v>
      </c>
      <c r="U473" s="56">
        <f t="shared" si="99"/>
        <v>38.688604462210833</v>
      </c>
      <c r="V473" s="56">
        <f t="shared" si="100"/>
        <v>1.5986658284355977</v>
      </c>
      <c r="W473" s="33">
        <f t="shared" si="101"/>
        <v>-3.3642264749748549</v>
      </c>
      <c r="X473" s="143">
        <f t="shared" si="102"/>
        <v>3.3642264749748549</v>
      </c>
    </row>
    <row r="474" spans="1:24" ht="15" x14ac:dyDescent="0.2">
      <c r="A474" s="28" t="s">
        <v>734</v>
      </c>
      <c r="B474" s="224" t="s">
        <v>612</v>
      </c>
      <c r="C474" s="35" t="s">
        <v>403</v>
      </c>
      <c r="D474" s="35" t="s">
        <v>82</v>
      </c>
      <c r="E474" s="35" t="s">
        <v>662</v>
      </c>
      <c r="F474" s="35" t="s">
        <v>203</v>
      </c>
      <c r="G474" s="35" t="s">
        <v>627</v>
      </c>
      <c r="H474" s="35" t="s">
        <v>581</v>
      </c>
      <c r="I474" s="141">
        <v>5600</v>
      </c>
      <c r="J474" s="34">
        <v>5981.1690253284078</v>
      </c>
      <c r="K474" s="34">
        <f t="shared" si="91"/>
        <v>381.16902532840777</v>
      </c>
      <c r="L474" s="56">
        <f t="shared" si="92"/>
        <v>145289.82586980835</v>
      </c>
      <c r="M474" s="56">
        <f t="shared" si="93"/>
        <v>381.16902532840777</v>
      </c>
      <c r="N474" s="56">
        <f t="shared" si="94"/>
        <v>2.5822554847229662</v>
      </c>
      <c r="O474" s="56">
        <f t="shared" si="103"/>
        <v>2.5822554847229662</v>
      </c>
      <c r="P474" s="143">
        <f t="shared" si="95"/>
        <v>6.8065897380072808</v>
      </c>
      <c r="Q474" s="143">
        <f t="shared" si="96"/>
        <v>6.8065897380072808</v>
      </c>
      <c r="R474" s="34">
        <v>5945.4336844759046</v>
      </c>
      <c r="S474" s="56">
        <f t="shared" si="97"/>
        <v>345.43368447590456</v>
      </c>
      <c r="T474" s="56">
        <f t="shared" si="98"/>
        <v>119324.43037059878</v>
      </c>
      <c r="U474" s="56">
        <f t="shared" si="99"/>
        <v>345.43368447590456</v>
      </c>
      <c r="V474" s="56">
        <f t="shared" si="100"/>
        <v>2.5396201127644336</v>
      </c>
      <c r="W474" s="33">
        <f t="shared" si="101"/>
        <v>6.1684586513554391</v>
      </c>
      <c r="X474" s="143">
        <f t="shared" si="102"/>
        <v>6.1684586513554391</v>
      </c>
    </row>
    <row r="475" spans="1:24" ht="15" x14ac:dyDescent="0.2">
      <c r="A475" s="206" t="s">
        <v>460</v>
      </c>
      <c r="B475" s="224" t="s">
        <v>612</v>
      </c>
      <c r="C475" s="35" t="s">
        <v>403</v>
      </c>
      <c r="D475" s="35" t="s">
        <v>82</v>
      </c>
      <c r="E475" s="35" t="s">
        <v>662</v>
      </c>
      <c r="F475" s="35" t="s">
        <v>203</v>
      </c>
      <c r="G475" s="35" t="s">
        <v>627</v>
      </c>
      <c r="H475" s="35" t="s">
        <v>581</v>
      </c>
      <c r="I475" s="141">
        <v>4340</v>
      </c>
      <c r="J475" s="34">
        <v>4291.6769471356674</v>
      </c>
      <c r="K475" s="34">
        <f t="shared" si="91"/>
        <v>-48.323052864332567</v>
      </c>
      <c r="L475" s="56">
        <f t="shared" si="92"/>
        <v>2335.1174381290798</v>
      </c>
      <c r="M475" s="56">
        <f t="shared" si="93"/>
        <v>48.323052864332567</v>
      </c>
      <c r="N475" s="56">
        <f t="shared" si="94"/>
        <v>1.6930499495356384</v>
      </c>
      <c r="O475" s="56">
        <f t="shared" si="103"/>
        <v>-1.6930499495356384</v>
      </c>
      <c r="P475" s="143">
        <f t="shared" si="95"/>
        <v>-1.1134343977956813</v>
      </c>
      <c r="Q475" s="143">
        <f t="shared" si="96"/>
        <v>1.1134343977956813</v>
      </c>
      <c r="R475" s="34">
        <v>4229.2772999640147</v>
      </c>
      <c r="S475" s="56">
        <f t="shared" si="97"/>
        <v>-110.72270003598533</v>
      </c>
      <c r="T475" s="56">
        <f t="shared" si="98"/>
        <v>12259.516303258784</v>
      </c>
      <c r="U475" s="56">
        <f t="shared" si="99"/>
        <v>110.72270003598533</v>
      </c>
      <c r="V475" s="56">
        <f t="shared" si="100"/>
        <v>2.0481414228807382</v>
      </c>
      <c r="W475" s="33">
        <f t="shared" si="101"/>
        <v>-2.5512142865434408</v>
      </c>
      <c r="X475" s="143">
        <f t="shared" si="102"/>
        <v>2.5512142865434408</v>
      </c>
    </row>
    <row r="476" spans="1:24" ht="15" x14ac:dyDescent="0.2">
      <c r="A476" s="28" t="s">
        <v>327</v>
      </c>
      <c r="B476" s="224" t="s">
        <v>612</v>
      </c>
      <c r="C476" s="208" t="s">
        <v>403</v>
      </c>
      <c r="D476" s="35" t="s">
        <v>82</v>
      </c>
      <c r="E476" s="35" t="s">
        <v>662</v>
      </c>
      <c r="F476" s="35" t="s">
        <v>374</v>
      </c>
      <c r="G476" s="35" t="s">
        <v>626</v>
      </c>
      <c r="H476" s="35" t="s">
        <v>580</v>
      </c>
      <c r="I476" s="141">
        <v>1217.5999999999999</v>
      </c>
      <c r="J476" s="34">
        <v>1214.8733190097039</v>
      </c>
      <c r="K476" s="34">
        <f t="shared" si="91"/>
        <v>-2.7266809902960176</v>
      </c>
      <c r="L476" s="56">
        <f t="shared" si="92"/>
        <v>7.4347892228416717</v>
      </c>
      <c r="M476" s="56">
        <f t="shared" si="93"/>
        <v>2.7266809902960176</v>
      </c>
      <c r="N476" s="56">
        <f t="shared" si="94"/>
        <v>0.57132221806005334</v>
      </c>
      <c r="O476" s="56">
        <f t="shared" si="103"/>
        <v>-0.57132221806005334</v>
      </c>
      <c r="P476" s="143">
        <f t="shared" si="95"/>
        <v>-0.22393897752102643</v>
      </c>
      <c r="Q476" s="143">
        <f t="shared" si="96"/>
        <v>0.22393897752102643</v>
      </c>
      <c r="R476" s="34">
        <v>1218.7660492844673</v>
      </c>
      <c r="S476" s="56">
        <f t="shared" si="97"/>
        <v>1.1660492844673627</v>
      </c>
      <c r="T476" s="56">
        <f t="shared" si="98"/>
        <v>1.3596709338068484</v>
      </c>
      <c r="U476" s="56">
        <f t="shared" si="99"/>
        <v>1.1660492844673627</v>
      </c>
      <c r="V476" s="56">
        <f t="shared" si="100"/>
        <v>0.33566833397384138</v>
      </c>
      <c r="W476" s="33">
        <f t="shared" si="101"/>
        <v>9.5766202732207845E-2</v>
      </c>
      <c r="X476" s="143">
        <f t="shared" si="102"/>
        <v>9.5766202732207845E-2</v>
      </c>
    </row>
    <row r="477" spans="1:24" ht="15" x14ac:dyDescent="0.2">
      <c r="A477" s="28" t="s">
        <v>597</v>
      </c>
      <c r="B477" s="224" t="s">
        <v>612</v>
      </c>
      <c r="C477" s="208" t="s">
        <v>403</v>
      </c>
      <c r="D477" s="35" t="s">
        <v>82</v>
      </c>
      <c r="E477" s="35" t="s">
        <v>662</v>
      </c>
      <c r="F477" s="35" t="s">
        <v>203</v>
      </c>
      <c r="G477" s="35" t="s">
        <v>627</v>
      </c>
      <c r="H477" s="35" t="s">
        <v>581</v>
      </c>
      <c r="I477" s="141">
        <v>5241.7</v>
      </c>
      <c r="J477" s="34">
        <v>5686.1885551498071</v>
      </c>
      <c r="K477" s="34">
        <f t="shared" si="91"/>
        <v>444.48855514980733</v>
      </c>
      <c r="L477" s="56">
        <f t="shared" si="92"/>
        <v>197570.0756591633</v>
      </c>
      <c r="M477" s="56">
        <f t="shared" si="93"/>
        <v>444.48855514980733</v>
      </c>
      <c r="N477" s="56">
        <f t="shared" si="94"/>
        <v>2.6488365512480203</v>
      </c>
      <c r="O477" s="56">
        <f t="shared" si="103"/>
        <v>2.6488365512480203</v>
      </c>
      <c r="P477" s="143">
        <f t="shared" si="95"/>
        <v>8.4798549163402601</v>
      </c>
      <c r="Q477" s="143">
        <f t="shared" si="96"/>
        <v>8.4798549163402601</v>
      </c>
      <c r="R477" s="34">
        <v>5687.2303976046314</v>
      </c>
      <c r="S477" s="56">
        <f t="shared" si="97"/>
        <v>445.53039760463162</v>
      </c>
      <c r="T477" s="56">
        <f t="shared" si="98"/>
        <v>198497.33518974113</v>
      </c>
      <c r="U477" s="56">
        <f t="shared" si="99"/>
        <v>445.53039760463162</v>
      </c>
      <c r="V477" s="56">
        <f t="shared" si="100"/>
        <v>2.6498510288742789</v>
      </c>
      <c r="W477" s="33">
        <f t="shared" si="101"/>
        <v>8.4997309576021447</v>
      </c>
      <c r="X477" s="143">
        <f t="shared" si="102"/>
        <v>8.4997309576021447</v>
      </c>
    </row>
    <row r="478" spans="1:24" ht="15" x14ac:dyDescent="0.2">
      <c r="A478" s="28" t="s">
        <v>360</v>
      </c>
      <c r="B478" s="224" t="s">
        <v>612</v>
      </c>
      <c r="C478" s="208" t="s">
        <v>403</v>
      </c>
      <c r="D478" s="35" t="s">
        <v>82</v>
      </c>
      <c r="E478" s="35" t="s">
        <v>662</v>
      </c>
      <c r="F478" s="35" t="s">
        <v>494</v>
      </c>
      <c r="G478" s="35" t="s">
        <v>626</v>
      </c>
      <c r="H478" s="35" t="s">
        <v>580</v>
      </c>
      <c r="I478" s="141">
        <v>906.8</v>
      </c>
      <c r="J478" s="34">
        <v>1089.9526223552932</v>
      </c>
      <c r="K478" s="34">
        <f t="shared" si="91"/>
        <v>183.15262235529326</v>
      </c>
      <c r="L478" s="56">
        <f t="shared" si="92"/>
        <v>33544.883075620666</v>
      </c>
      <c r="M478" s="56">
        <f t="shared" si="93"/>
        <v>183.15262235529326</v>
      </c>
      <c r="N478" s="56">
        <f t="shared" si="94"/>
        <v>2.2651779076401555</v>
      </c>
      <c r="O478" s="56">
        <f t="shared" si="103"/>
        <v>2.2651779076401555</v>
      </c>
      <c r="P478" s="143">
        <f t="shared" si="95"/>
        <v>20.197686629388322</v>
      </c>
      <c r="Q478" s="143">
        <f t="shared" si="96"/>
        <v>20.197686629388322</v>
      </c>
      <c r="R478" s="34">
        <v>1066.3762145750468</v>
      </c>
      <c r="S478" s="56">
        <f t="shared" si="97"/>
        <v>159.57621457504683</v>
      </c>
      <c r="T478" s="56">
        <f t="shared" si="98"/>
        <v>25464.56825810139</v>
      </c>
      <c r="U478" s="56">
        <f t="shared" si="99"/>
        <v>159.57621457504683</v>
      </c>
      <c r="V478" s="56">
        <f t="shared" si="100"/>
        <v>2.2056812156386267</v>
      </c>
      <c r="W478" s="33">
        <f t="shared" si="101"/>
        <v>17.5977298825592</v>
      </c>
      <c r="X478" s="143">
        <f t="shared" si="102"/>
        <v>17.5977298825592</v>
      </c>
    </row>
    <row r="479" spans="1:24" ht="15" x14ac:dyDescent="0.2">
      <c r="A479" s="28" t="s">
        <v>136</v>
      </c>
      <c r="B479" s="224" t="s">
        <v>612</v>
      </c>
      <c r="C479" s="208" t="s">
        <v>403</v>
      </c>
      <c r="D479" s="35" t="s">
        <v>96</v>
      </c>
      <c r="E479" s="35" t="s">
        <v>662</v>
      </c>
      <c r="F479" s="35" t="s">
        <v>374</v>
      </c>
      <c r="G479" s="35" t="s">
        <v>627</v>
      </c>
      <c r="H479" s="35" t="s">
        <v>580</v>
      </c>
      <c r="I479" s="141">
        <v>2365.6</v>
      </c>
      <c r="J479" s="34">
        <v>2274.9384619985885</v>
      </c>
      <c r="K479" s="34">
        <f t="shared" si="91"/>
        <v>-90.661538001411373</v>
      </c>
      <c r="L479" s="56">
        <f t="shared" si="92"/>
        <v>8219.5144727813586</v>
      </c>
      <c r="M479" s="56">
        <f t="shared" si="93"/>
        <v>90.661538001411373</v>
      </c>
      <c r="N479" s="56">
        <f t="shared" si="94"/>
        <v>1.9621871400560764</v>
      </c>
      <c r="O479" s="56">
        <f t="shared" si="103"/>
        <v>-1.9621871400560764</v>
      </c>
      <c r="P479" s="143">
        <f t="shared" si="95"/>
        <v>-3.832496533708631</v>
      </c>
      <c r="Q479" s="143">
        <f t="shared" si="96"/>
        <v>3.832496533708631</v>
      </c>
      <c r="R479" s="34">
        <v>2305.8228224693285</v>
      </c>
      <c r="S479" s="56">
        <f t="shared" si="97"/>
        <v>-59.777177530671452</v>
      </c>
      <c r="T479" s="56">
        <f t="shared" si="98"/>
        <v>3573.310953533412</v>
      </c>
      <c r="U479" s="56">
        <f t="shared" si="99"/>
        <v>59.777177530671452</v>
      </c>
      <c r="V479" s="56">
        <f t="shared" si="100"/>
        <v>1.783740527739371</v>
      </c>
      <c r="W479" s="33">
        <f t="shared" si="101"/>
        <v>-2.5269351340324424</v>
      </c>
      <c r="X479" s="143">
        <f t="shared" si="102"/>
        <v>2.5269351340324424</v>
      </c>
    </row>
    <row r="480" spans="1:24" ht="15" x14ac:dyDescent="0.2">
      <c r="A480" s="28" t="s">
        <v>157</v>
      </c>
      <c r="B480" s="224" t="s">
        <v>612</v>
      </c>
      <c r="C480" s="208" t="s">
        <v>403</v>
      </c>
      <c r="D480" s="35" t="s">
        <v>82</v>
      </c>
      <c r="E480" s="35" t="s">
        <v>662</v>
      </c>
      <c r="F480" s="35" t="s">
        <v>203</v>
      </c>
      <c r="G480" s="35" t="s">
        <v>627</v>
      </c>
      <c r="H480" s="35" t="s">
        <v>581</v>
      </c>
      <c r="I480" s="141">
        <v>6408.96</v>
      </c>
      <c r="J480" s="34">
        <v>6962.5009001588614</v>
      </c>
      <c r="K480" s="34">
        <f t="shared" si="91"/>
        <v>553.5409001588614</v>
      </c>
      <c r="L480" s="56">
        <f t="shared" si="92"/>
        <v>306407.52814868256</v>
      </c>
      <c r="M480" s="56">
        <f t="shared" si="93"/>
        <v>553.5409001588614</v>
      </c>
      <c r="N480" s="56">
        <f t="shared" si="94"/>
        <v>2.7439335830518914</v>
      </c>
      <c r="O480" s="56">
        <f t="shared" si="103"/>
        <v>2.7439335830518914</v>
      </c>
      <c r="P480" s="143">
        <f t="shared" si="95"/>
        <v>8.6369847862814151</v>
      </c>
      <c r="Q480" s="143">
        <f t="shared" si="96"/>
        <v>8.6369847862814151</v>
      </c>
      <c r="R480" s="34">
        <v>6804.8096978359818</v>
      </c>
      <c r="S480" s="56">
        <f t="shared" si="97"/>
        <v>395.84969783598171</v>
      </c>
      <c r="T480" s="56">
        <f t="shared" si="98"/>
        <v>156696.98327683803</v>
      </c>
      <c r="U480" s="56">
        <f t="shared" si="99"/>
        <v>395.84969783598171</v>
      </c>
      <c r="V480" s="56">
        <f t="shared" si="100"/>
        <v>2.5986260539670525</v>
      </c>
      <c r="W480" s="33">
        <f t="shared" si="101"/>
        <v>6.1765044224957206</v>
      </c>
      <c r="X480" s="143">
        <f t="shared" si="102"/>
        <v>6.1765044224957206</v>
      </c>
    </row>
    <row r="481" spans="1:24" ht="15" x14ac:dyDescent="0.2">
      <c r="A481" s="28" t="s">
        <v>322</v>
      </c>
      <c r="B481" s="224" t="s">
        <v>612</v>
      </c>
      <c r="C481" s="208" t="s">
        <v>403</v>
      </c>
      <c r="D481" s="35" t="s">
        <v>96</v>
      </c>
      <c r="E481" s="35" t="s">
        <v>662</v>
      </c>
      <c r="F481" s="35" t="s">
        <v>374</v>
      </c>
      <c r="G481" s="35" t="s">
        <v>627</v>
      </c>
      <c r="H481" s="35" t="s">
        <v>580</v>
      </c>
      <c r="I481" s="141">
        <f>337.19+626.59+495.45+752.43</f>
        <v>2211.66</v>
      </c>
      <c r="J481" s="34">
        <v>2671.0601867588293</v>
      </c>
      <c r="K481" s="34">
        <f t="shared" si="91"/>
        <v>459.40018675882948</v>
      </c>
      <c r="L481" s="56">
        <f t="shared" si="92"/>
        <v>211048.53159404741</v>
      </c>
      <c r="M481" s="56">
        <f t="shared" si="93"/>
        <v>459.40018675882948</v>
      </c>
      <c r="N481" s="56">
        <f t="shared" si="94"/>
        <v>2.6631354911269822</v>
      </c>
      <c r="O481" s="56">
        <f t="shared" si="103"/>
        <v>2.6631354911269822</v>
      </c>
      <c r="P481" s="143">
        <f t="shared" si="95"/>
        <v>20.771736467577725</v>
      </c>
      <c r="Q481" s="143">
        <f t="shared" si="96"/>
        <v>20.771736467577725</v>
      </c>
      <c r="R481" s="34">
        <v>2662.0751840020312</v>
      </c>
      <c r="S481" s="56">
        <f t="shared" si="97"/>
        <v>450.41518400203131</v>
      </c>
      <c r="T481" s="56">
        <f t="shared" si="98"/>
        <v>202873.83797958371</v>
      </c>
      <c r="U481" s="56">
        <f t="shared" si="99"/>
        <v>450.41518400203131</v>
      </c>
      <c r="V481" s="56">
        <f t="shared" si="100"/>
        <v>2.6545761631099074</v>
      </c>
      <c r="W481" s="33">
        <f t="shared" si="101"/>
        <v>20.36548040847288</v>
      </c>
      <c r="X481" s="143">
        <f t="shared" si="102"/>
        <v>20.36548040847288</v>
      </c>
    </row>
    <row r="482" spans="1:24" ht="15" x14ac:dyDescent="0.2">
      <c r="A482" s="28" t="s">
        <v>152</v>
      </c>
      <c r="B482" s="224" t="s">
        <v>612</v>
      </c>
      <c r="C482" s="208" t="s">
        <v>403</v>
      </c>
      <c r="D482" s="35" t="s">
        <v>82</v>
      </c>
      <c r="E482" s="35" t="s">
        <v>662</v>
      </c>
      <c r="F482" s="35" t="s">
        <v>203</v>
      </c>
      <c r="G482" s="35" t="s">
        <v>627</v>
      </c>
      <c r="H482" s="35" t="s">
        <v>581</v>
      </c>
      <c r="I482" s="141">
        <v>5810</v>
      </c>
      <c r="J482" s="34">
        <v>7269.4316389592077</v>
      </c>
      <c r="K482" s="34">
        <f t="shared" si="91"/>
        <v>1459.4316389592077</v>
      </c>
      <c r="L482" s="56">
        <f t="shared" si="92"/>
        <v>2129940.7087951591</v>
      </c>
      <c r="M482" s="56">
        <f t="shared" si="93"/>
        <v>1459.4316389592077</v>
      </c>
      <c r="N482" s="56">
        <f t="shared" si="94"/>
        <v>3.1644812329852745</v>
      </c>
      <c r="O482" s="56">
        <f t="shared" si="103"/>
        <v>3.1644812329852745</v>
      </c>
      <c r="P482" s="143">
        <f t="shared" si="95"/>
        <v>25.119305317714417</v>
      </c>
      <c r="Q482" s="143">
        <f t="shared" si="96"/>
        <v>25.119305317714417</v>
      </c>
      <c r="R482" s="34">
        <v>7390.4881216519134</v>
      </c>
      <c r="S482" s="56">
        <f t="shared" si="97"/>
        <v>1580.4881216519134</v>
      </c>
      <c r="T482" s="56">
        <f t="shared" si="98"/>
        <v>2497942.7026827936</v>
      </c>
      <c r="U482" s="56">
        <f t="shared" si="99"/>
        <v>1580.4881216519134</v>
      </c>
      <c r="V482" s="56">
        <f t="shared" si="100"/>
        <v>3.1990659343355854</v>
      </c>
      <c r="W482" s="33">
        <f t="shared" si="101"/>
        <v>27.202893660101779</v>
      </c>
      <c r="X482" s="143">
        <f t="shared" si="102"/>
        <v>27.202893660101779</v>
      </c>
    </row>
    <row r="483" spans="1:24" ht="15" x14ac:dyDescent="0.2">
      <c r="A483" s="28" t="s">
        <v>345</v>
      </c>
      <c r="B483" s="224" t="s">
        <v>612</v>
      </c>
      <c r="C483" s="208" t="s">
        <v>403</v>
      </c>
      <c r="D483" s="35" t="s">
        <v>82</v>
      </c>
      <c r="E483" s="35" t="s">
        <v>662</v>
      </c>
      <c r="F483" s="35" t="s">
        <v>374</v>
      </c>
      <c r="G483" s="35" t="s">
        <v>626</v>
      </c>
      <c r="H483" s="35" t="s">
        <v>580</v>
      </c>
      <c r="I483" s="141">
        <v>1499</v>
      </c>
      <c r="J483" s="34">
        <v>1631.5464597670332</v>
      </c>
      <c r="K483" s="34">
        <f t="shared" si="91"/>
        <v>132.54645976703318</v>
      </c>
      <c r="L483" s="56">
        <f t="shared" si="92"/>
        <v>17568.563996773748</v>
      </c>
      <c r="M483" s="56">
        <f t="shared" si="93"/>
        <v>132.54645976703318</v>
      </c>
      <c r="N483" s="56">
        <f t="shared" si="94"/>
        <v>2.1256323796354066</v>
      </c>
      <c r="O483" s="56">
        <f t="shared" si="103"/>
        <v>2.1256323796354066</v>
      </c>
      <c r="P483" s="143">
        <f t="shared" si="95"/>
        <v>8.842325534825429</v>
      </c>
      <c r="Q483" s="143">
        <f t="shared" si="96"/>
        <v>8.842325534825429</v>
      </c>
      <c r="R483" s="34">
        <v>1626.122382068163</v>
      </c>
      <c r="S483" s="56">
        <f t="shared" si="97"/>
        <v>127.12238206816301</v>
      </c>
      <c r="T483" s="56">
        <f t="shared" si="98"/>
        <v>16160.100022684011</v>
      </c>
      <c r="U483" s="56">
        <f t="shared" si="99"/>
        <v>127.12238206816301</v>
      </c>
      <c r="V483" s="56">
        <f t="shared" si="100"/>
        <v>2.1076250045269207</v>
      </c>
      <c r="W483" s="33">
        <f t="shared" si="101"/>
        <v>8.4804791239601744</v>
      </c>
      <c r="X483" s="143">
        <f t="shared" si="102"/>
        <v>8.4804791239601744</v>
      </c>
    </row>
    <row r="484" spans="1:24" ht="15" x14ac:dyDescent="0.2">
      <c r="A484" s="218" t="s">
        <v>344</v>
      </c>
      <c r="B484" s="224" t="s">
        <v>612</v>
      </c>
      <c r="C484" s="208" t="s">
        <v>403</v>
      </c>
      <c r="D484" s="35" t="s">
        <v>82</v>
      </c>
      <c r="E484" s="35" t="s">
        <v>662</v>
      </c>
      <c r="F484" s="35" t="s">
        <v>374</v>
      </c>
      <c r="G484" s="35" t="s">
        <v>626</v>
      </c>
      <c r="H484" s="35" t="s">
        <v>580</v>
      </c>
      <c r="I484" s="141">
        <v>1427.7</v>
      </c>
      <c r="J484" s="34">
        <v>1420.6903080373074</v>
      </c>
      <c r="K484" s="34">
        <f t="shared" si="91"/>
        <v>-7.0096919626926137</v>
      </c>
      <c r="L484" s="56">
        <f t="shared" si="92"/>
        <v>49.135781411837428</v>
      </c>
      <c r="M484" s="56">
        <f t="shared" si="93"/>
        <v>7.0096919626926137</v>
      </c>
      <c r="N484" s="56">
        <f t="shared" si="94"/>
        <v>0.90361581427709348</v>
      </c>
      <c r="O484" s="56">
        <f t="shared" si="103"/>
        <v>-0.90361581427709348</v>
      </c>
      <c r="P484" s="143">
        <f t="shared" si="95"/>
        <v>-0.49097793392817912</v>
      </c>
      <c r="Q484" s="143">
        <f t="shared" si="96"/>
        <v>0.49097793392817912</v>
      </c>
      <c r="R484" s="34">
        <v>1414.9214765094398</v>
      </c>
      <c r="S484" s="56">
        <f t="shared" si="97"/>
        <v>-12.778523490560247</v>
      </c>
      <c r="T484" s="56">
        <f t="shared" si="98"/>
        <v>163.29066259880003</v>
      </c>
      <c r="U484" s="56">
        <f t="shared" si="99"/>
        <v>12.778523490560247</v>
      </c>
      <c r="V484" s="56">
        <f t="shared" si="100"/>
        <v>1.139202680978092</v>
      </c>
      <c r="W484" s="33">
        <f t="shared" si="101"/>
        <v>-0.89504262033762316</v>
      </c>
      <c r="X484" s="143">
        <f t="shared" si="102"/>
        <v>0.89504262033762316</v>
      </c>
    </row>
    <row r="485" spans="1:24" ht="15" x14ac:dyDescent="0.2">
      <c r="A485" s="28" t="s">
        <v>306</v>
      </c>
      <c r="B485" s="224" t="s">
        <v>612</v>
      </c>
      <c r="C485" s="208" t="s">
        <v>403</v>
      </c>
      <c r="D485" s="35" t="s">
        <v>148</v>
      </c>
      <c r="E485" s="35" t="s">
        <v>662</v>
      </c>
      <c r="F485" s="35" t="s">
        <v>494</v>
      </c>
      <c r="G485" s="35" t="s">
        <v>626</v>
      </c>
      <c r="H485" s="35" t="s">
        <v>580</v>
      </c>
      <c r="I485" s="141">
        <v>1098.0999999999999</v>
      </c>
      <c r="J485" s="34">
        <v>1318.391127910186</v>
      </c>
      <c r="K485" s="34">
        <f t="shared" si="91"/>
        <v>220.29112791018611</v>
      </c>
      <c r="L485" s="56">
        <f t="shared" si="92"/>
        <v>48528.181035941976</v>
      </c>
      <c r="M485" s="56">
        <f t="shared" si="93"/>
        <v>220.29112791018611</v>
      </c>
      <c r="N485" s="56">
        <f t="shared" si="94"/>
        <v>2.3449640023733127</v>
      </c>
      <c r="O485" s="56">
        <f t="shared" si="103"/>
        <v>2.3449640023733127</v>
      </c>
      <c r="P485" s="143">
        <f t="shared" si="95"/>
        <v>20.061117194261556</v>
      </c>
      <c r="Q485" s="143">
        <f t="shared" si="96"/>
        <v>20.061117194261556</v>
      </c>
      <c r="R485" s="34">
        <v>1304.7000593989587</v>
      </c>
      <c r="S485" s="56">
        <f t="shared" si="97"/>
        <v>206.60005939895882</v>
      </c>
      <c r="T485" s="56">
        <f t="shared" si="98"/>
        <v>42683.584543653313</v>
      </c>
      <c r="U485" s="56">
        <f t="shared" si="99"/>
        <v>206.60005939895882</v>
      </c>
      <c r="V485" s="56">
        <f t="shared" si="100"/>
        <v>2.3172274734376743</v>
      </c>
      <c r="W485" s="33">
        <f t="shared" si="101"/>
        <v>18.814321045347313</v>
      </c>
      <c r="X485" s="143">
        <f t="shared" si="102"/>
        <v>18.814321045347313</v>
      </c>
    </row>
    <row r="486" spans="1:24" ht="15" x14ac:dyDescent="0.2">
      <c r="A486" s="28" t="s">
        <v>75</v>
      </c>
      <c r="B486" s="224" t="s">
        <v>612</v>
      </c>
      <c r="C486" s="208" t="s">
        <v>403</v>
      </c>
      <c r="D486" s="35" t="s">
        <v>82</v>
      </c>
      <c r="E486" s="35" t="s">
        <v>662</v>
      </c>
      <c r="F486" s="35" t="s">
        <v>374</v>
      </c>
      <c r="G486" s="35" t="s">
        <v>627</v>
      </c>
      <c r="H486" s="35" t="s">
        <v>580</v>
      </c>
      <c r="I486" s="141">
        <v>2106.6</v>
      </c>
      <c r="J486" s="34">
        <v>1877.8779551186844</v>
      </c>
      <c r="K486" s="34">
        <f t="shared" si="91"/>
        <v>-228.72204488131547</v>
      </c>
      <c r="L486" s="56">
        <f t="shared" si="92"/>
        <v>52313.773814690489</v>
      </c>
      <c r="M486" s="56">
        <f t="shared" si="93"/>
        <v>228.72204488131547</v>
      </c>
      <c r="N486" s="56">
        <f t="shared" si="94"/>
        <v>2.3612026735185787</v>
      </c>
      <c r="O486" s="56">
        <f t="shared" si="103"/>
        <v>-2.3612026735185787</v>
      </c>
      <c r="P486" s="143">
        <f t="shared" si="95"/>
        <v>-10.857402681159948</v>
      </c>
      <c r="Q486" s="143">
        <f t="shared" si="96"/>
        <v>10.857402681159948</v>
      </c>
      <c r="R486" s="34">
        <v>1842.6631972242819</v>
      </c>
      <c r="S486" s="56">
        <f t="shared" si="97"/>
        <v>-263.93680277571798</v>
      </c>
      <c r="T486" s="56">
        <f t="shared" si="98"/>
        <v>69662.635859468253</v>
      </c>
      <c r="U486" s="56">
        <f t="shared" si="99"/>
        <v>263.93680277571798</v>
      </c>
      <c r="V486" s="56">
        <f t="shared" si="100"/>
        <v>2.4231422909972435</v>
      </c>
      <c r="W486" s="33">
        <f t="shared" si="101"/>
        <v>-12.52904219005592</v>
      </c>
      <c r="X486" s="143">
        <f t="shared" si="102"/>
        <v>12.52904219005592</v>
      </c>
    </row>
    <row r="487" spans="1:24" ht="15" x14ac:dyDescent="0.2">
      <c r="A487" s="28" t="s">
        <v>301</v>
      </c>
      <c r="B487" s="224" t="s">
        <v>612</v>
      </c>
      <c r="C487" s="208" t="s">
        <v>403</v>
      </c>
      <c r="D487" s="35" t="s">
        <v>82</v>
      </c>
      <c r="E487" s="35" t="s">
        <v>662</v>
      </c>
      <c r="F487" s="35" t="s">
        <v>374</v>
      </c>
      <c r="G487" s="35" t="s">
        <v>626</v>
      </c>
      <c r="H487" s="35" t="s">
        <v>580</v>
      </c>
      <c r="I487" s="141">
        <v>1300</v>
      </c>
      <c r="J487" s="34">
        <v>1247.4870294087882</v>
      </c>
      <c r="K487" s="34">
        <f t="shared" si="91"/>
        <v>-52.512970591211797</v>
      </c>
      <c r="L487" s="56">
        <f t="shared" si="92"/>
        <v>2757.612080313475</v>
      </c>
      <c r="M487" s="56">
        <f t="shared" si="93"/>
        <v>52.512970591211797</v>
      </c>
      <c r="N487" s="56">
        <f t="shared" si="94"/>
        <v>1.7284590600298058</v>
      </c>
      <c r="O487" s="56">
        <f t="shared" si="103"/>
        <v>-1.7284590600298058</v>
      </c>
      <c r="P487" s="143">
        <f t="shared" si="95"/>
        <v>-4.0394592762470616</v>
      </c>
      <c r="Q487" s="143">
        <f t="shared" si="96"/>
        <v>4.0394592762470616</v>
      </c>
      <c r="R487" s="34">
        <v>1247.4746665646248</v>
      </c>
      <c r="S487" s="56">
        <f t="shared" si="97"/>
        <v>-52.52533343537516</v>
      </c>
      <c r="T487" s="56">
        <f t="shared" si="98"/>
        <v>2758.9106524973395</v>
      </c>
      <c r="U487" s="56">
        <f t="shared" si="99"/>
        <v>52.52533343537516</v>
      </c>
      <c r="V487" s="56">
        <f t="shared" si="100"/>
        <v>1.7285593814067834</v>
      </c>
      <c r="W487" s="33">
        <f t="shared" si="101"/>
        <v>-4.040410264259628</v>
      </c>
      <c r="X487" s="143">
        <f t="shared" si="102"/>
        <v>4.040410264259628</v>
      </c>
    </row>
    <row r="488" spans="1:24" ht="15" x14ac:dyDescent="0.2">
      <c r="A488" s="28" t="s">
        <v>664</v>
      </c>
      <c r="B488" s="224" t="s">
        <v>612</v>
      </c>
      <c r="C488" s="208" t="s">
        <v>403</v>
      </c>
      <c r="D488" s="35" t="s">
        <v>82</v>
      </c>
      <c r="E488" s="35" t="s">
        <v>662</v>
      </c>
      <c r="F488" s="35" t="s">
        <v>374</v>
      </c>
      <c r="G488" s="35" t="s">
        <v>627</v>
      </c>
      <c r="H488" s="35" t="s">
        <v>580</v>
      </c>
      <c r="I488" s="141">
        <v>1730.8</v>
      </c>
      <c r="J488" s="34">
        <v>1650.9297770710843</v>
      </c>
      <c r="K488" s="34">
        <f t="shared" si="91"/>
        <v>-79.870222928915609</v>
      </c>
      <c r="L488" s="56">
        <f t="shared" si="92"/>
        <v>6379.2525107146766</v>
      </c>
      <c r="M488" s="56">
        <f t="shared" si="93"/>
        <v>79.870222928915609</v>
      </c>
      <c r="N488" s="56">
        <f t="shared" si="94"/>
        <v>1.9077886402994928</v>
      </c>
      <c r="O488" s="56">
        <f t="shared" si="103"/>
        <v>-1.9077886402994928</v>
      </c>
      <c r="P488" s="143">
        <f t="shared" si="95"/>
        <v>-4.6146419533692864</v>
      </c>
      <c r="Q488" s="143">
        <f t="shared" si="96"/>
        <v>4.6146419533692864</v>
      </c>
      <c r="R488" s="34">
        <v>1702.0202546023377</v>
      </c>
      <c r="S488" s="56">
        <f t="shared" si="97"/>
        <v>-28.779745397662282</v>
      </c>
      <c r="T488" s="56">
        <f t="shared" si="98"/>
        <v>828.27374515426334</v>
      </c>
      <c r="U488" s="56">
        <f t="shared" si="99"/>
        <v>28.779745397662282</v>
      </c>
      <c r="V488" s="56">
        <f t="shared" si="100"/>
        <v>1.4739209804254583</v>
      </c>
      <c r="W488" s="33">
        <f t="shared" si="101"/>
        <v>-1.6628001731951862</v>
      </c>
      <c r="X488" s="143">
        <f t="shared" si="102"/>
        <v>1.6628001731951862</v>
      </c>
    </row>
    <row r="489" spans="1:24" ht="15" x14ac:dyDescent="0.2">
      <c r="A489" s="28" t="s">
        <v>282</v>
      </c>
      <c r="B489" s="224" t="s">
        <v>612</v>
      </c>
      <c r="C489" s="208" t="s">
        <v>403</v>
      </c>
      <c r="D489" s="35" t="s">
        <v>96</v>
      </c>
      <c r="E489" s="35" t="s">
        <v>662</v>
      </c>
      <c r="F489" s="35" t="s">
        <v>494</v>
      </c>
      <c r="G489" s="35" t="s">
        <v>626</v>
      </c>
      <c r="H489" s="35" t="s">
        <v>580</v>
      </c>
      <c r="I489" s="141">
        <v>872.2</v>
      </c>
      <c r="J489" s="34">
        <v>869.09092075164517</v>
      </c>
      <c r="K489" s="34">
        <f t="shared" si="91"/>
        <v>-3.1090792483548739</v>
      </c>
      <c r="L489" s="56">
        <f t="shared" si="92"/>
        <v>9.6663737725509087</v>
      </c>
      <c r="M489" s="56">
        <f t="shared" si="93"/>
        <v>3.1090792483548739</v>
      </c>
      <c r="N489" s="56">
        <f t="shared" si="94"/>
        <v>0.61374451721498213</v>
      </c>
      <c r="O489" s="56">
        <f t="shared" si="103"/>
        <v>-0.61374451721498213</v>
      </c>
      <c r="P489" s="143">
        <f t="shared" si="95"/>
        <v>-0.35646402755731182</v>
      </c>
      <c r="Q489" s="143">
        <f t="shared" si="96"/>
        <v>0.35646402755731182</v>
      </c>
      <c r="R489" s="34">
        <v>860.73794527110567</v>
      </c>
      <c r="S489" s="56">
        <f t="shared" si="97"/>
        <v>-11.462054728894373</v>
      </c>
      <c r="T489" s="56">
        <f t="shared" si="98"/>
        <v>131.37869860816986</v>
      </c>
      <c r="U489" s="56">
        <f t="shared" si="99"/>
        <v>11.462054728894373</v>
      </c>
      <c r="V489" s="56">
        <f t="shared" si="100"/>
        <v>1.0955896541892158</v>
      </c>
      <c r="W489" s="33">
        <f t="shared" si="101"/>
        <v>-1.3141544059727552</v>
      </c>
      <c r="X489" s="143">
        <f t="shared" si="102"/>
        <v>1.3141544059727552</v>
      </c>
    </row>
    <row r="490" spans="1:24" ht="15" x14ac:dyDescent="0.2">
      <c r="A490" s="28" t="s">
        <v>600</v>
      </c>
      <c r="B490" s="224" t="s">
        <v>612</v>
      </c>
      <c r="C490" s="208" t="s">
        <v>403</v>
      </c>
      <c r="D490" s="35" t="s">
        <v>82</v>
      </c>
      <c r="E490" s="35" t="s">
        <v>662</v>
      </c>
      <c r="F490" s="35" t="s">
        <v>293</v>
      </c>
      <c r="G490" s="35" t="s">
        <v>627</v>
      </c>
      <c r="H490" s="35" t="s">
        <v>580</v>
      </c>
      <c r="I490" s="141">
        <v>2516.1099999999997</v>
      </c>
      <c r="J490" s="34">
        <v>3109.9755937464215</v>
      </c>
      <c r="K490" s="34">
        <f t="shared" si="91"/>
        <v>593.86559374642184</v>
      </c>
      <c r="L490" s="56">
        <f t="shared" si="92"/>
        <v>352676.34343579016</v>
      </c>
      <c r="M490" s="56">
        <f t="shared" si="93"/>
        <v>593.86559374642184</v>
      </c>
      <c r="N490" s="56">
        <f t="shared" si="94"/>
        <v>2.774418850622411</v>
      </c>
      <c r="O490" s="56">
        <f t="shared" si="103"/>
        <v>2.774418850622411</v>
      </c>
      <c r="P490" s="143">
        <f t="shared" si="95"/>
        <v>23.602529052641653</v>
      </c>
      <c r="Q490" s="143">
        <f t="shared" si="96"/>
        <v>23.602529052641653</v>
      </c>
      <c r="R490" s="34">
        <v>3057.9922144365455</v>
      </c>
      <c r="S490" s="56">
        <f t="shared" si="97"/>
        <v>541.88221443654584</v>
      </c>
      <c r="T490" s="56">
        <f t="shared" si="98"/>
        <v>293636.33432265464</v>
      </c>
      <c r="U490" s="56">
        <f t="shared" si="99"/>
        <v>541.88221443654584</v>
      </c>
      <c r="V490" s="56">
        <f t="shared" si="100"/>
        <v>2.7347056138078414</v>
      </c>
      <c r="W490" s="33">
        <f t="shared" si="101"/>
        <v>21.536507324264278</v>
      </c>
      <c r="X490" s="143">
        <f t="shared" si="102"/>
        <v>21.536507324264278</v>
      </c>
    </row>
    <row r="491" spans="1:24" ht="15" x14ac:dyDescent="0.2">
      <c r="A491" s="28" t="s">
        <v>289</v>
      </c>
      <c r="B491" s="224" t="s">
        <v>612</v>
      </c>
      <c r="C491" s="208" t="s">
        <v>403</v>
      </c>
      <c r="D491" s="35" t="s">
        <v>148</v>
      </c>
      <c r="E491" s="35" t="s">
        <v>662</v>
      </c>
      <c r="F491" s="35" t="s">
        <v>494</v>
      </c>
      <c r="G491" s="35" t="s">
        <v>626</v>
      </c>
      <c r="H491" s="35" t="s">
        <v>580</v>
      </c>
      <c r="I491" s="141">
        <v>899.05</v>
      </c>
      <c r="J491" s="34">
        <v>937.68895350454216</v>
      </c>
      <c r="K491" s="34">
        <f t="shared" si="91"/>
        <v>38.638953504542201</v>
      </c>
      <c r="L491" s="56">
        <f t="shared" si="92"/>
        <v>1492.9687279261741</v>
      </c>
      <c r="M491" s="56">
        <f t="shared" si="93"/>
        <v>38.638953504542201</v>
      </c>
      <c r="N491" s="56">
        <f t="shared" si="94"/>
        <v>1.5981221802935104</v>
      </c>
      <c r="O491" s="56">
        <f t="shared" si="103"/>
        <v>1.5981221802935104</v>
      </c>
      <c r="P491" s="143">
        <f t="shared" si="95"/>
        <v>4.297753573721395</v>
      </c>
      <c r="Q491" s="143">
        <f t="shared" si="96"/>
        <v>4.297753573721395</v>
      </c>
      <c r="R491" s="34">
        <v>924.8190314574889</v>
      </c>
      <c r="S491" s="56">
        <f t="shared" si="97"/>
        <v>25.76903145748895</v>
      </c>
      <c r="T491" s="56">
        <f t="shared" si="98"/>
        <v>664.04298225705509</v>
      </c>
      <c r="U491" s="56">
        <f t="shared" si="99"/>
        <v>25.76903145748895</v>
      </c>
      <c r="V491" s="56">
        <f t="shared" si="100"/>
        <v>1.4276326580648744</v>
      </c>
      <c r="W491" s="33">
        <f t="shared" si="101"/>
        <v>2.8662512048817028</v>
      </c>
      <c r="X491" s="143">
        <f t="shared" si="102"/>
        <v>2.8662512048817028</v>
      </c>
    </row>
    <row r="492" spans="1:24" ht="15" x14ac:dyDescent="0.2">
      <c r="A492" s="28" t="s">
        <v>310</v>
      </c>
      <c r="B492" s="224" t="s">
        <v>612</v>
      </c>
      <c r="C492" s="208" t="s">
        <v>403</v>
      </c>
      <c r="D492" s="35" t="s">
        <v>82</v>
      </c>
      <c r="E492" s="35" t="s">
        <v>662</v>
      </c>
      <c r="F492" s="35" t="s">
        <v>374</v>
      </c>
      <c r="G492" s="35" t="s">
        <v>626</v>
      </c>
      <c r="H492" s="35" t="s">
        <v>580</v>
      </c>
      <c r="I492" s="142">
        <f>489.03+252.1+310.1+413</f>
        <v>1464.23</v>
      </c>
      <c r="J492" s="34">
        <v>1771.7071545292999</v>
      </c>
      <c r="K492" s="34">
        <f t="shared" si="91"/>
        <v>307.47715452929992</v>
      </c>
      <c r="L492" s="56">
        <f t="shared" si="92"/>
        <v>94542.20055743499</v>
      </c>
      <c r="M492" s="56">
        <f t="shared" si="93"/>
        <v>307.47715452929992</v>
      </c>
      <c r="N492" s="56">
        <f t="shared" si="94"/>
        <v>2.4892230061999054</v>
      </c>
      <c r="O492" s="56">
        <f t="shared" si="103"/>
        <v>2.4892230061999054</v>
      </c>
      <c r="P492" s="143">
        <f t="shared" si="95"/>
        <v>20.999238816941322</v>
      </c>
      <c r="Q492" s="143">
        <f t="shared" si="96"/>
        <v>20.999238816941322</v>
      </c>
      <c r="R492" s="34">
        <v>1771.4419498373834</v>
      </c>
      <c r="S492" s="56">
        <f t="shared" si="97"/>
        <v>307.21194983738337</v>
      </c>
      <c r="T492" s="56">
        <f t="shared" si="98"/>
        <v>94379.182122886952</v>
      </c>
      <c r="U492" s="56">
        <f t="shared" si="99"/>
        <v>307.21194983738337</v>
      </c>
      <c r="V492" s="56">
        <f t="shared" si="100"/>
        <v>2.4888494729541941</v>
      </c>
      <c r="W492" s="33">
        <f t="shared" si="101"/>
        <v>20.981126587857329</v>
      </c>
      <c r="X492" s="143">
        <f t="shared" si="102"/>
        <v>20.981126587857329</v>
      </c>
    </row>
    <row r="493" spans="1:24" ht="15" x14ac:dyDescent="0.2">
      <c r="A493" s="28" t="s">
        <v>290</v>
      </c>
      <c r="B493" s="224" t="s">
        <v>612</v>
      </c>
      <c r="C493" s="208" t="s">
        <v>403</v>
      </c>
      <c r="D493" s="35" t="s">
        <v>82</v>
      </c>
      <c r="E493" s="35" t="s">
        <v>662</v>
      </c>
      <c r="F493" s="35" t="s">
        <v>374</v>
      </c>
      <c r="G493" s="35" t="s">
        <v>626</v>
      </c>
      <c r="H493" s="35" t="s">
        <v>580</v>
      </c>
      <c r="I493" s="141">
        <v>1369.3</v>
      </c>
      <c r="J493" s="34">
        <v>1413.1147872565073</v>
      </c>
      <c r="K493" s="34">
        <f t="shared" si="91"/>
        <v>43.814787256507316</v>
      </c>
      <c r="L493" s="56">
        <f t="shared" si="92"/>
        <v>1919.7355823329958</v>
      </c>
      <c r="M493" s="56">
        <f t="shared" si="93"/>
        <v>43.814787256507316</v>
      </c>
      <c r="N493" s="56">
        <f t="shared" si="94"/>
        <v>1.6514213390934438</v>
      </c>
      <c r="O493" s="56">
        <f t="shared" si="103"/>
        <v>1.6514213390934438</v>
      </c>
      <c r="P493" s="143">
        <f t="shared" si="95"/>
        <v>3.1997945852995922</v>
      </c>
      <c r="Q493" s="143">
        <f t="shared" si="96"/>
        <v>3.1997945852995922</v>
      </c>
      <c r="R493" s="34">
        <v>1385.1053906267257</v>
      </c>
      <c r="S493" s="56">
        <f t="shared" si="97"/>
        <v>15.805390626725739</v>
      </c>
      <c r="T493" s="56">
        <f t="shared" si="98"/>
        <v>249.81037286338986</v>
      </c>
      <c r="U493" s="56">
        <f t="shared" si="99"/>
        <v>15.805390626725739</v>
      </c>
      <c r="V493" s="56">
        <f t="shared" si="100"/>
        <v>1.2254486117212837</v>
      </c>
      <c r="W493" s="33">
        <f t="shared" si="101"/>
        <v>1.1542679198660439</v>
      </c>
      <c r="X493" s="143">
        <f t="shared" si="102"/>
        <v>1.1542679198660439</v>
      </c>
    </row>
    <row r="494" spans="1:24" ht="15" x14ac:dyDescent="0.2">
      <c r="A494" s="28" t="s">
        <v>365</v>
      </c>
      <c r="B494" s="224" t="s">
        <v>612</v>
      </c>
      <c r="C494" s="208" t="s">
        <v>403</v>
      </c>
      <c r="D494" s="35" t="s">
        <v>148</v>
      </c>
      <c r="E494" s="35" t="s">
        <v>662</v>
      </c>
      <c r="F494" s="35" t="s">
        <v>494</v>
      </c>
      <c r="G494" s="35" t="s">
        <v>626</v>
      </c>
      <c r="H494" s="35" t="s">
        <v>580</v>
      </c>
      <c r="I494" s="141">
        <v>992.24</v>
      </c>
      <c r="J494" s="34">
        <v>963.28349174130301</v>
      </c>
      <c r="K494" s="34">
        <f t="shared" si="91"/>
        <v>-28.956508258696999</v>
      </c>
      <c r="L494" s="56">
        <f t="shared" si="92"/>
        <v>838.47937053598753</v>
      </c>
      <c r="M494" s="56">
        <f t="shared" si="93"/>
        <v>28.956508258696999</v>
      </c>
      <c r="N494" s="56">
        <f t="shared" si="94"/>
        <v>1.4764911904574916</v>
      </c>
      <c r="O494" s="56">
        <f t="shared" si="103"/>
        <v>-1.4764911904574916</v>
      </c>
      <c r="P494" s="143">
        <f t="shared" si="95"/>
        <v>-2.918296809108381</v>
      </c>
      <c r="Q494" s="143">
        <f t="shared" si="96"/>
        <v>2.918296809108381</v>
      </c>
      <c r="R494" s="34">
        <v>984.69328970962317</v>
      </c>
      <c r="S494" s="56">
        <f t="shared" si="97"/>
        <v>-7.5467102903768364</v>
      </c>
      <c r="T494" s="56">
        <f t="shared" si="98"/>
        <v>56.952836206879631</v>
      </c>
      <c r="U494" s="56">
        <f t="shared" si="99"/>
        <v>7.5467102903768364</v>
      </c>
      <c r="V494" s="56">
        <f t="shared" si="100"/>
        <v>0.93179898283791185</v>
      </c>
      <c r="W494" s="33">
        <f t="shared" si="101"/>
        <v>-0.76057307610828395</v>
      </c>
      <c r="X494" s="143">
        <f t="shared" si="102"/>
        <v>0.76057307610828395</v>
      </c>
    </row>
    <row r="495" spans="1:24" ht="15" x14ac:dyDescent="0.2">
      <c r="A495" s="28" t="s">
        <v>601</v>
      </c>
      <c r="B495" s="224" t="s">
        <v>612</v>
      </c>
      <c r="C495" s="208" t="s">
        <v>403</v>
      </c>
      <c r="D495" s="35" t="s">
        <v>82</v>
      </c>
      <c r="E495" s="35" t="s">
        <v>662</v>
      </c>
      <c r="F495" s="35" t="s">
        <v>203</v>
      </c>
      <c r="G495" s="35" t="s">
        <v>627</v>
      </c>
      <c r="H495" s="35" t="s">
        <v>581</v>
      </c>
      <c r="I495" s="141">
        <v>5182</v>
      </c>
      <c r="J495" s="34">
        <v>5025.3287239968904</v>
      </c>
      <c r="K495" s="34">
        <f t="shared" si="91"/>
        <v>-156.6712760031096</v>
      </c>
      <c r="L495" s="56">
        <f t="shared" si="92"/>
        <v>24545.888724442546</v>
      </c>
      <c r="M495" s="56">
        <f t="shared" si="93"/>
        <v>156.6712760031096</v>
      </c>
      <c r="N495" s="56">
        <f t="shared" si="94"/>
        <v>2.1977525822979915</v>
      </c>
      <c r="O495" s="56">
        <f t="shared" si="103"/>
        <v>-2.1977525822979915</v>
      </c>
      <c r="P495" s="143">
        <f t="shared" si="95"/>
        <v>-3.0233746816501275</v>
      </c>
      <c r="Q495" s="143">
        <f t="shared" si="96"/>
        <v>3.0233746816501275</v>
      </c>
      <c r="R495" s="34">
        <v>5012.7883930999242</v>
      </c>
      <c r="S495" s="56">
        <f t="shared" si="97"/>
        <v>-169.21160690007582</v>
      </c>
      <c r="T495" s="56">
        <f t="shared" si="98"/>
        <v>28632.567909705787</v>
      </c>
      <c r="U495" s="56">
        <f t="shared" si="99"/>
        <v>169.21160690007582</v>
      </c>
      <c r="V495" s="56">
        <f t="shared" si="100"/>
        <v>2.2309891717343624</v>
      </c>
      <c r="W495" s="33">
        <f t="shared" si="101"/>
        <v>-3.2653725762268588</v>
      </c>
      <c r="X495" s="143">
        <f t="shared" si="102"/>
        <v>3.2653725762268588</v>
      </c>
    </row>
    <row r="496" spans="1:24" ht="15" x14ac:dyDescent="0.2">
      <c r="A496" s="206" t="s">
        <v>593</v>
      </c>
      <c r="B496" s="224" t="s">
        <v>612</v>
      </c>
      <c r="C496" s="35" t="s">
        <v>403</v>
      </c>
      <c r="D496" s="35" t="s">
        <v>82</v>
      </c>
      <c r="E496" s="35" t="s">
        <v>662</v>
      </c>
      <c r="F496" s="35" t="s">
        <v>374</v>
      </c>
      <c r="G496" s="35" t="s">
        <v>626</v>
      </c>
      <c r="H496" s="35" t="s">
        <v>580</v>
      </c>
      <c r="I496" s="141">
        <v>1284.8</v>
      </c>
      <c r="J496" s="34">
        <v>1285.7601518983245</v>
      </c>
      <c r="K496" s="34">
        <f t="shared" si="91"/>
        <v>0.96015189832451142</v>
      </c>
      <c r="L496" s="56">
        <f t="shared" si="92"/>
        <v>0.92189166785616294</v>
      </c>
      <c r="M496" s="56">
        <f t="shared" si="93"/>
        <v>0.96015189832451142</v>
      </c>
      <c r="N496" s="56">
        <f t="shared" si="94"/>
        <v>0.2922897275034263</v>
      </c>
      <c r="O496" s="56">
        <f t="shared" si="103"/>
        <v>0.2922897275034263</v>
      </c>
      <c r="P496" s="143">
        <f t="shared" si="95"/>
        <v>7.4731623468595229E-2</v>
      </c>
      <c r="Q496" s="143">
        <f t="shared" si="96"/>
        <v>7.4731623468595229E-2</v>
      </c>
      <c r="R496" s="34">
        <v>1274.2308133896881</v>
      </c>
      <c r="S496" s="56">
        <f t="shared" si="97"/>
        <v>-10.569186610311817</v>
      </c>
      <c r="T496" s="56">
        <f t="shared" si="98"/>
        <v>111.7077056035946</v>
      </c>
      <c r="U496" s="56">
        <f t="shared" si="99"/>
        <v>10.569186610311817</v>
      </c>
      <c r="V496" s="56">
        <f t="shared" si="100"/>
        <v>1.0633028262749264</v>
      </c>
      <c r="W496" s="33">
        <f t="shared" si="101"/>
        <v>-0.82263283081505434</v>
      </c>
      <c r="X496" s="143">
        <f t="shared" si="102"/>
        <v>0.82263283081505434</v>
      </c>
    </row>
    <row r="497" spans="1:24" ht="16" x14ac:dyDescent="0.2">
      <c r="A497" t="s">
        <v>867</v>
      </c>
      <c r="B497" s="224" t="s">
        <v>611</v>
      </c>
      <c r="C497" s="224" t="s">
        <v>824</v>
      </c>
      <c r="D497" s="35" t="s">
        <v>148</v>
      </c>
      <c r="E497" s="35" t="s">
        <v>662</v>
      </c>
      <c r="F497" s="35" t="s">
        <v>374</v>
      </c>
      <c r="G497" s="35" t="s">
        <v>627</v>
      </c>
      <c r="H497" s="35" t="s">
        <v>580</v>
      </c>
      <c r="I497" s="147">
        <v>1842</v>
      </c>
      <c r="J497" s="34">
        <v>1726.3551509121658</v>
      </c>
      <c r="K497" s="34">
        <f t="shared" si="91"/>
        <v>-115.64484908783425</v>
      </c>
      <c r="L497" s="56">
        <f t="shared" si="92"/>
        <v>13373.731120547956</v>
      </c>
      <c r="M497" s="56">
        <f t="shared" si="93"/>
        <v>115.64484908783425</v>
      </c>
      <c r="N497" s="56">
        <f t="shared" si="94"/>
        <v>2.0668655655719346</v>
      </c>
      <c r="O497" s="56">
        <f t="shared" si="103"/>
        <v>-2.0668655655719346</v>
      </c>
      <c r="P497" s="143">
        <f t="shared" si="95"/>
        <v>-6.2782219917391009</v>
      </c>
      <c r="Q497" s="143">
        <f t="shared" si="96"/>
        <v>6.2782219917391009</v>
      </c>
      <c r="R497" s="34">
        <v>1726.7859765677563</v>
      </c>
      <c r="S497" s="56">
        <f t="shared" si="97"/>
        <v>-115.21402343224372</v>
      </c>
      <c r="T497" s="56">
        <f t="shared" si="98"/>
        <v>13274.271195445604</v>
      </c>
      <c r="U497" s="56">
        <f t="shared" si="99"/>
        <v>115.21402343224372</v>
      </c>
      <c r="V497" s="56">
        <f t="shared" si="100"/>
        <v>2.0652585371056955</v>
      </c>
      <c r="W497" s="33">
        <f t="shared" si="101"/>
        <v>-6.2548329767776183</v>
      </c>
      <c r="X497" s="143">
        <f t="shared" si="102"/>
        <v>6.2548329767776183</v>
      </c>
    </row>
    <row r="498" spans="1:24" ht="16" x14ac:dyDescent="0.2">
      <c r="A498" t="s">
        <v>868</v>
      </c>
      <c r="B498" s="224" t="s">
        <v>611</v>
      </c>
      <c r="C498" s="224" t="s">
        <v>824</v>
      </c>
      <c r="D498" s="35" t="s">
        <v>148</v>
      </c>
      <c r="E498" s="35" t="s">
        <v>662</v>
      </c>
      <c r="F498" s="35" t="s">
        <v>374</v>
      </c>
      <c r="G498" s="35" t="s">
        <v>627</v>
      </c>
      <c r="H498" s="35" t="s">
        <v>580</v>
      </c>
      <c r="I498" s="147">
        <v>1530</v>
      </c>
      <c r="J498" s="34">
        <v>1553.703691823559</v>
      </c>
      <c r="K498" s="34">
        <f t="shared" si="91"/>
        <v>23.703691823558984</v>
      </c>
      <c r="L498" s="56">
        <f t="shared" si="92"/>
        <v>561.86500606625702</v>
      </c>
      <c r="M498" s="56">
        <f t="shared" si="93"/>
        <v>23.703691823558984</v>
      </c>
      <c r="N498" s="56">
        <f t="shared" si="94"/>
        <v>1.3927618609029462</v>
      </c>
      <c r="O498" s="56">
        <f t="shared" si="103"/>
        <v>1.3927618609029462</v>
      </c>
      <c r="P498" s="143">
        <f t="shared" si="95"/>
        <v>1.5492609035005871</v>
      </c>
      <c r="Q498" s="143">
        <f t="shared" si="96"/>
        <v>1.5492609035005871</v>
      </c>
      <c r="R498" s="34">
        <v>1573.164159116835</v>
      </c>
      <c r="S498" s="56">
        <f t="shared" si="97"/>
        <v>43.164159116834981</v>
      </c>
      <c r="T498" s="56">
        <f t="shared" si="98"/>
        <v>1863.1446322634483</v>
      </c>
      <c r="U498" s="56">
        <f t="shared" si="99"/>
        <v>43.164159116834981</v>
      </c>
      <c r="V498" s="56">
        <f t="shared" si="100"/>
        <v>1.6450699659085508</v>
      </c>
      <c r="W498" s="33">
        <f t="shared" si="101"/>
        <v>2.8211868703813714</v>
      </c>
      <c r="X498" s="143">
        <f t="shared" si="102"/>
        <v>2.8211868703813714</v>
      </c>
    </row>
    <row r="499" spans="1:24" ht="16" x14ac:dyDescent="0.2">
      <c r="A499" t="s">
        <v>869</v>
      </c>
      <c r="B499" s="224" t="s">
        <v>611</v>
      </c>
      <c r="C499" s="224" t="s">
        <v>824</v>
      </c>
      <c r="D499" s="35" t="s">
        <v>148</v>
      </c>
      <c r="E499" s="35" t="s">
        <v>662</v>
      </c>
      <c r="F499" s="35" t="s">
        <v>374</v>
      </c>
      <c r="G499" s="35" t="s">
        <v>627</v>
      </c>
      <c r="H499" s="35" t="s">
        <v>580</v>
      </c>
      <c r="I499" s="147">
        <v>1686</v>
      </c>
      <c r="J499" s="34">
        <v>1655.8341557116576</v>
      </c>
      <c r="K499" s="34">
        <f t="shared" si="91"/>
        <v>-30.165844288342441</v>
      </c>
      <c r="L499" s="56">
        <f t="shared" si="92"/>
        <v>909.97816162852234</v>
      </c>
      <c r="M499" s="56">
        <f t="shared" si="93"/>
        <v>30.165844288342441</v>
      </c>
      <c r="N499" s="56">
        <f t="shared" si="94"/>
        <v>1.4936788965032184</v>
      </c>
      <c r="O499" s="56">
        <f t="shared" si="103"/>
        <v>-1.4936788965032184</v>
      </c>
      <c r="P499" s="143">
        <f t="shared" si="95"/>
        <v>-1.789195983887452</v>
      </c>
      <c r="Q499" s="143">
        <f t="shared" si="96"/>
        <v>1.789195983887452</v>
      </c>
      <c r="R499" s="34">
        <v>1649.6638428362296</v>
      </c>
      <c r="S499" s="56">
        <f t="shared" si="97"/>
        <v>-36.336157163770395</v>
      </c>
      <c r="T499" s="56">
        <f t="shared" si="98"/>
        <v>1320.3163174302226</v>
      </c>
      <c r="U499" s="56">
        <f t="shared" si="99"/>
        <v>36.336157163770395</v>
      </c>
      <c r="V499" s="56">
        <f t="shared" si="100"/>
        <v>1.5721296160111948</v>
      </c>
      <c r="W499" s="33">
        <f t="shared" si="101"/>
        <v>-2.155169464043321</v>
      </c>
      <c r="X499" s="143">
        <f t="shared" si="102"/>
        <v>2.155169464043321</v>
      </c>
    </row>
    <row r="500" spans="1:24" ht="16" x14ac:dyDescent="0.2">
      <c r="A500" t="s">
        <v>870</v>
      </c>
      <c r="B500" s="224" t="s">
        <v>611</v>
      </c>
      <c r="C500" s="224" t="s">
        <v>824</v>
      </c>
      <c r="D500" s="35" t="s">
        <v>148</v>
      </c>
      <c r="E500" s="35" t="s">
        <v>662</v>
      </c>
      <c r="F500" s="35" t="s">
        <v>374</v>
      </c>
      <c r="G500" s="35" t="s">
        <v>627</v>
      </c>
      <c r="H500" s="35" t="s">
        <v>580</v>
      </c>
      <c r="I500" s="147">
        <v>1582</v>
      </c>
      <c r="J500" s="34">
        <v>1575.110330090185</v>
      </c>
      <c r="K500" s="34">
        <f t="shared" si="91"/>
        <v>-6.8896699098149838</v>
      </c>
      <c r="L500" s="56">
        <f t="shared" si="92"/>
        <v>47.467551466210004</v>
      </c>
      <c r="M500" s="56">
        <f t="shared" si="93"/>
        <v>6.8896699098149838</v>
      </c>
      <c r="N500" s="56">
        <f t="shared" si="94"/>
        <v>0.89705883345723625</v>
      </c>
      <c r="O500" s="56">
        <f t="shared" si="103"/>
        <v>-0.89705883345723625</v>
      </c>
      <c r="P500" s="143">
        <f t="shared" si="95"/>
        <v>-0.43550378696681313</v>
      </c>
      <c r="Q500" s="143">
        <f t="shared" si="96"/>
        <v>0.43550378696681313</v>
      </c>
      <c r="R500" s="34">
        <v>1568.0867834141272</v>
      </c>
      <c r="S500" s="56">
        <f t="shared" si="97"/>
        <v>-13.91321658587276</v>
      </c>
      <c r="T500" s="56">
        <f t="shared" si="98"/>
        <v>193.57759576540488</v>
      </c>
      <c r="U500" s="56">
        <f t="shared" si="99"/>
        <v>13.91321658587276</v>
      </c>
      <c r="V500" s="56">
        <f t="shared" si="100"/>
        <v>1.1735713251989928</v>
      </c>
      <c r="W500" s="33">
        <f t="shared" si="101"/>
        <v>-0.87947007496035146</v>
      </c>
      <c r="X500" s="143">
        <f t="shared" si="102"/>
        <v>0.87947007496035146</v>
      </c>
    </row>
    <row r="501" spans="1:24" ht="16" x14ac:dyDescent="0.2">
      <c r="A501" t="s">
        <v>871</v>
      </c>
      <c r="B501" s="224" t="s">
        <v>611</v>
      </c>
      <c r="C501" s="224" t="s">
        <v>824</v>
      </c>
      <c r="D501" s="35" t="s">
        <v>148</v>
      </c>
      <c r="E501" s="35" t="s">
        <v>662</v>
      </c>
      <c r="F501" s="35" t="s">
        <v>374</v>
      </c>
      <c r="G501" s="35" t="s">
        <v>627</v>
      </c>
      <c r="H501" s="35" t="s">
        <v>580</v>
      </c>
      <c r="I501" s="147">
        <v>1575</v>
      </c>
      <c r="J501" s="34">
        <v>1521.6900043876008</v>
      </c>
      <c r="K501" s="34">
        <f t="shared" si="91"/>
        <v>-53.309995612399234</v>
      </c>
      <c r="L501" s="56">
        <f t="shared" si="92"/>
        <v>2841.9556321940254</v>
      </c>
      <c r="M501" s="56">
        <f t="shared" si="93"/>
        <v>53.309995612399234</v>
      </c>
      <c r="N501" s="56">
        <f t="shared" si="94"/>
        <v>1.7348797677068077</v>
      </c>
      <c r="O501" s="56">
        <f t="shared" si="103"/>
        <v>-1.7348797677068077</v>
      </c>
      <c r="P501" s="143">
        <f t="shared" si="95"/>
        <v>-3.3847616261840785</v>
      </c>
      <c r="Q501" s="143">
        <f t="shared" si="96"/>
        <v>3.3847616261840785</v>
      </c>
      <c r="R501" s="34">
        <v>1522.519787048021</v>
      </c>
      <c r="S501" s="56">
        <f t="shared" si="97"/>
        <v>-52.480212951978956</v>
      </c>
      <c r="T501" s="56">
        <f t="shared" si="98"/>
        <v>2754.17275148506</v>
      </c>
      <c r="U501" s="56">
        <f t="shared" si="99"/>
        <v>52.480212951978956</v>
      </c>
      <c r="V501" s="56">
        <f t="shared" si="100"/>
        <v>1.7281931279034328</v>
      </c>
      <c r="W501" s="33">
        <f t="shared" si="101"/>
        <v>-3.3320770128240609</v>
      </c>
      <c r="X501" s="143">
        <f t="shared" si="102"/>
        <v>3.3320770128240609</v>
      </c>
    </row>
    <row r="502" spans="1:24" ht="16" x14ac:dyDescent="0.2">
      <c r="A502" t="s">
        <v>872</v>
      </c>
      <c r="B502" s="224" t="s">
        <v>611</v>
      </c>
      <c r="C502" s="224" t="s">
        <v>824</v>
      </c>
      <c r="D502" s="35" t="s">
        <v>148</v>
      </c>
      <c r="E502" s="35" t="s">
        <v>662</v>
      </c>
      <c r="F502" s="35" t="s">
        <v>374</v>
      </c>
      <c r="G502" s="35" t="s">
        <v>627</v>
      </c>
      <c r="H502" s="35" t="s">
        <v>580</v>
      </c>
      <c r="I502" s="147">
        <v>1684</v>
      </c>
      <c r="J502" s="34">
        <v>1677.4782483335548</v>
      </c>
      <c r="K502" s="34">
        <f t="shared" si="91"/>
        <v>-6.5217516664451978</v>
      </c>
      <c r="L502" s="56">
        <f t="shared" si="92"/>
        <v>42.533244798780714</v>
      </c>
      <c r="M502" s="56">
        <f t="shared" si="93"/>
        <v>6.5217516664451978</v>
      </c>
      <c r="N502" s="56">
        <f t="shared" si="94"/>
        <v>0.87631899092194854</v>
      </c>
      <c r="O502" s="56">
        <f t="shared" si="103"/>
        <v>-0.87631899092194854</v>
      </c>
      <c r="P502" s="143">
        <f t="shared" si="95"/>
        <v>-0.38727741487204265</v>
      </c>
      <c r="Q502" s="143">
        <f t="shared" si="96"/>
        <v>0.38727741487204265</v>
      </c>
      <c r="R502" s="34">
        <v>1618.9882095405933</v>
      </c>
      <c r="S502" s="56">
        <f t="shared" si="97"/>
        <v>-65.011790459406711</v>
      </c>
      <c r="T502" s="56">
        <f t="shared" si="98"/>
        <v>4226.5328987378052</v>
      </c>
      <c r="U502" s="56">
        <f t="shared" si="99"/>
        <v>65.011790459406711</v>
      </c>
      <c r="V502" s="56">
        <f t="shared" si="100"/>
        <v>1.8196215124227706</v>
      </c>
      <c r="W502" s="33">
        <f t="shared" si="101"/>
        <v>-3.8605576282308025</v>
      </c>
      <c r="X502" s="143">
        <f t="shared" si="102"/>
        <v>3.8605576282308025</v>
      </c>
    </row>
    <row r="503" spans="1:24" ht="16" x14ac:dyDescent="0.2">
      <c r="A503" t="s">
        <v>873</v>
      </c>
      <c r="B503" s="224" t="s">
        <v>611</v>
      </c>
      <c r="C503" s="224" t="s">
        <v>824</v>
      </c>
      <c r="D503" s="35" t="s">
        <v>148</v>
      </c>
      <c r="E503" s="35" t="s">
        <v>662</v>
      </c>
      <c r="F503" s="35" t="s">
        <v>374</v>
      </c>
      <c r="G503" s="35" t="s">
        <v>627</v>
      </c>
      <c r="H503" s="35" t="s">
        <v>580</v>
      </c>
      <c r="I503" s="147">
        <v>1646</v>
      </c>
      <c r="J503" s="34">
        <v>1650.4308011518635</v>
      </c>
      <c r="K503" s="34">
        <f t="shared" si="91"/>
        <v>4.430801151863534</v>
      </c>
      <c r="L503" s="56">
        <f t="shared" si="92"/>
        <v>19.63199884735522</v>
      </c>
      <c r="M503" s="56">
        <f t="shared" si="93"/>
        <v>4.430801151863534</v>
      </c>
      <c r="N503" s="56">
        <f t="shared" si="94"/>
        <v>0.73486390144308045</v>
      </c>
      <c r="O503" s="56">
        <f t="shared" si="103"/>
        <v>0.73486390144308045</v>
      </c>
      <c r="P503" s="143">
        <f t="shared" si="95"/>
        <v>0.26918597520434595</v>
      </c>
      <c r="Q503" s="143">
        <f t="shared" si="96"/>
        <v>0.26918597520434595</v>
      </c>
      <c r="R503" s="34">
        <v>1649.6638428362296</v>
      </c>
      <c r="S503" s="56">
        <f t="shared" si="97"/>
        <v>3.6638428362296054</v>
      </c>
      <c r="T503" s="56">
        <f t="shared" si="98"/>
        <v>13.423744328590999</v>
      </c>
      <c r="U503" s="56">
        <f t="shared" si="99"/>
        <v>3.6638428362296054</v>
      </c>
      <c r="V503" s="56">
        <f t="shared" si="100"/>
        <v>0.66874390699360975</v>
      </c>
      <c r="W503" s="33">
        <f t="shared" si="101"/>
        <v>0.22259069478916194</v>
      </c>
      <c r="X503" s="143">
        <f t="shared" si="102"/>
        <v>0.22259069478916194</v>
      </c>
    </row>
    <row r="504" spans="1:24" ht="16" x14ac:dyDescent="0.2">
      <c r="A504" t="s">
        <v>874</v>
      </c>
      <c r="B504" s="224" t="s">
        <v>611</v>
      </c>
      <c r="C504" s="224" t="s">
        <v>824</v>
      </c>
      <c r="D504" s="35" t="s">
        <v>148</v>
      </c>
      <c r="E504" s="35" t="s">
        <v>662</v>
      </c>
      <c r="F504" s="35" t="s">
        <v>374</v>
      </c>
      <c r="G504" s="35" t="s">
        <v>627</v>
      </c>
      <c r="H504" s="35" t="s">
        <v>580</v>
      </c>
      <c r="I504" s="147">
        <v>1540</v>
      </c>
      <c r="J504" s="34">
        <v>1543.0195689310374</v>
      </c>
      <c r="K504" s="34">
        <f t="shared" si="91"/>
        <v>3.0195689310373837</v>
      </c>
      <c r="L504" s="56">
        <f t="shared" si="92"/>
        <v>9.1177965292862471</v>
      </c>
      <c r="M504" s="56">
        <f t="shared" si="93"/>
        <v>3.0195689310373837</v>
      </c>
      <c r="N504" s="56">
        <f t="shared" si="94"/>
        <v>0.60417948071881977</v>
      </c>
      <c r="O504" s="56">
        <f t="shared" si="103"/>
        <v>0.60417948071881977</v>
      </c>
      <c r="P504" s="143">
        <f t="shared" si="95"/>
        <v>0.19607590461281713</v>
      </c>
      <c r="Q504" s="143">
        <f t="shared" si="96"/>
        <v>0.19607590461281713</v>
      </c>
      <c r="R504" s="34">
        <v>1537.6827799731977</v>
      </c>
      <c r="S504" s="56">
        <f t="shared" si="97"/>
        <v>-2.3172200268022607</v>
      </c>
      <c r="T504" s="56">
        <f t="shared" si="98"/>
        <v>5.3695086526134697</v>
      </c>
      <c r="U504" s="56">
        <f t="shared" si="99"/>
        <v>2.3172200268022607</v>
      </c>
      <c r="V504" s="56">
        <f t="shared" si="100"/>
        <v>0.52077427865151638</v>
      </c>
      <c r="W504" s="33">
        <f t="shared" si="101"/>
        <v>-0.15046883290923771</v>
      </c>
      <c r="X504" s="143">
        <f t="shared" si="102"/>
        <v>0.15046883290923771</v>
      </c>
    </row>
    <row r="505" spans="1:24" ht="16" x14ac:dyDescent="0.2">
      <c r="A505" t="s">
        <v>875</v>
      </c>
      <c r="B505" s="224" t="s">
        <v>611</v>
      </c>
      <c r="C505" s="224" t="s">
        <v>824</v>
      </c>
      <c r="D505" s="35" t="s">
        <v>148</v>
      </c>
      <c r="E505" s="35" t="s">
        <v>662</v>
      </c>
      <c r="F505" s="35" t="s">
        <v>374</v>
      </c>
      <c r="G505" s="35" t="s">
        <v>626</v>
      </c>
      <c r="H505" s="35" t="s">
        <v>580</v>
      </c>
      <c r="I505" s="147">
        <v>1490</v>
      </c>
      <c r="J505" s="34">
        <v>1532.3483203378696</v>
      </c>
      <c r="K505" s="34">
        <f t="shared" si="91"/>
        <v>42.348320337869609</v>
      </c>
      <c r="L505" s="56">
        <f t="shared" si="92"/>
        <v>1793.3802354388208</v>
      </c>
      <c r="M505" s="56">
        <f t="shared" si="93"/>
        <v>42.348320337869609</v>
      </c>
      <c r="N505" s="56">
        <f t="shared" si="94"/>
        <v>1.6369722740814971</v>
      </c>
      <c r="O505" s="56">
        <f t="shared" si="103"/>
        <v>1.6369722740814971</v>
      </c>
      <c r="P505" s="143">
        <f t="shared" si="95"/>
        <v>2.8421691501925914</v>
      </c>
      <c r="Q505" s="143">
        <f t="shared" si="96"/>
        <v>2.8421691501925914</v>
      </c>
      <c r="R505" s="34">
        <v>1487.2417736295602</v>
      </c>
      <c r="S505" s="56">
        <f t="shared" si="97"/>
        <v>-2.7582263704398429</v>
      </c>
      <c r="T505" s="56">
        <f t="shared" si="98"/>
        <v>7.6078127105897497</v>
      </c>
      <c r="U505" s="56">
        <f t="shared" si="99"/>
        <v>2.7582263704398429</v>
      </c>
      <c r="V505" s="56">
        <f t="shared" si="100"/>
        <v>0.57498293554950375</v>
      </c>
      <c r="W505" s="33">
        <f t="shared" si="101"/>
        <v>-0.18511586378790892</v>
      </c>
      <c r="X505" s="143">
        <f t="shared" si="102"/>
        <v>0.18511586378790892</v>
      </c>
    </row>
    <row r="506" spans="1:24" ht="16" x14ac:dyDescent="0.2">
      <c r="A506" t="s">
        <v>876</v>
      </c>
      <c r="B506" s="224" t="s">
        <v>611</v>
      </c>
      <c r="C506" s="224" t="s">
        <v>824</v>
      </c>
      <c r="D506" s="35" t="s">
        <v>148</v>
      </c>
      <c r="E506" s="35" t="s">
        <v>662</v>
      </c>
      <c r="F506" s="35" t="s">
        <v>374</v>
      </c>
      <c r="G506" s="35" t="s">
        <v>627</v>
      </c>
      <c r="H506" s="35" t="s">
        <v>580</v>
      </c>
      <c r="I506" s="147">
        <v>1668</v>
      </c>
      <c r="J506" s="34">
        <v>1770.0048622210404</v>
      </c>
      <c r="K506" s="34">
        <f t="shared" si="91"/>
        <v>102.00486222104041</v>
      </c>
      <c r="L506" s="56">
        <f t="shared" si="92"/>
        <v>10404.991916733437</v>
      </c>
      <c r="M506" s="56">
        <f t="shared" si="93"/>
        <v>102.00486222104041</v>
      </c>
      <c r="N506" s="56">
        <f t="shared" si="94"/>
        <v>2.0128577255394271</v>
      </c>
      <c r="O506" s="56">
        <f t="shared" si="103"/>
        <v>2.0128577255394271</v>
      </c>
      <c r="P506" s="143">
        <f t="shared" si="95"/>
        <v>6.1153994137314402</v>
      </c>
      <c r="Q506" s="143">
        <f t="shared" si="96"/>
        <v>6.1153994137314402</v>
      </c>
      <c r="R506" s="34">
        <v>1742.2834675114409</v>
      </c>
      <c r="S506" s="56">
        <f t="shared" si="97"/>
        <v>74.283467511440904</v>
      </c>
      <c r="T506" s="56">
        <f t="shared" si="98"/>
        <v>5518.0335455232962</v>
      </c>
      <c r="U506" s="56">
        <f t="shared" si="99"/>
        <v>74.283467511440904</v>
      </c>
      <c r="V506" s="56">
        <f t="shared" si="100"/>
        <v>1.8766996142237073</v>
      </c>
      <c r="W506" s="33">
        <f t="shared" si="101"/>
        <v>4.4534452944508933</v>
      </c>
      <c r="X506" s="143">
        <f t="shared" si="102"/>
        <v>4.4534452944508933</v>
      </c>
    </row>
    <row r="507" spans="1:24" ht="16" x14ac:dyDescent="0.2">
      <c r="A507" t="s">
        <v>877</v>
      </c>
      <c r="B507" s="224" t="s">
        <v>611</v>
      </c>
      <c r="C507" s="224" t="s">
        <v>824</v>
      </c>
      <c r="D507" s="35" t="s">
        <v>148</v>
      </c>
      <c r="E507" s="35" t="s">
        <v>662</v>
      </c>
      <c r="F507" s="35" t="s">
        <v>374</v>
      </c>
      <c r="G507" s="35" t="s">
        <v>627</v>
      </c>
      <c r="H507" s="35" t="s">
        <v>580</v>
      </c>
      <c r="I507" s="147">
        <v>1647</v>
      </c>
      <c r="J507" s="34">
        <v>1559.0505630622367</v>
      </c>
      <c r="K507" s="34">
        <f t="shared" si="91"/>
        <v>-87.949436937763267</v>
      </c>
      <c r="L507" s="56">
        <f t="shared" si="92"/>
        <v>7735.1034576695974</v>
      </c>
      <c r="M507" s="56">
        <f t="shared" si="93"/>
        <v>87.949436937763267</v>
      </c>
      <c r="N507" s="56">
        <f t="shared" si="94"/>
        <v>1.9491432032845155</v>
      </c>
      <c r="O507" s="56">
        <f t="shared" si="103"/>
        <v>-1.9491432032845155</v>
      </c>
      <c r="P507" s="143">
        <f t="shared" si="95"/>
        <v>-5.3399779561483474</v>
      </c>
      <c r="Q507" s="143">
        <f t="shared" si="96"/>
        <v>5.3399779561483474</v>
      </c>
      <c r="R507" s="34">
        <v>1547.8059307841538</v>
      </c>
      <c r="S507" s="56">
        <f t="shared" si="97"/>
        <v>-99.194069215846184</v>
      </c>
      <c r="T507" s="56">
        <f t="shared" si="98"/>
        <v>9839.463367598084</v>
      </c>
      <c r="U507" s="56">
        <f t="shared" si="99"/>
        <v>99.194069215846184</v>
      </c>
      <c r="V507" s="56">
        <f t="shared" si="100"/>
        <v>2.0008420151134452</v>
      </c>
      <c r="W507" s="33">
        <f t="shared" si="101"/>
        <v>-6.0227121563962465</v>
      </c>
      <c r="X507" s="143">
        <f t="shared" si="102"/>
        <v>6.0227121563962465</v>
      </c>
    </row>
    <row r="508" spans="1:24" ht="16" x14ac:dyDescent="0.2">
      <c r="A508" t="s">
        <v>878</v>
      </c>
      <c r="B508" s="224" t="s">
        <v>611</v>
      </c>
      <c r="C508" s="224" t="s">
        <v>824</v>
      </c>
      <c r="D508" s="35" t="s">
        <v>148</v>
      </c>
      <c r="E508" s="35" t="s">
        <v>662</v>
      </c>
      <c r="F508" s="35" t="s">
        <v>374</v>
      </c>
      <c r="G508" s="35" t="s">
        <v>627</v>
      </c>
      <c r="H508" s="35" t="s">
        <v>580</v>
      </c>
      <c r="I508" s="147">
        <v>1520</v>
      </c>
      <c r="J508" s="34">
        <v>1484.4885997210692</v>
      </c>
      <c r="K508" s="34">
        <f t="shared" si="91"/>
        <v>-35.511400278930751</v>
      </c>
      <c r="L508" s="56">
        <f t="shared" si="92"/>
        <v>1261.059549770443</v>
      </c>
      <c r="M508" s="56">
        <f t="shared" si="93"/>
        <v>35.511400278930751</v>
      </c>
      <c r="N508" s="56">
        <f t="shared" si="94"/>
        <v>1.5624284892562486</v>
      </c>
      <c r="O508" s="56">
        <f t="shared" si="103"/>
        <v>-1.5624284892562486</v>
      </c>
      <c r="P508" s="143">
        <f t="shared" si="95"/>
        <v>-2.3362763341401811</v>
      </c>
      <c r="Q508" s="143">
        <f t="shared" si="96"/>
        <v>2.3362763341401811</v>
      </c>
      <c r="R508" s="34">
        <v>1477.1888783974962</v>
      </c>
      <c r="S508" s="56">
        <f t="shared" si="97"/>
        <v>-42.811121602503817</v>
      </c>
      <c r="T508" s="56">
        <f t="shared" si="98"/>
        <v>1832.792132864369</v>
      </c>
      <c r="U508" s="56">
        <f t="shared" si="99"/>
        <v>42.811121602503817</v>
      </c>
      <c r="V508" s="56">
        <f t="shared" si="100"/>
        <v>1.6415843716338494</v>
      </c>
      <c r="W508" s="33">
        <f t="shared" si="101"/>
        <v>-2.8165211580594618</v>
      </c>
      <c r="X508" s="143">
        <f t="shared" si="102"/>
        <v>2.8165211580594618</v>
      </c>
    </row>
    <row r="509" spans="1:24" ht="16" x14ac:dyDescent="0.2">
      <c r="A509" t="s">
        <v>879</v>
      </c>
      <c r="B509" s="224" t="s">
        <v>611</v>
      </c>
      <c r="C509" s="224" t="s">
        <v>824</v>
      </c>
      <c r="D509" s="35" t="s">
        <v>148</v>
      </c>
      <c r="E509" s="35" t="s">
        <v>662</v>
      </c>
      <c r="F509" s="35" t="s">
        <v>374</v>
      </c>
      <c r="G509" s="35" t="s">
        <v>627</v>
      </c>
      <c r="H509" s="35" t="s">
        <v>580</v>
      </c>
      <c r="I509" s="147">
        <v>1550</v>
      </c>
      <c r="J509" s="34">
        <v>1569.7538893051656</v>
      </c>
      <c r="K509" s="34">
        <f t="shared" si="91"/>
        <v>19.753889305165558</v>
      </c>
      <c r="L509" s="56">
        <f t="shared" si="92"/>
        <v>390.21614268073421</v>
      </c>
      <c r="M509" s="56">
        <f t="shared" si="93"/>
        <v>19.753889305165558</v>
      </c>
      <c r="N509" s="56">
        <f t="shared" si="94"/>
        <v>1.3170994960115745</v>
      </c>
      <c r="O509" s="56">
        <f t="shared" si="103"/>
        <v>1.3170994960115745</v>
      </c>
      <c r="P509" s="143">
        <f t="shared" si="95"/>
        <v>1.2744444713010037</v>
      </c>
      <c r="Q509" s="143">
        <f t="shared" si="96"/>
        <v>1.2744444713010037</v>
      </c>
      <c r="R509" s="34">
        <v>1547.8059307841538</v>
      </c>
      <c r="S509" s="56">
        <f t="shared" si="97"/>
        <v>-2.1940692158461843</v>
      </c>
      <c r="T509" s="56">
        <f t="shared" si="98"/>
        <v>4.8139397239238901</v>
      </c>
      <c r="U509" s="56">
        <f t="shared" si="99"/>
        <v>2.1940692158461843</v>
      </c>
      <c r="V509" s="56">
        <f t="shared" si="100"/>
        <v>0.5043443231156618</v>
      </c>
      <c r="W509" s="33">
        <f t="shared" si="101"/>
        <v>-0.1415528526352377</v>
      </c>
      <c r="X509" s="143">
        <f t="shared" si="102"/>
        <v>0.1415528526352377</v>
      </c>
    </row>
    <row r="510" spans="1:24" ht="16" x14ac:dyDescent="0.2">
      <c r="A510" t="s">
        <v>880</v>
      </c>
      <c r="B510" s="224" t="s">
        <v>611</v>
      </c>
      <c r="C510" s="224" t="s">
        <v>824</v>
      </c>
      <c r="D510" s="35" t="s">
        <v>148</v>
      </c>
      <c r="E510" s="35" t="s">
        <v>662</v>
      </c>
      <c r="F510" s="35" t="s">
        <v>374</v>
      </c>
      <c r="G510" s="35" t="s">
        <v>627</v>
      </c>
      <c r="H510" s="35" t="s">
        <v>580</v>
      </c>
      <c r="I510" s="147">
        <v>1695</v>
      </c>
      <c r="J510" s="34">
        <v>1677.4782483335548</v>
      </c>
      <c r="K510" s="34">
        <f t="shared" si="91"/>
        <v>-17.521751666445198</v>
      </c>
      <c r="L510" s="56">
        <f t="shared" si="92"/>
        <v>307.01178146057504</v>
      </c>
      <c r="M510" s="56">
        <f t="shared" si="93"/>
        <v>17.521751666445198</v>
      </c>
      <c r="N510" s="56">
        <f t="shared" si="94"/>
        <v>1.2676820570271943</v>
      </c>
      <c r="O510" s="56">
        <f t="shared" si="103"/>
        <v>-1.2676820570271943</v>
      </c>
      <c r="P510" s="143">
        <f t="shared" si="95"/>
        <v>-1.0337316617371799</v>
      </c>
      <c r="Q510" s="143">
        <f t="shared" si="96"/>
        <v>1.0337316617371799</v>
      </c>
      <c r="R510" s="34">
        <v>1624.0938483739187</v>
      </c>
      <c r="S510" s="56">
        <f t="shared" si="97"/>
        <v>-70.906151626081282</v>
      </c>
      <c r="T510" s="56">
        <f t="shared" si="98"/>
        <v>5027.6823384208292</v>
      </c>
      <c r="U510" s="56">
        <f t="shared" si="99"/>
        <v>70.906151626081282</v>
      </c>
      <c r="V510" s="56">
        <f t="shared" si="100"/>
        <v>1.8567660461962223</v>
      </c>
      <c r="W510" s="33">
        <f t="shared" si="101"/>
        <v>-4.1832537832496328</v>
      </c>
      <c r="X510" s="143">
        <f t="shared" si="102"/>
        <v>4.1832537832496328</v>
      </c>
    </row>
    <row r="511" spans="1:24" ht="16" x14ac:dyDescent="0.2">
      <c r="A511" t="s">
        <v>881</v>
      </c>
      <c r="B511" s="224" t="s">
        <v>611</v>
      </c>
      <c r="C511" s="224" t="s">
        <v>824</v>
      </c>
      <c r="D511" s="35" t="s">
        <v>148</v>
      </c>
      <c r="E511" s="35" t="s">
        <v>662</v>
      </c>
      <c r="F511" s="35" t="s">
        <v>374</v>
      </c>
      <c r="G511" s="35" t="s">
        <v>627</v>
      </c>
      <c r="H511" s="35" t="s">
        <v>580</v>
      </c>
      <c r="I511" s="147">
        <v>1835</v>
      </c>
      <c r="J511" s="34">
        <v>1731.8009583856517</v>
      </c>
      <c r="K511" s="34">
        <f t="shared" si="91"/>
        <v>-103.19904161434829</v>
      </c>
      <c r="L511" s="56">
        <f t="shared" si="92"/>
        <v>10650.04219011999</v>
      </c>
      <c r="M511" s="56">
        <f t="shared" si="93"/>
        <v>103.19904161434829</v>
      </c>
      <c r="N511" s="56">
        <f t="shared" si="94"/>
        <v>2.0178637244959989</v>
      </c>
      <c r="O511" s="56">
        <f t="shared" si="103"/>
        <v>-2.0178637244959989</v>
      </c>
      <c r="P511" s="143">
        <f t="shared" si="95"/>
        <v>-5.6239259735339662</v>
      </c>
      <c r="Q511" s="143">
        <f t="shared" si="96"/>
        <v>5.6239259735339662</v>
      </c>
      <c r="R511" s="34">
        <v>1701.0105910788736</v>
      </c>
      <c r="S511" s="56">
        <f t="shared" si="97"/>
        <v>-133.98940892112637</v>
      </c>
      <c r="T511" s="56">
        <f t="shared" si="98"/>
        <v>17953.16170303282</v>
      </c>
      <c r="U511" s="56">
        <f t="shared" si="99"/>
        <v>133.98940892112637</v>
      </c>
      <c r="V511" s="56">
        <f t="shared" si="100"/>
        <v>2.1302996956983513</v>
      </c>
      <c r="W511" s="33">
        <f t="shared" si="101"/>
        <v>-7.3018751455654698</v>
      </c>
      <c r="X511" s="143">
        <f t="shared" si="102"/>
        <v>7.3018751455654698</v>
      </c>
    </row>
    <row r="512" spans="1:24" ht="16" x14ac:dyDescent="0.2">
      <c r="A512" t="s">
        <v>882</v>
      </c>
      <c r="B512" s="224" t="s">
        <v>611</v>
      </c>
      <c r="C512" s="224" t="s">
        <v>824</v>
      </c>
      <c r="D512" s="35" t="s">
        <v>148</v>
      </c>
      <c r="E512" s="35" t="s">
        <v>662</v>
      </c>
      <c r="F512" s="35" t="s">
        <v>374</v>
      </c>
      <c r="G512" s="35" t="s">
        <v>627</v>
      </c>
      <c r="H512" s="35" t="s">
        <v>580</v>
      </c>
      <c r="I512" s="147">
        <v>1643</v>
      </c>
      <c r="J512" s="34">
        <v>1682.8969077103134</v>
      </c>
      <c r="K512" s="34">
        <f t="shared" si="91"/>
        <v>39.896907710313371</v>
      </c>
      <c r="L512" s="56">
        <f t="shared" si="92"/>
        <v>1591.7632448452625</v>
      </c>
      <c r="M512" s="56">
        <f t="shared" si="93"/>
        <v>39.896907710313371</v>
      </c>
      <c r="N512" s="56">
        <f t="shared" si="94"/>
        <v>1.611690471451888</v>
      </c>
      <c r="O512" s="56">
        <f t="shared" si="103"/>
        <v>1.611690471451888</v>
      </c>
      <c r="P512" s="143">
        <f t="shared" si="95"/>
        <v>2.428296269647801</v>
      </c>
      <c r="Q512" s="143">
        <f t="shared" si="96"/>
        <v>2.428296269647801</v>
      </c>
      <c r="R512" s="34">
        <v>1659.9112418339287</v>
      </c>
      <c r="S512" s="56">
        <f t="shared" si="97"/>
        <v>16.911241833928671</v>
      </c>
      <c r="T512" s="56">
        <f t="shared" si="98"/>
        <v>285.99010036561913</v>
      </c>
      <c r="U512" s="56">
        <f t="shared" si="99"/>
        <v>16.911241833928671</v>
      </c>
      <c r="V512" s="56">
        <f t="shared" si="100"/>
        <v>1.2531256976818583</v>
      </c>
      <c r="W512" s="33">
        <f t="shared" si="101"/>
        <v>1.0292904342013798</v>
      </c>
      <c r="X512" s="143">
        <f t="shared" si="102"/>
        <v>1.0292904342013798</v>
      </c>
    </row>
    <row r="513" spans="1:24" ht="16" x14ac:dyDescent="0.2">
      <c r="A513" t="s">
        <v>883</v>
      </c>
      <c r="B513" s="224" t="s">
        <v>611</v>
      </c>
      <c r="C513" s="224" t="s">
        <v>824</v>
      </c>
      <c r="D513" s="35" t="s">
        <v>148</v>
      </c>
      <c r="E513" s="35" t="s">
        <v>662</v>
      </c>
      <c r="F513" s="35" t="s">
        <v>374</v>
      </c>
      <c r="G513" s="35" t="s">
        <v>627</v>
      </c>
      <c r="H513" s="35" t="s">
        <v>580</v>
      </c>
      <c r="I513" s="147">
        <v>1670</v>
      </c>
      <c r="J513" s="34">
        <v>1764.5382841054397</v>
      </c>
      <c r="K513" s="34">
        <f t="shared" si="91"/>
        <v>94.538284105439743</v>
      </c>
      <c r="L513" s="56">
        <f t="shared" si="92"/>
        <v>8937.4871616008404</v>
      </c>
      <c r="M513" s="56">
        <f t="shared" si="93"/>
        <v>94.538284105439743</v>
      </c>
      <c r="N513" s="56">
        <f t="shared" si="94"/>
        <v>1.9801774369658505</v>
      </c>
      <c r="O513" s="56">
        <f t="shared" si="103"/>
        <v>1.9801774369658505</v>
      </c>
      <c r="P513" s="143">
        <f t="shared" si="95"/>
        <v>5.6609750961341163</v>
      </c>
      <c r="Q513" s="143">
        <f t="shared" si="96"/>
        <v>5.6609750961341163</v>
      </c>
      <c r="R513" s="34">
        <v>1726.7859765677563</v>
      </c>
      <c r="S513" s="56">
        <f t="shared" si="97"/>
        <v>56.785976567756279</v>
      </c>
      <c r="T513" s="56">
        <f t="shared" si="98"/>
        <v>3224.6471347537654</v>
      </c>
      <c r="U513" s="56">
        <f t="shared" si="99"/>
        <v>56.785976567756279</v>
      </c>
      <c r="V513" s="56">
        <f t="shared" si="100"/>
        <v>1.7618224571372363</v>
      </c>
      <c r="W513" s="33">
        <f t="shared" si="101"/>
        <v>3.4003578783087591</v>
      </c>
      <c r="X513" s="143">
        <f t="shared" si="102"/>
        <v>3.4003578783087591</v>
      </c>
    </row>
    <row r="514" spans="1:24" ht="15" x14ac:dyDescent="0.2">
      <c r="A514" t="s">
        <v>884</v>
      </c>
      <c r="B514" s="224" t="s">
        <v>611</v>
      </c>
      <c r="C514" s="224" t="s">
        <v>824</v>
      </c>
      <c r="D514" s="35" t="s">
        <v>148</v>
      </c>
      <c r="E514" s="35" t="s">
        <v>662</v>
      </c>
      <c r="F514" s="35" t="s">
        <v>374</v>
      </c>
      <c r="G514" s="35" t="s">
        <v>627</v>
      </c>
      <c r="H514" s="35" t="s">
        <v>580</v>
      </c>
      <c r="I514">
        <v>1733</v>
      </c>
      <c r="J514" s="34">
        <v>1868.9009410172505</v>
      </c>
      <c r="K514" s="34">
        <f t="shared" ref="K514:K577" si="104">J514-I514</f>
        <v>135.90094101725049</v>
      </c>
      <c r="L514" s="56">
        <f t="shared" ref="L514:L577" si="105">K514^2</f>
        <v>18469.065769374196</v>
      </c>
      <c r="M514" s="56">
        <f t="shared" ref="M514:M577" si="106">SQRT(L514)</f>
        <v>135.90094101725049</v>
      </c>
      <c r="N514" s="56">
        <f t="shared" ref="N514:N577" si="107">LOG10(M514+1)</f>
        <v>2.1364064333582027</v>
      </c>
      <c r="O514" s="56">
        <f t="shared" si="103"/>
        <v>2.1364064333582027</v>
      </c>
      <c r="P514" s="143">
        <f t="shared" ref="P514:P577" si="108">100*K514/I514</f>
        <v>7.8419469715666752</v>
      </c>
      <c r="Q514" s="143">
        <f t="shared" ref="Q514:Q577" si="109">ABS(P514)</f>
        <v>7.8419469715666752</v>
      </c>
      <c r="R514" s="34">
        <v>1856.6569812945515</v>
      </c>
      <c r="S514" s="56">
        <f t="shared" ref="S514:S577" si="110">R514-I514</f>
        <v>123.65698129455154</v>
      </c>
      <c r="T514" s="56">
        <f t="shared" ref="T514:T577" si="111">S514^2</f>
        <v>15291.04902288107</v>
      </c>
      <c r="U514" s="56">
        <f t="shared" ref="U514:U577" si="112">SQRT(T514)</f>
        <v>123.65698129455154</v>
      </c>
      <c r="V514" s="56">
        <f t="shared" ref="V514:V577" si="113">LOG10(U514+1)</f>
        <v>2.095716605766373</v>
      </c>
      <c r="W514" s="33">
        <f t="shared" ref="W514:W577" si="114">100*S514/I514</f>
        <v>7.1354288109954735</v>
      </c>
      <c r="X514" s="143">
        <f t="shared" ref="X514:X577" si="115">ABS(W514)</f>
        <v>7.1354288109954735</v>
      </c>
    </row>
    <row r="515" spans="1:24" ht="15" x14ac:dyDescent="0.2">
      <c r="A515" t="s">
        <v>885</v>
      </c>
      <c r="B515" s="224" t="s">
        <v>611</v>
      </c>
      <c r="C515" s="224" t="s">
        <v>824</v>
      </c>
      <c r="D515" s="35" t="s">
        <v>148</v>
      </c>
      <c r="E515" s="35" t="s">
        <v>662</v>
      </c>
      <c r="F515" s="35" t="s">
        <v>374</v>
      </c>
      <c r="G515" s="35" t="s">
        <v>627</v>
      </c>
      <c r="H515" s="35" t="s">
        <v>580</v>
      </c>
      <c r="I515">
        <v>1714</v>
      </c>
      <c r="J515" s="34">
        <v>1645.0305270894471</v>
      </c>
      <c r="K515" s="34">
        <f t="shared" si="104"/>
        <v>-68.969472910552895</v>
      </c>
      <c r="L515" s="56">
        <f t="shared" si="105"/>
        <v>4756.7881935594896</v>
      </c>
      <c r="M515" s="56">
        <f t="shared" si="106"/>
        <v>68.969472910552895</v>
      </c>
      <c r="N515" s="56">
        <f t="shared" si="107"/>
        <v>1.8449086023257384</v>
      </c>
      <c r="O515" s="56">
        <f t="shared" ref="O515:O578" si="116">N515*SIGN(K515)</f>
        <v>-1.8449086023257384</v>
      </c>
      <c r="P515" s="143">
        <f t="shared" si="108"/>
        <v>-4.0238899014324909</v>
      </c>
      <c r="Q515" s="143">
        <f t="shared" si="109"/>
        <v>4.0238899014324909</v>
      </c>
      <c r="R515" s="34">
        <v>1624.0938483739187</v>
      </c>
      <c r="S515" s="56">
        <f t="shared" si="110"/>
        <v>-89.906151626081282</v>
      </c>
      <c r="T515" s="56">
        <f t="shared" si="111"/>
        <v>8083.1161002119179</v>
      </c>
      <c r="U515" s="56">
        <f t="shared" si="112"/>
        <v>89.906151626081282</v>
      </c>
      <c r="V515" s="56">
        <f t="shared" si="113"/>
        <v>1.9585932729564617</v>
      </c>
      <c r="W515" s="33">
        <f t="shared" si="114"/>
        <v>-5.2453997448122101</v>
      </c>
      <c r="X515" s="143">
        <f t="shared" si="115"/>
        <v>5.2453997448122101</v>
      </c>
    </row>
    <row r="516" spans="1:24" ht="15" x14ac:dyDescent="0.2">
      <c r="A516" t="s">
        <v>886</v>
      </c>
      <c r="B516" s="224" t="s">
        <v>611</v>
      </c>
      <c r="C516" s="224" t="s">
        <v>824</v>
      </c>
      <c r="D516" s="35" t="s">
        <v>148</v>
      </c>
      <c r="E516" s="35" t="s">
        <v>662</v>
      </c>
      <c r="F516" s="35" t="s">
        <v>374</v>
      </c>
      <c r="G516" s="35" t="s">
        <v>627</v>
      </c>
      <c r="H516" s="35" t="s">
        <v>580</v>
      </c>
      <c r="I516">
        <v>2100</v>
      </c>
      <c r="J516" s="34">
        <v>2165.3276036965844</v>
      </c>
      <c r="K516" s="34">
        <f t="shared" si="104"/>
        <v>65.327603696584447</v>
      </c>
      <c r="L516" s="56">
        <f t="shared" si="105"/>
        <v>4267.695804737994</v>
      </c>
      <c r="M516" s="56">
        <f t="shared" si="106"/>
        <v>65.327603696584447</v>
      </c>
      <c r="N516" s="56">
        <f t="shared" si="107"/>
        <v>1.8216943072614473</v>
      </c>
      <c r="O516" s="56">
        <f t="shared" si="116"/>
        <v>1.8216943072614473</v>
      </c>
      <c r="P516" s="143">
        <f t="shared" si="108"/>
        <v>3.1108382712659259</v>
      </c>
      <c r="Q516" s="143">
        <f t="shared" si="109"/>
        <v>3.1108382712659259</v>
      </c>
      <c r="R516" s="34">
        <v>2137.1927046052115</v>
      </c>
      <c r="S516" s="56">
        <f t="shared" si="110"/>
        <v>37.192704605211475</v>
      </c>
      <c r="T516" s="56">
        <f t="shared" si="111"/>
        <v>1383.2972758505189</v>
      </c>
      <c r="U516" s="56">
        <f t="shared" si="112"/>
        <v>37.192704605211475</v>
      </c>
      <c r="V516" s="56">
        <f t="shared" si="113"/>
        <v>1.5819804138990781</v>
      </c>
      <c r="W516" s="33">
        <f t="shared" si="114"/>
        <v>1.771081171676737</v>
      </c>
      <c r="X516" s="143">
        <f t="shared" si="115"/>
        <v>1.771081171676737</v>
      </c>
    </row>
    <row r="517" spans="1:24" ht="15" x14ac:dyDescent="0.2">
      <c r="A517" t="s">
        <v>887</v>
      </c>
      <c r="B517" s="224" t="s">
        <v>611</v>
      </c>
      <c r="C517" s="224" t="s">
        <v>824</v>
      </c>
      <c r="D517" s="35" t="s">
        <v>148</v>
      </c>
      <c r="E517" s="35" t="s">
        <v>662</v>
      </c>
      <c r="F517" s="225" t="s">
        <v>494</v>
      </c>
      <c r="G517" s="35" t="s">
        <v>626</v>
      </c>
      <c r="H517" s="35" t="s">
        <v>580</v>
      </c>
      <c r="I517">
        <v>1056</v>
      </c>
      <c r="J517" s="34">
        <v>996.85986700632316</v>
      </c>
      <c r="K517" s="34">
        <f t="shared" si="104"/>
        <v>-59.140132993676843</v>
      </c>
      <c r="L517" s="56">
        <f t="shared" si="105"/>
        <v>3497.5553305097842</v>
      </c>
      <c r="M517" s="56">
        <f t="shared" si="106"/>
        <v>59.140132993676843</v>
      </c>
      <c r="N517" s="56">
        <f t="shared" si="107"/>
        <v>1.779164384162838</v>
      </c>
      <c r="O517" s="56">
        <f t="shared" si="116"/>
        <v>-1.779164384162838</v>
      </c>
      <c r="P517" s="143">
        <f t="shared" si="108"/>
        <v>-5.6003913819769737</v>
      </c>
      <c r="Q517" s="143">
        <f t="shared" si="109"/>
        <v>5.6003913819769737</v>
      </c>
      <c r="R517" s="34">
        <v>995.65441748754699</v>
      </c>
      <c r="S517" s="56">
        <f t="shared" si="110"/>
        <v>-60.345582512453007</v>
      </c>
      <c r="T517" s="56">
        <f t="shared" si="111"/>
        <v>3641.5893287672743</v>
      </c>
      <c r="U517" s="56">
        <f t="shared" si="112"/>
        <v>60.345582512453007</v>
      </c>
      <c r="V517" s="56">
        <f t="shared" si="113"/>
        <v>1.7877832946988992</v>
      </c>
      <c r="W517" s="33">
        <f t="shared" si="114"/>
        <v>-5.7145437985277461</v>
      </c>
      <c r="X517" s="143">
        <f t="shared" si="115"/>
        <v>5.7145437985277461</v>
      </c>
    </row>
    <row r="518" spans="1:24" ht="15" x14ac:dyDescent="0.2">
      <c r="A518" t="s">
        <v>888</v>
      </c>
      <c r="B518" s="224" t="s">
        <v>611</v>
      </c>
      <c r="C518" s="224" t="s">
        <v>824</v>
      </c>
      <c r="D518" s="35" t="s">
        <v>148</v>
      </c>
      <c r="E518" s="35" t="s">
        <v>662</v>
      </c>
      <c r="F518" s="35" t="s">
        <v>374</v>
      </c>
      <c r="G518" s="35" t="s">
        <v>627</v>
      </c>
      <c r="H518" s="35" t="s">
        <v>580</v>
      </c>
      <c r="I518">
        <v>2150</v>
      </c>
      <c r="J518" s="34">
        <v>2046.969635293716</v>
      </c>
      <c r="K518" s="34">
        <f t="shared" si="104"/>
        <v>-103.03036470628399</v>
      </c>
      <c r="L518" s="56">
        <f t="shared" si="105"/>
        <v>10615.25605150989</v>
      </c>
      <c r="M518" s="56">
        <f t="shared" si="106"/>
        <v>103.03036470628399</v>
      </c>
      <c r="N518" s="56">
        <f t="shared" si="107"/>
        <v>2.0171601210260155</v>
      </c>
      <c r="O518" s="56">
        <f t="shared" si="116"/>
        <v>-2.0171601210260155</v>
      </c>
      <c r="P518" s="143">
        <f t="shared" si="108"/>
        <v>-4.7921099863387902</v>
      </c>
      <c r="Q518" s="143">
        <f t="shared" si="109"/>
        <v>4.7921099863387902</v>
      </c>
      <c r="R518" s="34">
        <v>1993.4202971199184</v>
      </c>
      <c r="S518" s="56">
        <f t="shared" si="110"/>
        <v>-156.57970288008164</v>
      </c>
      <c r="T518" s="56">
        <f t="shared" si="111"/>
        <v>24517.203354014648</v>
      </c>
      <c r="U518" s="56">
        <f t="shared" si="112"/>
        <v>156.57970288008164</v>
      </c>
      <c r="V518" s="56">
        <f t="shared" si="113"/>
        <v>2.1975002772724457</v>
      </c>
      <c r="W518" s="33">
        <f t="shared" si="114"/>
        <v>-7.2827768781433324</v>
      </c>
      <c r="X518" s="143">
        <f t="shared" si="115"/>
        <v>7.2827768781433324</v>
      </c>
    </row>
    <row r="519" spans="1:24" ht="15" x14ac:dyDescent="0.2">
      <c r="A519" t="s">
        <v>889</v>
      </c>
      <c r="B519" s="224" t="s">
        <v>611</v>
      </c>
      <c r="C519" s="224" t="s">
        <v>824</v>
      </c>
      <c r="D519" s="35" t="s">
        <v>148</v>
      </c>
      <c r="E519" s="35" t="s">
        <v>662</v>
      </c>
      <c r="F519" s="35" t="s">
        <v>374</v>
      </c>
      <c r="G519" s="35" t="s">
        <v>627</v>
      </c>
      <c r="H519" s="35" t="s">
        <v>580</v>
      </c>
      <c r="I519">
        <v>1895</v>
      </c>
      <c r="J519" s="34">
        <v>1979.8638769618287</v>
      </c>
      <c r="K519" s="34">
        <f t="shared" si="104"/>
        <v>84.863876961828737</v>
      </c>
      <c r="L519" s="56">
        <f t="shared" si="105"/>
        <v>7201.8776129924063</v>
      </c>
      <c r="M519" s="56">
        <f t="shared" si="106"/>
        <v>84.863876961828737</v>
      </c>
      <c r="N519" s="56">
        <f t="shared" si="107"/>
        <v>1.9338104940329572</v>
      </c>
      <c r="O519" s="56">
        <f t="shared" si="116"/>
        <v>1.9338104940329572</v>
      </c>
      <c r="P519" s="143">
        <f t="shared" si="108"/>
        <v>4.4783048528669518</v>
      </c>
      <c r="Q519" s="143">
        <f t="shared" si="109"/>
        <v>4.4783048528669518</v>
      </c>
      <c r="R519" s="34">
        <v>1924.8272586115131</v>
      </c>
      <c r="S519" s="56">
        <f t="shared" si="110"/>
        <v>29.827258611513116</v>
      </c>
      <c r="T519" s="56">
        <f t="shared" si="111"/>
        <v>889.66535627808332</v>
      </c>
      <c r="U519" s="56">
        <f t="shared" si="112"/>
        <v>29.827258611513116</v>
      </c>
      <c r="V519" s="56">
        <f t="shared" si="113"/>
        <v>1.4889349057570567</v>
      </c>
      <c r="W519" s="33">
        <f t="shared" si="114"/>
        <v>1.5739978159109824</v>
      </c>
      <c r="X519" s="143">
        <f t="shared" si="115"/>
        <v>1.5739978159109824</v>
      </c>
    </row>
    <row r="520" spans="1:24" ht="15" x14ac:dyDescent="0.2">
      <c r="A520" t="s">
        <v>890</v>
      </c>
      <c r="B520" s="224" t="s">
        <v>611</v>
      </c>
      <c r="C520" s="224" t="s">
        <v>824</v>
      </c>
      <c r="D520" s="35" t="s">
        <v>148</v>
      </c>
      <c r="E520" s="35" t="s">
        <v>662</v>
      </c>
      <c r="F520" s="35" t="s">
        <v>374</v>
      </c>
      <c r="G520" s="35" t="s">
        <v>626</v>
      </c>
      <c r="H520" s="35" t="s">
        <v>580</v>
      </c>
      <c r="I520">
        <v>1316</v>
      </c>
      <c r="J520" s="34">
        <v>1239.03525936047</v>
      </c>
      <c r="K520" s="34">
        <f t="shared" si="104"/>
        <v>-76.964740639529964</v>
      </c>
      <c r="L520" s="56">
        <f t="shared" si="105"/>
        <v>5923.5713017101152</v>
      </c>
      <c r="M520" s="56">
        <f t="shared" si="106"/>
        <v>76.964740639529964</v>
      </c>
      <c r="N520" s="56">
        <f t="shared" si="107"/>
        <v>1.8918982384880887</v>
      </c>
      <c r="O520" s="56">
        <f t="shared" si="116"/>
        <v>-1.8918982384880887</v>
      </c>
      <c r="P520" s="143">
        <f t="shared" si="108"/>
        <v>-5.848384547076745</v>
      </c>
      <c r="Q520" s="143">
        <f t="shared" si="109"/>
        <v>5.848384547076745</v>
      </c>
      <c r="R520" s="34">
        <v>1229.8771538779613</v>
      </c>
      <c r="S520" s="56">
        <f t="shared" si="110"/>
        <v>-86.122846122038709</v>
      </c>
      <c r="T520" s="56">
        <f t="shared" si="111"/>
        <v>7417.144624160358</v>
      </c>
      <c r="U520" s="56">
        <f t="shared" si="112"/>
        <v>86.122846122038709</v>
      </c>
      <c r="V520" s="56">
        <f t="shared" si="113"/>
        <v>1.940132054476212</v>
      </c>
      <c r="W520" s="33">
        <f t="shared" si="114"/>
        <v>-6.5442892189999027</v>
      </c>
      <c r="X520" s="143">
        <f t="shared" si="115"/>
        <v>6.5442892189999027</v>
      </c>
    </row>
    <row r="521" spans="1:24" ht="15" x14ac:dyDescent="0.2">
      <c r="A521" t="s">
        <v>891</v>
      </c>
      <c r="B521" s="224" t="s">
        <v>611</v>
      </c>
      <c r="C521" s="224" t="s">
        <v>824</v>
      </c>
      <c r="D521" s="35" t="s">
        <v>148</v>
      </c>
      <c r="E521" s="35" t="s">
        <v>662</v>
      </c>
      <c r="F521" s="35" t="s">
        <v>374</v>
      </c>
      <c r="G521" s="35" t="s">
        <v>627</v>
      </c>
      <c r="H521" s="35" t="s">
        <v>580</v>
      </c>
      <c r="I521">
        <v>1704</v>
      </c>
      <c r="J521" s="34">
        <v>1661.2405842157045</v>
      </c>
      <c r="K521" s="34">
        <f t="shared" si="104"/>
        <v>-42.75941578429547</v>
      </c>
      <c r="L521" s="56">
        <f t="shared" si="105"/>
        <v>1828.3676382142567</v>
      </c>
      <c r="M521" s="56">
        <f t="shared" si="106"/>
        <v>42.75941578429547</v>
      </c>
      <c r="N521" s="56">
        <f t="shared" si="107"/>
        <v>1.6410715152597806</v>
      </c>
      <c r="O521" s="56">
        <f t="shared" si="116"/>
        <v>-1.6410715152597806</v>
      </c>
      <c r="P521" s="143">
        <f t="shared" si="108"/>
        <v>-2.5093553864023161</v>
      </c>
      <c r="Q521" s="143">
        <f t="shared" si="109"/>
        <v>2.5093553864023161</v>
      </c>
      <c r="R521" s="34">
        <v>1644.5442894918456</v>
      </c>
      <c r="S521" s="56">
        <f t="shared" si="110"/>
        <v>-59.455710508154425</v>
      </c>
      <c r="T521" s="56">
        <f t="shared" si="111"/>
        <v>3534.9815120294647</v>
      </c>
      <c r="U521" s="56">
        <f t="shared" si="112"/>
        <v>59.455710508154425</v>
      </c>
      <c r="V521" s="56">
        <f t="shared" si="113"/>
        <v>1.7814373295979005</v>
      </c>
      <c r="W521" s="33">
        <f t="shared" si="114"/>
        <v>-3.4891848889761987</v>
      </c>
      <c r="X521" s="143">
        <f t="shared" si="115"/>
        <v>3.4891848889761987</v>
      </c>
    </row>
    <row r="522" spans="1:24" ht="15" x14ac:dyDescent="0.2">
      <c r="A522" t="s">
        <v>892</v>
      </c>
      <c r="B522" s="224" t="s">
        <v>611</v>
      </c>
      <c r="C522" s="224" t="s">
        <v>824</v>
      </c>
      <c r="D522" s="35" t="s">
        <v>148</v>
      </c>
      <c r="E522" s="35" t="s">
        <v>662</v>
      </c>
      <c r="F522" s="35" t="s">
        <v>494</v>
      </c>
      <c r="G522" s="35" t="s">
        <v>626</v>
      </c>
      <c r="H522" s="35" t="s">
        <v>580</v>
      </c>
      <c r="I522">
        <v>1090</v>
      </c>
      <c r="J522" s="34">
        <v>1016.6840673378739</v>
      </c>
      <c r="K522" s="34">
        <f t="shared" si="104"/>
        <v>-73.315932662126102</v>
      </c>
      <c r="L522" s="56">
        <f t="shared" si="105"/>
        <v>5375.2259821174093</v>
      </c>
      <c r="M522" s="56">
        <f t="shared" si="106"/>
        <v>73.315932662126102</v>
      </c>
      <c r="N522" s="56">
        <f t="shared" si="107"/>
        <v>1.8710819325419328</v>
      </c>
      <c r="O522" s="56">
        <f t="shared" si="116"/>
        <v>-1.8710819325419328</v>
      </c>
      <c r="P522" s="143">
        <f t="shared" si="108"/>
        <v>-6.7262323543234963</v>
      </c>
      <c r="Q522" s="143">
        <f t="shared" si="109"/>
        <v>6.7262323543234963</v>
      </c>
      <c r="R522" s="34">
        <v>995.65441748754699</v>
      </c>
      <c r="S522" s="56">
        <f t="shared" si="110"/>
        <v>-94.345582512453007</v>
      </c>
      <c r="T522" s="56">
        <f t="shared" si="111"/>
        <v>8901.0889396140792</v>
      </c>
      <c r="U522" s="56">
        <f t="shared" si="112"/>
        <v>94.345582512453007</v>
      </c>
      <c r="V522" s="56">
        <f t="shared" si="113"/>
        <v>1.9793005764076359</v>
      </c>
      <c r="W522" s="33">
        <f t="shared" si="114"/>
        <v>-8.6555580286654124</v>
      </c>
      <c r="X522" s="143">
        <f t="shared" si="115"/>
        <v>8.6555580286654124</v>
      </c>
    </row>
    <row r="523" spans="1:24" ht="15" x14ac:dyDescent="0.2">
      <c r="A523" t="s">
        <v>893</v>
      </c>
      <c r="B523" s="224" t="s">
        <v>611</v>
      </c>
      <c r="C523" s="224" t="s">
        <v>824</v>
      </c>
      <c r="D523" s="35" t="s">
        <v>148</v>
      </c>
      <c r="E523" s="35" t="s">
        <v>662</v>
      </c>
      <c r="F523" s="35" t="s">
        <v>374</v>
      </c>
      <c r="G523" s="35" t="s">
        <v>626</v>
      </c>
      <c r="H523" s="35" t="s">
        <v>580</v>
      </c>
      <c r="I523">
        <v>1274</v>
      </c>
      <c r="J523" s="34">
        <v>1162.3797422554528</v>
      </c>
      <c r="K523" s="34">
        <f t="shared" si="104"/>
        <v>-111.62025774454719</v>
      </c>
      <c r="L523" s="56">
        <f t="shared" si="105"/>
        <v>12459.081938959147</v>
      </c>
      <c r="M523" s="56">
        <f t="shared" si="106"/>
        <v>111.62025774454719</v>
      </c>
      <c r="N523" s="56">
        <f t="shared" si="107"/>
        <v>2.0516165169395175</v>
      </c>
      <c r="O523" s="56">
        <f t="shared" si="116"/>
        <v>-2.0516165169395175</v>
      </c>
      <c r="P523" s="143">
        <f t="shared" si="108"/>
        <v>-8.7614017067933432</v>
      </c>
      <c r="Q523" s="143">
        <f t="shared" si="109"/>
        <v>8.7614017067933432</v>
      </c>
      <c r="R523" s="34">
        <v>1138.0407350147127</v>
      </c>
      <c r="S523" s="56">
        <f t="shared" si="110"/>
        <v>-135.95926498528729</v>
      </c>
      <c r="T523" s="56">
        <f t="shared" si="111"/>
        <v>18484.921735339565</v>
      </c>
      <c r="U523" s="56">
        <f t="shared" si="112"/>
        <v>135.95926498528729</v>
      </c>
      <c r="V523" s="56">
        <f t="shared" si="113"/>
        <v>2.1365914166256421</v>
      </c>
      <c r="W523" s="33">
        <f t="shared" si="114"/>
        <v>-10.671841835579851</v>
      </c>
      <c r="X523" s="143">
        <f t="shared" si="115"/>
        <v>10.671841835579851</v>
      </c>
    </row>
    <row r="524" spans="1:24" ht="15" x14ac:dyDescent="0.2">
      <c r="A524" t="s">
        <v>894</v>
      </c>
      <c r="B524" s="224" t="s">
        <v>611</v>
      </c>
      <c r="C524" s="224" t="s">
        <v>824</v>
      </c>
      <c r="D524" s="35" t="s">
        <v>148</v>
      </c>
      <c r="E524" s="35" t="s">
        <v>662</v>
      </c>
      <c r="F524" s="35" t="s">
        <v>494</v>
      </c>
      <c r="G524" s="35" t="s">
        <v>626</v>
      </c>
      <c r="H524" s="35" t="s">
        <v>580</v>
      </c>
      <c r="I524">
        <v>1111</v>
      </c>
      <c r="J524" s="34">
        <v>1046.5468215293724</v>
      </c>
      <c r="K524" s="34">
        <f t="shared" si="104"/>
        <v>-64.453178470627563</v>
      </c>
      <c r="L524" s="56">
        <f t="shared" si="105"/>
        <v>4154.2122149665684</v>
      </c>
      <c r="M524" s="56">
        <f t="shared" si="106"/>
        <v>64.453178470627563</v>
      </c>
      <c r="N524" s="56">
        <f t="shared" si="107"/>
        <v>1.8159307411654193</v>
      </c>
      <c r="O524" s="56">
        <f t="shared" si="116"/>
        <v>-1.8159307411654193</v>
      </c>
      <c r="P524" s="143">
        <f t="shared" si="108"/>
        <v>-5.8013661989763783</v>
      </c>
      <c r="Q524" s="143">
        <f t="shared" si="109"/>
        <v>5.8013661989763783</v>
      </c>
      <c r="R524" s="34">
        <v>1028.5795446278428</v>
      </c>
      <c r="S524" s="56">
        <f t="shared" si="110"/>
        <v>-82.420455372157221</v>
      </c>
      <c r="T524" s="56">
        <f t="shared" si="111"/>
        <v>6793.1314637537598</v>
      </c>
      <c r="U524" s="56">
        <f t="shared" si="112"/>
        <v>82.420455372157221</v>
      </c>
      <c r="V524" s="56">
        <f t="shared" si="113"/>
        <v>1.9212725562251725</v>
      </c>
      <c r="W524" s="33">
        <f t="shared" si="114"/>
        <v>-7.4185828417783286</v>
      </c>
      <c r="X524" s="143">
        <f t="shared" si="115"/>
        <v>7.4185828417783286</v>
      </c>
    </row>
    <row r="525" spans="1:24" ht="15" x14ac:dyDescent="0.2">
      <c r="A525" t="s">
        <v>895</v>
      </c>
      <c r="B525" s="224" t="s">
        <v>611</v>
      </c>
      <c r="C525" s="224" t="s">
        <v>824</v>
      </c>
      <c r="D525" s="35" t="s">
        <v>148</v>
      </c>
      <c r="E525" s="35" t="s">
        <v>662</v>
      </c>
      <c r="F525" s="35" t="s">
        <v>494</v>
      </c>
      <c r="G525" s="35" t="s">
        <v>626</v>
      </c>
      <c r="H525" s="35" t="s">
        <v>580</v>
      </c>
      <c r="I525">
        <v>1185</v>
      </c>
      <c r="J525" s="34">
        <v>1142.0838696734827</v>
      </c>
      <c r="K525" s="34">
        <f t="shared" si="104"/>
        <v>-42.916130326517305</v>
      </c>
      <c r="L525" s="56">
        <f t="shared" si="105"/>
        <v>1841.7942422026183</v>
      </c>
      <c r="M525" s="56">
        <f t="shared" si="106"/>
        <v>42.916130326517305</v>
      </c>
      <c r="N525" s="56">
        <f t="shared" si="107"/>
        <v>1.6426240652334687</v>
      </c>
      <c r="O525" s="56">
        <f t="shared" si="116"/>
        <v>-1.6426240652334687</v>
      </c>
      <c r="P525" s="143">
        <f t="shared" si="108"/>
        <v>-3.6216143735457642</v>
      </c>
      <c r="Q525" s="143">
        <f t="shared" si="109"/>
        <v>3.6216143735457642</v>
      </c>
      <c r="R525" s="34">
        <v>1128.4466171623942</v>
      </c>
      <c r="S525" s="56">
        <f t="shared" si="110"/>
        <v>-56.553382837605795</v>
      </c>
      <c r="T525" s="56">
        <f t="shared" si="111"/>
        <v>3198.2851103768057</v>
      </c>
      <c r="U525" s="56">
        <f t="shared" si="112"/>
        <v>56.553382837605795</v>
      </c>
      <c r="V525" s="56">
        <f t="shared" si="113"/>
        <v>1.7600708554119999</v>
      </c>
      <c r="W525" s="33">
        <f t="shared" si="114"/>
        <v>-4.7724373702620921</v>
      </c>
      <c r="X525" s="143">
        <f t="shared" si="115"/>
        <v>4.7724373702620921</v>
      </c>
    </row>
    <row r="526" spans="1:24" ht="15" x14ac:dyDescent="0.2">
      <c r="A526" t="s">
        <v>896</v>
      </c>
      <c r="B526" s="224" t="s">
        <v>611</v>
      </c>
      <c r="C526" s="224" t="s">
        <v>824</v>
      </c>
      <c r="D526" s="35" t="s">
        <v>148</v>
      </c>
      <c r="E526" s="35" t="s">
        <v>662</v>
      </c>
      <c r="F526" s="35" t="s">
        <v>374</v>
      </c>
      <c r="G526" s="35" t="s">
        <v>627</v>
      </c>
      <c r="H526" s="35" t="s">
        <v>580</v>
      </c>
      <c r="I526">
        <v>1750</v>
      </c>
      <c r="J526" s="34">
        <v>1655.8341557116576</v>
      </c>
      <c r="K526" s="34">
        <f t="shared" si="104"/>
        <v>-94.165844288342441</v>
      </c>
      <c r="L526" s="56">
        <f t="shared" si="105"/>
        <v>8867.2062305363543</v>
      </c>
      <c r="M526" s="56">
        <f t="shared" si="106"/>
        <v>94.165844288342441</v>
      </c>
      <c r="N526" s="56">
        <f t="shared" si="107"/>
        <v>1.9784811049104207</v>
      </c>
      <c r="O526" s="56">
        <f t="shared" si="116"/>
        <v>-1.9784811049104207</v>
      </c>
      <c r="P526" s="143">
        <f t="shared" si="108"/>
        <v>-5.3809053879052833</v>
      </c>
      <c r="Q526" s="143">
        <f t="shared" si="109"/>
        <v>5.3809053879052833</v>
      </c>
      <c r="R526" s="34">
        <v>1634.3135031678271</v>
      </c>
      <c r="S526" s="56">
        <f t="shared" si="110"/>
        <v>-115.68649683217291</v>
      </c>
      <c r="T526" s="56">
        <f t="shared" si="111"/>
        <v>13383.365549300352</v>
      </c>
      <c r="U526" s="56">
        <f t="shared" si="112"/>
        <v>115.68649683217291</v>
      </c>
      <c r="V526" s="56">
        <f t="shared" si="113"/>
        <v>2.0670206016273842</v>
      </c>
      <c r="W526" s="33">
        <f t="shared" si="114"/>
        <v>-6.6106569618384521</v>
      </c>
      <c r="X526" s="143">
        <f t="shared" si="115"/>
        <v>6.6106569618384521</v>
      </c>
    </row>
    <row r="527" spans="1:24" ht="15" x14ac:dyDescent="0.2">
      <c r="A527" t="s">
        <v>897</v>
      </c>
      <c r="B527" s="224" t="s">
        <v>611</v>
      </c>
      <c r="C527" s="224" t="s">
        <v>824</v>
      </c>
      <c r="D527" s="35" t="s">
        <v>148</v>
      </c>
      <c r="E527" s="35" t="s">
        <v>662</v>
      </c>
      <c r="F527" s="35" t="s">
        <v>494</v>
      </c>
      <c r="G527" s="35" t="s">
        <v>626</v>
      </c>
      <c r="H527" s="35" t="s">
        <v>580</v>
      </c>
      <c r="I527">
        <v>1031</v>
      </c>
      <c r="J527" s="34">
        <v>947.60083673963652</v>
      </c>
      <c r="K527" s="34">
        <f t="shared" si="104"/>
        <v>-83.39916326036348</v>
      </c>
      <c r="L527" s="56">
        <f t="shared" si="105"/>
        <v>6955.4204325287619</v>
      </c>
      <c r="M527" s="56">
        <f t="shared" si="106"/>
        <v>83.39916326036348</v>
      </c>
      <c r="N527" s="56">
        <f t="shared" si="107"/>
        <v>1.926338141018922</v>
      </c>
      <c r="O527" s="56">
        <f t="shared" si="116"/>
        <v>-1.926338141018922</v>
      </c>
      <c r="P527" s="143">
        <f t="shared" si="108"/>
        <v>-8.0891525955735677</v>
      </c>
      <c r="Q527" s="143">
        <f t="shared" si="109"/>
        <v>8.0891525955735677</v>
      </c>
      <c r="R527" s="34">
        <v>935.01070344248296</v>
      </c>
      <c r="S527" s="56">
        <f t="shared" si="110"/>
        <v>-95.989296557517036</v>
      </c>
      <c r="T527" s="56">
        <f t="shared" si="111"/>
        <v>9213.9450536069526</v>
      </c>
      <c r="U527" s="56">
        <f t="shared" si="112"/>
        <v>95.989296557517036</v>
      </c>
      <c r="V527" s="56">
        <f t="shared" si="113"/>
        <v>1.9867238094982815</v>
      </c>
      <c r="W527" s="33">
        <f t="shared" si="114"/>
        <v>-9.3103100443760471</v>
      </c>
      <c r="X527" s="143">
        <f t="shared" si="115"/>
        <v>9.3103100443760471</v>
      </c>
    </row>
    <row r="528" spans="1:24" ht="15" x14ac:dyDescent="0.2">
      <c r="A528" t="s">
        <v>898</v>
      </c>
      <c r="B528" s="224" t="s">
        <v>611</v>
      </c>
      <c r="C528" s="224" t="s">
        <v>824</v>
      </c>
      <c r="D528" s="35" t="s">
        <v>148</v>
      </c>
      <c r="E528" s="35" t="s">
        <v>662</v>
      </c>
      <c r="F528" s="225" t="s">
        <v>494</v>
      </c>
      <c r="G528" s="35" t="s">
        <v>626</v>
      </c>
      <c r="H528" s="35" t="s">
        <v>580</v>
      </c>
      <c r="I528">
        <v>874</v>
      </c>
      <c r="J528" s="34">
        <v>864.88381477646294</v>
      </c>
      <c r="K528" s="34">
        <f t="shared" si="104"/>
        <v>-9.1161852235370588</v>
      </c>
      <c r="L528" s="56">
        <f t="shared" si="105"/>
        <v>83.104833029835419</v>
      </c>
      <c r="M528" s="56">
        <f t="shared" si="106"/>
        <v>9.1161852235370588</v>
      </c>
      <c r="N528" s="56">
        <f t="shared" si="107"/>
        <v>1.0050167725133745</v>
      </c>
      <c r="O528" s="56">
        <f t="shared" si="116"/>
        <v>-1.0050167725133745</v>
      </c>
      <c r="P528" s="143">
        <f t="shared" si="108"/>
        <v>-1.0430417875900524</v>
      </c>
      <c r="Q528" s="143">
        <f t="shared" si="109"/>
        <v>1.0430417875900524</v>
      </c>
      <c r="R528" s="34">
        <v>861.3048876352027</v>
      </c>
      <c r="S528" s="56">
        <f t="shared" si="110"/>
        <v>-12.695112364797296</v>
      </c>
      <c r="T528" s="56">
        <f t="shared" si="111"/>
        <v>161.1658779548292</v>
      </c>
      <c r="U528" s="56">
        <f t="shared" si="112"/>
        <v>12.695112364797296</v>
      </c>
      <c r="V528" s="56">
        <f t="shared" si="113"/>
        <v>1.1365655998766711</v>
      </c>
      <c r="W528" s="33">
        <f t="shared" si="114"/>
        <v>-1.4525300188555259</v>
      </c>
      <c r="X528" s="143">
        <f t="shared" si="115"/>
        <v>1.4525300188555259</v>
      </c>
    </row>
    <row r="529" spans="1:24" ht="15" x14ac:dyDescent="0.2">
      <c r="A529" t="s">
        <v>899</v>
      </c>
      <c r="B529" s="224" t="s">
        <v>611</v>
      </c>
      <c r="C529" s="224" t="s">
        <v>824</v>
      </c>
      <c r="D529" s="35" t="s">
        <v>148</v>
      </c>
      <c r="E529" s="35" t="s">
        <v>662</v>
      </c>
      <c r="F529" s="35" t="s">
        <v>374</v>
      </c>
      <c r="G529" s="35" t="s">
        <v>627</v>
      </c>
      <c r="H529" s="35" t="s">
        <v>580</v>
      </c>
      <c r="I529">
        <v>2060</v>
      </c>
      <c r="J529" s="34">
        <v>2041.3626484215533</v>
      </c>
      <c r="K529" s="34">
        <f t="shared" si="104"/>
        <v>-18.637351578446669</v>
      </c>
      <c r="L529" s="56">
        <f t="shared" si="105"/>
        <v>347.35087385862852</v>
      </c>
      <c r="M529" s="56">
        <f t="shared" si="106"/>
        <v>18.637351578446669</v>
      </c>
      <c r="N529" s="56">
        <f t="shared" si="107"/>
        <v>1.2930829156085542</v>
      </c>
      <c r="O529" s="56">
        <f t="shared" si="116"/>
        <v>-1.2930829156085542</v>
      </c>
      <c r="P529" s="143">
        <f t="shared" si="108"/>
        <v>-0.90472580477896447</v>
      </c>
      <c r="Q529" s="143">
        <f t="shared" si="109"/>
        <v>0.90472580477896447</v>
      </c>
      <c r="R529" s="34">
        <v>1993.4202971199184</v>
      </c>
      <c r="S529" s="56">
        <f t="shared" si="110"/>
        <v>-66.579702880081641</v>
      </c>
      <c r="T529" s="56">
        <f t="shared" si="111"/>
        <v>4432.8568355999514</v>
      </c>
      <c r="U529" s="56">
        <f t="shared" si="112"/>
        <v>66.579702880081641</v>
      </c>
      <c r="V529" s="56">
        <f t="shared" si="113"/>
        <v>1.8298162780304035</v>
      </c>
      <c r="W529" s="33">
        <f t="shared" si="114"/>
        <v>-3.2320244116544488</v>
      </c>
      <c r="X529" s="143">
        <f t="shared" si="115"/>
        <v>3.2320244116544488</v>
      </c>
    </row>
    <row r="530" spans="1:24" ht="15" x14ac:dyDescent="0.2">
      <c r="A530" t="s">
        <v>836</v>
      </c>
      <c r="B530" s="224" t="s">
        <v>611</v>
      </c>
      <c r="C530" s="224" t="s">
        <v>824</v>
      </c>
      <c r="D530" s="35" t="s">
        <v>148</v>
      </c>
      <c r="E530" s="35" t="s">
        <v>662</v>
      </c>
      <c r="F530" s="35" t="s">
        <v>374</v>
      </c>
      <c r="G530" s="35" t="s">
        <v>627</v>
      </c>
      <c r="H530" s="35" t="s">
        <v>580</v>
      </c>
      <c r="I530">
        <v>2190</v>
      </c>
      <c r="J530" s="34">
        <v>2319.1694693608938</v>
      </c>
      <c r="K530" s="34">
        <f t="shared" si="104"/>
        <v>129.1694693608938</v>
      </c>
      <c r="L530" s="56">
        <f t="shared" si="105"/>
        <v>16684.751814974883</v>
      </c>
      <c r="M530" s="56">
        <f t="shared" si="106"/>
        <v>129.1694693608938</v>
      </c>
      <c r="N530" s="56">
        <f t="shared" si="107"/>
        <v>2.1145091344401363</v>
      </c>
      <c r="O530" s="56">
        <f t="shared" si="116"/>
        <v>2.1145091344401363</v>
      </c>
      <c r="P530" s="143">
        <f t="shared" si="108"/>
        <v>5.8981492858855615</v>
      </c>
      <c r="Q530" s="143">
        <f t="shared" si="109"/>
        <v>5.8981492858855615</v>
      </c>
      <c r="R530" s="34">
        <v>2336.9667704309227</v>
      </c>
      <c r="S530" s="56">
        <f t="shared" si="110"/>
        <v>146.96677043092268</v>
      </c>
      <c r="T530" s="56">
        <f t="shared" si="111"/>
        <v>21599.231610895527</v>
      </c>
      <c r="U530" s="56">
        <f t="shared" si="112"/>
        <v>146.96677043092268</v>
      </c>
      <c r="V530" s="56">
        <f t="shared" si="113"/>
        <v>2.1701641948623251</v>
      </c>
      <c r="W530" s="33">
        <f t="shared" si="114"/>
        <v>6.7108114352019488</v>
      </c>
      <c r="X530" s="143">
        <f t="shared" si="115"/>
        <v>6.7108114352019488</v>
      </c>
    </row>
    <row r="531" spans="1:24" ht="15" x14ac:dyDescent="0.2">
      <c r="A531" t="s">
        <v>837</v>
      </c>
      <c r="B531" s="224" t="s">
        <v>611</v>
      </c>
      <c r="C531" s="224" t="s">
        <v>824</v>
      </c>
      <c r="D531" s="35" t="s">
        <v>148</v>
      </c>
      <c r="E531" s="35" t="s">
        <v>662</v>
      </c>
      <c r="F531" s="225" t="s">
        <v>293</v>
      </c>
      <c r="G531" s="35" t="s">
        <v>627</v>
      </c>
      <c r="H531" s="29" t="s">
        <v>580</v>
      </c>
      <c r="I531">
        <v>2570</v>
      </c>
      <c r="J531" s="34">
        <v>2814.898840365217</v>
      </c>
      <c r="K531" s="34">
        <f t="shared" si="104"/>
        <v>244.89884036521698</v>
      </c>
      <c r="L531" s="56">
        <f t="shared" si="105"/>
        <v>59975.442012228028</v>
      </c>
      <c r="M531" s="56">
        <f t="shared" si="106"/>
        <v>244.89884036521698</v>
      </c>
      <c r="N531" s="56">
        <f t="shared" si="107"/>
        <v>2.3907564806534189</v>
      </c>
      <c r="O531" s="56">
        <f t="shared" si="116"/>
        <v>2.3907564806534189</v>
      </c>
      <c r="P531" s="143">
        <f t="shared" si="108"/>
        <v>9.529137757401438</v>
      </c>
      <c r="Q531" s="143">
        <f t="shared" si="109"/>
        <v>9.529137757401438</v>
      </c>
      <c r="R531" s="34">
        <v>2835.1931696936476</v>
      </c>
      <c r="S531" s="56">
        <f t="shared" si="110"/>
        <v>265.19316969364763</v>
      </c>
      <c r="T531" s="56">
        <f t="shared" si="111"/>
        <v>70327.417252163796</v>
      </c>
      <c r="U531" s="56">
        <f t="shared" si="112"/>
        <v>265.19316969364763</v>
      </c>
      <c r="V531" s="56">
        <f t="shared" si="113"/>
        <v>2.4251969076284552</v>
      </c>
      <c r="W531" s="33">
        <f t="shared" si="114"/>
        <v>10.318800377184733</v>
      </c>
      <c r="X531" s="143">
        <f t="shared" si="115"/>
        <v>10.318800377184733</v>
      </c>
    </row>
    <row r="532" spans="1:24" ht="15" x14ac:dyDescent="0.2">
      <c r="A532" t="s">
        <v>838</v>
      </c>
      <c r="B532" s="224" t="s">
        <v>611</v>
      </c>
      <c r="C532" s="224" t="s">
        <v>824</v>
      </c>
      <c r="D532" s="35" t="s">
        <v>148</v>
      </c>
      <c r="E532" s="35" t="s">
        <v>662</v>
      </c>
      <c r="F532" s="35" t="s">
        <v>374</v>
      </c>
      <c r="G532" s="35" t="s">
        <v>627</v>
      </c>
      <c r="H532" s="35" t="s">
        <v>580</v>
      </c>
      <c r="I532">
        <v>2285</v>
      </c>
      <c r="J532" s="34">
        <v>2492.2125654661204</v>
      </c>
      <c r="K532" s="34">
        <f t="shared" si="104"/>
        <v>207.2125654661204</v>
      </c>
      <c r="L532" s="56">
        <f t="shared" si="105"/>
        <v>42937.047287051231</v>
      </c>
      <c r="M532" s="56">
        <f t="shared" si="106"/>
        <v>207.2125654661204</v>
      </c>
      <c r="N532" s="56">
        <f t="shared" si="107"/>
        <v>2.3185069352990566</v>
      </c>
      <c r="O532" s="56">
        <f t="shared" si="116"/>
        <v>2.3185069352990566</v>
      </c>
      <c r="P532" s="143">
        <f t="shared" si="108"/>
        <v>9.0683836090205858</v>
      </c>
      <c r="Q532" s="143">
        <f t="shared" si="109"/>
        <v>9.0683836090205858</v>
      </c>
      <c r="R532" s="34">
        <v>2501.1698173158056</v>
      </c>
      <c r="S532" s="56">
        <f t="shared" si="110"/>
        <v>216.16981731580563</v>
      </c>
      <c r="T532" s="56">
        <f t="shared" si="111"/>
        <v>46729.389918348781</v>
      </c>
      <c r="U532" s="56">
        <f t="shared" si="112"/>
        <v>216.16981731580563</v>
      </c>
      <c r="V532" s="56">
        <f t="shared" si="113"/>
        <v>2.3367994660178582</v>
      </c>
      <c r="W532" s="33">
        <f t="shared" si="114"/>
        <v>9.4603858781534189</v>
      </c>
      <c r="X532" s="143">
        <f t="shared" si="115"/>
        <v>9.4603858781534189</v>
      </c>
    </row>
    <row r="533" spans="1:24" ht="16" x14ac:dyDescent="0.2">
      <c r="A533" t="s">
        <v>839</v>
      </c>
      <c r="B533" s="224" t="s">
        <v>611</v>
      </c>
      <c r="C533" s="224" t="s">
        <v>824</v>
      </c>
      <c r="D533" s="35" t="s">
        <v>148</v>
      </c>
      <c r="E533" s="35" t="s">
        <v>662</v>
      </c>
      <c r="F533" s="35" t="s">
        <v>374</v>
      </c>
      <c r="G533" s="35" t="s">
        <v>626</v>
      </c>
      <c r="H533" s="35" t="s">
        <v>580</v>
      </c>
      <c r="I533" s="147">
        <v>1380</v>
      </c>
      <c r="J533" s="34">
        <v>1280.2620485680372</v>
      </c>
      <c r="K533" s="34">
        <f t="shared" si="104"/>
        <v>-99.737951431962756</v>
      </c>
      <c r="L533" s="56">
        <f t="shared" si="105"/>
        <v>9947.6589558445612</v>
      </c>
      <c r="M533" s="56">
        <f t="shared" si="106"/>
        <v>99.737951431962756</v>
      </c>
      <c r="N533" s="56">
        <f t="shared" si="107"/>
        <v>2.0031931149667943</v>
      </c>
      <c r="O533" s="56">
        <f t="shared" si="116"/>
        <v>-2.0031931149667943</v>
      </c>
      <c r="P533" s="143">
        <f t="shared" si="108"/>
        <v>-7.2273877849248374</v>
      </c>
      <c r="Q533" s="143">
        <f t="shared" si="109"/>
        <v>7.2273877849248374</v>
      </c>
      <c r="R533" s="34">
        <v>1283.6022952236999</v>
      </c>
      <c r="S533" s="56">
        <f t="shared" si="110"/>
        <v>-96.397704776300088</v>
      </c>
      <c r="T533" s="56">
        <f t="shared" si="111"/>
        <v>9292.5174861387095</v>
      </c>
      <c r="U533" s="56">
        <f t="shared" si="112"/>
        <v>96.397704776300088</v>
      </c>
      <c r="V533" s="56">
        <f t="shared" si="113"/>
        <v>1.9885487226411147</v>
      </c>
      <c r="W533" s="33">
        <f t="shared" si="114"/>
        <v>-6.9853409258188472</v>
      </c>
      <c r="X533" s="143">
        <f t="shared" si="115"/>
        <v>6.9853409258188472</v>
      </c>
    </row>
    <row r="534" spans="1:24" ht="16" x14ac:dyDescent="0.2">
      <c r="A534" t="s">
        <v>840</v>
      </c>
      <c r="B534" s="224" t="s">
        <v>611</v>
      </c>
      <c r="C534" s="224" t="s">
        <v>824</v>
      </c>
      <c r="D534" s="35" t="s">
        <v>148</v>
      </c>
      <c r="E534" s="35" t="s">
        <v>662</v>
      </c>
      <c r="F534" s="225" t="s">
        <v>293</v>
      </c>
      <c r="G534" s="35" t="s">
        <v>627</v>
      </c>
      <c r="H534" s="29" t="s">
        <v>580</v>
      </c>
      <c r="I534" s="147">
        <v>2645</v>
      </c>
      <c r="J534" s="34">
        <v>2726.2189541205153</v>
      </c>
      <c r="K534" s="34">
        <f t="shared" si="104"/>
        <v>81.218954120515264</v>
      </c>
      <c r="L534" s="56">
        <f t="shared" si="105"/>
        <v>6596.518508430363</v>
      </c>
      <c r="M534" s="56">
        <f t="shared" si="106"/>
        <v>81.218954120515264</v>
      </c>
      <c r="N534" s="56">
        <f t="shared" si="107"/>
        <v>1.9149719479663703</v>
      </c>
      <c r="O534" s="56">
        <f t="shared" si="116"/>
        <v>1.9149719479663703</v>
      </c>
      <c r="P534" s="143">
        <f t="shared" si="108"/>
        <v>3.0706598911347927</v>
      </c>
      <c r="Q534" s="143">
        <f t="shared" si="109"/>
        <v>3.0706598911347927</v>
      </c>
      <c r="R534" s="34">
        <v>2723.0466220474482</v>
      </c>
      <c r="S534" s="56">
        <f t="shared" si="110"/>
        <v>78.046622047448182</v>
      </c>
      <c r="T534" s="56">
        <f t="shared" si="111"/>
        <v>6091.2752130172248</v>
      </c>
      <c r="U534" s="56">
        <f t="shared" si="112"/>
        <v>78.046622047448182</v>
      </c>
      <c r="V534" s="56">
        <f t="shared" si="113"/>
        <v>1.8978833156660944</v>
      </c>
      <c r="W534" s="33">
        <f t="shared" si="114"/>
        <v>2.9507229507541846</v>
      </c>
      <c r="X534" s="143">
        <f t="shared" si="115"/>
        <v>2.9507229507541846</v>
      </c>
    </row>
    <row r="535" spans="1:24" ht="16" x14ac:dyDescent="0.2">
      <c r="A535" t="s">
        <v>841</v>
      </c>
      <c r="B535" s="224" t="s">
        <v>611</v>
      </c>
      <c r="C535" s="224" t="s">
        <v>824</v>
      </c>
      <c r="D535" s="35" t="s">
        <v>148</v>
      </c>
      <c r="E535" s="35" t="s">
        <v>662</v>
      </c>
      <c r="F535" s="35" t="s">
        <v>374</v>
      </c>
      <c r="G535" s="35" t="s">
        <v>626</v>
      </c>
      <c r="H535" s="35" t="s">
        <v>580</v>
      </c>
      <c r="I535" s="147">
        <v>1325</v>
      </c>
      <c r="J535" s="34">
        <v>1254.4677287995526</v>
      </c>
      <c r="K535" s="34">
        <f t="shared" si="104"/>
        <v>-70.53227120044744</v>
      </c>
      <c r="L535" s="56">
        <f t="shared" si="105"/>
        <v>4974.8012806934676</v>
      </c>
      <c r="M535" s="56">
        <f t="shared" si="106"/>
        <v>70.53227120044744</v>
      </c>
      <c r="N535" s="56">
        <f t="shared" si="107"/>
        <v>1.8545020144217892</v>
      </c>
      <c r="O535" s="56">
        <f t="shared" si="116"/>
        <v>-1.8545020144217892</v>
      </c>
      <c r="P535" s="143">
        <f t="shared" si="108"/>
        <v>-5.3231902792790518</v>
      </c>
      <c r="Q535" s="143">
        <f t="shared" si="109"/>
        <v>5.3231902792790518</v>
      </c>
      <c r="R535" s="34">
        <v>1249.367268257412</v>
      </c>
      <c r="S535" s="56">
        <f t="shared" si="110"/>
        <v>-75.632731742588021</v>
      </c>
      <c r="T535" s="56">
        <f t="shared" si="111"/>
        <v>5720.3101108462815</v>
      </c>
      <c r="U535" s="56">
        <f t="shared" si="112"/>
        <v>75.632731742588021</v>
      </c>
      <c r="V535" s="56">
        <f t="shared" si="113"/>
        <v>1.8844143072164297</v>
      </c>
      <c r="W535" s="33">
        <f t="shared" si="114"/>
        <v>-5.7081306975538126</v>
      </c>
      <c r="X535" s="143">
        <f t="shared" si="115"/>
        <v>5.7081306975538126</v>
      </c>
    </row>
    <row r="536" spans="1:24" ht="16" x14ac:dyDescent="0.2">
      <c r="A536" t="s">
        <v>842</v>
      </c>
      <c r="B536" s="224" t="s">
        <v>611</v>
      </c>
      <c r="C536" s="224" t="s">
        <v>824</v>
      </c>
      <c r="D536" s="35" t="s">
        <v>148</v>
      </c>
      <c r="E536" s="35" t="s">
        <v>662</v>
      </c>
      <c r="F536" s="35" t="s">
        <v>374</v>
      </c>
      <c r="G536" s="35" t="s">
        <v>627</v>
      </c>
      <c r="H536" s="35" t="s">
        <v>580</v>
      </c>
      <c r="I536" s="147">
        <v>2435</v>
      </c>
      <c r="J536" s="34">
        <v>2550.3695252660445</v>
      </c>
      <c r="K536" s="34">
        <f t="shared" si="104"/>
        <v>115.36952526604455</v>
      </c>
      <c r="L536" s="56">
        <f t="shared" si="105"/>
        <v>13310.12736011249</v>
      </c>
      <c r="M536" s="56">
        <f t="shared" si="106"/>
        <v>115.36952526604455</v>
      </c>
      <c r="N536" s="56">
        <f t="shared" si="107"/>
        <v>2.0658392626022852</v>
      </c>
      <c r="O536" s="56">
        <f t="shared" si="116"/>
        <v>2.0658392626022852</v>
      </c>
      <c r="P536" s="143">
        <f t="shared" si="108"/>
        <v>4.7379681834104534</v>
      </c>
      <c r="Q536" s="143">
        <f t="shared" si="109"/>
        <v>4.7379681834104534</v>
      </c>
      <c r="R536" s="34">
        <v>2501.1698173158056</v>
      </c>
      <c r="S536" s="56">
        <f t="shared" si="110"/>
        <v>66.169817315805631</v>
      </c>
      <c r="T536" s="56">
        <f t="shared" si="111"/>
        <v>4378.444723607091</v>
      </c>
      <c r="U536" s="56">
        <f t="shared" si="112"/>
        <v>66.169817315805631</v>
      </c>
      <c r="V536" s="56">
        <f t="shared" si="113"/>
        <v>1.827174167133806</v>
      </c>
      <c r="W536" s="33">
        <f t="shared" si="114"/>
        <v>2.7174462963369868</v>
      </c>
      <c r="X536" s="143">
        <f t="shared" si="115"/>
        <v>2.7174462963369868</v>
      </c>
    </row>
    <row r="537" spans="1:24" ht="16" x14ac:dyDescent="0.2">
      <c r="A537" t="s">
        <v>843</v>
      </c>
      <c r="B537" s="224" t="s">
        <v>611</v>
      </c>
      <c r="C537" s="224" t="s">
        <v>824</v>
      </c>
      <c r="D537" s="35" t="s">
        <v>148</v>
      </c>
      <c r="E537" s="35" t="s">
        <v>662</v>
      </c>
      <c r="F537" s="35" t="s">
        <v>494</v>
      </c>
      <c r="G537" s="35" t="s">
        <v>626</v>
      </c>
      <c r="H537" s="35" t="s">
        <v>580</v>
      </c>
      <c r="I537" s="147">
        <v>1126</v>
      </c>
      <c r="J537" s="34">
        <v>1061.5343318643738</v>
      </c>
      <c r="K537" s="34">
        <f t="shared" si="104"/>
        <v>-64.465668135626174</v>
      </c>
      <c r="L537" s="56">
        <f t="shared" si="105"/>
        <v>4155.8223681726877</v>
      </c>
      <c r="M537" s="56">
        <f t="shared" si="106"/>
        <v>64.465668135626174</v>
      </c>
      <c r="N537" s="56">
        <f t="shared" si="107"/>
        <v>1.8160136045994746</v>
      </c>
      <c r="O537" s="56">
        <f t="shared" si="116"/>
        <v>-1.8160136045994746</v>
      </c>
      <c r="P537" s="143">
        <f t="shared" si="108"/>
        <v>-5.7251925520094291</v>
      </c>
      <c r="Q537" s="143">
        <f t="shared" si="109"/>
        <v>5.7251925520094291</v>
      </c>
      <c r="R537" s="34">
        <v>1066.4338774009157</v>
      </c>
      <c r="S537" s="56">
        <f t="shared" si="110"/>
        <v>-59.566122599084338</v>
      </c>
      <c r="T537" s="56">
        <f t="shared" si="111"/>
        <v>3548.1229614891458</v>
      </c>
      <c r="U537" s="56">
        <f t="shared" si="112"/>
        <v>59.566122599084338</v>
      </c>
      <c r="V537" s="56">
        <f t="shared" si="113"/>
        <v>1.7822297713234836</v>
      </c>
      <c r="W537" s="33">
        <f t="shared" si="114"/>
        <v>-5.2900641739861758</v>
      </c>
      <c r="X537" s="143">
        <f t="shared" si="115"/>
        <v>5.2900641739861758</v>
      </c>
    </row>
    <row r="538" spans="1:24" ht="16" x14ac:dyDescent="0.2">
      <c r="A538" t="s">
        <v>844</v>
      </c>
      <c r="B538" s="224" t="s">
        <v>611</v>
      </c>
      <c r="C538" s="224" t="s">
        <v>824</v>
      </c>
      <c r="D538" s="35" t="s">
        <v>148</v>
      </c>
      <c r="E538" s="35" t="s">
        <v>662</v>
      </c>
      <c r="F538" s="225" t="s">
        <v>494</v>
      </c>
      <c r="G538" s="35" t="s">
        <v>626</v>
      </c>
      <c r="H538" s="35" t="s">
        <v>580</v>
      </c>
      <c r="I538" s="147">
        <v>1028</v>
      </c>
      <c r="J538" s="34">
        <v>962.33277952529465</v>
      </c>
      <c r="K538" s="34">
        <f t="shared" si="104"/>
        <v>-65.667220474705346</v>
      </c>
      <c r="L538" s="56">
        <f t="shared" si="105"/>
        <v>4312.1838448735607</v>
      </c>
      <c r="M538" s="56">
        <f t="shared" si="106"/>
        <v>65.667220474705346</v>
      </c>
      <c r="N538" s="56">
        <f t="shared" si="107"/>
        <v>1.8239123486659623</v>
      </c>
      <c r="O538" s="56">
        <f t="shared" si="116"/>
        <v>-1.8239123486659623</v>
      </c>
      <c r="P538" s="143">
        <f t="shared" si="108"/>
        <v>-6.3878619138818431</v>
      </c>
      <c r="Q538" s="143">
        <f t="shared" si="109"/>
        <v>6.3878619138818431</v>
      </c>
      <c r="R538" s="34">
        <v>953.59950416395304</v>
      </c>
      <c r="S538" s="56">
        <f t="shared" si="110"/>
        <v>-74.400495836046957</v>
      </c>
      <c r="T538" s="56">
        <f t="shared" si="111"/>
        <v>5535.4337806496405</v>
      </c>
      <c r="U538" s="56">
        <f t="shared" si="112"/>
        <v>74.400495836046957</v>
      </c>
      <c r="V538" s="56">
        <f t="shared" si="113"/>
        <v>1.8773742018134223</v>
      </c>
      <c r="W538" s="33">
        <f t="shared" si="114"/>
        <v>-7.2374023186816103</v>
      </c>
      <c r="X538" s="143">
        <f t="shared" si="115"/>
        <v>7.2374023186816103</v>
      </c>
    </row>
    <row r="539" spans="1:24" ht="16" x14ac:dyDescent="0.2">
      <c r="A539" t="s">
        <v>845</v>
      </c>
      <c r="B539" s="224" t="s">
        <v>611</v>
      </c>
      <c r="C539" s="224" t="s">
        <v>824</v>
      </c>
      <c r="D539" s="35" t="s">
        <v>148</v>
      </c>
      <c r="E539" s="35" t="s">
        <v>662</v>
      </c>
      <c r="F539" s="225" t="s">
        <v>494</v>
      </c>
      <c r="G539" s="35" t="s">
        <v>626</v>
      </c>
      <c r="H539" s="35" t="s">
        <v>580</v>
      </c>
      <c r="I539" s="147">
        <v>1059</v>
      </c>
      <c r="J539" s="34">
        <v>1011.7216476169904</v>
      </c>
      <c r="K539" s="34">
        <f t="shared" si="104"/>
        <v>-47.278352383009633</v>
      </c>
      <c r="L539" s="56">
        <f t="shared" si="105"/>
        <v>2235.2426040520327</v>
      </c>
      <c r="M539" s="56">
        <f t="shared" si="106"/>
        <v>47.278352383009633</v>
      </c>
      <c r="N539" s="56">
        <f t="shared" si="107"/>
        <v>1.6837524403155968</v>
      </c>
      <c r="O539" s="56">
        <f t="shared" si="116"/>
        <v>-1.6837524403155968</v>
      </c>
      <c r="P539" s="143">
        <f t="shared" si="108"/>
        <v>-4.464433652786556</v>
      </c>
      <c r="Q539" s="143">
        <f t="shared" si="109"/>
        <v>4.464433652786556</v>
      </c>
      <c r="R539" s="34">
        <v>986.28166267386018</v>
      </c>
      <c r="S539" s="56">
        <f t="shared" si="110"/>
        <v>-72.718337326139817</v>
      </c>
      <c r="T539" s="56">
        <f t="shared" si="111"/>
        <v>5287.9565834782597</v>
      </c>
      <c r="U539" s="56">
        <f t="shared" si="112"/>
        <v>72.718337326139817</v>
      </c>
      <c r="V539" s="56">
        <f t="shared" si="113"/>
        <v>1.8675755314001863</v>
      </c>
      <c r="W539" s="33">
        <f t="shared" si="114"/>
        <v>-6.8666985199376596</v>
      </c>
      <c r="X539" s="143">
        <f t="shared" si="115"/>
        <v>6.8666985199376596</v>
      </c>
    </row>
    <row r="540" spans="1:24" ht="16" x14ac:dyDescent="0.2">
      <c r="A540" t="s">
        <v>846</v>
      </c>
      <c r="B540" s="224" t="s">
        <v>611</v>
      </c>
      <c r="C540" s="224" t="s">
        <v>824</v>
      </c>
      <c r="D540" s="35" t="s">
        <v>148</v>
      </c>
      <c r="E540" s="35" t="s">
        <v>662</v>
      </c>
      <c r="F540" s="35" t="s">
        <v>374</v>
      </c>
      <c r="G540" s="35" t="s">
        <v>626</v>
      </c>
      <c r="H540" s="35" t="s">
        <v>580</v>
      </c>
      <c r="I540" s="147">
        <v>1312</v>
      </c>
      <c r="J540" s="34">
        <v>1249.3198757774578</v>
      </c>
      <c r="K540" s="34">
        <f t="shared" si="104"/>
        <v>-62.68012422254219</v>
      </c>
      <c r="L540" s="56">
        <f t="shared" si="105"/>
        <v>3928.7979725533201</v>
      </c>
      <c r="M540" s="56">
        <f t="shared" si="106"/>
        <v>62.68012422254219</v>
      </c>
      <c r="N540" s="56">
        <f t="shared" si="107"/>
        <v>1.8040039019204415</v>
      </c>
      <c r="O540" s="56">
        <f t="shared" si="116"/>
        <v>-1.8040039019204415</v>
      </c>
      <c r="P540" s="143">
        <f t="shared" si="108"/>
        <v>-4.7774484925718133</v>
      </c>
      <c r="Q540" s="143">
        <f t="shared" si="109"/>
        <v>4.7774484925718133</v>
      </c>
      <c r="R540" s="34">
        <v>1234.7446794733719</v>
      </c>
      <c r="S540" s="56">
        <f t="shared" si="110"/>
        <v>-77.255320526628111</v>
      </c>
      <c r="T540" s="56">
        <f t="shared" si="111"/>
        <v>5968.3845496720469</v>
      </c>
      <c r="U540" s="56">
        <f t="shared" si="112"/>
        <v>77.255320526628111</v>
      </c>
      <c r="V540" s="56">
        <f t="shared" si="113"/>
        <v>1.8935138746121345</v>
      </c>
      <c r="W540" s="33">
        <f t="shared" si="114"/>
        <v>-5.8883628450173866</v>
      </c>
      <c r="X540" s="143">
        <f t="shared" si="115"/>
        <v>5.8883628450173866</v>
      </c>
    </row>
    <row r="541" spans="1:24" ht="16" x14ac:dyDescent="0.2">
      <c r="A541" t="s">
        <v>847</v>
      </c>
      <c r="B541" s="224" t="s">
        <v>611</v>
      </c>
      <c r="C541" s="224" t="s">
        <v>824</v>
      </c>
      <c r="D541" s="35" t="s">
        <v>148</v>
      </c>
      <c r="E541" s="35" t="s">
        <v>662</v>
      </c>
      <c r="F541" s="35" t="s">
        <v>494</v>
      </c>
      <c r="G541" s="35" t="s">
        <v>626</v>
      </c>
      <c r="H541" s="35" t="s">
        <v>580</v>
      </c>
      <c r="I541" s="147">
        <v>1170</v>
      </c>
      <c r="J541" s="34">
        <v>1157.2999399648631</v>
      </c>
      <c r="K541" s="34">
        <f t="shared" si="104"/>
        <v>-12.700060035136858</v>
      </c>
      <c r="L541" s="56">
        <f t="shared" si="105"/>
        <v>161.2915248960804</v>
      </c>
      <c r="M541" s="56">
        <f t="shared" si="106"/>
        <v>12.700060035136858</v>
      </c>
      <c r="N541" s="56">
        <f t="shared" si="107"/>
        <v>1.1367224702857155</v>
      </c>
      <c r="O541" s="56">
        <f t="shared" si="116"/>
        <v>-1.1367224702857155</v>
      </c>
      <c r="P541" s="143">
        <f t="shared" si="108"/>
        <v>-1.0854752166783639</v>
      </c>
      <c r="Q541" s="143">
        <f t="shared" si="109"/>
        <v>1.0854752166783639</v>
      </c>
      <c r="R541" s="34">
        <v>1142.8430840566896</v>
      </c>
      <c r="S541" s="56">
        <f t="shared" si="110"/>
        <v>-27.156915943310423</v>
      </c>
      <c r="T541" s="56">
        <f t="shared" si="111"/>
        <v>737.49808355202788</v>
      </c>
      <c r="U541" s="56">
        <f t="shared" si="112"/>
        <v>27.156915943310423</v>
      </c>
      <c r="V541" s="56">
        <f t="shared" si="113"/>
        <v>1.4495850843425244</v>
      </c>
      <c r="W541" s="33">
        <f t="shared" si="114"/>
        <v>-2.3211039267786688</v>
      </c>
      <c r="X541" s="143">
        <f t="shared" si="115"/>
        <v>2.3211039267786688</v>
      </c>
    </row>
    <row r="542" spans="1:24" ht="16" x14ac:dyDescent="0.2">
      <c r="A542" t="s">
        <v>848</v>
      </c>
      <c r="B542" s="224" t="s">
        <v>611</v>
      </c>
      <c r="C542" s="224" t="s">
        <v>824</v>
      </c>
      <c r="D542" s="35" t="s">
        <v>148</v>
      </c>
      <c r="E542" s="35" t="s">
        <v>662</v>
      </c>
      <c r="F542" s="35" t="s">
        <v>374</v>
      </c>
      <c r="G542" s="35" t="s">
        <v>626</v>
      </c>
      <c r="H542" s="35" t="s">
        <v>580</v>
      </c>
      <c r="I542" s="147">
        <v>1244</v>
      </c>
      <c r="J542" s="34">
        <v>1228.7654956961364</v>
      </c>
      <c r="K542" s="34">
        <f t="shared" si="104"/>
        <v>-15.234504303863559</v>
      </c>
      <c r="L542" s="56">
        <f t="shared" si="105"/>
        <v>232.09012138443731</v>
      </c>
      <c r="M542" s="56">
        <f t="shared" si="106"/>
        <v>15.234504303863559</v>
      </c>
      <c r="N542" s="56">
        <f t="shared" si="107"/>
        <v>1.2104390326365926</v>
      </c>
      <c r="O542" s="56">
        <f t="shared" si="116"/>
        <v>-1.2104390326365926</v>
      </c>
      <c r="P542" s="143">
        <f t="shared" si="108"/>
        <v>-1.2246386096353343</v>
      </c>
      <c r="Q542" s="143">
        <f t="shared" si="109"/>
        <v>1.2246386096353343</v>
      </c>
      <c r="R542" s="34">
        <v>1210.440634917293</v>
      </c>
      <c r="S542" s="56">
        <f t="shared" si="110"/>
        <v>-33.559365082707018</v>
      </c>
      <c r="T542" s="56">
        <f t="shared" si="111"/>
        <v>1126.230984754415</v>
      </c>
      <c r="U542" s="56">
        <f t="shared" si="112"/>
        <v>33.559365082707018</v>
      </c>
      <c r="V542" s="56">
        <f t="shared" si="113"/>
        <v>1.5385657551144447</v>
      </c>
      <c r="W542" s="33">
        <f t="shared" si="114"/>
        <v>-2.6976981577738761</v>
      </c>
      <c r="X542" s="143">
        <f t="shared" si="115"/>
        <v>2.6976981577738761</v>
      </c>
    </row>
    <row r="543" spans="1:24" ht="16" x14ac:dyDescent="0.2">
      <c r="A543" t="s">
        <v>849</v>
      </c>
      <c r="B543" s="224" t="s">
        <v>611</v>
      </c>
      <c r="C543" s="224" t="s">
        <v>824</v>
      </c>
      <c r="D543" s="35" t="s">
        <v>148</v>
      </c>
      <c r="E543" s="35" t="s">
        <v>662</v>
      </c>
      <c r="F543" s="35" t="s">
        <v>374</v>
      </c>
      <c r="G543" s="35" t="s">
        <v>626</v>
      </c>
      <c r="H543" s="35" t="s">
        <v>580</v>
      </c>
      <c r="I543" s="147">
        <v>1413</v>
      </c>
      <c r="J543" s="34">
        <v>1337.3277711491894</v>
      </c>
      <c r="K543" s="34">
        <f t="shared" si="104"/>
        <v>-75.672228850810598</v>
      </c>
      <c r="L543" s="56">
        <f t="shared" si="105"/>
        <v>5726.2862192494522</v>
      </c>
      <c r="M543" s="56">
        <f t="shared" si="106"/>
        <v>75.672228850810598</v>
      </c>
      <c r="N543" s="56">
        <f t="shared" si="107"/>
        <v>1.8846380883186893</v>
      </c>
      <c r="O543" s="56">
        <f t="shared" si="116"/>
        <v>-1.8846380883186893</v>
      </c>
      <c r="P543" s="143">
        <f t="shared" si="108"/>
        <v>-5.3554302088330221</v>
      </c>
      <c r="Q543" s="143">
        <f t="shared" si="109"/>
        <v>5.3554302088330221</v>
      </c>
      <c r="R543" s="34">
        <v>1332.7857048479736</v>
      </c>
      <c r="S543" s="56">
        <f t="shared" si="110"/>
        <v>-80.214295152026352</v>
      </c>
      <c r="T543" s="56">
        <f t="shared" si="111"/>
        <v>6434.3331467363987</v>
      </c>
      <c r="U543" s="56">
        <f t="shared" si="112"/>
        <v>80.214295152026352</v>
      </c>
      <c r="V543" s="56">
        <f t="shared" si="113"/>
        <v>1.9096324794779385</v>
      </c>
      <c r="W543" s="33">
        <f t="shared" si="114"/>
        <v>-5.6768786377937968</v>
      </c>
      <c r="X543" s="143">
        <f t="shared" si="115"/>
        <v>5.6768786377937968</v>
      </c>
    </row>
    <row r="544" spans="1:24" ht="16" x14ac:dyDescent="0.2">
      <c r="A544" t="s">
        <v>850</v>
      </c>
      <c r="B544" s="224" t="s">
        <v>611</v>
      </c>
      <c r="C544" s="224" t="s">
        <v>824</v>
      </c>
      <c r="D544" s="35" t="s">
        <v>148</v>
      </c>
      <c r="E544" s="35" t="s">
        <v>662</v>
      </c>
      <c r="F544" s="35" t="s">
        <v>374</v>
      </c>
      <c r="G544" s="35" t="s">
        <v>626</v>
      </c>
      <c r="H544" s="35" t="s">
        <v>580</v>
      </c>
      <c r="I544" s="147">
        <v>1240</v>
      </c>
      <c r="J544" s="34">
        <v>1147.1519925039697</v>
      </c>
      <c r="K544" s="34">
        <f t="shared" si="104"/>
        <v>-92.848007496030277</v>
      </c>
      <c r="L544" s="56">
        <f t="shared" si="105"/>
        <v>8620.7524959828952</v>
      </c>
      <c r="M544" s="56">
        <f t="shared" si="106"/>
        <v>92.848007496030277</v>
      </c>
      <c r="N544" s="56">
        <f t="shared" si="107"/>
        <v>1.9724250564707888</v>
      </c>
      <c r="O544" s="56">
        <f t="shared" si="116"/>
        <v>-1.9724250564707888</v>
      </c>
      <c r="P544" s="143">
        <f t="shared" si="108"/>
        <v>-7.4877425400024418</v>
      </c>
      <c r="Q544" s="143">
        <f t="shared" si="109"/>
        <v>7.4877425400024418</v>
      </c>
      <c r="R544" s="34">
        <v>1128.4466171623942</v>
      </c>
      <c r="S544" s="56">
        <f t="shared" si="110"/>
        <v>-111.5533828376058</v>
      </c>
      <c r="T544" s="56">
        <f t="shared" si="111"/>
        <v>12444.157222513442</v>
      </c>
      <c r="U544" s="56">
        <f t="shared" si="112"/>
        <v>111.5533828376058</v>
      </c>
      <c r="V544" s="56">
        <f t="shared" si="113"/>
        <v>2.0513585524296283</v>
      </c>
      <c r="W544" s="33">
        <f t="shared" si="114"/>
        <v>-8.996240551419822</v>
      </c>
      <c r="X544" s="143">
        <f t="shared" si="115"/>
        <v>8.996240551419822</v>
      </c>
    </row>
    <row r="545" spans="1:24" ht="16" x14ac:dyDescent="0.2">
      <c r="A545" t="s">
        <v>851</v>
      </c>
      <c r="B545" s="224" t="s">
        <v>611</v>
      </c>
      <c r="C545" s="224" t="s">
        <v>824</v>
      </c>
      <c r="D545" s="35" t="s">
        <v>148</v>
      </c>
      <c r="E545" s="35" t="s">
        <v>662</v>
      </c>
      <c r="F545" s="35" t="s">
        <v>374</v>
      </c>
      <c r="G545" s="35" t="s">
        <v>627</v>
      </c>
      <c r="H545" s="35" t="s">
        <v>580</v>
      </c>
      <c r="I545" s="147">
        <v>1622</v>
      </c>
      <c r="J545" s="34">
        <v>1516.3657145505204</v>
      </c>
      <c r="K545" s="34">
        <f t="shared" si="104"/>
        <v>-105.63428544947965</v>
      </c>
      <c r="L545" s="56">
        <f t="shared" si="105"/>
        <v>11158.602262422148</v>
      </c>
      <c r="M545" s="56">
        <f t="shared" si="106"/>
        <v>105.63428544947965</v>
      </c>
      <c r="N545" s="56">
        <f t="shared" si="107"/>
        <v>2.0278968631100756</v>
      </c>
      <c r="O545" s="56">
        <f t="shared" si="116"/>
        <v>-2.0278968631100756</v>
      </c>
      <c r="P545" s="143">
        <f t="shared" si="108"/>
        <v>-6.5125946639629868</v>
      </c>
      <c r="Q545" s="143">
        <f t="shared" si="109"/>
        <v>6.5125946639629868</v>
      </c>
      <c r="R545" s="34">
        <v>1507.3830244223295</v>
      </c>
      <c r="S545" s="56">
        <f t="shared" si="110"/>
        <v>-114.61697557767047</v>
      </c>
      <c r="T545" s="56">
        <f t="shared" si="111"/>
        <v>13137.051090572309</v>
      </c>
      <c r="U545" s="56">
        <f t="shared" si="112"/>
        <v>114.61697557767047</v>
      </c>
      <c r="V545" s="56">
        <f t="shared" si="113"/>
        <v>2.0630216044863525</v>
      </c>
      <c r="W545" s="33">
        <f t="shared" si="114"/>
        <v>-7.066398001089425</v>
      </c>
      <c r="X545" s="143">
        <f t="shared" si="115"/>
        <v>7.066398001089425</v>
      </c>
    </row>
    <row r="546" spans="1:24" ht="16" x14ac:dyDescent="0.2">
      <c r="A546" t="s">
        <v>852</v>
      </c>
      <c r="B546" s="224" t="s">
        <v>611</v>
      </c>
      <c r="C546" s="224" t="s">
        <v>824</v>
      </c>
      <c r="D546" s="35" t="s">
        <v>148</v>
      </c>
      <c r="E546" s="35" t="s">
        <v>662</v>
      </c>
      <c r="F546" s="35" t="s">
        <v>374</v>
      </c>
      <c r="G546" s="35" t="s">
        <v>626</v>
      </c>
      <c r="H546" s="35" t="s">
        <v>580</v>
      </c>
      <c r="I546" s="147">
        <v>1210</v>
      </c>
      <c r="J546" s="34">
        <v>1086.5954846785642</v>
      </c>
      <c r="K546" s="34">
        <f t="shared" si="104"/>
        <v>-123.40451532143584</v>
      </c>
      <c r="L546" s="56">
        <f t="shared" si="105"/>
        <v>15228.674401718492</v>
      </c>
      <c r="M546" s="56">
        <f t="shared" si="106"/>
        <v>123.40451532143584</v>
      </c>
      <c r="N546" s="56">
        <f t="shared" si="107"/>
        <v>2.0948361435669849</v>
      </c>
      <c r="O546" s="56">
        <f t="shared" si="116"/>
        <v>-2.0948361435669849</v>
      </c>
      <c r="P546" s="143">
        <f t="shared" si="108"/>
        <v>-10.198720274498829</v>
      </c>
      <c r="Q546" s="143">
        <f t="shared" si="109"/>
        <v>10.198720274498829</v>
      </c>
      <c r="R546" s="34">
        <v>1080.6902044552403</v>
      </c>
      <c r="S546" s="56">
        <f t="shared" si="110"/>
        <v>-129.30979554475971</v>
      </c>
      <c r="T546" s="56">
        <f t="shared" si="111"/>
        <v>16721.023223827557</v>
      </c>
      <c r="U546" s="56">
        <f t="shared" si="112"/>
        <v>129.30979554475971</v>
      </c>
      <c r="V546" s="56">
        <f t="shared" si="113"/>
        <v>2.1149770633805627</v>
      </c>
      <c r="W546" s="33">
        <f t="shared" si="114"/>
        <v>-10.686759962376835</v>
      </c>
      <c r="X546" s="143">
        <f t="shared" si="115"/>
        <v>10.686759962376835</v>
      </c>
    </row>
    <row r="547" spans="1:24" ht="16" x14ac:dyDescent="0.2">
      <c r="A547" t="s">
        <v>853</v>
      </c>
      <c r="B547" s="224" t="s">
        <v>611</v>
      </c>
      <c r="C547" s="224" t="s">
        <v>824</v>
      </c>
      <c r="D547" s="35" t="s">
        <v>148</v>
      </c>
      <c r="E547" s="35" t="s">
        <v>662</v>
      </c>
      <c r="F547" s="35" t="s">
        <v>374</v>
      </c>
      <c r="G547" s="35" t="s">
        <v>626</v>
      </c>
      <c r="H547" s="35" t="s">
        <v>580</v>
      </c>
      <c r="I547" s="147">
        <v>1274</v>
      </c>
      <c r="J547" s="34">
        <v>1198.0461338714558</v>
      </c>
      <c r="K547" s="34">
        <f t="shared" si="104"/>
        <v>-75.953866128544178</v>
      </c>
      <c r="L547" s="56">
        <f t="shared" si="105"/>
        <v>5768.9897798728107</v>
      </c>
      <c r="M547" s="56">
        <f t="shared" si="106"/>
        <v>75.953866128544178</v>
      </c>
      <c r="N547" s="56">
        <f t="shared" si="107"/>
        <v>1.8862304434802368</v>
      </c>
      <c r="O547" s="56">
        <f t="shared" si="116"/>
        <v>-1.8862304434802368</v>
      </c>
      <c r="P547" s="143">
        <f t="shared" si="108"/>
        <v>-5.9618419253174393</v>
      </c>
      <c r="Q547" s="143">
        <f t="shared" si="109"/>
        <v>5.9618419253174393</v>
      </c>
      <c r="R547" s="34">
        <v>1181.3875756457653</v>
      </c>
      <c r="S547" s="56">
        <f t="shared" si="110"/>
        <v>-92.61242435423469</v>
      </c>
      <c r="T547" s="56">
        <f t="shared" si="111"/>
        <v>8577.0611447688425</v>
      </c>
      <c r="U547" s="56">
        <f t="shared" si="112"/>
        <v>92.61242435423469</v>
      </c>
      <c r="V547" s="56">
        <f t="shared" si="113"/>
        <v>1.9713334926526249</v>
      </c>
      <c r="W547" s="33">
        <f t="shared" si="114"/>
        <v>-7.2694210639116701</v>
      </c>
      <c r="X547" s="143">
        <f t="shared" si="115"/>
        <v>7.2694210639116701</v>
      </c>
    </row>
    <row r="548" spans="1:24" ht="16" x14ac:dyDescent="0.2">
      <c r="A548" t="s">
        <v>854</v>
      </c>
      <c r="B548" s="224" t="s">
        <v>611</v>
      </c>
      <c r="C548" s="224" t="s">
        <v>824</v>
      </c>
      <c r="D548" s="35" t="s">
        <v>148</v>
      </c>
      <c r="E548" s="35" t="s">
        <v>662</v>
      </c>
      <c r="F548" s="35" t="s">
        <v>374</v>
      </c>
      <c r="G548" s="35" t="s">
        <v>626</v>
      </c>
      <c r="H548" s="35" t="s">
        <v>580</v>
      </c>
      <c r="I548" s="147">
        <v>1340</v>
      </c>
      <c r="J548" s="34">
        <v>1259.6192651687486</v>
      </c>
      <c r="K548" s="34">
        <f t="shared" si="104"/>
        <v>-80.380734831251402</v>
      </c>
      <c r="L548" s="56">
        <f t="shared" si="105"/>
        <v>6461.0625320119525</v>
      </c>
      <c r="M548" s="56">
        <f t="shared" si="106"/>
        <v>80.380734831251402</v>
      </c>
      <c r="N548" s="56">
        <f t="shared" si="107"/>
        <v>1.9105216070178415</v>
      </c>
      <c r="O548" s="56">
        <f t="shared" si="116"/>
        <v>-1.9105216070178415</v>
      </c>
      <c r="P548" s="143">
        <f t="shared" si="108"/>
        <v>-5.9985623008396569</v>
      </c>
      <c r="Q548" s="143">
        <f t="shared" si="109"/>
        <v>5.9985623008396569</v>
      </c>
      <c r="R548" s="34">
        <v>1220.1521603047181</v>
      </c>
      <c r="S548" s="56">
        <f t="shared" si="110"/>
        <v>-119.84783969528189</v>
      </c>
      <c r="T548" s="56">
        <f t="shared" si="111"/>
        <v>14363.504679625987</v>
      </c>
      <c r="U548" s="56">
        <f t="shared" si="112"/>
        <v>119.84783969528189</v>
      </c>
      <c r="V548" s="56">
        <f t="shared" si="113"/>
        <v>2.0822388912616332</v>
      </c>
      <c r="W548" s="33">
        <f t="shared" si="114"/>
        <v>-8.9438686339762601</v>
      </c>
      <c r="X548" s="143">
        <f t="shared" si="115"/>
        <v>8.9438686339762601</v>
      </c>
    </row>
    <row r="549" spans="1:24" ht="16" x14ac:dyDescent="0.2">
      <c r="A549" t="s">
        <v>855</v>
      </c>
      <c r="B549" s="224" t="s">
        <v>611</v>
      </c>
      <c r="C549" s="224" t="s">
        <v>824</v>
      </c>
      <c r="D549" s="35" t="s">
        <v>148</v>
      </c>
      <c r="E549" s="35" t="s">
        <v>662</v>
      </c>
      <c r="F549" s="225" t="s">
        <v>494</v>
      </c>
      <c r="G549" s="35" t="s">
        <v>626</v>
      </c>
      <c r="H549" s="35" t="s">
        <v>580</v>
      </c>
      <c r="I549" s="147">
        <v>980</v>
      </c>
      <c r="J549" s="34">
        <v>937.80162711048672</v>
      </c>
      <c r="K549" s="34">
        <f t="shared" si="104"/>
        <v>-42.19837288951328</v>
      </c>
      <c r="L549" s="56">
        <f t="shared" si="105"/>
        <v>1780.7026745224093</v>
      </c>
      <c r="M549" s="56">
        <f t="shared" si="106"/>
        <v>42.19837288951328</v>
      </c>
      <c r="N549" s="56">
        <f t="shared" si="107"/>
        <v>1.6354673889812568</v>
      </c>
      <c r="O549" s="56">
        <f t="shared" si="116"/>
        <v>-1.6354673889812568</v>
      </c>
      <c r="P549" s="143">
        <f t="shared" si="108"/>
        <v>-4.3059564172972742</v>
      </c>
      <c r="Q549" s="143">
        <f t="shared" si="109"/>
        <v>4.3059564172972742</v>
      </c>
      <c r="R549" s="34">
        <v>930.37348395905929</v>
      </c>
      <c r="S549" s="56">
        <f t="shared" si="110"/>
        <v>-49.626516040940714</v>
      </c>
      <c r="T549" s="56">
        <f t="shared" si="111"/>
        <v>2462.7910943617462</v>
      </c>
      <c r="U549" s="56">
        <f t="shared" si="112"/>
        <v>49.626516040940714</v>
      </c>
      <c r="V549" s="56">
        <f t="shared" si="113"/>
        <v>1.7043780416223611</v>
      </c>
      <c r="W549" s="33">
        <f t="shared" si="114"/>
        <v>-5.063930208259257</v>
      </c>
      <c r="X549" s="143">
        <f t="shared" si="115"/>
        <v>5.063930208259257</v>
      </c>
    </row>
    <row r="550" spans="1:24" ht="16" x14ac:dyDescent="0.2">
      <c r="A550" t="s">
        <v>856</v>
      </c>
      <c r="B550" s="224" t="s">
        <v>611</v>
      </c>
      <c r="C550" s="224" t="s">
        <v>824</v>
      </c>
      <c r="D550" s="35" t="s">
        <v>148</v>
      </c>
      <c r="E550" s="35" t="s">
        <v>662</v>
      </c>
      <c r="F550" s="225" t="s">
        <v>494</v>
      </c>
      <c r="G550" s="35" t="s">
        <v>626</v>
      </c>
      <c r="H550" s="35" t="s">
        <v>580</v>
      </c>
      <c r="I550" s="147">
        <v>1098</v>
      </c>
      <c r="J550" s="34">
        <v>1071.5465602580607</v>
      </c>
      <c r="K550" s="34">
        <f t="shared" si="104"/>
        <v>-26.453439741939292</v>
      </c>
      <c r="L550" s="56">
        <f t="shared" si="105"/>
        <v>699.7844741804131</v>
      </c>
      <c r="M550" s="56">
        <f t="shared" si="106"/>
        <v>26.453439741939292</v>
      </c>
      <c r="N550" s="56">
        <f t="shared" si="107"/>
        <v>1.4385967665403492</v>
      </c>
      <c r="O550" s="56">
        <f t="shared" si="116"/>
        <v>-1.4385967665403492</v>
      </c>
      <c r="P550" s="143">
        <f t="shared" si="108"/>
        <v>-2.4092385921620485</v>
      </c>
      <c r="Q550" s="143">
        <f t="shared" si="109"/>
        <v>2.4092385921620485</v>
      </c>
      <c r="R550" s="34">
        <v>1071.1823245614171</v>
      </c>
      <c r="S550" s="56">
        <f t="shared" si="110"/>
        <v>-26.81767543858291</v>
      </c>
      <c r="T550" s="56">
        <f t="shared" si="111"/>
        <v>719.18771592917312</v>
      </c>
      <c r="U550" s="56">
        <f t="shared" si="112"/>
        <v>26.81767543858291</v>
      </c>
      <c r="V550" s="56">
        <f t="shared" si="113"/>
        <v>1.4443208357072144</v>
      </c>
      <c r="W550" s="33">
        <f t="shared" si="114"/>
        <v>-2.4424112421295909</v>
      </c>
      <c r="X550" s="143">
        <f t="shared" si="115"/>
        <v>2.4424112421295909</v>
      </c>
    </row>
    <row r="551" spans="1:24" ht="16" x14ac:dyDescent="0.2">
      <c r="A551" t="s">
        <v>857</v>
      </c>
      <c r="B551" s="224" t="s">
        <v>611</v>
      </c>
      <c r="C551" s="224" t="s">
        <v>824</v>
      </c>
      <c r="D551" s="35" t="s">
        <v>148</v>
      </c>
      <c r="E551" s="35" t="s">
        <v>662</v>
      </c>
      <c r="F551" s="225" t="s">
        <v>494</v>
      </c>
      <c r="G551" s="35" t="s">
        <v>626</v>
      </c>
      <c r="H551" s="35" t="s">
        <v>580</v>
      </c>
      <c r="I551" s="147">
        <v>1022</v>
      </c>
      <c r="J551" s="34">
        <v>962.33277952529465</v>
      </c>
      <c r="K551" s="34">
        <f t="shared" si="104"/>
        <v>-59.667220474705346</v>
      </c>
      <c r="L551" s="56">
        <f t="shared" si="105"/>
        <v>3560.177199177097</v>
      </c>
      <c r="M551" s="56">
        <f t="shared" si="106"/>
        <v>59.667220474705346</v>
      </c>
      <c r="N551" s="56">
        <f t="shared" si="107"/>
        <v>1.7829540977930625</v>
      </c>
      <c r="O551" s="56">
        <f t="shared" si="116"/>
        <v>-1.7829540977930625</v>
      </c>
      <c r="P551" s="143">
        <f t="shared" si="108"/>
        <v>-5.8382798898928909</v>
      </c>
      <c r="Q551" s="143">
        <f t="shared" si="109"/>
        <v>5.8382798898928909</v>
      </c>
      <c r="R551" s="34">
        <v>948.94634119723719</v>
      </c>
      <c r="S551" s="56">
        <f t="shared" si="110"/>
        <v>-73.053658802762811</v>
      </c>
      <c r="T551" s="56">
        <f t="shared" si="111"/>
        <v>5336.8370644704846</v>
      </c>
      <c r="U551" s="56">
        <f t="shared" si="112"/>
        <v>73.053658802762811</v>
      </c>
      <c r="V551" s="56">
        <f t="shared" si="113"/>
        <v>1.869546520772088</v>
      </c>
      <c r="W551" s="33">
        <f t="shared" si="114"/>
        <v>-7.1481075149474371</v>
      </c>
      <c r="X551" s="143">
        <f t="shared" si="115"/>
        <v>7.1481075149474371</v>
      </c>
    </row>
    <row r="552" spans="1:24" ht="16" x14ac:dyDescent="0.2">
      <c r="A552" t="s">
        <v>858</v>
      </c>
      <c r="B552" s="224" t="s">
        <v>611</v>
      </c>
      <c r="C552" s="224" t="s">
        <v>824</v>
      </c>
      <c r="D552" s="35" t="s">
        <v>148</v>
      </c>
      <c r="E552" s="35" t="s">
        <v>662</v>
      </c>
      <c r="F552" s="225" t="s">
        <v>494</v>
      </c>
      <c r="G552" s="35" t="s">
        <v>626</v>
      </c>
      <c r="H552" s="35" t="s">
        <v>580</v>
      </c>
      <c r="I552" s="147">
        <v>1062</v>
      </c>
      <c r="J552" s="34">
        <v>1106.7172881826846</v>
      </c>
      <c r="K552" s="34">
        <f t="shared" si="104"/>
        <v>44.71728818268457</v>
      </c>
      <c r="L552" s="56">
        <f t="shared" si="105"/>
        <v>1999.6358624132611</v>
      </c>
      <c r="M552" s="56">
        <f t="shared" si="106"/>
        <v>44.71728818268457</v>
      </c>
      <c r="N552" s="56">
        <f t="shared" si="107"/>
        <v>1.660080461394613</v>
      </c>
      <c r="O552" s="56">
        <f t="shared" si="116"/>
        <v>1.660080461394613</v>
      </c>
      <c r="P552" s="143">
        <f t="shared" si="108"/>
        <v>4.2106674371642718</v>
      </c>
      <c r="Q552" s="143">
        <f t="shared" si="109"/>
        <v>4.2106674371642718</v>
      </c>
      <c r="R552" s="34">
        <v>1080.6902044552403</v>
      </c>
      <c r="S552" s="56">
        <f t="shared" si="110"/>
        <v>18.690204455240291</v>
      </c>
      <c r="T552" s="56">
        <f t="shared" si="111"/>
        <v>349.32374257868406</v>
      </c>
      <c r="U552" s="56">
        <f t="shared" si="112"/>
        <v>18.690204455240291</v>
      </c>
      <c r="V552" s="56">
        <f t="shared" si="113"/>
        <v>1.294250225702448</v>
      </c>
      <c r="W552" s="33">
        <f t="shared" si="114"/>
        <v>1.7599062575555831</v>
      </c>
      <c r="X552" s="143">
        <f t="shared" si="115"/>
        <v>1.7599062575555831</v>
      </c>
    </row>
    <row r="553" spans="1:24" ht="16" x14ac:dyDescent="0.2">
      <c r="A553" t="s">
        <v>859</v>
      </c>
      <c r="B553" s="224" t="s">
        <v>611</v>
      </c>
      <c r="C553" s="224" t="s">
        <v>824</v>
      </c>
      <c r="D553" s="35" t="s">
        <v>148</v>
      </c>
      <c r="E553" s="35" t="s">
        <v>662</v>
      </c>
      <c r="F553" s="35" t="s">
        <v>494</v>
      </c>
      <c r="G553" s="35" t="s">
        <v>626</v>
      </c>
      <c r="H553" s="35" t="s">
        <v>580</v>
      </c>
      <c r="I553" s="147">
        <v>1135</v>
      </c>
      <c r="J553" s="34">
        <v>1051.538530441346</v>
      </c>
      <c r="K553" s="34">
        <f t="shared" si="104"/>
        <v>-83.461469558654017</v>
      </c>
      <c r="L553" s="56">
        <f t="shared" si="105"/>
        <v>6965.8169008901314</v>
      </c>
      <c r="M553" s="56">
        <f t="shared" si="106"/>
        <v>83.461469558654017</v>
      </c>
      <c r="N553" s="56">
        <f t="shared" si="107"/>
        <v>1.9266586335139657</v>
      </c>
      <c r="O553" s="56">
        <f t="shared" si="116"/>
        <v>-1.9266586335139657</v>
      </c>
      <c r="P553" s="143">
        <f t="shared" si="108"/>
        <v>-7.353433441291104</v>
      </c>
      <c r="Q553" s="143">
        <f t="shared" si="109"/>
        <v>7.353433441291104</v>
      </c>
      <c r="R553" s="34">
        <v>1080.6902044552403</v>
      </c>
      <c r="S553" s="56">
        <f t="shared" si="110"/>
        <v>-54.309795544759709</v>
      </c>
      <c r="T553" s="56">
        <f t="shared" si="111"/>
        <v>2949.5538921136017</v>
      </c>
      <c r="U553" s="56">
        <f t="shared" si="112"/>
        <v>54.309795544759709</v>
      </c>
      <c r="V553" s="56">
        <f t="shared" si="113"/>
        <v>1.7428020530823138</v>
      </c>
      <c r="W553" s="33">
        <f t="shared" si="114"/>
        <v>-4.7850040127541593</v>
      </c>
      <c r="X553" s="143">
        <f t="shared" si="115"/>
        <v>4.7850040127541593</v>
      </c>
    </row>
    <row r="554" spans="1:24" ht="16" x14ac:dyDescent="0.2">
      <c r="A554" t="s">
        <v>860</v>
      </c>
      <c r="B554" s="224" t="s">
        <v>611</v>
      </c>
      <c r="C554" s="224" t="s">
        <v>824</v>
      </c>
      <c r="D554" s="35" t="s">
        <v>148</v>
      </c>
      <c r="E554" s="35" t="s">
        <v>662</v>
      </c>
      <c r="F554" s="35" t="s">
        <v>494</v>
      </c>
      <c r="G554" s="35" t="s">
        <v>626</v>
      </c>
      <c r="H554" s="35" t="s">
        <v>580</v>
      </c>
      <c r="I554" s="147">
        <v>1029</v>
      </c>
      <c r="J554" s="34">
        <v>982.03659265130682</v>
      </c>
      <c r="K554" s="34">
        <f t="shared" si="104"/>
        <v>-46.963407348693181</v>
      </c>
      <c r="L554" s="56">
        <f t="shared" si="105"/>
        <v>2205.5616297992888</v>
      </c>
      <c r="M554" s="56">
        <f t="shared" si="106"/>
        <v>46.963407348693181</v>
      </c>
      <c r="N554" s="56">
        <f t="shared" si="107"/>
        <v>1.6809100280584093</v>
      </c>
      <c r="O554" s="56">
        <f t="shared" si="116"/>
        <v>-1.6809100280584093</v>
      </c>
      <c r="P554" s="143">
        <f t="shared" si="108"/>
        <v>-4.5639851650819416</v>
      </c>
      <c r="Q554" s="143">
        <f t="shared" si="109"/>
        <v>4.5639851650819416</v>
      </c>
      <c r="R554" s="34">
        <v>962.91767974553238</v>
      </c>
      <c r="S554" s="56">
        <f t="shared" si="110"/>
        <v>-66.082320254467618</v>
      </c>
      <c r="T554" s="56">
        <f t="shared" si="111"/>
        <v>4366.8730502140215</v>
      </c>
      <c r="U554" s="56">
        <f t="shared" si="112"/>
        <v>66.082320254467618</v>
      </c>
      <c r="V554" s="56">
        <f t="shared" si="113"/>
        <v>1.8266080756437217</v>
      </c>
      <c r="W554" s="33">
        <f t="shared" si="114"/>
        <v>-6.4219941938258129</v>
      </c>
      <c r="X554" s="143">
        <f t="shared" si="115"/>
        <v>6.4219941938258129</v>
      </c>
    </row>
    <row r="555" spans="1:24" ht="16" x14ac:dyDescent="0.2">
      <c r="A555" t="s">
        <v>861</v>
      </c>
      <c r="B555" s="224" t="s">
        <v>611</v>
      </c>
      <c r="C555" s="224" t="s">
        <v>824</v>
      </c>
      <c r="D555" s="35" t="s">
        <v>148</v>
      </c>
      <c r="E555" s="35" t="s">
        <v>662</v>
      </c>
      <c r="F555" s="35" t="s">
        <v>494</v>
      </c>
      <c r="G555" s="35" t="s">
        <v>626</v>
      </c>
      <c r="H555" s="35" t="s">
        <v>580</v>
      </c>
      <c r="I555" s="147">
        <v>1055</v>
      </c>
      <c r="J555" s="34">
        <v>1036.5758514570718</v>
      </c>
      <c r="K555" s="34">
        <f t="shared" si="104"/>
        <v>-18.424148542928151</v>
      </c>
      <c r="L555" s="56">
        <f t="shared" si="105"/>
        <v>339.44924953188149</v>
      </c>
      <c r="M555" s="56">
        <f t="shared" si="106"/>
        <v>18.424148542928151</v>
      </c>
      <c r="N555" s="56">
        <f t="shared" si="107"/>
        <v>1.2883419906022966</v>
      </c>
      <c r="O555" s="56">
        <f t="shared" si="116"/>
        <v>-1.2883419906022966</v>
      </c>
      <c r="P555" s="143">
        <f t="shared" si="108"/>
        <v>-1.7463647907988769</v>
      </c>
      <c r="Q555" s="143">
        <f t="shared" si="109"/>
        <v>1.7463647907988769</v>
      </c>
      <c r="R555" s="34">
        <v>1033.2982799846441</v>
      </c>
      <c r="S555" s="56">
        <f t="shared" si="110"/>
        <v>-21.701720015355932</v>
      </c>
      <c r="T555" s="56">
        <f t="shared" si="111"/>
        <v>470.96465162490023</v>
      </c>
      <c r="U555" s="56">
        <f t="shared" si="112"/>
        <v>21.701720015355932</v>
      </c>
      <c r="V555" s="56">
        <f t="shared" si="113"/>
        <v>1.356058763134923</v>
      </c>
      <c r="W555" s="33">
        <f t="shared" si="114"/>
        <v>-2.0570350725455859</v>
      </c>
      <c r="X555" s="143">
        <f t="shared" si="115"/>
        <v>2.0570350725455859</v>
      </c>
    </row>
    <row r="556" spans="1:24" ht="16" x14ac:dyDescent="0.2">
      <c r="A556" t="s">
        <v>862</v>
      </c>
      <c r="B556" s="224" t="s">
        <v>611</v>
      </c>
      <c r="C556" s="224" t="s">
        <v>824</v>
      </c>
      <c r="D556" s="35" t="s">
        <v>148</v>
      </c>
      <c r="E556" s="35" t="s">
        <v>662</v>
      </c>
      <c r="F556" s="35" t="s">
        <v>374</v>
      </c>
      <c r="G556" s="35" t="s">
        <v>626</v>
      </c>
      <c r="H556" s="35" t="s">
        <v>580</v>
      </c>
      <c r="I556" s="147">
        <v>1280</v>
      </c>
      <c r="J556" s="34">
        <v>1203.1565998007916</v>
      </c>
      <c r="K556" s="34">
        <f t="shared" si="104"/>
        <v>-76.843400199208418</v>
      </c>
      <c r="L556" s="56">
        <f t="shared" si="105"/>
        <v>5904.9081541757041</v>
      </c>
      <c r="M556" s="56">
        <f t="shared" si="106"/>
        <v>76.843400199208418</v>
      </c>
      <c r="N556" s="56">
        <f t="shared" si="107"/>
        <v>1.8912217976547234</v>
      </c>
      <c r="O556" s="56">
        <f t="shared" si="116"/>
        <v>-1.8912217976547234</v>
      </c>
      <c r="P556" s="143">
        <f t="shared" si="108"/>
        <v>-6.0033906405631576</v>
      </c>
      <c r="Q556" s="143">
        <f t="shared" si="109"/>
        <v>6.0033906405631576</v>
      </c>
      <c r="R556" s="34">
        <v>1152.4583140677748</v>
      </c>
      <c r="S556" s="56">
        <f t="shared" si="110"/>
        <v>-127.54168593222516</v>
      </c>
      <c r="T556" s="56">
        <f t="shared" si="111"/>
        <v>16266.881650434363</v>
      </c>
      <c r="U556" s="56">
        <f t="shared" si="112"/>
        <v>127.54168593222516</v>
      </c>
      <c r="V556" s="56">
        <f t="shared" si="113"/>
        <v>2.109043991748806</v>
      </c>
      <c r="W556" s="33">
        <f t="shared" si="114"/>
        <v>-9.9641942134550909</v>
      </c>
      <c r="X556" s="143">
        <f t="shared" si="115"/>
        <v>9.9641942134550909</v>
      </c>
    </row>
    <row r="557" spans="1:24" ht="16" x14ac:dyDescent="0.2">
      <c r="A557" t="s">
        <v>863</v>
      </c>
      <c r="B557" s="224" t="s">
        <v>611</v>
      </c>
      <c r="C557" s="224" t="s">
        <v>824</v>
      </c>
      <c r="D557" s="35" t="s">
        <v>148</v>
      </c>
      <c r="E557" s="35" t="s">
        <v>662</v>
      </c>
      <c r="F557" s="225" t="s">
        <v>494</v>
      </c>
      <c r="G557" s="35" t="s">
        <v>626</v>
      </c>
      <c r="H557" s="35" t="s">
        <v>580</v>
      </c>
      <c r="I557" s="147">
        <v>1110</v>
      </c>
      <c r="J557" s="34">
        <v>1051.538530441346</v>
      </c>
      <c r="K557" s="34">
        <f t="shared" si="104"/>
        <v>-58.461469558654017</v>
      </c>
      <c r="L557" s="56">
        <f t="shared" si="105"/>
        <v>3417.7434229574301</v>
      </c>
      <c r="M557" s="56">
        <f t="shared" si="106"/>
        <v>58.461469558654017</v>
      </c>
      <c r="N557" s="56">
        <f t="shared" si="107"/>
        <v>1.7742356383591233</v>
      </c>
      <c r="O557" s="56">
        <f t="shared" si="116"/>
        <v>-1.7742356383591233</v>
      </c>
      <c r="P557" s="143">
        <f t="shared" si="108"/>
        <v>-5.2667990593381999</v>
      </c>
      <c r="Q557" s="143">
        <f t="shared" si="109"/>
        <v>5.2667990593381999</v>
      </c>
      <c r="R557" s="34">
        <v>1033.2982799846441</v>
      </c>
      <c r="S557" s="56">
        <f t="shared" si="110"/>
        <v>-76.701720015355932</v>
      </c>
      <c r="T557" s="56">
        <f t="shared" si="111"/>
        <v>5883.1538533140529</v>
      </c>
      <c r="U557" s="56">
        <f t="shared" si="112"/>
        <v>76.701720015355932</v>
      </c>
      <c r="V557" s="56">
        <f t="shared" si="113"/>
        <v>1.8904306325063203</v>
      </c>
      <c r="W557" s="33">
        <f t="shared" si="114"/>
        <v>-6.9100648662482822</v>
      </c>
      <c r="X557" s="143">
        <f t="shared" si="115"/>
        <v>6.9100648662482822</v>
      </c>
    </row>
    <row r="558" spans="1:24" ht="16" x14ac:dyDescent="0.2">
      <c r="A558" t="s">
        <v>864</v>
      </c>
      <c r="B558" s="224" t="s">
        <v>611</v>
      </c>
      <c r="C558" s="224" t="s">
        <v>824</v>
      </c>
      <c r="D558" s="35" t="s">
        <v>148</v>
      </c>
      <c r="E558" s="35" t="s">
        <v>662</v>
      </c>
      <c r="F558" s="35" t="s">
        <v>374</v>
      </c>
      <c r="G558" s="35" t="s">
        <v>626</v>
      </c>
      <c r="H558" s="35" t="s">
        <v>580</v>
      </c>
      <c r="I558" s="147">
        <v>1460</v>
      </c>
      <c r="J558" s="34">
        <v>1363.4087889416369</v>
      </c>
      <c r="K558" s="34">
        <f t="shared" si="104"/>
        <v>-96.591211058363115</v>
      </c>
      <c r="L558" s="56">
        <f t="shared" si="105"/>
        <v>9329.8620537212482</v>
      </c>
      <c r="M558" s="56">
        <f t="shared" si="106"/>
        <v>96.591211058363115</v>
      </c>
      <c r="N558" s="56">
        <f t="shared" si="107"/>
        <v>1.9894107074133505</v>
      </c>
      <c r="O558" s="56">
        <f t="shared" si="116"/>
        <v>-1.9894107074133505</v>
      </c>
      <c r="P558" s="143">
        <f t="shared" si="108"/>
        <v>-6.6158363738604873</v>
      </c>
      <c r="Q558" s="143">
        <f t="shared" si="109"/>
        <v>6.6158363738604873</v>
      </c>
      <c r="R558" s="34">
        <v>1352.5485085983555</v>
      </c>
      <c r="S558" s="56">
        <f t="shared" si="110"/>
        <v>-107.45149140164449</v>
      </c>
      <c r="T558" s="56">
        <f t="shared" si="111"/>
        <v>11545.82300443768</v>
      </c>
      <c r="U558" s="56">
        <f t="shared" si="112"/>
        <v>107.45149140164449</v>
      </c>
      <c r="V558" s="56">
        <f t="shared" si="113"/>
        <v>2.0352355287158268</v>
      </c>
      <c r="W558" s="33">
        <f t="shared" si="114"/>
        <v>-7.3596911918934582</v>
      </c>
      <c r="X558" s="143">
        <f t="shared" si="115"/>
        <v>7.3596911918934582</v>
      </c>
    </row>
    <row r="559" spans="1:24" ht="16" x14ac:dyDescent="0.2">
      <c r="A559" t="s">
        <v>865</v>
      </c>
      <c r="B559" s="224" t="s">
        <v>611</v>
      </c>
      <c r="C559" s="224" t="s">
        <v>824</v>
      </c>
      <c r="D559" s="35" t="s">
        <v>148</v>
      </c>
      <c r="E559" s="35" t="s">
        <v>662</v>
      </c>
      <c r="F559" s="35" t="s">
        <v>374</v>
      </c>
      <c r="G559" s="35" t="s">
        <v>627</v>
      </c>
      <c r="H559" s="35" t="s">
        <v>580</v>
      </c>
      <c r="I559" s="147">
        <v>1598</v>
      </c>
      <c r="J559" s="34">
        <v>1591.1986785327085</v>
      </c>
      <c r="K559" s="34">
        <f t="shared" si="104"/>
        <v>-6.8013214672914728</v>
      </c>
      <c r="L559" s="56">
        <f t="shared" si="105"/>
        <v>46.25797370143983</v>
      </c>
      <c r="M559" s="56">
        <f t="shared" si="106"/>
        <v>6.8013214672914728</v>
      </c>
      <c r="N559" s="56">
        <f t="shared" si="107"/>
        <v>0.8921681741447034</v>
      </c>
      <c r="O559" s="56">
        <f t="shared" si="116"/>
        <v>-0.8921681741447034</v>
      </c>
      <c r="P559" s="143">
        <f t="shared" si="108"/>
        <v>-0.42561460996817729</v>
      </c>
      <c r="Q559" s="143">
        <f t="shared" si="109"/>
        <v>0.42561460996817729</v>
      </c>
      <c r="R559" s="34">
        <v>1573.164159116835</v>
      </c>
      <c r="S559" s="56">
        <f t="shared" si="110"/>
        <v>-24.835840883165019</v>
      </c>
      <c r="T559" s="56">
        <f t="shared" si="111"/>
        <v>616.81899237389098</v>
      </c>
      <c r="U559" s="56">
        <f t="shared" si="112"/>
        <v>24.835840883165019</v>
      </c>
      <c r="V559" s="56">
        <f t="shared" si="113"/>
        <v>1.4122226011623256</v>
      </c>
      <c r="W559" s="33">
        <f t="shared" si="114"/>
        <v>-1.5541827836774105</v>
      </c>
      <c r="X559" s="143">
        <f t="shared" si="115"/>
        <v>1.5541827836774105</v>
      </c>
    </row>
    <row r="560" spans="1:24" ht="16" x14ac:dyDescent="0.2">
      <c r="A560" t="s">
        <v>866</v>
      </c>
      <c r="B560" s="224" t="s">
        <v>611</v>
      </c>
      <c r="C560" s="224" t="s">
        <v>824</v>
      </c>
      <c r="D560" s="35" t="s">
        <v>148</v>
      </c>
      <c r="E560" s="35" t="s">
        <v>662</v>
      </c>
      <c r="F560" s="35" t="s">
        <v>374</v>
      </c>
      <c r="G560" s="35" t="s">
        <v>627</v>
      </c>
      <c r="H560" s="35" t="s">
        <v>580</v>
      </c>
      <c r="I560" s="147">
        <v>1565</v>
      </c>
      <c r="J560" s="34">
        <v>1511.04468002675</v>
      </c>
      <c r="K560" s="34">
        <f t="shared" si="104"/>
        <v>-53.955319973249971</v>
      </c>
      <c r="L560" s="56">
        <f t="shared" si="105"/>
        <v>2911.1765534157871</v>
      </c>
      <c r="M560" s="56">
        <f t="shared" si="106"/>
        <v>53.955319973249971</v>
      </c>
      <c r="N560" s="56">
        <f t="shared" si="107"/>
        <v>1.7400097408576241</v>
      </c>
      <c r="O560" s="56">
        <f t="shared" si="116"/>
        <v>-1.7400097408576241</v>
      </c>
      <c r="P560" s="143">
        <f t="shared" si="108"/>
        <v>-3.4476242794408929</v>
      </c>
      <c r="Q560" s="143">
        <f t="shared" si="109"/>
        <v>3.4476242794408929</v>
      </c>
      <c r="R560" s="34">
        <v>1482.2138430689924</v>
      </c>
      <c r="S560" s="56">
        <f t="shared" si="110"/>
        <v>-82.786156931007554</v>
      </c>
      <c r="T560" s="56">
        <f t="shared" si="111"/>
        <v>6853.5477794054104</v>
      </c>
      <c r="U560" s="56">
        <f t="shared" si="112"/>
        <v>82.786156931007554</v>
      </c>
      <c r="V560" s="56">
        <f t="shared" si="113"/>
        <v>1.9231722708367858</v>
      </c>
      <c r="W560" s="33">
        <f t="shared" si="114"/>
        <v>-5.2898502831314733</v>
      </c>
      <c r="X560" s="143">
        <f t="shared" si="115"/>
        <v>5.2898502831314733</v>
      </c>
    </row>
    <row r="561" spans="1:24" ht="15" x14ac:dyDescent="0.2">
      <c r="A561" s="28" t="s">
        <v>416</v>
      </c>
      <c r="B561" s="224" t="s">
        <v>611</v>
      </c>
      <c r="C561" s="35" t="s">
        <v>458</v>
      </c>
      <c r="D561" s="35" t="s">
        <v>82</v>
      </c>
      <c r="E561" s="35" t="s">
        <v>662</v>
      </c>
      <c r="F561" s="35" t="s">
        <v>374</v>
      </c>
      <c r="G561" s="35" t="s">
        <v>626</v>
      </c>
      <c r="H561" s="35" t="s">
        <v>580</v>
      </c>
      <c r="I561" s="141">
        <v>1250</v>
      </c>
      <c r="J561" s="34">
        <v>1264.7744750634038</v>
      </c>
      <c r="K561" s="34">
        <f t="shared" si="104"/>
        <v>14.77447506340377</v>
      </c>
      <c r="L561" s="56">
        <f t="shared" si="105"/>
        <v>218.28511339913985</v>
      </c>
      <c r="M561" s="56">
        <f t="shared" si="106"/>
        <v>14.77447506340377</v>
      </c>
      <c r="N561" s="56">
        <f t="shared" si="107"/>
        <v>1.1979549158806528</v>
      </c>
      <c r="O561" s="56">
        <f t="shared" si="116"/>
        <v>1.1979549158806528</v>
      </c>
      <c r="P561" s="143">
        <f t="shared" si="108"/>
        <v>1.1819580050723015</v>
      </c>
      <c r="Q561" s="143">
        <f t="shared" si="109"/>
        <v>1.1819580050723015</v>
      </c>
      <c r="R561" s="34">
        <v>1225.0129779330625</v>
      </c>
      <c r="S561" s="56">
        <f t="shared" si="110"/>
        <v>-24.98702206693747</v>
      </c>
      <c r="T561" s="56">
        <f t="shared" si="111"/>
        <v>624.35127177362006</v>
      </c>
      <c r="U561" s="56">
        <f t="shared" si="112"/>
        <v>24.98702206693747</v>
      </c>
      <c r="V561" s="56">
        <f t="shared" si="113"/>
        <v>1.4147565152072337</v>
      </c>
      <c r="W561" s="33">
        <f t="shared" si="114"/>
        <v>-1.9989617653549976</v>
      </c>
      <c r="X561" s="143">
        <f t="shared" si="115"/>
        <v>1.9989617653549976</v>
      </c>
    </row>
    <row r="562" spans="1:24" ht="15" x14ac:dyDescent="0.2">
      <c r="A562" s="28" t="s">
        <v>421</v>
      </c>
      <c r="B562" s="224" t="s">
        <v>611</v>
      </c>
      <c r="C562" s="35" t="s">
        <v>458</v>
      </c>
      <c r="D562" s="35" t="s">
        <v>82</v>
      </c>
      <c r="E562" s="35" t="s">
        <v>662</v>
      </c>
      <c r="F562" s="35" t="s">
        <v>494</v>
      </c>
      <c r="G562" s="35" t="s">
        <v>626</v>
      </c>
      <c r="H562" s="35" t="s">
        <v>580</v>
      </c>
      <c r="I562" s="141">
        <v>825</v>
      </c>
      <c r="J562" s="34">
        <v>750.43820058496487</v>
      </c>
      <c r="K562" s="34">
        <f t="shared" si="104"/>
        <v>-74.561799415035125</v>
      </c>
      <c r="L562" s="56">
        <f t="shared" si="105"/>
        <v>5559.4619320079328</v>
      </c>
      <c r="M562" s="56">
        <f t="shared" si="106"/>
        <v>74.561799415035125</v>
      </c>
      <c r="N562" s="56">
        <f t="shared" si="107"/>
        <v>1.8783022915832446</v>
      </c>
      <c r="O562" s="56">
        <f t="shared" si="116"/>
        <v>-1.8783022915832446</v>
      </c>
      <c r="P562" s="143">
        <f t="shared" si="108"/>
        <v>-9.037793868489107</v>
      </c>
      <c r="Q562" s="143">
        <f t="shared" si="109"/>
        <v>9.037793868489107</v>
      </c>
      <c r="R562" s="34">
        <v>757.26502863908706</v>
      </c>
      <c r="S562" s="56">
        <f t="shared" si="110"/>
        <v>-67.734971360912937</v>
      </c>
      <c r="T562" s="56">
        <f t="shared" si="111"/>
        <v>4588.0263452636955</v>
      </c>
      <c r="U562" s="56">
        <f t="shared" si="112"/>
        <v>67.734971360912937</v>
      </c>
      <c r="V562" s="56">
        <f t="shared" si="113"/>
        <v>1.8371777560512457</v>
      </c>
      <c r="W562" s="33">
        <f t="shared" si="114"/>
        <v>-8.2102995588985372</v>
      </c>
      <c r="X562" s="143">
        <f t="shared" si="115"/>
        <v>8.2102995588985372</v>
      </c>
    </row>
    <row r="563" spans="1:24" ht="15" x14ac:dyDescent="0.2">
      <c r="A563" s="28" t="s">
        <v>422</v>
      </c>
      <c r="B563" s="224" t="s">
        <v>611</v>
      </c>
      <c r="C563" s="35" t="s">
        <v>458</v>
      </c>
      <c r="D563" s="35" t="s">
        <v>82</v>
      </c>
      <c r="E563" s="35" t="s">
        <v>662</v>
      </c>
      <c r="F563" s="35" t="s">
        <v>494</v>
      </c>
      <c r="G563" s="35" t="s">
        <v>626</v>
      </c>
      <c r="H563" s="35" t="s">
        <v>580</v>
      </c>
      <c r="I563" s="141">
        <v>1070</v>
      </c>
      <c r="J563" s="34">
        <v>1061.5343318643738</v>
      </c>
      <c r="K563" s="34">
        <f t="shared" si="104"/>
        <v>-8.4656681356261743</v>
      </c>
      <c r="L563" s="56">
        <f t="shared" si="105"/>
        <v>71.667536982556342</v>
      </c>
      <c r="M563" s="56">
        <f t="shared" si="106"/>
        <v>8.4656681356261743</v>
      </c>
      <c r="N563" s="56">
        <f t="shared" si="107"/>
        <v>0.97615127412386271</v>
      </c>
      <c r="O563" s="56">
        <f t="shared" si="116"/>
        <v>-0.97615127412386271</v>
      </c>
      <c r="P563" s="143">
        <f t="shared" si="108"/>
        <v>-0.79118393790898822</v>
      </c>
      <c r="Q563" s="143">
        <f t="shared" si="109"/>
        <v>0.79118393790898822</v>
      </c>
      <c r="R563" s="34">
        <v>1033.2982799846441</v>
      </c>
      <c r="S563" s="56">
        <f t="shared" si="110"/>
        <v>-36.701720015355932</v>
      </c>
      <c r="T563" s="56">
        <f t="shared" si="111"/>
        <v>1347.0162520855781</v>
      </c>
      <c r="U563" s="56">
        <f t="shared" si="112"/>
        <v>36.701720015355932</v>
      </c>
      <c r="V563" s="56">
        <f t="shared" si="113"/>
        <v>1.5763611638964579</v>
      </c>
      <c r="W563" s="33">
        <f t="shared" si="114"/>
        <v>-3.4300672911547601</v>
      </c>
      <c r="X563" s="143">
        <f t="shared" si="115"/>
        <v>3.4300672911547601</v>
      </c>
    </row>
    <row r="564" spans="1:24" ht="15" x14ac:dyDescent="0.2">
      <c r="A564" s="28" t="s">
        <v>423</v>
      </c>
      <c r="B564" s="224" t="s">
        <v>611</v>
      </c>
      <c r="C564" s="35" t="s">
        <v>458</v>
      </c>
      <c r="D564" s="208" t="s">
        <v>82</v>
      </c>
      <c r="E564" s="35" t="s">
        <v>662</v>
      </c>
      <c r="F564" s="35" t="s">
        <v>494</v>
      </c>
      <c r="G564" s="35" t="s">
        <v>626</v>
      </c>
      <c r="H564" s="35" t="s">
        <v>580</v>
      </c>
      <c r="I564" s="141">
        <v>1150</v>
      </c>
      <c r="J564" s="34">
        <v>1116.8022179512875</v>
      </c>
      <c r="K564" s="34">
        <f t="shared" si="104"/>
        <v>-33.197782048712497</v>
      </c>
      <c r="L564" s="56">
        <f t="shared" si="105"/>
        <v>1102.0927329538176</v>
      </c>
      <c r="M564" s="56">
        <f t="shared" si="106"/>
        <v>33.197782048712497</v>
      </c>
      <c r="N564" s="56">
        <f t="shared" si="107"/>
        <v>1.5339979401134165</v>
      </c>
      <c r="O564" s="56">
        <f t="shared" si="116"/>
        <v>-1.5339979401134165</v>
      </c>
      <c r="P564" s="143">
        <f t="shared" si="108"/>
        <v>-2.8867636564097823</v>
      </c>
      <c r="Q564" s="143">
        <f t="shared" si="109"/>
        <v>2.8867636564097823</v>
      </c>
      <c r="R564" s="34">
        <v>1080.6902044552403</v>
      </c>
      <c r="S564" s="56">
        <f t="shared" si="110"/>
        <v>-69.309795544759709</v>
      </c>
      <c r="T564" s="56">
        <f t="shared" si="111"/>
        <v>4803.8477584563925</v>
      </c>
      <c r="U564" s="56">
        <f t="shared" si="112"/>
        <v>69.309795544759709</v>
      </c>
      <c r="V564" s="56">
        <f t="shared" si="113"/>
        <v>1.8470158350437065</v>
      </c>
      <c r="W564" s="33">
        <f t="shared" si="114"/>
        <v>-6.0269387430225834</v>
      </c>
      <c r="X564" s="143">
        <f t="shared" si="115"/>
        <v>6.0269387430225834</v>
      </c>
    </row>
    <row r="565" spans="1:24" ht="15" x14ac:dyDescent="0.2">
      <c r="A565" s="28" t="s">
        <v>424</v>
      </c>
      <c r="B565" s="224" t="s">
        <v>611</v>
      </c>
      <c r="C565" s="35" t="s">
        <v>458</v>
      </c>
      <c r="D565" s="208" t="s">
        <v>82</v>
      </c>
      <c r="E565" s="35" t="s">
        <v>662</v>
      </c>
      <c r="F565" s="35" t="s">
        <v>374</v>
      </c>
      <c r="G565" s="35" t="s">
        <v>627</v>
      </c>
      <c r="H565" s="35" t="s">
        <v>580</v>
      </c>
      <c r="I565" s="141">
        <v>1800</v>
      </c>
      <c r="J565" s="34">
        <v>1802.8659335287884</v>
      </c>
      <c r="K565" s="34">
        <f t="shared" si="104"/>
        <v>2.865933528788446</v>
      </c>
      <c r="L565" s="56">
        <f t="shared" si="105"/>
        <v>8.213574991433795</v>
      </c>
      <c r="M565" s="56">
        <f t="shared" si="106"/>
        <v>2.865933528788446</v>
      </c>
      <c r="N565" s="56">
        <f t="shared" si="107"/>
        <v>0.58725438245803807</v>
      </c>
      <c r="O565" s="56">
        <f t="shared" si="116"/>
        <v>0.58725438245803807</v>
      </c>
      <c r="P565" s="143">
        <f t="shared" si="108"/>
        <v>0.15921852937713588</v>
      </c>
      <c r="Q565" s="143">
        <f t="shared" si="109"/>
        <v>0.15921852937713588</v>
      </c>
      <c r="R565" s="34">
        <v>1830.5523248619311</v>
      </c>
      <c r="S565" s="56">
        <f t="shared" si="110"/>
        <v>30.552324861931083</v>
      </c>
      <c r="T565" s="56">
        <f t="shared" si="111"/>
        <v>933.44455446897223</v>
      </c>
      <c r="U565" s="56">
        <f t="shared" si="112"/>
        <v>30.552324861931083</v>
      </c>
      <c r="V565" s="56">
        <f t="shared" si="113"/>
        <v>1.4990313647690323</v>
      </c>
      <c r="W565" s="33">
        <f t="shared" si="114"/>
        <v>1.6973513812183936</v>
      </c>
      <c r="X565" s="143">
        <f t="shared" si="115"/>
        <v>1.6973513812183936</v>
      </c>
    </row>
    <row r="566" spans="1:24" ht="15" x14ac:dyDescent="0.2">
      <c r="A566" s="28" t="s">
        <v>426</v>
      </c>
      <c r="B566" s="224" t="s">
        <v>611</v>
      </c>
      <c r="C566" s="35" t="s">
        <v>458</v>
      </c>
      <c r="D566" s="208" t="s">
        <v>82</v>
      </c>
      <c r="E566" s="35" t="s">
        <v>662</v>
      </c>
      <c r="F566" s="35" t="s">
        <v>374</v>
      </c>
      <c r="G566" s="35" t="s">
        <v>627</v>
      </c>
      <c r="H566" s="35" t="s">
        <v>580</v>
      </c>
      <c r="I566" s="141">
        <v>1620</v>
      </c>
      <c r="J566" s="34">
        <v>1677.4782483335548</v>
      </c>
      <c r="K566" s="34">
        <f t="shared" si="104"/>
        <v>57.478248333554802</v>
      </c>
      <c r="L566" s="56">
        <f t="shared" si="105"/>
        <v>3303.7490314937954</v>
      </c>
      <c r="M566" s="56">
        <f t="shared" si="106"/>
        <v>57.478248333554802</v>
      </c>
      <c r="N566" s="56">
        <f t="shared" si="107"/>
        <v>1.7669943552209255</v>
      </c>
      <c r="O566" s="56">
        <f t="shared" si="116"/>
        <v>1.7669943552209255</v>
      </c>
      <c r="P566" s="143">
        <f t="shared" si="108"/>
        <v>3.5480400205898026</v>
      </c>
      <c r="Q566" s="143">
        <f t="shared" si="109"/>
        <v>3.5480400205898026</v>
      </c>
      <c r="R566" s="34">
        <v>1649.6638428362296</v>
      </c>
      <c r="S566" s="56">
        <f t="shared" si="110"/>
        <v>29.663842836229605</v>
      </c>
      <c r="T566" s="56">
        <f t="shared" si="111"/>
        <v>879.94357181253042</v>
      </c>
      <c r="U566" s="56">
        <f t="shared" si="112"/>
        <v>29.663842836229605</v>
      </c>
      <c r="V566" s="56">
        <f t="shared" si="113"/>
        <v>1.4866265803288305</v>
      </c>
      <c r="W566" s="33">
        <f t="shared" si="114"/>
        <v>1.8311014096438027</v>
      </c>
      <c r="X566" s="143">
        <f t="shared" si="115"/>
        <v>1.8311014096438027</v>
      </c>
    </row>
    <row r="567" spans="1:24" ht="15" x14ac:dyDescent="0.2">
      <c r="A567" s="28" t="s">
        <v>427</v>
      </c>
      <c r="B567" s="224" t="s">
        <v>611</v>
      </c>
      <c r="C567" s="35" t="s">
        <v>458</v>
      </c>
      <c r="D567" s="208" t="s">
        <v>82</v>
      </c>
      <c r="E567" s="35" t="s">
        <v>662</v>
      </c>
      <c r="F567" s="35" t="s">
        <v>374</v>
      </c>
      <c r="G567" s="35" t="s">
        <v>627</v>
      </c>
      <c r="H567" s="35" t="s">
        <v>580</v>
      </c>
      <c r="I567" s="141">
        <v>1650</v>
      </c>
      <c r="J567" s="34">
        <v>1677.4782483335548</v>
      </c>
      <c r="K567" s="34">
        <f t="shared" si="104"/>
        <v>27.478248333554802</v>
      </c>
      <c r="L567" s="56">
        <f t="shared" si="105"/>
        <v>755.05413148050729</v>
      </c>
      <c r="M567" s="56">
        <f t="shared" si="106"/>
        <v>27.478248333554802</v>
      </c>
      <c r="N567" s="56">
        <f t="shared" si="107"/>
        <v>1.4545132727995476</v>
      </c>
      <c r="O567" s="56">
        <f t="shared" si="116"/>
        <v>1.4545132727995476</v>
      </c>
      <c r="P567" s="143">
        <f t="shared" si="108"/>
        <v>1.6653483838518062</v>
      </c>
      <c r="Q567" s="143">
        <f t="shared" si="109"/>
        <v>1.6653483838518062</v>
      </c>
      <c r="R567" s="34">
        <v>1675.3029877026515</v>
      </c>
      <c r="S567" s="56">
        <f t="shared" si="110"/>
        <v>25.302987702651535</v>
      </c>
      <c r="T567" s="56">
        <f t="shared" si="111"/>
        <v>640.24118668053484</v>
      </c>
      <c r="U567" s="56">
        <f t="shared" si="112"/>
        <v>25.302987702651535</v>
      </c>
      <c r="V567" s="56">
        <f t="shared" si="113"/>
        <v>1.4200050819148424</v>
      </c>
      <c r="W567" s="33">
        <f t="shared" si="114"/>
        <v>1.5335144062213051</v>
      </c>
      <c r="X567" s="143">
        <f t="shared" si="115"/>
        <v>1.5335144062213051</v>
      </c>
    </row>
    <row r="568" spans="1:24" ht="15" x14ac:dyDescent="0.2">
      <c r="A568" s="28" t="s">
        <v>459</v>
      </c>
      <c r="B568" s="224" t="s">
        <v>611</v>
      </c>
      <c r="C568" s="35" t="s">
        <v>458</v>
      </c>
      <c r="D568" s="208" t="s">
        <v>82</v>
      </c>
      <c r="E568" s="35" t="s">
        <v>662</v>
      </c>
      <c r="F568" s="35" t="s">
        <v>374</v>
      </c>
      <c r="G568" s="35" t="s">
        <v>627</v>
      </c>
      <c r="H568" s="35" t="s">
        <v>580</v>
      </c>
      <c r="I568" s="141">
        <v>1640</v>
      </c>
      <c r="J568" s="34">
        <v>1585.8327317070425</v>
      </c>
      <c r="K568" s="34">
        <f t="shared" si="104"/>
        <v>-54.167268292957488</v>
      </c>
      <c r="L568" s="56">
        <f t="shared" si="105"/>
        <v>2934.0929543212374</v>
      </c>
      <c r="M568" s="56">
        <f t="shared" si="106"/>
        <v>54.167268292957488</v>
      </c>
      <c r="N568" s="56">
        <f t="shared" si="107"/>
        <v>1.7416814796135898</v>
      </c>
      <c r="O568" s="56">
        <f t="shared" si="116"/>
        <v>-1.7416814796135898</v>
      </c>
      <c r="P568" s="143">
        <f t="shared" si="108"/>
        <v>-3.3028822129852125</v>
      </c>
      <c r="Q568" s="143">
        <f t="shared" si="109"/>
        <v>3.3028822129852125</v>
      </c>
      <c r="R568" s="34">
        <v>1573.164159116835</v>
      </c>
      <c r="S568" s="56">
        <f t="shared" si="110"/>
        <v>-66.835840883165019</v>
      </c>
      <c r="T568" s="56">
        <f t="shared" si="111"/>
        <v>4467.0296265597526</v>
      </c>
      <c r="U568" s="56">
        <f t="shared" si="112"/>
        <v>66.835840883165019</v>
      </c>
      <c r="V568" s="56">
        <f t="shared" si="113"/>
        <v>1.8314592128208449</v>
      </c>
      <c r="W568" s="33">
        <f t="shared" si="114"/>
        <v>-4.0753561514125014</v>
      </c>
      <c r="X568" s="143">
        <f t="shared" si="115"/>
        <v>4.0753561514125014</v>
      </c>
    </row>
    <row r="569" spans="1:24" ht="15" x14ac:dyDescent="0.2">
      <c r="A569" s="28" t="s">
        <v>425</v>
      </c>
      <c r="B569" s="224" t="s">
        <v>611</v>
      </c>
      <c r="C569" s="35" t="s">
        <v>458</v>
      </c>
      <c r="D569" s="208" t="s">
        <v>82</v>
      </c>
      <c r="E569" s="35" t="s">
        <v>662</v>
      </c>
      <c r="F569" s="35" t="s">
        <v>293</v>
      </c>
      <c r="G569" s="35" t="s">
        <v>627</v>
      </c>
      <c r="H569" s="35" t="s">
        <v>580</v>
      </c>
      <c r="I569" s="141">
        <v>2690</v>
      </c>
      <c r="J569" s="34">
        <v>2981.7367442818527</v>
      </c>
      <c r="K569" s="34">
        <f t="shared" si="104"/>
        <v>291.73674428185268</v>
      </c>
      <c r="L569" s="56">
        <f t="shared" si="105"/>
        <v>85110.3279641751</v>
      </c>
      <c r="M569" s="56">
        <f t="shared" si="106"/>
        <v>291.73674428185268</v>
      </c>
      <c r="N569" s="56">
        <f t="shared" si="107"/>
        <v>2.4664772384477831</v>
      </c>
      <c r="O569" s="56">
        <f t="shared" si="116"/>
        <v>2.4664772384477831</v>
      </c>
      <c r="P569" s="143">
        <f t="shared" si="108"/>
        <v>10.845232129436901</v>
      </c>
      <c r="Q569" s="143">
        <f t="shared" si="109"/>
        <v>10.845232129436901</v>
      </c>
      <c r="R569" s="34">
        <v>2891.5591991350962</v>
      </c>
      <c r="S569" s="56">
        <f t="shared" si="110"/>
        <v>201.55919913509615</v>
      </c>
      <c r="T569" s="56">
        <f t="shared" si="111"/>
        <v>40626.110755981346</v>
      </c>
      <c r="U569" s="56">
        <f t="shared" si="112"/>
        <v>201.55919913509615</v>
      </c>
      <c r="V569" s="56">
        <f t="shared" si="113"/>
        <v>2.3065519712564155</v>
      </c>
      <c r="W569" s="33">
        <f t="shared" si="114"/>
        <v>7.4929070310444663</v>
      </c>
      <c r="X569" s="143">
        <f t="shared" si="115"/>
        <v>7.4929070310444663</v>
      </c>
    </row>
    <row r="570" spans="1:24" ht="15" x14ac:dyDescent="0.2">
      <c r="A570" s="28" t="s">
        <v>433</v>
      </c>
      <c r="B570" s="224" t="s">
        <v>611</v>
      </c>
      <c r="C570" s="35" t="s">
        <v>458</v>
      </c>
      <c r="D570" s="208" t="s">
        <v>82</v>
      </c>
      <c r="E570" s="35" t="s">
        <v>662</v>
      </c>
      <c r="F570" s="35" t="s">
        <v>374</v>
      </c>
      <c r="G570" s="35" t="s">
        <v>627</v>
      </c>
      <c r="H570" s="35" t="s">
        <v>580</v>
      </c>
      <c r="I570" s="141">
        <v>1520</v>
      </c>
      <c r="J570" s="34">
        <v>1400.0685070566412</v>
      </c>
      <c r="K570" s="34">
        <f t="shared" si="104"/>
        <v>-119.93149294335876</v>
      </c>
      <c r="L570" s="56">
        <f t="shared" si="105"/>
        <v>14383.562999622913</v>
      </c>
      <c r="M570" s="56">
        <f t="shared" si="106"/>
        <v>119.93149294335876</v>
      </c>
      <c r="N570" s="56">
        <f t="shared" si="107"/>
        <v>2.0825394144294842</v>
      </c>
      <c r="O570" s="56">
        <f t="shared" si="116"/>
        <v>-2.0825394144294842</v>
      </c>
      <c r="P570" s="143">
        <f t="shared" si="108"/>
        <v>-7.8902297989051808</v>
      </c>
      <c r="Q570" s="143">
        <f t="shared" si="109"/>
        <v>7.8902297989051808</v>
      </c>
      <c r="R570" s="34">
        <v>1372.3616861100634</v>
      </c>
      <c r="S570" s="56">
        <f t="shared" si="110"/>
        <v>-147.63831388993663</v>
      </c>
      <c r="T570" s="56">
        <f t="shared" si="111"/>
        <v>21797.071728263454</v>
      </c>
      <c r="U570" s="56">
        <f t="shared" si="112"/>
        <v>147.63831388993663</v>
      </c>
      <c r="V570" s="56">
        <f t="shared" si="113"/>
        <v>2.1721307701664547</v>
      </c>
      <c r="W570" s="33">
        <f t="shared" si="114"/>
        <v>-9.7130469664431978</v>
      </c>
      <c r="X570" s="143">
        <f t="shared" si="115"/>
        <v>9.7130469664431978</v>
      </c>
    </row>
    <row r="571" spans="1:24" ht="15" x14ac:dyDescent="0.2">
      <c r="A571" s="28" t="s">
        <v>434</v>
      </c>
      <c r="B571" s="224" t="s">
        <v>611</v>
      </c>
      <c r="C571" s="35" t="s">
        <v>458</v>
      </c>
      <c r="D571" s="208" t="s">
        <v>82</v>
      </c>
      <c r="E571" s="35" t="s">
        <v>662</v>
      </c>
      <c r="F571" s="35" t="s">
        <v>374</v>
      </c>
      <c r="G571" s="35" t="s">
        <v>627</v>
      </c>
      <c r="H571" s="35" t="s">
        <v>580</v>
      </c>
      <c r="I571" s="141">
        <v>2370</v>
      </c>
      <c r="J571" s="34">
        <v>2521.2618280319693</v>
      </c>
      <c r="K571" s="34">
        <f t="shared" si="104"/>
        <v>151.26182803196934</v>
      </c>
      <c r="L571" s="56">
        <f t="shared" si="105"/>
        <v>22880.140619573067</v>
      </c>
      <c r="M571" s="56">
        <f t="shared" si="106"/>
        <v>151.26182803196934</v>
      </c>
      <c r="N571" s="56">
        <f t="shared" si="107"/>
        <v>2.1825910395610051</v>
      </c>
      <c r="O571" s="56">
        <f t="shared" si="116"/>
        <v>2.1825910395610051</v>
      </c>
      <c r="P571" s="143">
        <f t="shared" si="108"/>
        <v>6.3823556131632637</v>
      </c>
      <c r="Q571" s="143">
        <f t="shared" si="109"/>
        <v>6.3823556131632637</v>
      </c>
      <c r="R571" s="34">
        <v>2501.1698173158056</v>
      </c>
      <c r="S571" s="56">
        <f t="shared" si="110"/>
        <v>131.16981731580563</v>
      </c>
      <c r="T571" s="56">
        <f t="shared" si="111"/>
        <v>17205.520974661824</v>
      </c>
      <c r="U571" s="56">
        <f t="shared" si="112"/>
        <v>131.16981731580563</v>
      </c>
      <c r="V571" s="56">
        <f t="shared" si="113"/>
        <v>2.1211322897200375</v>
      </c>
      <c r="W571" s="33">
        <f t="shared" si="114"/>
        <v>5.5345914479242886</v>
      </c>
      <c r="X571" s="143">
        <f t="shared" si="115"/>
        <v>5.5345914479242886</v>
      </c>
    </row>
    <row r="572" spans="1:24" ht="15" x14ac:dyDescent="0.2">
      <c r="A572" s="28" t="s">
        <v>435</v>
      </c>
      <c r="B572" s="224" t="s">
        <v>611</v>
      </c>
      <c r="C572" s="35" t="s">
        <v>458</v>
      </c>
      <c r="D572" s="208" t="s">
        <v>82</v>
      </c>
      <c r="E572" s="35" t="s">
        <v>662</v>
      </c>
      <c r="F572" s="35" t="s">
        <v>494</v>
      </c>
      <c r="G572" s="35" t="s">
        <v>626</v>
      </c>
      <c r="H572" s="35" t="s">
        <v>580</v>
      </c>
      <c r="I572" s="141">
        <v>1150</v>
      </c>
      <c r="J572" s="34">
        <v>1066.5383989829174</v>
      </c>
      <c r="K572" s="34">
        <f t="shared" si="104"/>
        <v>-83.461601017082558</v>
      </c>
      <c r="L572" s="56">
        <f t="shared" si="105"/>
        <v>6965.8388443346767</v>
      </c>
      <c r="M572" s="56">
        <f t="shared" si="106"/>
        <v>83.461601017082558</v>
      </c>
      <c r="N572" s="56">
        <f t="shared" si="107"/>
        <v>1.9266593094627265</v>
      </c>
      <c r="O572" s="56">
        <f t="shared" si="116"/>
        <v>-1.9266593094627265</v>
      </c>
      <c r="P572" s="143">
        <f t="shared" si="108"/>
        <v>-7.2575305232245704</v>
      </c>
      <c r="Q572" s="143">
        <f t="shared" si="109"/>
        <v>7.2575305232245704</v>
      </c>
      <c r="R572" s="34">
        <v>1056.9480218181468</v>
      </c>
      <c r="S572" s="56">
        <f t="shared" si="110"/>
        <v>-93.051978181853201</v>
      </c>
      <c r="T572" s="56">
        <f t="shared" si="111"/>
        <v>8658.6706435560845</v>
      </c>
      <c r="U572" s="56">
        <f t="shared" si="112"/>
        <v>93.051978181853201</v>
      </c>
      <c r="V572" s="56">
        <f t="shared" si="113"/>
        <v>1.9733679344364048</v>
      </c>
      <c r="W572" s="33">
        <f t="shared" si="114"/>
        <v>-8.0914763636394085</v>
      </c>
      <c r="X572" s="143">
        <f t="shared" si="115"/>
        <v>8.0914763636394085</v>
      </c>
    </row>
    <row r="573" spans="1:24" ht="15" x14ac:dyDescent="0.2">
      <c r="A573" s="28" t="s">
        <v>734</v>
      </c>
      <c r="B573" s="224" t="s">
        <v>611</v>
      </c>
      <c r="C573" s="35" t="s">
        <v>403</v>
      </c>
      <c r="D573" s="35" t="s">
        <v>82</v>
      </c>
      <c r="E573" s="35" t="s">
        <v>662</v>
      </c>
      <c r="F573" s="35" t="s">
        <v>203</v>
      </c>
      <c r="G573" s="35" t="s">
        <v>627</v>
      </c>
      <c r="H573" s="35" t="s">
        <v>581</v>
      </c>
      <c r="I573" s="141">
        <v>5600</v>
      </c>
      <c r="J573" s="34">
        <v>6789.1528955379608</v>
      </c>
      <c r="K573" s="34">
        <f t="shared" si="104"/>
        <v>1189.1528955379608</v>
      </c>
      <c r="L573" s="56">
        <f t="shared" si="105"/>
        <v>1414084.6089663163</v>
      </c>
      <c r="M573" s="56">
        <f t="shared" si="106"/>
        <v>1189.1528955379608</v>
      </c>
      <c r="N573" s="56">
        <f t="shared" si="107"/>
        <v>3.0756027575463492</v>
      </c>
      <c r="O573" s="56">
        <f t="shared" si="116"/>
        <v>3.0756027575463492</v>
      </c>
      <c r="P573" s="143">
        <f t="shared" si="108"/>
        <v>21.234873134606445</v>
      </c>
      <c r="Q573" s="143">
        <f t="shared" si="109"/>
        <v>21.234873134606445</v>
      </c>
      <c r="R573" s="34">
        <v>6727.5783178461807</v>
      </c>
      <c r="S573" s="56">
        <f t="shared" si="110"/>
        <v>1127.5783178461807</v>
      </c>
      <c r="T573" s="56">
        <f t="shared" si="111"/>
        <v>1271432.8628768225</v>
      </c>
      <c r="U573" s="56">
        <f t="shared" si="112"/>
        <v>1127.5783178461807</v>
      </c>
      <c r="V573" s="56">
        <f t="shared" si="113"/>
        <v>3.0525317023843037</v>
      </c>
      <c r="W573" s="33">
        <f t="shared" si="114"/>
        <v>20.135327104396083</v>
      </c>
      <c r="X573" s="143">
        <f t="shared" si="115"/>
        <v>20.135327104396083</v>
      </c>
    </row>
    <row r="574" spans="1:24" ht="15" x14ac:dyDescent="0.2">
      <c r="A574" s="206" t="s">
        <v>460</v>
      </c>
      <c r="B574" s="224" t="s">
        <v>611</v>
      </c>
      <c r="C574" s="35" t="s">
        <v>403</v>
      </c>
      <c r="D574" s="35" t="s">
        <v>82</v>
      </c>
      <c r="E574" s="35" t="s">
        <v>662</v>
      </c>
      <c r="F574" s="35" t="s">
        <v>203</v>
      </c>
      <c r="G574" s="35" t="s">
        <v>627</v>
      </c>
      <c r="H574" s="35" t="s">
        <v>581</v>
      </c>
      <c r="I574" s="141">
        <v>4340</v>
      </c>
      <c r="J574" s="34">
        <v>4706.2561376313961</v>
      </c>
      <c r="K574" s="34">
        <f t="shared" si="104"/>
        <v>366.25613763139609</v>
      </c>
      <c r="L574" s="56">
        <f t="shared" si="105"/>
        <v>134143.55835266816</v>
      </c>
      <c r="M574" s="56">
        <f t="shared" si="106"/>
        <v>366.25613763139609</v>
      </c>
      <c r="N574" s="56">
        <f t="shared" si="107"/>
        <v>2.5649690625076955</v>
      </c>
      <c r="O574" s="56">
        <f t="shared" si="116"/>
        <v>2.5649690625076955</v>
      </c>
      <c r="P574" s="143">
        <f t="shared" si="108"/>
        <v>8.4390815122441509</v>
      </c>
      <c r="Q574" s="143">
        <f t="shared" si="109"/>
        <v>8.4390815122441509</v>
      </c>
      <c r="R574" s="34">
        <v>4619.7347021333508</v>
      </c>
      <c r="S574" s="56">
        <f t="shared" si="110"/>
        <v>279.73470213335077</v>
      </c>
      <c r="T574" s="56">
        <f t="shared" si="111"/>
        <v>78251.503577634474</v>
      </c>
      <c r="U574" s="56">
        <f t="shared" si="112"/>
        <v>279.73470213335077</v>
      </c>
      <c r="V574" s="56">
        <f t="shared" si="113"/>
        <v>2.4482960998931227</v>
      </c>
      <c r="W574" s="33">
        <f t="shared" si="114"/>
        <v>6.4455000491555472</v>
      </c>
      <c r="X574" s="143">
        <f t="shared" si="115"/>
        <v>6.4455000491555472</v>
      </c>
    </row>
    <row r="575" spans="1:24" ht="15" x14ac:dyDescent="0.2">
      <c r="A575" s="28" t="s">
        <v>327</v>
      </c>
      <c r="B575" s="224" t="s">
        <v>611</v>
      </c>
      <c r="C575" s="208" t="s">
        <v>403</v>
      </c>
      <c r="D575" s="35" t="s">
        <v>82</v>
      </c>
      <c r="E575" s="35" t="s">
        <v>662</v>
      </c>
      <c r="F575" s="35" t="s">
        <v>374</v>
      </c>
      <c r="G575" s="35" t="s">
        <v>626</v>
      </c>
      <c r="H575" s="35" t="s">
        <v>580</v>
      </c>
      <c r="I575" s="141">
        <v>1217.5999999999999</v>
      </c>
      <c r="J575" s="34">
        <v>1168.4806136685445</v>
      </c>
      <c r="K575" s="34">
        <f t="shared" si="104"/>
        <v>-49.119386331455416</v>
      </c>
      <c r="L575" s="56">
        <f t="shared" si="105"/>
        <v>2412.7141135787692</v>
      </c>
      <c r="M575" s="56">
        <f t="shared" si="106"/>
        <v>49.119386331455416</v>
      </c>
      <c r="N575" s="56">
        <f t="shared" si="107"/>
        <v>1.7000057447942944</v>
      </c>
      <c r="O575" s="56">
        <f t="shared" si="116"/>
        <v>-1.7000057447942944</v>
      </c>
      <c r="P575" s="143">
        <f t="shared" si="108"/>
        <v>-4.0341151717686774</v>
      </c>
      <c r="Q575" s="143">
        <f t="shared" si="109"/>
        <v>4.0341151717686774</v>
      </c>
      <c r="R575" s="34">
        <v>1170.2832848364271</v>
      </c>
      <c r="S575" s="56">
        <f t="shared" si="110"/>
        <v>-47.316715163572781</v>
      </c>
      <c r="T575" s="56">
        <f t="shared" si="111"/>
        <v>2238.8715338706784</v>
      </c>
      <c r="U575" s="56">
        <f t="shared" si="112"/>
        <v>47.316715163572781</v>
      </c>
      <c r="V575" s="56">
        <f t="shared" si="113"/>
        <v>1.6840974008856997</v>
      </c>
      <c r="W575" s="33">
        <f t="shared" si="114"/>
        <v>-3.8860639917520357</v>
      </c>
      <c r="X575" s="143">
        <f t="shared" si="115"/>
        <v>3.8860639917520357</v>
      </c>
    </row>
    <row r="576" spans="1:24" ht="15" x14ac:dyDescent="0.2">
      <c r="A576" s="28" t="s">
        <v>597</v>
      </c>
      <c r="B576" s="224" t="s">
        <v>611</v>
      </c>
      <c r="C576" s="208" t="s">
        <v>403</v>
      </c>
      <c r="D576" s="35" t="s">
        <v>82</v>
      </c>
      <c r="E576" s="35" t="s">
        <v>662</v>
      </c>
      <c r="F576" s="35" t="s">
        <v>203</v>
      </c>
      <c r="G576" s="35" t="s">
        <v>627</v>
      </c>
      <c r="H576" s="35" t="s">
        <v>581</v>
      </c>
      <c r="I576" s="141">
        <v>5241.7</v>
      </c>
      <c r="J576" s="34">
        <v>6420.4902604521876</v>
      </c>
      <c r="K576" s="34">
        <f t="shared" si="104"/>
        <v>1178.7902604521878</v>
      </c>
      <c r="L576" s="56">
        <f t="shared" si="105"/>
        <v>1389546.4781369367</v>
      </c>
      <c r="M576" s="56">
        <f t="shared" si="106"/>
        <v>1178.7902604521878</v>
      </c>
      <c r="N576" s="56">
        <f t="shared" si="107"/>
        <v>3.0718048066073869</v>
      </c>
      <c r="O576" s="56">
        <f t="shared" si="116"/>
        <v>3.0718048066073869</v>
      </c>
      <c r="P576" s="143">
        <f t="shared" si="108"/>
        <v>22.488701384134686</v>
      </c>
      <c r="Q576" s="143">
        <f t="shared" si="109"/>
        <v>22.488701384134686</v>
      </c>
      <c r="R576" s="34">
        <v>6405.87325886501</v>
      </c>
      <c r="S576" s="56">
        <f t="shared" si="110"/>
        <v>1164.1732588650102</v>
      </c>
      <c r="T576" s="56">
        <f t="shared" si="111"/>
        <v>1355299.3766563782</v>
      </c>
      <c r="U576" s="56">
        <f t="shared" si="112"/>
        <v>1164.1732588650102</v>
      </c>
      <c r="V576" s="56">
        <f t="shared" si="113"/>
        <v>3.0663905088593095</v>
      </c>
      <c r="W576" s="33">
        <f t="shared" si="114"/>
        <v>22.209841441994207</v>
      </c>
      <c r="X576" s="143">
        <f t="shared" si="115"/>
        <v>22.209841441994207</v>
      </c>
    </row>
    <row r="577" spans="1:24" ht="15" x14ac:dyDescent="0.2">
      <c r="A577" s="28" t="s">
        <v>360</v>
      </c>
      <c r="B577" s="224" t="s">
        <v>611</v>
      </c>
      <c r="C577" s="208" t="s">
        <v>403</v>
      </c>
      <c r="D577" s="35" t="s">
        <v>82</v>
      </c>
      <c r="E577" s="35" t="s">
        <v>662</v>
      </c>
      <c r="F577" s="35" t="s">
        <v>494</v>
      </c>
      <c r="G577" s="35" t="s">
        <v>626</v>
      </c>
      <c r="H577" s="35" t="s">
        <v>580</v>
      </c>
      <c r="I577" s="141">
        <v>906.8</v>
      </c>
      <c r="J577" s="34">
        <v>1036.5758514570718</v>
      </c>
      <c r="K577" s="34">
        <f t="shared" si="104"/>
        <v>129.77585145707189</v>
      </c>
      <c r="L577" s="56">
        <f t="shared" si="105"/>
        <v>16841.771621407988</v>
      </c>
      <c r="M577" s="56">
        <f t="shared" si="106"/>
        <v>129.77585145707189</v>
      </c>
      <c r="N577" s="56">
        <f t="shared" si="107"/>
        <v>2.1165275563186983</v>
      </c>
      <c r="O577" s="56">
        <f t="shared" si="116"/>
        <v>2.1165275563186983</v>
      </c>
      <c r="P577" s="143">
        <f t="shared" si="108"/>
        <v>14.311408409469774</v>
      </c>
      <c r="Q577" s="143">
        <f t="shared" si="109"/>
        <v>14.311408409469774</v>
      </c>
      <c r="R577" s="34">
        <v>1009.8834061529571</v>
      </c>
      <c r="S577" s="56">
        <f t="shared" si="110"/>
        <v>103.0834061529572</v>
      </c>
      <c r="T577" s="56">
        <f t="shared" si="111"/>
        <v>10626.188624095534</v>
      </c>
      <c r="U577" s="56">
        <f t="shared" si="112"/>
        <v>103.0834061529572</v>
      </c>
      <c r="V577" s="56">
        <f t="shared" si="113"/>
        <v>2.0173814961710241</v>
      </c>
      <c r="W577" s="33">
        <f t="shared" si="114"/>
        <v>11.3678215872251</v>
      </c>
      <c r="X577" s="143">
        <f t="shared" si="115"/>
        <v>11.3678215872251</v>
      </c>
    </row>
    <row r="578" spans="1:24" ht="15" x14ac:dyDescent="0.2">
      <c r="A578" s="28" t="s">
        <v>136</v>
      </c>
      <c r="B578" s="224" t="s">
        <v>611</v>
      </c>
      <c r="C578" s="208" t="s">
        <v>403</v>
      </c>
      <c r="D578" s="35" t="s">
        <v>96</v>
      </c>
      <c r="E578" s="35" t="s">
        <v>662</v>
      </c>
      <c r="F578" s="35" t="s">
        <v>374</v>
      </c>
      <c r="G578" s="35" t="s">
        <v>627</v>
      </c>
      <c r="H578" s="35" t="s">
        <v>580</v>
      </c>
      <c r="I578" s="141">
        <v>2365.6</v>
      </c>
      <c r="J578" s="34">
        <v>2335.4573268725958</v>
      </c>
      <c r="K578" s="34">
        <f t="shared" ref="K578:K641" si="117">J578-I578</f>
        <v>-30.142673127404123</v>
      </c>
      <c r="L578" s="56">
        <f t="shared" ref="L578:L641" si="118">K578^2</f>
        <v>908.58074326553071</v>
      </c>
      <c r="M578" s="56">
        <f t="shared" ref="M578:M641" si="119">SQRT(L578)</f>
        <v>30.142673127404123</v>
      </c>
      <c r="N578" s="56">
        <f t="shared" ref="N578:N641" si="120">LOG10(M578+1)</f>
        <v>1.4933558874439097</v>
      </c>
      <c r="O578" s="56">
        <f t="shared" si="116"/>
        <v>-1.4933558874439097</v>
      </c>
      <c r="P578" s="143">
        <f t="shared" ref="P578:P641" si="121">100*K578/I578</f>
        <v>-1.2742083669007493</v>
      </c>
      <c r="Q578" s="143">
        <f t="shared" ref="Q578:Q641" si="122">ABS(P578)</f>
        <v>1.2742083669007493</v>
      </c>
      <c r="R578" s="34">
        <v>2365.2889796428426</v>
      </c>
      <c r="S578" s="56">
        <f t="shared" ref="S578:S641" si="123">R578-I578</f>
        <v>-0.31102035715730381</v>
      </c>
      <c r="T578" s="56">
        <f t="shared" ref="T578:T641" si="124">S578^2</f>
        <v>9.6733662566256817E-2</v>
      </c>
      <c r="U578" s="56">
        <f t="shared" ref="U578:U641" si="125">SQRT(T578)</f>
        <v>0.31102035715730381</v>
      </c>
      <c r="V578" s="56">
        <f t="shared" ref="V578:V641" si="126">LOG10(U578+1)</f>
        <v>0.11760943534564769</v>
      </c>
      <c r="W578" s="33">
        <f t="shared" ref="W578:W641" si="127">100*S578/I578</f>
        <v>-1.3147630924809936E-2</v>
      </c>
      <c r="X578" s="143">
        <f t="shared" ref="X578:X641" si="128">ABS(W578)</f>
        <v>1.3147630924809936E-2</v>
      </c>
    </row>
    <row r="579" spans="1:24" ht="15" x14ac:dyDescent="0.2">
      <c r="A579" s="28" t="s">
        <v>157</v>
      </c>
      <c r="B579" s="224" t="s">
        <v>611</v>
      </c>
      <c r="C579" s="208" t="s">
        <v>403</v>
      </c>
      <c r="D579" s="35" t="s">
        <v>82</v>
      </c>
      <c r="E579" s="35" t="s">
        <v>662</v>
      </c>
      <c r="F579" s="35" t="s">
        <v>203</v>
      </c>
      <c r="G579" s="35" t="s">
        <v>627</v>
      </c>
      <c r="H579" s="35" t="s">
        <v>581</v>
      </c>
      <c r="I579" s="141">
        <v>6408.96</v>
      </c>
      <c r="J579" s="34">
        <v>8028.812595795288</v>
      </c>
      <c r="K579" s="34">
        <f t="shared" si="117"/>
        <v>1619.8525957952879</v>
      </c>
      <c r="L579" s="56">
        <f t="shared" si="118"/>
        <v>2623922.4321047324</v>
      </c>
      <c r="M579" s="56">
        <f t="shared" si="119"/>
        <v>1619.8525957952879</v>
      </c>
      <c r="N579" s="56">
        <f t="shared" si="120"/>
        <v>3.2097435208673</v>
      </c>
      <c r="O579" s="56">
        <f t="shared" ref="O579:O642" si="129">N579*SIGN(K579)</f>
        <v>3.2097435208673</v>
      </c>
      <c r="P579" s="143">
        <f t="shared" si="121"/>
        <v>25.274812072400014</v>
      </c>
      <c r="Q579" s="143">
        <f t="shared" si="122"/>
        <v>25.274812072400014</v>
      </c>
      <c r="R579" s="34">
        <v>7808.4632603970113</v>
      </c>
      <c r="S579" s="56">
        <f t="shared" si="123"/>
        <v>1399.5032603970112</v>
      </c>
      <c r="T579" s="56">
        <f t="shared" si="124"/>
        <v>1958609.3758618645</v>
      </c>
      <c r="U579" s="56">
        <f t="shared" si="125"/>
        <v>1399.5032603970112</v>
      </c>
      <c r="V579" s="56">
        <f t="shared" si="126"/>
        <v>3.146284124206201</v>
      </c>
      <c r="W579" s="33">
        <f t="shared" si="127"/>
        <v>21.836667109749651</v>
      </c>
      <c r="X579" s="143">
        <f t="shared" si="128"/>
        <v>21.836667109749651</v>
      </c>
    </row>
    <row r="580" spans="1:24" ht="15" x14ac:dyDescent="0.2">
      <c r="A580" s="28" t="s">
        <v>322</v>
      </c>
      <c r="B580" s="224" t="s">
        <v>611</v>
      </c>
      <c r="C580" s="208" t="s">
        <v>403</v>
      </c>
      <c r="D580" s="35" t="s">
        <v>96</v>
      </c>
      <c r="E580" s="35" t="s">
        <v>662</v>
      </c>
      <c r="F580" s="35" t="s">
        <v>374</v>
      </c>
      <c r="G580" s="35" t="s">
        <v>627</v>
      </c>
      <c r="H580" s="35" t="s">
        <v>580</v>
      </c>
      <c r="I580" s="141">
        <f>337.19+626.59+495.45+752.43</f>
        <v>2211.66</v>
      </c>
      <c r="J580" s="34">
        <v>2788.2430147332325</v>
      </c>
      <c r="K580" s="34">
        <f t="shared" si="117"/>
        <v>576.58301473323263</v>
      </c>
      <c r="L580" s="56">
        <f t="shared" si="118"/>
        <v>332447.97287886316</v>
      </c>
      <c r="M580" s="56">
        <f t="shared" si="119"/>
        <v>576.58301473323263</v>
      </c>
      <c r="N580" s="56">
        <f t="shared" si="120"/>
        <v>2.7616144132387062</v>
      </c>
      <c r="O580" s="56">
        <f t="shared" si="129"/>
        <v>2.7616144132387062</v>
      </c>
      <c r="P580" s="143">
        <f t="shared" si="121"/>
        <v>26.070147072028824</v>
      </c>
      <c r="Q580" s="143">
        <f t="shared" si="122"/>
        <v>26.070147072028824</v>
      </c>
      <c r="R580" s="34">
        <v>2771.6774946884475</v>
      </c>
      <c r="S580" s="56">
        <f t="shared" si="123"/>
        <v>560.01749468844764</v>
      </c>
      <c r="T580" s="56">
        <f t="shared" si="124"/>
        <v>313619.59435712546</v>
      </c>
      <c r="U580" s="56">
        <f t="shared" si="125"/>
        <v>560.01749468844764</v>
      </c>
      <c r="V580" s="56">
        <f t="shared" si="126"/>
        <v>2.7489764044436642</v>
      </c>
      <c r="W580" s="33">
        <f t="shared" si="127"/>
        <v>25.321138632902329</v>
      </c>
      <c r="X580" s="143">
        <f t="shared" si="128"/>
        <v>25.321138632902329</v>
      </c>
    </row>
    <row r="581" spans="1:24" ht="15" x14ac:dyDescent="0.2">
      <c r="A581" s="28" t="s">
        <v>152</v>
      </c>
      <c r="B581" s="224" t="s">
        <v>611</v>
      </c>
      <c r="C581" s="208" t="s">
        <v>403</v>
      </c>
      <c r="D581" s="35" t="s">
        <v>82</v>
      </c>
      <c r="E581" s="35" t="s">
        <v>662</v>
      </c>
      <c r="F581" s="35" t="s">
        <v>203</v>
      </c>
      <c r="G581" s="35" t="s">
        <v>627</v>
      </c>
      <c r="H581" s="35" t="s">
        <v>581</v>
      </c>
      <c r="I581" s="141">
        <v>5810</v>
      </c>
      <c r="J581" s="34">
        <v>8420.4145028977055</v>
      </c>
      <c r="K581" s="34">
        <f t="shared" si="117"/>
        <v>2610.4145028977055</v>
      </c>
      <c r="L581" s="56">
        <f t="shared" si="118"/>
        <v>6814263.8769386746</v>
      </c>
      <c r="M581" s="56">
        <f t="shared" si="119"/>
        <v>2610.4145028977055</v>
      </c>
      <c r="N581" s="56">
        <f t="shared" si="120"/>
        <v>3.4168758117056308</v>
      </c>
      <c r="O581" s="56">
        <f t="shared" si="129"/>
        <v>3.4168758117056308</v>
      </c>
      <c r="P581" s="143">
        <f t="shared" si="121"/>
        <v>44.929681633351215</v>
      </c>
      <c r="Q581" s="143">
        <f t="shared" si="122"/>
        <v>44.929681633351215</v>
      </c>
      <c r="R581" s="34">
        <v>8553.3754542770639</v>
      </c>
      <c r="S581" s="56">
        <f t="shared" si="123"/>
        <v>2743.3754542770639</v>
      </c>
      <c r="T581" s="56">
        <f t="shared" si="124"/>
        <v>7526108.8831298864</v>
      </c>
      <c r="U581" s="56">
        <f t="shared" si="125"/>
        <v>2743.3754542770639</v>
      </c>
      <c r="V581" s="56">
        <f t="shared" si="126"/>
        <v>3.4384435263373287</v>
      </c>
      <c r="W581" s="33">
        <f t="shared" si="127"/>
        <v>47.21816616655876</v>
      </c>
      <c r="X581" s="143">
        <f t="shared" si="128"/>
        <v>47.21816616655876</v>
      </c>
    </row>
    <row r="582" spans="1:24" ht="15" x14ac:dyDescent="0.2">
      <c r="A582" s="28" t="s">
        <v>345</v>
      </c>
      <c r="B582" s="224" t="s">
        <v>611</v>
      </c>
      <c r="C582" s="208" t="s">
        <v>403</v>
      </c>
      <c r="D582" s="35" t="s">
        <v>82</v>
      </c>
      <c r="E582" s="35" t="s">
        <v>662</v>
      </c>
      <c r="F582" s="35" t="s">
        <v>374</v>
      </c>
      <c r="G582" s="35" t="s">
        <v>626</v>
      </c>
      <c r="H582" s="35" t="s">
        <v>580</v>
      </c>
      <c r="I582" s="141">
        <v>1499</v>
      </c>
      <c r="J582" s="34">
        <v>1618.0755958343334</v>
      </c>
      <c r="K582" s="34">
        <f t="shared" si="117"/>
        <v>119.0755958343334</v>
      </c>
      <c r="L582" s="56">
        <f t="shared" si="118"/>
        <v>14178.997523301518</v>
      </c>
      <c r="M582" s="56">
        <f t="shared" si="119"/>
        <v>119.0755958343334</v>
      </c>
      <c r="N582" s="56">
        <f t="shared" si="120"/>
        <v>2.0794547503551062</v>
      </c>
      <c r="O582" s="56">
        <f t="shared" si="129"/>
        <v>2.0794547503551062</v>
      </c>
      <c r="P582" s="143">
        <f t="shared" si="121"/>
        <v>7.9436688348454565</v>
      </c>
      <c r="Q582" s="143">
        <f t="shared" si="122"/>
        <v>7.9436688348454565</v>
      </c>
      <c r="R582" s="34">
        <v>1608.7853377131801</v>
      </c>
      <c r="S582" s="56">
        <f t="shared" si="123"/>
        <v>109.78533771318007</v>
      </c>
      <c r="T582" s="56">
        <f t="shared" si="124"/>
        <v>12052.820376796999</v>
      </c>
      <c r="U582" s="56">
        <f t="shared" si="125"/>
        <v>109.78533771318007</v>
      </c>
      <c r="V582" s="56">
        <f t="shared" si="126"/>
        <v>2.0444822859192984</v>
      </c>
      <c r="W582" s="33">
        <f t="shared" si="127"/>
        <v>7.3239051176237542</v>
      </c>
      <c r="X582" s="143">
        <f t="shared" si="128"/>
        <v>7.3239051176237542</v>
      </c>
    </row>
    <row r="583" spans="1:24" ht="15" x14ac:dyDescent="0.2">
      <c r="A583" s="218" t="s">
        <v>344</v>
      </c>
      <c r="B583" s="224" t="s">
        <v>611</v>
      </c>
      <c r="C583" s="208" t="s">
        <v>403</v>
      </c>
      <c r="D583" s="35" t="s">
        <v>82</v>
      </c>
      <c r="E583" s="35" t="s">
        <v>662</v>
      </c>
      <c r="F583" s="35" t="s">
        <v>374</v>
      </c>
      <c r="G583" s="35" t="s">
        <v>626</v>
      </c>
      <c r="H583" s="35" t="s">
        <v>580</v>
      </c>
      <c r="I583" s="141">
        <v>1427.7</v>
      </c>
      <c r="J583" s="34">
        <v>1388.8431417935403</v>
      </c>
      <c r="K583" s="34">
        <f t="shared" si="117"/>
        <v>-38.856858206459719</v>
      </c>
      <c r="L583" s="56">
        <f t="shared" si="118"/>
        <v>1509.8554296769159</v>
      </c>
      <c r="M583" s="56">
        <f t="shared" si="119"/>
        <v>38.856858206459719</v>
      </c>
      <c r="N583" s="56">
        <f t="shared" si="120"/>
        <v>1.6005030616154812</v>
      </c>
      <c r="O583" s="56">
        <f t="shared" si="129"/>
        <v>-1.6005030616154812</v>
      </c>
      <c r="P583" s="143">
        <f t="shared" si="121"/>
        <v>-2.7216402750199427</v>
      </c>
      <c r="Q583" s="143">
        <f t="shared" si="122"/>
        <v>2.7216402750199427</v>
      </c>
      <c r="R583" s="34">
        <v>1379.80451730909</v>
      </c>
      <c r="S583" s="56">
        <f t="shared" si="123"/>
        <v>-47.895482690910057</v>
      </c>
      <c r="T583" s="56">
        <f t="shared" si="124"/>
        <v>2293.9772621952648</v>
      </c>
      <c r="U583" s="56">
        <f t="shared" si="125"/>
        <v>47.895482690910057</v>
      </c>
      <c r="V583" s="56">
        <f t="shared" si="126"/>
        <v>1.6892687377937137</v>
      </c>
      <c r="W583" s="33">
        <f t="shared" si="127"/>
        <v>-3.3547301737697035</v>
      </c>
      <c r="X583" s="143">
        <f t="shared" si="128"/>
        <v>3.3547301737697035</v>
      </c>
    </row>
    <row r="584" spans="1:24" ht="15" x14ac:dyDescent="0.2">
      <c r="A584" s="28" t="s">
        <v>306</v>
      </c>
      <c r="B584" s="224" t="s">
        <v>611</v>
      </c>
      <c r="C584" s="208" t="s">
        <v>403</v>
      </c>
      <c r="D584" s="35" t="s">
        <v>148</v>
      </c>
      <c r="E584" s="35" t="s">
        <v>662</v>
      </c>
      <c r="F584" s="35" t="s">
        <v>494</v>
      </c>
      <c r="G584" s="35" t="s">
        <v>626</v>
      </c>
      <c r="H584" s="35" t="s">
        <v>580</v>
      </c>
      <c r="I584" s="141">
        <v>1098.0999999999999</v>
      </c>
      <c r="J584" s="34">
        <v>1278.8668234818808</v>
      </c>
      <c r="K584" s="34">
        <f t="shared" si="117"/>
        <v>180.76682348188092</v>
      </c>
      <c r="L584" s="56">
        <f t="shared" si="118"/>
        <v>32676.644471729494</v>
      </c>
      <c r="M584" s="56">
        <f t="shared" si="119"/>
        <v>180.76682348188092</v>
      </c>
      <c r="N584" s="56">
        <f t="shared" si="120"/>
        <v>2.2595146176450585</v>
      </c>
      <c r="O584" s="56">
        <f t="shared" si="129"/>
        <v>2.2595146176450585</v>
      </c>
      <c r="P584" s="143">
        <f t="shared" si="121"/>
        <v>16.461781575619792</v>
      </c>
      <c r="Q584" s="143">
        <f t="shared" si="122"/>
        <v>16.461781575619792</v>
      </c>
      <c r="R584" s="34">
        <v>1261.6733122985354</v>
      </c>
      <c r="S584" s="56">
        <f t="shared" si="123"/>
        <v>163.57331229853548</v>
      </c>
      <c r="T584" s="56">
        <f t="shared" si="124"/>
        <v>26756.228496314219</v>
      </c>
      <c r="U584" s="56">
        <f t="shared" si="125"/>
        <v>163.57331229853548</v>
      </c>
      <c r="V584" s="56">
        <f t="shared" si="126"/>
        <v>2.2163594100913753</v>
      </c>
      <c r="W584" s="33">
        <f t="shared" si="127"/>
        <v>14.896030625492715</v>
      </c>
      <c r="X584" s="143">
        <f t="shared" si="128"/>
        <v>14.896030625492715</v>
      </c>
    </row>
    <row r="585" spans="1:24" ht="15" x14ac:dyDescent="0.2">
      <c r="A585" s="28" t="s">
        <v>75</v>
      </c>
      <c r="B585" s="224" t="s">
        <v>611</v>
      </c>
      <c r="C585" s="208" t="s">
        <v>403</v>
      </c>
      <c r="D585" s="35" t="s">
        <v>82</v>
      </c>
      <c r="E585" s="35" t="s">
        <v>662</v>
      </c>
      <c r="F585" s="35" t="s">
        <v>374</v>
      </c>
      <c r="G585" s="35" t="s">
        <v>627</v>
      </c>
      <c r="H585" s="35" t="s">
        <v>580</v>
      </c>
      <c r="I585" s="141">
        <v>2106.6</v>
      </c>
      <c r="J585" s="34">
        <v>1889.7871473879543</v>
      </c>
      <c r="K585" s="34">
        <f t="shared" si="117"/>
        <v>-216.81285261204562</v>
      </c>
      <c r="L585" s="56">
        <f t="shared" si="118"/>
        <v>47007.813057772619</v>
      </c>
      <c r="M585" s="56">
        <f t="shared" si="119"/>
        <v>216.81285261204562</v>
      </c>
      <c r="N585" s="56">
        <f t="shared" si="120"/>
        <v>2.3380835028476779</v>
      </c>
      <c r="O585" s="56">
        <f t="shared" si="129"/>
        <v>-2.3380835028476779</v>
      </c>
      <c r="P585" s="143">
        <f t="shared" si="121"/>
        <v>-10.29207503142721</v>
      </c>
      <c r="Q585" s="143">
        <f t="shared" si="122"/>
        <v>10.29207503142721</v>
      </c>
      <c r="R585" s="34">
        <v>1846.7818632010965</v>
      </c>
      <c r="S585" s="56">
        <f t="shared" si="123"/>
        <v>-259.81813679890342</v>
      </c>
      <c r="T585" s="56">
        <f t="shared" si="124"/>
        <v>67505.464209653699</v>
      </c>
      <c r="U585" s="56">
        <f t="shared" si="125"/>
        <v>259.81813679890342</v>
      </c>
      <c r="V585" s="56">
        <f t="shared" si="126"/>
        <v>2.4163377881251087</v>
      </c>
      <c r="W585" s="33">
        <f t="shared" si="127"/>
        <v>-12.333529706584233</v>
      </c>
      <c r="X585" s="143">
        <f t="shared" si="128"/>
        <v>12.333529706584233</v>
      </c>
    </row>
    <row r="586" spans="1:24" ht="15" x14ac:dyDescent="0.2">
      <c r="A586" s="28" t="s">
        <v>301</v>
      </c>
      <c r="B586" s="224" t="s">
        <v>611</v>
      </c>
      <c r="C586" s="208" t="s">
        <v>403</v>
      </c>
      <c r="D586" s="35" t="s">
        <v>82</v>
      </c>
      <c r="E586" s="35" t="s">
        <v>662</v>
      </c>
      <c r="F586" s="35" t="s">
        <v>374</v>
      </c>
      <c r="G586" s="35" t="s">
        <v>626</v>
      </c>
      <c r="H586" s="35" t="s">
        <v>580</v>
      </c>
      <c r="I586" s="141">
        <v>1300</v>
      </c>
      <c r="J586" s="34">
        <v>1203.1565998007916</v>
      </c>
      <c r="K586" s="34">
        <f t="shared" si="117"/>
        <v>-96.843400199208418</v>
      </c>
      <c r="L586" s="56">
        <f t="shared" si="118"/>
        <v>9378.6441621440408</v>
      </c>
      <c r="M586" s="56">
        <f t="shared" si="119"/>
        <v>96.843400199208418</v>
      </c>
      <c r="N586" s="56">
        <f t="shared" si="120"/>
        <v>1.9905315366498029</v>
      </c>
      <c r="O586" s="56">
        <f t="shared" si="129"/>
        <v>-1.9905315366498029</v>
      </c>
      <c r="P586" s="143">
        <f t="shared" si="121"/>
        <v>-7.449492323016031</v>
      </c>
      <c r="Q586" s="143">
        <f t="shared" si="122"/>
        <v>7.449492323016031</v>
      </c>
      <c r="R586" s="34">
        <v>1200.7426480723445</v>
      </c>
      <c r="S586" s="56">
        <f t="shared" si="123"/>
        <v>-99.257351927655463</v>
      </c>
      <c r="T586" s="56">
        <f t="shared" si="124"/>
        <v>9852.02191169045</v>
      </c>
      <c r="U586" s="56">
        <f t="shared" si="125"/>
        <v>99.257351927655463</v>
      </c>
      <c r="V586" s="56">
        <f t="shared" si="126"/>
        <v>2.0011162295170641</v>
      </c>
      <c r="W586" s="33">
        <f t="shared" si="127"/>
        <v>-7.6351809175119598</v>
      </c>
      <c r="X586" s="143">
        <f t="shared" si="128"/>
        <v>7.6351809175119598</v>
      </c>
    </row>
    <row r="587" spans="1:24" ht="15" x14ac:dyDescent="0.2">
      <c r="A587" s="28" t="s">
        <v>664</v>
      </c>
      <c r="B587" s="224" t="s">
        <v>611</v>
      </c>
      <c r="C587" s="208" t="s">
        <v>403</v>
      </c>
      <c r="D587" s="35" t="s">
        <v>82</v>
      </c>
      <c r="E587" s="35" t="s">
        <v>662</v>
      </c>
      <c r="F587" s="35" t="s">
        <v>374</v>
      </c>
      <c r="G587" s="35" t="s">
        <v>627</v>
      </c>
      <c r="H587" s="35" t="s">
        <v>580</v>
      </c>
      <c r="I587" s="141">
        <v>1730.8</v>
      </c>
      <c r="J587" s="34">
        <v>1639.3096072040248</v>
      </c>
      <c r="K587" s="34">
        <f t="shared" si="117"/>
        <v>-91.49039279597514</v>
      </c>
      <c r="L587" s="56">
        <f t="shared" si="118"/>
        <v>8370.4919739618199</v>
      </c>
      <c r="M587" s="56">
        <f t="shared" si="119"/>
        <v>91.49039279597514</v>
      </c>
      <c r="N587" s="56">
        <f t="shared" si="120"/>
        <v>1.966096623848401</v>
      </c>
      <c r="O587" s="56">
        <f t="shared" si="129"/>
        <v>-1.966096623848401</v>
      </c>
      <c r="P587" s="143">
        <f t="shared" si="121"/>
        <v>-5.2860176101210499</v>
      </c>
      <c r="Q587" s="143">
        <f t="shared" si="122"/>
        <v>5.2860176101210499</v>
      </c>
      <c r="R587" s="34">
        <v>1691.850879555074</v>
      </c>
      <c r="S587" s="56">
        <f t="shared" si="123"/>
        <v>-38.949120444925939</v>
      </c>
      <c r="T587" s="56">
        <f t="shared" si="124"/>
        <v>1517.0339834333477</v>
      </c>
      <c r="U587" s="56">
        <f t="shared" si="125"/>
        <v>38.949120444925939</v>
      </c>
      <c r="V587" s="56">
        <f t="shared" si="126"/>
        <v>1.6015072219448729</v>
      </c>
      <c r="W587" s="33">
        <f t="shared" si="127"/>
        <v>-2.2503536194202645</v>
      </c>
      <c r="X587" s="143">
        <f t="shared" si="128"/>
        <v>2.2503536194202645</v>
      </c>
    </row>
    <row r="588" spans="1:24" ht="15" x14ac:dyDescent="0.2">
      <c r="A588" s="28" t="s">
        <v>282</v>
      </c>
      <c r="B588" s="224" t="s">
        <v>611</v>
      </c>
      <c r="C588" s="208" t="s">
        <v>403</v>
      </c>
      <c r="D588" s="35" t="s">
        <v>96</v>
      </c>
      <c r="E588" s="35" t="s">
        <v>662</v>
      </c>
      <c r="F588" s="35" t="s">
        <v>494</v>
      </c>
      <c r="G588" s="35" t="s">
        <v>626</v>
      </c>
      <c r="H588" s="35" t="s">
        <v>580</v>
      </c>
      <c r="I588" s="141">
        <v>872.2</v>
      </c>
      <c r="J588" s="34">
        <v>807.30744570655736</v>
      </c>
      <c r="K588" s="34">
        <f t="shared" si="117"/>
        <v>-64.892554293442686</v>
      </c>
      <c r="L588" s="56">
        <f t="shared" si="118"/>
        <v>4211.0436027274063</v>
      </c>
      <c r="M588" s="56">
        <f t="shared" si="119"/>
        <v>64.892554293442686</v>
      </c>
      <c r="N588" s="56">
        <f t="shared" si="120"/>
        <v>1.8188363430923231</v>
      </c>
      <c r="O588" s="56">
        <f t="shared" si="129"/>
        <v>-1.8188363430923231</v>
      </c>
      <c r="P588" s="143">
        <f t="shared" si="121"/>
        <v>-7.4401002400186513</v>
      </c>
      <c r="Q588" s="143">
        <f t="shared" si="122"/>
        <v>7.4401002400186513</v>
      </c>
      <c r="R588" s="34">
        <v>797.24678308777095</v>
      </c>
      <c r="S588" s="56">
        <f t="shared" si="123"/>
        <v>-74.953216912229095</v>
      </c>
      <c r="T588" s="56">
        <f t="shared" si="124"/>
        <v>5617.9847254916658</v>
      </c>
      <c r="U588" s="56">
        <f t="shared" si="125"/>
        <v>74.953216912229095</v>
      </c>
      <c r="V588" s="56">
        <f t="shared" si="126"/>
        <v>1.8805461726378232</v>
      </c>
      <c r="W588" s="33">
        <f t="shared" si="127"/>
        <v>-8.5935813932846923</v>
      </c>
      <c r="X588" s="143">
        <f t="shared" si="128"/>
        <v>8.5935813932846923</v>
      </c>
    </row>
    <row r="589" spans="1:24" ht="15" x14ac:dyDescent="0.2">
      <c r="A589" s="28" t="s">
        <v>600</v>
      </c>
      <c r="B589" s="224" t="s">
        <v>611</v>
      </c>
      <c r="C589" s="208" t="s">
        <v>403</v>
      </c>
      <c r="D589" s="35" t="s">
        <v>82</v>
      </c>
      <c r="E589" s="35" t="s">
        <v>662</v>
      </c>
      <c r="F589" s="35" t="s">
        <v>293</v>
      </c>
      <c r="G589" s="35" t="s">
        <v>627</v>
      </c>
      <c r="H589" s="35" t="s">
        <v>580</v>
      </c>
      <c r="I589" s="141">
        <v>2516.1099999999997</v>
      </c>
      <c r="J589" s="34">
        <v>3298.1488586762248</v>
      </c>
      <c r="K589" s="34">
        <f t="shared" si="117"/>
        <v>782.03885867622512</v>
      </c>
      <c r="L589" s="56">
        <f t="shared" si="118"/>
        <v>611584.7764796128</v>
      </c>
      <c r="M589" s="56">
        <f t="shared" si="119"/>
        <v>782.03885867622512</v>
      </c>
      <c r="N589" s="56">
        <f t="shared" si="120"/>
        <v>2.8937833146631915</v>
      </c>
      <c r="O589" s="56">
        <f t="shared" si="129"/>
        <v>2.8937833146631915</v>
      </c>
      <c r="P589" s="143">
        <f t="shared" si="121"/>
        <v>31.081266664661925</v>
      </c>
      <c r="Q589" s="143">
        <f t="shared" si="122"/>
        <v>31.081266664661925</v>
      </c>
      <c r="R589" s="34">
        <v>3229.9602785975067</v>
      </c>
      <c r="S589" s="56">
        <f t="shared" si="123"/>
        <v>713.85027859750699</v>
      </c>
      <c r="T589" s="56">
        <f t="shared" si="124"/>
        <v>509582.22025373834</v>
      </c>
      <c r="U589" s="56">
        <f t="shared" si="125"/>
        <v>713.85027859750699</v>
      </c>
      <c r="V589" s="56">
        <f t="shared" si="126"/>
        <v>2.8542150907691628</v>
      </c>
      <c r="W589" s="33">
        <f t="shared" si="127"/>
        <v>28.371187213496512</v>
      </c>
      <c r="X589" s="143">
        <f t="shared" si="128"/>
        <v>28.371187213496512</v>
      </c>
    </row>
    <row r="590" spans="1:24" ht="15" x14ac:dyDescent="0.2">
      <c r="A590" s="28" t="s">
        <v>289</v>
      </c>
      <c r="B590" s="224" t="s">
        <v>611</v>
      </c>
      <c r="C590" s="208" t="s">
        <v>403</v>
      </c>
      <c r="D590" s="35" t="s">
        <v>148</v>
      </c>
      <c r="E590" s="35" t="s">
        <v>662</v>
      </c>
      <c r="F590" s="35" t="s">
        <v>494</v>
      </c>
      <c r="G590" s="35" t="s">
        <v>626</v>
      </c>
      <c r="H590" s="35" t="s">
        <v>580</v>
      </c>
      <c r="I590" s="141">
        <v>899.05</v>
      </c>
      <c r="J590" s="34">
        <v>877.9327117825236</v>
      </c>
      <c r="K590" s="34">
        <f t="shared" si="117"/>
        <v>-21.117288217476357</v>
      </c>
      <c r="L590" s="56">
        <f t="shared" si="118"/>
        <v>445.9398616599658</v>
      </c>
      <c r="M590" s="56">
        <f t="shared" si="119"/>
        <v>21.117288217476357</v>
      </c>
      <c r="N590" s="56">
        <f t="shared" si="120"/>
        <v>1.3447318774074188</v>
      </c>
      <c r="O590" s="56">
        <f t="shared" si="129"/>
        <v>-1.3447318774074188</v>
      </c>
      <c r="P590" s="143">
        <f t="shared" si="121"/>
        <v>-2.3488446935628007</v>
      </c>
      <c r="Q590" s="143">
        <f t="shared" si="122"/>
        <v>2.3488446935628007</v>
      </c>
      <c r="R590" s="34">
        <v>862.9973405208541</v>
      </c>
      <c r="S590" s="56">
        <f t="shared" si="123"/>
        <v>-36.052659479145859</v>
      </c>
      <c r="T590" s="56">
        <f t="shared" si="124"/>
        <v>1299.7942555192458</v>
      </c>
      <c r="U590" s="56">
        <f t="shared" si="125"/>
        <v>36.052659479145859</v>
      </c>
      <c r="V590" s="56">
        <f t="shared" si="126"/>
        <v>1.5688193852078287</v>
      </c>
      <c r="W590" s="33">
        <f t="shared" si="127"/>
        <v>-4.0100839195980047</v>
      </c>
      <c r="X590" s="143">
        <f t="shared" si="128"/>
        <v>4.0100839195980047</v>
      </c>
    </row>
    <row r="591" spans="1:24" ht="15" x14ac:dyDescent="0.2">
      <c r="A591" s="28" t="s">
        <v>310</v>
      </c>
      <c r="B591" s="224" t="s">
        <v>611</v>
      </c>
      <c r="C591" s="208" t="s">
        <v>403</v>
      </c>
      <c r="D591" s="35" t="s">
        <v>82</v>
      </c>
      <c r="E591" s="35" t="s">
        <v>662</v>
      </c>
      <c r="F591" s="35" t="s">
        <v>374</v>
      </c>
      <c r="G591" s="35" t="s">
        <v>626</v>
      </c>
      <c r="H591" s="35" t="s">
        <v>580</v>
      </c>
      <c r="I591" s="142">
        <f>489.03+252.1+310.1+413</f>
        <v>1464.23</v>
      </c>
      <c r="J591" s="34">
        <v>1772.1923179128714</v>
      </c>
      <c r="K591" s="34">
        <f t="shared" si="117"/>
        <v>307.96231791287141</v>
      </c>
      <c r="L591" s="56">
        <f t="shared" si="118"/>
        <v>94840.789254268486</v>
      </c>
      <c r="M591" s="56">
        <f t="shared" si="119"/>
        <v>307.96231791287141</v>
      </c>
      <c r="N591" s="56">
        <f t="shared" si="120"/>
        <v>2.4899055146337705</v>
      </c>
      <c r="O591" s="56">
        <f t="shared" si="129"/>
        <v>2.4899055146337705</v>
      </c>
      <c r="P591" s="143">
        <f t="shared" si="121"/>
        <v>21.032373186785641</v>
      </c>
      <c r="Q591" s="143">
        <f t="shared" si="122"/>
        <v>21.032373186785641</v>
      </c>
      <c r="R591" s="34">
        <v>1768.1659346300371</v>
      </c>
      <c r="S591" s="56">
        <f t="shared" si="123"/>
        <v>303.93593463003708</v>
      </c>
      <c r="T591" s="56">
        <f t="shared" si="124"/>
        <v>92377.052359434179</v>
      </c>
      <c r="U591" s="56">
        <f t="shared" si="125"/>
        <v>303.93593463003708</v>
      </c>
      <c r="V591" s="56">
        <f t="shared" si="126"/>
        <v>2.4842086060379134</v>
      </c>
      <c r="W591" s="33">
        <f t="shared" si="127"/>
        <v>20.757390207142119</v>
      </c>
      <c r="X591" s="143">
        <f t="shared" si="128"/>
        <v>20.757390207142119</v>
      </c>
    </row>
    <row r="592" spans="1:24" ht="15" x14ac:dyDescent="0.2">
      <c r="A592" s="28" t="s">
        <v>290</v>
      </c>
      <c r="B592" s="224" t="s">
        <v>611</v>
      </c>
      <c r="C592" s="208" t="s">
        <v>403</v>
      </c>
      <c r="D592" s="35" t="s">
        <v>82</v>
      </c>
      <c r="E592" s="35" t="s">
        <v>662</v>
      </c>
      <c r="F592" s="35" t="s">
        <v>374</v>
      </c>
      <c r="G592" s="35" t="s">
        <v>626</v>
      </c>
      <c r="H592" s="35" t="s">
        <v>580</v>
      </c>
      <c r="I592" s="141">
        <v>1369.3</v>
      </c>
      <c r="J592" s="34">
        <v>1380.6701087693018</v>
      </c>
      <c r="K592" s="34">
        <f t="shared" si="117"/>
        <v>11.370108769301851</v>
      </c>
      <c r="L592" s="56">
        <f t="shared" si="118"/>
        <v>129.27937342575484</v>
      </c>
      <c r="M592" s="56">
        <f t="shared" si="119"/>
        <v>11.370108769301851</v>
      </c>
      <c r="N592" s="56">
        <f t="shared" si="120"/>
        <v>1.0923735183599141</v>
      </c>
      <c r="O592" s="56">
        <f t="shared" si="129"/>
        <v>1.0923735183599141</v>
      </c>
      <c r="P592" s="143">
        <f t="shared" si="121"/>
        <v>0.83035921779754995</v>
      </c>
      <c r="Q592" s="143">
        <f t="shared" si="122"/>
        <v>0.83035921779754995</v>
      </c>
      <c r="R592" s="34">
        <v>1347.7513837132637</v>
      </c>
      <c r="S592" s="56">
        <f t="shared" si="123"/>
        <v>-21.548616286736205</v>
      </c>
      <c r="T592" s="56">
        <f t="shared" si="124"/>
        <v>464.34286387299284</v>
      </c>
      <c r="U592" s="56">
        <f t="shared" si="125"/>
        <v>21.548616286736205</v>
      </c>
      <c r="V592" s="56">
        <f t="shared" si="126"/>
        <v>1.3531198962151691</v>
      </c>
      <c r="W592" s="33">
        <f t="shared" si="127"/>
        <v>-1.5736957778964584</v>
      </c>
      <c r="X592" s="143">
        <f t="shared" si="128"/>
        <v>1.5736957778964584</v>
      </c>
    </row>
    <row r="593" spans="1:24" ht="15" x14ac:dyDescent="0.2">
      <c r="A593" s="28" t="s">
        <v>365</v>
      </c>
      <c r="B593" s="224" t="s">
        <v>611</v>
      </c>
      <c r="C593" s="208" t="s">
        <v>403</v>
      </c>
      <c r="D593" s="35" t="s">
        <v>148</v>
      </c>
      <c r="E593" s="35" t="s">
        <v>662</v>
      </c>
      <c r="F593" s="35" t="s">
        <v>494</v>
      </c>
      <c r="G593" s="35" t="s">
        <v>626</v>
      </c>
      <c r="H593" s="35" t="s">
        <v>580</v>
      </c>
      <c r="I593" s="141">
        <v>992.24</v>
      </c>
      <c r="J593" s="34">
        <v>904.42367820116442</v>
      </c>
      <c r="K593" s="34">
        <f t="shared" si="117"/>
        <v>-87.816321798835588</v>
      </c>
      <c r="L593" s="56">
        <f t="shared" si="118"/>
        <v>7711.7063742766468</v>
      </c>
      <c r="M593" s="56">
        <f t="shared" si="119"/>
        <v>87.816321798835588</v>
      </c>
      <c r="N593" s="56">
        <f t="shared" si="120"/>
        <v>1.9484927835241459</v>
      </c>
      <c r="O593" s="56">
        <f t="shared" si="129"/>
        <v>-1.9484927835241459</v>
      </c>
      <c r="P593" s="143">
        <f t="shared" si="121"/>
        <v>-8.8503105900624437</v>
      </c>
      <c r="Q593" s="143">
        <f t="shared" si="122"/>
        <v>8.8503105900624437</v>
      </c>
      <c r="R593" s="34">
        <v>924.86042969846176</v>
      </c>
      <c r="S593" s="56">
        <f t="shared" si="123"/>
        <v>-67.379570301538251</v>
      </c>
      <c r="T593" s="56">
        <f t="shared" si="124"/>
        <v>4540.0064940199354</v>
      </c>
      <c r="U593" s="56">
        <f t="shared" si="125"/>
        <v>67.379570301538251</v>
      </c>
      <c r="V593" s="56">
        <f t="shared" si="126"/>
        <v>1.8349263673547385</v>
      </c>
      <c r="W593" s="33">
        <f t="shared" si="127"/>
        <v>-6.7906524935034112</v>
      </c>
      <c r="X593" s="143">
        <f t="shared" si="128"/>
        <v>6.7906524935034112</v>
      </c>
    </row>
    <row r="594" spans="1:24" ht="15" x14ac:dyDescent="0.2">
      <c r="A594" s="28" t="s">
        <v>601</v>
      </c>
      <c r="B594" s="224" t="s">
        <v>611</v>
      </c>
      <c r="C594" s="208" t="s">
        <v>403</v>
      </c>
      <c r="D594" s="35" t="s">
        <v>82</v>
      </c>
      <c r="E594" s="35" t="s">
        <v>662</v>
      </c>
      <c r="F594" s="35" t="s">
        <v>203</v>
      </c>
      <c r="G594" s="35" t="s">
        <v>627</v>
      </c>
      <c r="H594" s="35" t="s">
        <v>581</v>
      </c>
      <c r="I594" s="141">
        <v>5182</v>
      </c>
      <c r="J594" s="34">
        <v>5601.9007410168369</v>
      </c>
      <c r="K594" s="34">
        <f t="shared" si="117"/>
        <v>419.90074101683695</v>
      </c>
      <c r="L594" s="56">
        <f t="shared" si="118"/>
        <v>176316.63230648878</v>
      </c>
      <c r="M594" s="56">
        <f t="shared" si="119"/>
        <v>419.90074101683695</v>
      </c>
      <c r="N594" s="56">
        <f t="shared" si="120"/>
        <v>2.6241796903458843</v>
      </c>
      <c r="O594" s="56">
        <f t="shared" si="129"/>
        <v>2.6241796903458843</v>
      </c>
      <c r="P594" s="143">
        <f t="shared" si="121"/>
        <v>8.1030633156471819</v>
      </c>
      <c r="Q594" s="143">
        <f t="shared" si="122"/>
        <v>8.1030633156471819</v>
      </c>
      <c r="R594" s="34">
        <v>5572.8499408908046</v>
      </c>
      <c r="S594" s="56">
        <f t="shared" si="123"/>
        <v>390.84994089080465</v>
      </c>
      <c r="T594" s="56">
        <f t="shared" si="124"/>
        <v>152763.6762943455</v>
      </c>
      <c r="U594" s="56">
        <f t="shared" si="125"/>
        <v>390.84994089080465</v>
      </c>
      <c r="V594" s="56">
        <f t="shared" si="126"/>
        <v>2.5931197855921395</v>
      </c>
      <c r="W594" s="33">
        <f t="shared" si="127"/>
        <v>7.5424535100502634</v>
      </c>
      <c r="X594" s="143">
        <f t="shared" si="128"/>
        <v>7.5424535100502634</v>
      </c>
    </row>
    <row r="595" spans="1:24" ht="15" x14ac:dyDescent="0.2">
      <c r="A595" s="206" t="s">
        <v>593</v>
      </c>
      <c r="B595" s="224" t="s">
        <v>611</v>
      </c>
      <c r="C595" s="35" t="s">
        <v>403</v>
      </c>
      <c r="D595" s="35" t="s">
        <v>82</v>
      </c>
      <c r="E595" s="35" t="s">
        <v>662</v>
      </c>
      <c r="F595" s="35" t="s">
        <v>374</v>
      </c>
      <c r="G595" s="35" t="s">
        <v>626</v>
      </c>
      <c r="H595" s="35" t="s">
        <v>580</v>
      </c>
      <c r="I595" s="141">
        <v>1284.8</v>
      </c>
      <c r="J595" s="34">
        <v>1243.9700265516806</v>
      </c>
      <c r="K595" s="34">
        <f t="shared" si="117"/>
        <v>-40.829973448319379</v>
      </c>
      <c r="L595" s="56">
        <f t="shared" si="118"/>
        <v>1667.0867317904654</v>
      </c>
      <c r="M595" s="56">
        <f t="shared" si="119"/>
        <v>40.829973448319379</v>
      </c>
      <c r="N595" s="56">
        <f t="shared" si="120"/>
        <v>1.6214875889112055</v>
      </c>
      <c r="O595" s="56">
        <f t="shared" si="129"/>
        <v>-1.6214875889112055</v>
      </c>
      <c r="P595" s="143">
        <f t="shared" si="121"/>
        <v>-3.1779244589289681</v>
      </c>
      <c r="Q595" s="143">
        <f t="shared" si="122"/>
        <v>3.1779244589289681</v>
      </c>
      <c r="R595" s="34">
        <v>1229.1959673990098</v>
      </c>
      <c r="S595" s="56">
        <f t="shared" si="123"/>
        <v>-55.604032600990195</v>
      </c>
      <c r="T595" s="56">
        <f t="shared" si="124"/>
        <v>3091.8084414919804</v>
      </c>
      <c r="U595" s="56">
        <f t="shared" si="125"/>
        <v>55.604032600990195</v>
      </c>
      <c r="V595" s="56">
        <f t="shared" si="126"/>
        <v>1.7528473724245199</v>
      </c>
      <c r="W595" s="33">
        <f t="shared" si="127"/>
        <v>-4.3278356632153017</v>
      </c>
      <c r="X595" s="143">
        <f t="shared" si="128"/>
        <v>4.3278356632153017</v>
      </c>
    </row>
    <row r="596" spans="1:24" ht="16" x14ac:dyDescent="0.2">
      <c r="A596" t="s">
        <v>867</v>
      </c>
      <c r="B596" s="224" t="s">
        <v>516</v>
      </c>
      <c r="C596" s="224" t="s">
        <v>824</v>
      </c>
      <c r="D596" s="35" t="s">
        <v>148</v>
      </c>
      <c r="E596" s="35" t="s">
        <v>661</v>
      </c>
      <c r="F596" s="35" t="s">
        <v>374</v>
      </c>
      <c r="G596" s="35" t="s">
        <v>627</v>
      </c>
      <c r="H596" s="35" t="s">
        <v>580</v>
      </c>
      <c r="I596" s="147">
        <v>1842</v>
      </c>
      <c r="J596" s="34">
        <v>1669.5652173913043</v>
      </c>
      <c r="K596" s="34">
        <f t="shared" si="117"/>
        <v>-172.43478260869574</v>
      </c>
      <c r="L596" s="56">
        <f t="shared" si="118"/>
        <v>29733.754253308158</v>
      </c>
      <c r="M596" s="56">
        <f t="shared" si="119"/>
        <v>172.43478260869574</v>
      </c>
      <c r="N596" s="56">
        <f t="shared" si="120"/>
        <v>2.239136200292247</v>
      </c>
      <c r="O596" s="56">
        <f t="shared" si="129"/>
        <v>-2.239136200292247</v>
      </c>
      <c r="P596" s="143">
        <f t="shared" si="121"/>
        <v>-9.361280271916165</v>
      </c>
      <c r="Q596" s="143">
        <f t="shared" si="122"/>
        <v>9.361280271916165</v>
      </c>
      <c r="R596" s="34">
        <v>1687.5</v>
      </c>
      <c r="S596" s="56">
        <f t="shared" si="123"/>
        <v>-154.5</v>
      </c>
      <c r="T596" s="56">
        <f t="shared" si="124"/>
        <v>23870.25</v>
      </c>
      <c r="U596" s="56">
        <f t="shared" si="125"/>
        <v>154.5</v>
      </c>
      <c r="V596" s="56">
        <f t="shared" si="126"/>
        <v>2.1917303933628562</v>
      </c>
      <c r="W596" s="33">
        <f t="shared" si="127"/>
        <v>-8.3876221498371333</v>
      </c>
      <c r="X596" s="143">
        <f t="shared" si="128"/>
        <v>8.3876221498371333</v>
      </c>
    </row>
    <row r="597" spans="1:24" ht="16" x14ac:dyDescent="0.2">
      <c r="A597" t="s">
        <v>868</v>
      </c>
      <c r="B597" s="224" t="s">
        <v>516</v>
      </c>
      <c r="C597" s="224" t="s">
        <v>824</v>
      </c>
      <c r="D597" s="35" t="s">
        <v>148</v>
      </c>
      <c r="E597" s="35" t="s">
        <v>661</v>
      </c>
      <c r="F597" s="35" t="s">
        <v>374</v>
      </c>
      <c r="G597" s="35" t="s">
        <v>627</v>
      </c>
      <c r="H597" s="35" t="s">
        <v>580</v>
      </c>
      <c r="I597" s="147">
        <v>1530</v>
      </c>
      <c r="J597" s="34">
        <v>1530.4347826086955</v>
      </c>
      <c r="K597" s="34">
        <f t="shared" si="117"/>
        <v>0.43478260869551377</v>
      </c>
      <c r="L597" s="56">
        <f t="shared" si="118"/>
        <v>0.18903591682407625</v>
      </c>
      <c r="M597" s="56">
        <f t="shared" si="119"/>
        <v>0.43478260869551377</v>
      </c>
      <c r="N597" s="56">
        <f t="shared" si="120"/>
        <v>0.15678610386025271</v>
      </c>
      <c r="O597" s="56">
        <f t="shared" si="129"/>
        <v>0.15678610386025271</v>
      </c>
      <c r="P597" s="143">
        <f t="shared" si="121"/>
        <v>2.8417163967027044E-2</v>
      </c>
      <c r="Q597" s="143">
        <f t="shared" si="122"/>
        <v>2.8417163967027044E-2</v>
      </c>
      <c r="R597" s="34">
        <v>1562.5</v>
      </c>
      <c r="S597" s="56">
        <f t="shared" si="123"/>
        <v>32.5</v>
      </c>
      <c r="T597" s="56">
        <f t="shared" si="124"/>
        <v>1056.25</v>
      </c>
      <c r="U597" s="56">
        <f t="shared" si="125"/>
        <v>32.5</v>
      </c>
      <c r="V597" s="56">
        <f t="shared" si="126"/>
        <v>1.5250448070368452</v>
      </c>
      <c r="W597" s="33">
        <f t="shared" si="127"/>
        <v>2.1241830065359477</v>
      </c>
      <c r="X597" s="143">
        <f t="shared" si="128"/>
        <v>2.1241830065359477</v>
      </c>
    </row>
    <row r="598" spans="1:24" ht="16" x14ac:dyDescent="0.2">
      <c r="A598" t="s">
        <v>869</v>
      </c>
      <c r="B598" s="224" t="s">
        <v>516</v>
      </c>
      <c r="C598" s="224" t="s">
        <v>824</v>
      </c>
      <c r="D598" s="35" t="s">
        <v>148</v>
      </c>
      <c r="E598" s="35" t="s">
        <v>661</v>
      </c>
      <c r="F598" s="35" t="s">
        <v>374</v>
      </c>
      <c r="G598" s="35" t="s">
        <v>627</v>
      </c>
      <c r="H598" s="35" t="s">
        <v>580</v>
      </c>
      <c r="I598" s="147">
        <v>1686</v>
      </c>
      <c r="J598" s="34">
        <v>1613.0434782608695</v>
      </c>
      <c r="K598" s="34">
        <f t="shared" si="117"/>
        <v>-72.956521739130494</v>
      </c>
      <c r="L598" s="56">
        <f t="shared" si="118"/>
        <v>5322.6540642722202</v>
      </c>
      <c r="M598" s="56">
        <f t="shared" si="119"/>
        <v>72.956521739130494</v>
      </c>
      <c r="N598" s="56">
        <f t="shared" si="120"/>
        <v>1.8689764775949764</v>
      </c>
      <c r="O598" s="56">
        <f t="shared" si="129"/>
        <v>-1.8689764775949764</v>
      </c>
      <c r="P598" s="143">
        <f t="shared" si="121"/>
        <v>-4.3271958326886413</v>
      </c>
      <c r="Q598" s="143">
        <f t="shared" si="122"/>
        <v>4.3271958326886413</v>
      </c>
      <c r="R598" s="34">
        <v>1625</v>
      </c>
      <c r="S598" s="56">
        <f t="shared" si="123"/>
        <v>-61</v>
      </c>
      <c r="T598" s="56">
        <f t="shared" si="124"/>
        <v>3721</v>
      </c>
      <c r="U598" s="56">
        <f t="shared" si="125"/>
        <v>61</v>
      </c>
      <c r="V598" s="56">
        <f t="shared" si="126"/>
        <v>1.7923916894982539</v>
      </c>
      <c r="W598" s="33">
        <f t="shared" si="127"/>
        <v>-3.6180308422301306</v>
      </c>
      <c r="X598" s="143">
        <f t="shared" si="128"/>
        <v>3.6180308422301306</v>
      </c>
    </row>
    <row r="599" spans="1:24" ht="16" x14ac:dyDescent="0.2">
      <c r="A599" t="s">
        <v>870</v>
      </c>
      <c r="B599" s="224" t="s">
        <v>516</v>
      </c>
      <c r="C599" s="224" t="s">
        <v>824</v>
      </c>
      <c r="D599" s="35" t="s">
        <v>148</v>
      </c>
      <c r="E599" s="35" t="s">
        <v>661</v>
      </c>
      <c r="F599" s="35" t="s">
        <v>374</v>
      </c>
      <c r="G599" s="35" t="s">
        <v>627</v>
      </c>
      <c r="H599" s="35" t="s">
        <v>580</v>
      </c>
      <c r="I599" s="147">
        <v>1582</v>
      </c>
      <c r="J599" s="34">
        <v>1547.8260869565217</v>
      </c>
      <c r="K599" s="34">
        <f t="shared" si="117"/>
        <v>-34.173913043478251</v>
      </c>
      <c r="L599" s="56">
        <f t="shared" si="118"/>
        <v>1167.856332703213</v>
      </c>
      <c r="M599" s="56">
        <f t="shared" si="119"/>
        <v>34.173913043478251</v>
      </c>
      <c r="N599" s="56">
        <f t="shared" si="120"/>
        <v>1.5462206855946794</v>
      </c>
      <c r="O599" s="56">
        <f t="shared" si="129"/>
        <v>-1.5462206855946794</v>
      </c>
      <c r="P599" s="143">
        <f t="shared" si="121"/>
        <v>-2.160171494530863</v>
      </c>
      <c r="Q599" s="143">
        <f t="shared" si="122"/>
        <v>2.160171494530863</v>
      </c>
      <c r="R599" s="34">
        <v>1558.3333333333335</v>
      </c>
      <c r="S599" s="56">
        <f t="shared" si="123"/>
        <v>-23.666666666666515</v>
      </c>
      <c r="T599" s="56">
        <f t="shared" si="124"/>
        <v>560.11111111110392</v>
      </c>
      <c r="U599" s="56">
        <f t="shared" si="125"/>
        <v>23.666666666666515</v>
      </c>
      <c r="V599" s="56">
        <f t="shared" si="126"/>
        <v>1.3921104650113112</v>
      </c>
      <c r="W599" s="33">
        <f t="shared" si="127"/>
        <v>-1.495996628739982</v>
      </c>
      <c r="X599" s="143">
        <f t="shared" si="128"/>
        <v>1.495996628739982</v>
      </c>
    </row>
    <row r="600" spans="1:24" ht="16" x14ac:dyDescent="0.2">
      <c r="A600" t="s">
        <v>871</v>
      </c>
      <c r="B600" s="224" t="s">
        <v>516</v>
      </c>
      <c r="C600" s="224" t="s">
        <v>824</v>
      </c>
      <c r="D600" s="35" t="s">
        <v>148</v>
      </c>
      <c r="E600" s="35" t="s">
        <v>661</v>
      </c>
      <c r="F600" s="35" t="s">
        <v>374</v>
      </c>
      <c r="G600" s="35" t="s">
        <v>627</v>
      </c>
      <c r="H600" s="35" t="s">
        <v>580</v>
      </c>
      <c r="I600" s="147">
        <v>1575</v>
      </c>
      <c r="J600" s="34">
        <v>1504.3478260869565</v>
      </c>
      <c r="K600" s="34">
        <f t="shared" si="117"/>
        <v>-70.652173913043498</v>
      </c>
      <c r="L600" s="56">
        <f t="shared" si="118"/>
        <v>4991.7296786389443</v>
      </c>
      <c r="M600" s="56">
        <f t="shared" si="119"/>
        <v>70.652173913043498</v>
      </c>
      <c r="N600" s="56">
        <f t="shared" si="120"/>
        <v>1.8552293713435042</v>
      </c>
      <c r="O600" s="56">
        <f t="shared" si="129"/>
        <v>-1.8552293713435042</v>
      </c>
      <c r="P600" s="143">
        <f t="shared" si="121"/>
        <v>-4.4858523119392695</v>
      </c>
      <c r="Q600" s="143">
        <f t="shared" si="122"/>
        <v>4.4858523119392695</v>
      </c>
      <c r="R600" s="34">
        <v>1520.8333333333335</v>
      </c>
      <c r="S600" s="56">
        <f t="shared" si="123"/>
        <v>-54.166666666666515</v>
      </c>
      <c r="T600" s="56">
        <f t="shared" si="124"/>
        <v>2934.0277777777615</v>
      </c>
      <c r="U600" s="56">
        <f t="shared" si="125"/>
        <v>54.166666666666515</v>
      </c>
      <c r="V600" s="56">
        <f t="shared" si="126"/>
        <v>1.7416767433920739</v>
      </c>
      <c r="W600" s="33">
        <f t="shared" si="127"/>
        <v>-3.4391534391534297</v>
      </c>
      <c r="X600" s="143">
        <f t="shared" si="128"/>
        <v>3.4391534391534297</v>
      </c>
    </row>
    <row r="601" spans="1:24" ht="16" x14ac:dyDescent="0.2">
      <c r="A601" t="s">
        <v>872</v>
      </c>
      <c r="B601" s="224" t="s">
        <v>516</v>
      </c>
      <c r="C601" s="224" t="s">
        <v>824</v>
      </c>
      <c r="D601" s="35" t="s">
        <v>148</v>
      </c>
      <c r="E601" s="35" t="s">
        <v>661</v>
      </c>
      <c r="F601" s="35" t="s">
        <v>374</v>
      </c>
      <c r="G601" s="35" t="s">
        <v>627</v>
      </c>
      <c r="H601" s="35" t="s">
        <v>580</v>
      </c>
      <c r="I601" s="147">
        <v>1684</v>
      </c>
      <c r="J601" s="34">
        <v>1630.4347826086955</v>
      </c>
      <c r="K601" s="34">
        <f t="shared" si="117"/>
        <v>-53.565217391304486</v>
      </c>
      <c r="L601" s="56">
        <f t="shared" si="118"/>
        <v>2869.2325141777087</v>
      </c>
      <c r="M601" s="56">
        <f t="shared" si="119"/>
        <v>53.565217391304486</v>
      </c>
      <c r="N601" s="56">
        <f t="shared" si="120"/>
        <v>1.7369158897994652</v>
      </c>
      <c r="O601" s="56">
        <f t="shared" si="129"/>
        <v>-1.7369158897994652</v>
      </c>
      <c r="P601" s="143">
        <f t="shared" si="121"/>
        <v>-3.1808323866570358</v>
      </c>
      <c r="Q601" s="143">
        <f t="shared" si="122"/>
        <v>3.1808323866570358</v>
      </c>
      <c r="R601" s="34">
        <v>1600</v>
      </c>
      <c r="S601" s="56">
        <f t="shared" si="123"/>
        <v>-84</v>
      </c>
      <c r="T601" s="56">
        <f t="shared" si="124"/>
        <v>7056</v>
      </c>
      <c r="U601" s="56">
        <f t="shared" si="125"/>
        <v>84</v>
      </c>
      <c r="V601" s="56">
        <f t="shared" si="126"/>
        <v>1.9294189257142926</v>
      </c>
      <c r="W601" s="33">
        <f t="shared" si="127"/>
        <v>-4.9881235154394297</v>
      </c>
      <c r="X601" s="143">
        <f t="shared" si="128"/>
        <v>4.9881235154394297</v>
      </c>
    </row>
    <row r="602" spans="1:24" ht="16" x14ac:dyDescent="0.2">
      <c r="A602" t="s">
        <v>873</v>
      </c>
      <c r="B602" s="224" t="s">
        <v>516</v>
      </c>
      <c r="C602" s="224" t="s">
        <v>824</v>
      </c>
      <c r="D602" s="35" t="s">
        <v>148</v>
      </c>
      <c r="E602" s="35" t="s">
        <v>661</v>
      </c>
      <c r="F602" s="35" t="s">
        <v>374</v>
      </c>
      <c r="G602" s="35" t="s">
        <v>627</v>
      </c>
      <c r="H602" s="35" t="s">
        <v>580</v>
      </c>
      <c r="I602" s="147">
        <v>1646</v>
      </c>
      <c r="J602" s="34">
        <v>1608.695652173913</v>
      </c>
      <c r="K602" s="34">
        <f t="shared" si="117"/>
        <v>-37.304347826086996</v>
      </c>
      <c r="L602" s="56">
        <f t="shared" si="118"/>
        <v>1391.6143667296815</v>
      </c>
      <c r="M602" s="56">
        <f t="shared" si="119"/>
        <v>37.304347826086996</v>
      </c>
      <c r="N602" s="56">
        <f t="shared" si="120"/>
        <v>1.5832480723944555</v>
      </c>
      <c r="O602" s="56">
        <f t="shared" si="129"/>
        <v>-1.5832480723944555</v>
      </c>
      <c r="P602" s="143">
        <f t="shared" si="121"/>
        <v>-2.2663637804427093</v>
      </c>
      <c r="Q602" s="143">
        <f t="shared" si="122"/>
        <v>2.2663637804427093</v>
      </c>
      <c r="R602" s="34">
        <v>1625</v>
      </c>
      <c r="S602" s="56">
        <f t="shared" si="123"/>
        <v>-21</v>
      </c>
      <c r="T602" s="56">
        <f t="shared" si="124"/>
        <v>441</v>
      </c>
      <c r="U602" s="56">
        <f t="shared" si="125"/>
        <v>21</v>
      </c>
      <c r="V602" s="56">
        <f t="shared" si="126"/>
        <v>1.3424226808222062</v>
      </c>
      <c r="W602" s="33">
        <f t="shared" si="127"/>
        <v>-1.2758201701093561</v>
      </c>
      <c r="X602" s="143">
        <f t="shared" si="128"/>
        <v>1.2758201701093561</v>
      </c>
    </row>
    <row r="603" spans="1:24" ht="16" x14ac:dyDescent="0.2">
      <c r="A603" t="s">
        <v>874</v>
      </c>
      <c r="B603" s="224" t="s">
        <v>516</v>
      </c>
      <c r="C603" s="224" t="s">
        <v>824</v>
      </c>
      <c r="D603" s="35" t="s">
        <v>148</v>
      </c>
      <c r="E603" s="35" t="s">
        <v>661</v>
      </c>
      <c r="F603" s="35" t="s">
        <v>374</v>
      </c>
      <c r="G603" s="35" t="s">
        <v>627</v>
      </c>
      <c r="H603" s="35" t="s">
        <v>580</v>
      </c>
      <c r="I603" s="147">
        <v>1540</v>
      </c>
      <c r="J603" s="34">
        <v>1521.7391304347825</v>
      </c>
      <c r="K603" s="34">
        <f t="shared" si="117"/>
        <v>-18.26086956521749</v>
      </c>
      <c r="L603" s="56">
        <f t="shared" si="118"/>
        <v>333.4593572778864</v>
      </c>
      <c r="M603" s="56">
        <f t="shared" si="119"/>
        <v>18.26086956521749</v>
      </c>
      <c r="N603" s="56">
        <f t="shared" si="120"/>
        <v>1.2846758902054789</v>
      </c>
      <c r="O603" s="56">
        <f t="shared" si="129"/>
        <v>-1.2846758902054789</v>
      </c>
      <c r="P603" s="143">
        <f t="shared" si="121"/>
        <v>-1.1857707509881488</v>
      </c>
      <c r="Q603" s="143">
        <f t="shared" si="122"/>
        <v>1.1857707509881488</v>
      </c>
      <c r="R603" s="34">
        <v>1533.3333333333335</v>
      </c>
      <c r="S603" s="56">
        <f t="shared" si="123"/>
        <v>-6.6666666666665151</v>
      </c>
      <c r="T603" s="56">
        <f t="shared" si="124"/>
        <v>44.444444444442425</v>
      </c>
      <c r="U603" s="56">
        <f t="shared" si="125"/>
        <v>6.6666666666665151</v>
      </c>
      <c r="V603" s="56">
        <f t="shared" si="126"/>
        <v>0.8846065812979218</v>
      </c>
      <c r="W603" s="33">
        <f t="shared" si="127"/>
        <v>-0.43290043290042307</v>
      </c>
      <c r="X603" s="143">
        <f t="shared" si="128"/>
        <v>0.43290043290042307</v>
      </c>
    </row>
    <row r="604" spans="1:24" ht="16" x14ac:dyDescent="0.2">
      <c r="A604" t="s">
        <v>875</v>
      </c>
      <c r="B604" s="224" t="s">
        <v>516</v>
      </c>
      <c r="C604" s="224" t="s">
        <v>824</v>
      </c>
      <c r="D604" s="35" t="s">
        <v>148</v>
      </c>
      <c r="E604" s="35" t="s">
        <v>661</v>
      </c>
      <c r="F604" s="35" t="s">
        <v>374</v>
      </c>
      <c r="G604" s="35" t="s">
        <v>626</v>
      </c>
      <c r="H604" s="35" t="s">
        <v>580</v>
      </c>
      <c r="I604" s="147">
        <v>1490</v>
      </c>
      <c r="J604" s="34">
        <v>1513.0434782608695</v>
      </c>
      <c r="K604" s="34">
        <f t="shared" si="117"/>
        <v>23.043478260869506</v>
      </c>
      <c r="L604" s="56">
        <f t="shared" si="118"/>
        <v>531.00189035916549</v>
      </c>
      <c r="M604" s="56">
        <f t="shared" si="119"/>
        <v>23.043478260869506</v>
      </c>
      <c r="N604" s="56">
        <f t="shared" si="120"/>
        <v>1.3809972952871044</v>
      </c>
      <c r="O604" s="56">
        <f t="shared" si="129"/>
        <v>1.3809972952871044</v>
      </c>
      <c r="P604" s="143">
        <f t="shared" si="121"/>
        <v>1.5465421651590272</v>
      </c>
      <c r="Q604" s="143">
        <f t="shared" si="122"/>
        <v>1.5465421651590272</v>
      </c>
      <c r="R604" s="34">
        <v>1491.6666666666667</v>
      </c>
      <c r="S604" s="56">
        <f t="shared" si="123"/>
        <v>1.6666666666667425</v>
      </c>
      <c r="T604" s="56">
        <f t="shared" si="124"/>
        <v>2.7777777777780304</v>
      </c>
      <c r="U604" s="56">
        <f t="shared" si="125"/>
        <v>1.6666666666667425</v>
      </c>
      <c r="V604" s="56">
        <f t="shared" si="126"/>
        <v>0.42596873227229348</v>
      </c>
      <c r="W604" s="33">
        <f t="shared" si="127"/>
        <v>0.11185682326622433</v>
      </c>
      <c r="X604" s="143">
        <f t="shared" si="128"/>
        <v>0.11185682326622433</v>
      </c>
    </row>
    <row r="605" spans="1:24" ht="16" x14ac:dyDescent="0.2">
      <c r="A605" t="s">
        <v>876</v>
      </c>
      <c r="B605" s="224" t="s">
        <v>516</v>
      </c>
      <c r="C605" s="224" t="s">
        <v>824</v>
      </c>
      <c r="D605" s="35" t="s">
        <v>148</v>
      </c>
      <c r="E605" s="35" t="s">
        <v>661</v>
      </c>
      <c r="F605" s="35" t="s">
        <v>374</v>
      </c>
      <c r="G605" s="35" t="s">
        <v>627</v>
      </c>
      <c r="H605" s="35" t="s">
        <v>580</v>
      </c>
      <c r="I605" s="147">
        <v>1668</v>
      </c>
      <c r="J605" s="34">
        <v>1704.3478260869565</v>
      </c>
      <c r="K605" s="34">
        <f t="shared" si="117"/>
        <v>36.347826086956502</v>
      </c>
      <c r="L605" s="56">
        <f t="shared" si="118"/>
        <v>1321.1644612476357</v>
      </c>
      <c r="M605" s="56">
        <f t="shared" si="119"/>
        <v>36.347826086956502</v>
      </c>
      <c r="N605" s="56">
        <f t="shared" si="120"/>
        <v>1.5722653278136491</v>
      </c>
      <c r="O605" s="56">
        <f t="shared" si="129"/>
        <v>1.5722653278136491</v>
      </c>
      <c r="P605" s="143">
        <f t="shared" si="121"/>
        <v>2.1791262642060252</v>
      </c>
      <c r="Q605" s="143">
        <f t="shared" si="122"/>
        <v>2.1791262642060252</v>
      </c>
      <c r="R605" s="34">
        <v>1700</v>
      </c>
      <c r="S605" s="56">
        <f t="shared" si="123"/>
        <v>32</v>
      </c>
      <c r="T605" s="56">
        <f t="shared" si="124"/>
        <v>1024</v>
      </c>
      <c r="U605" s="56">
        <f t="shared" si="125"/>
        <v>32</v>
      </c>
      <c r="V605" s="56">
        <f t="shared" si="126"/>
        <v>1.5185139398778875</v>
      </c>
      <c r="W605" s="33">
        <f t="shared" si="127"/>
        <v>1.9184652278177459</v>
      </c>
      <c r="X605" s="143">
        <f t="shared" si="128"/>
        <v>1.9184652278177459</v>
      </c>
    </row>
    <row r="606" spans="1:24" ht="16" x14ac:dyDescent="0.2">
      <c r="A606" t="s">
        <v>877</v>
      </c>
      <c r="B606" s="224" t="s">
        <v>516</v>
      </c>
      <c r="C606" s="224" t="s">
        <v>824</v>
      </c>
      <c r="D606" s="35" t="s">
        <v>148</v>
      </c>
      <c r="E606" s="35" t="s">
        <v>661</v>
      </c>
      <c r="F606" s="35" t="s">
        <v>374</v>
      </c>
      <c r="G606" s="35" t="s">
        <v>627</v>
      </c>
      <c r="H606" s="35" t="s">
        <v>580</v>
      </c>
      <c r="I606" s="147">
        <v>1647</v>
      </c>
      <c r="J606" s="34">
        <v>1534.782608695652</v>
      </c>
      <c r="K606" s="34">
        <f t="shared" si="117"/>
        <v>-112.21739130434798</v>
      </c>
      <c r="L606" s="56">
        <f t="shared" si="118"/>
        <v>12592.742911153155</v>
      </c>
      <c r="M606" s="56">
        <f t="shared" si="119"/>
        <v>112.21739130434798</v>
      </c>
      <c r="N606" s="56">
        <f t="shared" si="120"/>
        <v>2.0539131438785621</v>
      </c>
      <c r="O606" s="56">
        <f t="shared" si="129"/>
        <v>-2.0539131438785621</v>
      </c>
      <c r="P606" s="143">
        <f t="shared" si="121"/>
        <v>-6.8134420949816628</v>
      </c>
      <c r="Q606" s="143">
        <f t="shared" si="122"/>
        <v>6.8134420949816628</v>
      </c>
      <c r="R606" s="34">
        <v>1541.6666666666667</v>
      </c>
      <c r="S606" s="56">
        <f t="shared" si="123"/>
        <v>-105.33333333333326</v>
      </c>
      <c r="T606" s="56">
        <f t="shared" si="124"/>
        <v>11095.111111111095</v>
      </c>
      <c r="U606" s="56">
        <f t="shared" si="125"/>
        <v>105.33333333333326</v>
      </c>
      <c r="V606" s="56">
        <f t="shared" si="126"/>
        <v>2.0266694283375184</v>
      </c>
      <c r="W606" s="33">
        <f t="shared" si="127"/>
        <v>-6.3954665047561168</v>
      </c>
      <c r="X606" s="143">
        <f t="shared" si="128"/>
        <v>6.3954665047561168</v>
      </c>
    </row>
    <row r="607" spans="1:24" ht="16" x14ac:dyDescent="0.2">
      <c r="A607" t="s">
        <v>878</v>
      </c>
      <c r="B607" s="224" t="s">
        <v>516</v>
      </c>
      <c r="C607" s="224" t="s">
        <v>824</v>
      </c>
      <c r="D607" s="35" t="s">
        <v>148</v>
      </c>
      <c r="E607" s="35" t="s">
        <v>661</v>
      </c>
      <c r="F607" s="35" t="s">
        <v>374</v>
      </c>
      <c r="G607" s="35" t="s">
        <v>627</v>
      </c>
      <c r="H607" s="35" t="s">
        <v>580</v>
      </c>
      <c r="I607" s="147">
        <v>1520</v>
      </c>
      <c r="J607" s="34">
        <v>1473.9130434782608</v>
      </c>
      <c r="K607" s="34">
        <f t="shared" si="117"/>
        <v>-46.086956521739239</v>
      </c>
      <c r="L607" s="56">
        <f t="shared" si="118"/>
        <v>2124.0075614366829</v>
      </c>
      <c r="M607" s="56">
        <f t="shared" si="119"/>
        <v>46.086956521739239</v>
      </c>
      <c r="N607" s="56">
        <f t="shared" si="120"/>
        <v>1.6729006206077286</v>
      </c>
      <c r="O607" s="56">
        <f t="shared" si="129"/>
        <v>-1.6729006206077286</v>
      </c>
      <c r="P607" s="143">
        <f t="shared" si="121"/>
        <v>-3.0320366132723184</v>
      </c>
      <c r="Q607" s="143">
        <f t="shared" si="122"/>
        <v>3.0320366132723184</v>
      </c>
      <c r="R607" s="34">
        <v>1483.3333333333335</v>
      </c>
      <c r="S607" s="56">
        <f t="shared" si="123"/>
        <v>-36.666666666666515</v>
      </c>
      <c r="T607" s="56">
        <f t="shared" si="124"/>
        <v>1344.4444444444334</v>
      </c>
      <c r="U607" s="56">
        <f t="shared" si="125"/>
        <v>36.666666666666515</v>
      </c>
      <c r="V607" s="56">
        <f t="shared" si="126"/>
        <v>1.5759571887637556</v>
      </c>
      <c r="W607" s="33">
        <f t="shared" si="127"/>
        <v>-2.4122807017543759</v>
      </c>
      <c r="X607" s="143">
        <f t="shared" si="128"/>
        <v>2.4122807017543759</v>
      </c>
    </row>
    <row r="608" spans="1:24" ht="16" x14ac:dyDescent="0.2">
      <c r="A608" t="s">
        <v>879</v>
      </c>
      <c r="B608" s="224" t="s">
        <v>516</v>
      </c>
      <c r="C608" s="224" t="s">
        <v>824</v>
      </c>
      <c r="D608" s="35" t="s">
        <v>148</v>
      </c>
      <c r="E608" s="35" t="s">
        <v>661</v>
      </c>
      <c r="F608" s="35" t="s">
        <v>374</v>
      </c>
      <c r="G608" s="35" t="s">
        <v>627</v>
      </c>
      <c r="H608" s="35" t="s">
        <v>580</v>
      </c>
      <c r="I608" s="147">
        <v>1550</v>
      </c>
      <c r="J608" s="34">
        <v>1543.4782608695652</v>
      </c>
      <c r="K608" s="34">
        <f t="shared" si="117"/>
        <v>-6.521739130434753</v>
      </c>
      <c r="L608" s="56">
        <f t="shared" si="118"/>
        <v>42.533081285443849</v>
      </c>
      <c r="M608" s="56">
        <f t="shared" si="119"/>
        <v>6.521739130434753</v>
      </c>
      <c r="N608" s="56">
        <f t="shared" si="120"/>
        <v>0.87631826711120087</v>
      </c>
      <c r="O608" s="56">
        <f t="shared" si="129"/>
        <v>-0.87631826711120087</v>
      </c>
      <c r="P608" s="143">
        <f t="shared" si="121"/>
        <v>-0.42075736325385504</v>
      </c>
      <c r="Q608" s="143">
        <f t="shared" si="122"/>
        <v>0.42075736325385504</v>
      </c>
      <c r="R608" s="34">
        <v>1541.6666666666667</v>
      </c>
      <c r="S608" s="56">
        <f t="shared" si="123"/>
        <v>-8.3333333333332575</v>
      </c>
      <c r="T608" s="56">
        <f t="shared" si="124"/>
        <v>69.444444444443178</v>
      </c>
      <c r="U608" s="56">
        <f t="shared" si="125"/>
        <v>8.3333333333332575</v>
      </c>
      <c r="V608" s="56">
        <f t="shared" si="126"/>
        <v>0.97003677662255328</v>
      </c>
      <c r="W608" s="33">
        <f t="shared" si="127"/>
        <v>-0.53763440860214562</v>
      </c>
      <c r="X608" s="143">
        <f t="shared" si="128"/>
        <v>0.53763440860214562</v>
      </c>
    </row>
    <row r="609" spans="1:24" ht="16" x14ac:dyDescent="0.2">
      <c r="A609" t="s">
        <v>880</v>
      </c>
      <c r="B609" s="224" t="s">
        <v>516</v>
      </c>
      <c r="C609" s="224" t="s">
        <v>824</v>
      </c>
      <c r="D609" s="35" t="s">
        <v>148</v>
      </c>
      <c r="E609" s="35" t="s">
        <v>661</v>
      </c>
      <c r="F609" s="35" t="s">
        <v>374</v>
      </c>
      <c r="G609" s="35" t="s">
        <v>627</v>
      </c>
      <c r="H609" s="35" t="s">
        <v>580</v>
      </c>
      <c r="I609" s="147">
        <v>1695</v>
      </c>
      <c r="J609" s="34">
        <v>1630.4347826086955</v>
      </c>
      <c r="K609" s="34">
        <f t="shared" si="117"/>
        <v>-64.565217391304486</v>
      </c>
      <c r="L609" s="56">
        <f t="shared" si="118"/>
        <v>4168.667296786407</v>
      </c>
      <c r="M609" s="56">
        <f t="shared" si="119"/>
        <v>64.565217391304486</v>
      </c>
      <c r="N609" s="56">
        <f t="shared" si="120"/>
        <v>1.8166735055161634</v>
      </c>
      <c r="O609" s="56">
        <f t="shared" si="129"/>
        <v>-1.8166735055161634</v>
      </c>
      <c r="P609" s="143">
        <f t="shared" si="121"/>
        <v>-3.8091573682185538</v>
      </c>
      <c r="Q609" s="143">
        <f t="shared" si="122"/>
        <v>3.8091573682185538</v>
      </c>
      <c r="R609" s="34">
        <v>1604.1666666666667</v>
      </c>
      <c r="S609" s="56">
        <f t="shared" si="123"/>
        <v>-90.833333333333258</v>
      </c>
      <c r="T609" s="56">
        <f t="shared" si="124"/>
        <v>8250.6944444444307</v>
      </c>
      <c r="U609" s="56">
        <f t="shared" si="125"/>
        <v>90.833333333333258</v>
      </c>
      <c r="V609" s="56">
        <f t="shared" si="126"/>
        <v>1.9630003484681411</v>
      </c>
      <c r="W609" s="33">
        <f t="shared" si="127"/>
        <v>-5.3588987217305748</v>
      </c>
      <c r="X609" s="143">
        <f t="shared" si="128"/>
        <v>5.3588987217305748</v>
      </c>
    </row>
    <row r="610" spans="1:24" ht="16" x14ac:dyDescent="0.2">
      <c r="A610" t="s">
        <v>881</v>
      </c>
      <c r="B610" s="224" t="s">
        <v>516</v>
      </c>
      <c r="C610" s="224" t="s">
        <v>824</v>
      </c>
      <c r="D610" s="35" t="s">
        <v>148</v>
      </c>
      <c r="E610" s="35" t="s">
        <v>661</v>
      </c>
      <c r="F610" s="35" t="s">
        <v>374</v>
      </c>
      <c r="G610" s="35" t="s">
        <v>627</v>
      </c>
      <c r="H610" s="35" t="s">
        <v>580</v>
      </c>
      <c r="I610" s="147">
        <v>1835</v>
      </c>
      <c r="J610" s="34">
        <v>1673.9130434782608</v>
      </c>
      <c r="K610" s="34">
        <f t="shared" si="117"/>
        <v>-161.08695652173924</v>
      </c>
      <c r="L610" s="56">
        <f t="shared" si="118"/>
        <v>25949.007561436709</v>
      </c>
      <c r="M610" s="56">
        <f t="shared" si="119"/>
        <v>161.08695652173924</v>
      </c>
      <c r="N610" s="56">
        <f t="shared" si="120"/>
        <v>2.2097480676643513</v>
      </c>
      <c r="O610" s="56">
        <f t="shared" si="129"/>
        <v>-2.2097480676643513</v>
      </c>
      <c r="P610" s="143">
        <f t="shared" si="121"/>
        <v>-8.7785807368795226</v>
      </c>
      <c r="Q610" s="143">
        <f t="shared" si="122"/>
        <v>8.7785807368795226</v>
      </c>
      <c r="R610" s="34">
        <v>1666.6666666666667</v>
      </c>
      <c r="S610" s="56">
        <f t="shared" si="123"/>
        <v>-168.33333333333326</v>
      </c>
      <c r="T610" s="56">
        <f t="shared" si="124"/>
        <v>28336.111111111084</v>
      </c>
      <c r="U610" s="56">
        <f t="shared" si="125"/>
        <v>168.33333333333326</v>
      </c>
      <c r="V610" s="56">
        <f t="shared" si="126"/>
        <v>2.2287424575642567</v>
      </c>
      <c r="W610" s="33">
        <f t="shared" si="127"/>
        <v>-9.1734786557674788</v>
      </c>
      <c r="X610" s="143">
        <f t="shared" si="128"/>
        <v>9.1734786557674788</v>
      </c>
    </row>
    <row r="611" spans="1:24" ht="16" x14ac:dyDescent="0.2">
      <c r="A611" t="s">
        <v>882</v>
      </c>
      <c r="B611" s="224" t="s">
        <v>516</v>
      </c>
      <c r="C611" s="224" t="s">
        <v>824</v>
      </c>
      <c r="D611" s="35" t="s">
        <v>148</v>
      </c>
      <c r="E611" s="35" t="s">
        <v>661</v>
      </c>
      <c r="F611" s="35" t="s">
        <v>374</v>
      </c>
      <c r="G611" s="35" t="s">
        <v>627</v>
      </c>
      <c r="H611" s="35" t="s">
        <v>580</v>
      </c>
      <c r="I611" s="147">
        <v>1643</v>
      </c>
      <c r="J611" s="34">
        <v>1634.782608695652</v>
      </c>
      <c r="K611" s="34">
        <f t="shared" si="117"/>
        <v>-8.2173913043479843</v>
      </c>
      <c r="L611" s="56">
        <f t="shared" si="118"/>
        <v>67.525519848773868</v>
      </c>
      <c r="M611" s="56">
        <f t="shared" si="119"/>
        <v>8.2173913043479843</v>
      </c>
      <c r="N611" s="56">
        <f t="shared" si="120"/>
        <v>0.96460802491116604</v>
      </c>
      <c r="O611" s="56">
        <f t="shared" si="129"/>
        <v>-0.96460802491116604</v>
      </c>
      <c r="P611" s="143">
        <f t="shared" si="121"/>
        <v>-0.50014554499987729</v>
      </c>
      <c r="Q611" s="143">
        <f t="shared" si="122"/>
        <v>0.50014554499987729</v>
      </c>
      <c r="R611" s="34">
        <v>1633.3333333333335</v>
      </c>
      <c r="S611" s="56">
        <f t="shared" si="123"/>
        <v>-9.6666666666665151</v>
      </c>
      <c r="T611" s="56">
        <f t="shared" si="124"/>
        <v>93.444444444441515</v>
      </c>
      <c r="U611" s="56">
        <f t="shared" si="125"/>
        <v>9.6666666666665151</v>
      </c>
      <c r="V611" s="56">
        <f t="shared" si="126"/>
        <v>1.0280287236002374</v>
      </c>
      <c r="W611" s="33">
        <f t="shared" si="127"/>
        <v>-0.58835463582875924</v>
      </c>
      <c r="X611" s="143">
        <f t="shared" si="128"/>
        <v>0.58835463582875924</v>
      </c>
    </row>
    <row r="612" spans="1:24" ht="16" x14ac:dyDescent="0.2">
      <c r="A612" t="s">
        <v>883</v>
      </c>
      <c r="B612" s="224" t="s">
        <v>516</v>
      </c>
      <c r="C612" s="224" t="s">
        <v>824</v>
      </c>
      <c r="D612" s="35" t="s">
        <v>148</v>
      </c>
      <c r="E612" s="35" t="s">
        <v>661</v>
      </c>
      <c r="F612" s="35" t="s">
        <v>374</v>
      </c>
      <c r="G612" s="35" t="s">
        <v>627</v>
      </c>
      <c r="H612" s="35" t="s">
        <v>580</v>
      </c>
      <c r="I612" s="147">
        <v>1670</v>
      </c>
      <c r="J612" s="34">
        <v>1700</v>
      </c>
      <c r="K612" s="34">
        <f t="shared" si="117"/>
        <v>30</v>
      </c>
      <c r="L612" s="56">
        <f t="shared" si="118"/>
        <v>900</v>
      </c>
      <c r="M612" s="56">
        <f t="shared" si="119"/>
        <v>30</v>
      </c>
      <c r="N612" s="56">
        <f t="shared" si="120"/>
        <v>1.4913616938342726</v>
      </c>
      <c r="O612" s="56">
        <f t="shared" si="129"/>
        <v>1.4913616938342726</v>
      </c>
      <c r="P612" s="143">
        <f t="shared" si="121"/>
        <v>1.7964071856287425</v>
      </c>
      <c r="Q612" s="143">
        <f t="shared" si="122"/>
        <v>1.7964071856287425</v>
      </c>
      <c r="R612" s="34">
        <v>1687.5</v>
      </c>
      <c r="S612" s="56">
        <f t="shared" si="123"/>
        <v>17.5</v>
      </c>
      <c r="T612" s="56">
        <f t="shared" si="124"/>
        <v>306.25</v>
      </c>
      <c r="U612" s="56">
        <f t="shared" si="125"/>
        <v>17.5</v>
      </c>
      <c r="V612" s="56">
        <f t="shared" si="126"/>
        <v>1.2671717284030137</v>
      </c>
      <c r="W612" s="33">
        <f t="shared" si="127"/>
        <v>1.0479041916167664</v>
      </c>
      <c r="X612" s="143">
        <f t="shared" si="128"/>
        <v>1.0479041916167664</v>
      </c>
    </row>
    <row r="613" spans="1:24" ht="15" x14ac:dyDescent="0.2">
      <c r="A613" t="s">
        <v>884</v>
      </c>
      <c r="B613" s="224" t="s">
        <v>516</v>
      </c>
      <c r="C613" s="224" t="s">
        <v>824</v>
      </c>
      <c r="D613" s="35" t="s">
        <v>148</v>
      </c>
      <c r="E613" s="35" t="s">
        <v>661</v>
      </c>
      <c r="F613" s="35" t="s">
        <v>374</v>
      </c>
      <c r="G613" s="35" t="s">
        <v>627</v>
      </c>
      <c r="H613" s="35" t="s">
        <v>580</v>
      </c>
      <c r="I613">
        <v>1733</v>
      </c>
      <c r="J613" s="34">
        <v>1782.6086956521738</v>
      </c>
      <c r="K613" s="34">
        <f t="shared" si="117"/>
        <v>49.608695652173765</v>
      </c>
      <c r="L613" s="56">
        <f t="shared" si="118"/>
        <v>2461.022684310004</v>
      </c>
      <c r="M613" s="56">
        <f t="shared" si="119"/>
        <v>49.608695652173765</v>
      </c>
      <c r="N613" s="56">
        <f t="shared" si="120"/>
        <v>1.7042251442962755</v>
      </c>
      <c r="O613" s="56">
        <f t="shared" si="129"/>
        <v>1.7042251442962755</v>
      </c>
      <c r="P613" s="143">
        <f t="shared" si="121"/>
        <v>2.8625906319777128</v>
      </c>
      <c r="Q613" s="143">
        <f t="shared" si="122"/>
        <v>2.8625906319777128</v>
      </c>
      <c r="R613" s="34">
        <v>1791.6666666666667</v>
      </c>
      <c r="S613" s="56">
        <f t="shared" si="123"/>
        <v>58.666666666666742</v>
      </c>
      <c r="T613" s="56">
        <f t="shared" si="124"/>
        <v>3441.7777777777865</v>
      </c>
      <c r="U613" s="56">
        <f t="shared" si="125"/>
        <v>58.666666666666742</v>
      </c>
      <c r="V613" s="56">
        <f t="shared" si="126"/>
        <v>1.7757317762602314</v>
      </c>
      <c r="W613" s="33">
        <f t="shared" si="127"/>
        <v>3.3852663973841168</v>
      </c>
      <c r="X613" s="143">
        <f t="shared" si="128"/>
        <v>3.3852663973841168</v>
      </c>
    </row>
    <row r="614" spans="1:24" ht="15" x14ac:dyDescent="0.2">
      <c r="A614" t="s">
        <v>885</v>
      </c>
      <c r="B614" s="224" t="s">
        <v>516</v>
      </c>
      <c r="C614" s="224" t="s">
        <v>824</v>
      </c>
      <c r="D614" s="35" t="s">
        <v>148</v>
      </c>
      <c r="E614" s="35" t="s">
        <v>661</v>
      </c>
      <c r="F614" s="35" t="s">
        <v>374</v>
      </c>
      <c r="G614" s="35" t="s">
        <v>627</v>
      </c>
      <c r="H614" s="35" t="s">
        <v>580</v>
      </c>
      <c r="I614">
        <v>1714</v>
      </c>
      <c r="J614" s="34">
        <v>1604.3478260869565</v>
      </c>
      <c r="K614" s="34">
        <f t="shared" si="117"/>
        <v>-109.6521739130435</v>
      </c>
      <c r="L614" s="56">
        <f t="shared" si="118"/>
        <v>12023.599243856337</v>
      </c>
      <c r="M614" s="56">
        <f t="shared" si="119"/>
        <v>109.6521739130435</v>
      </c>
      <c r="N614" s="56">
        <f t="shared" si="120"/>
        <v>2.0439599506551849</v>
      </c>
      <c r="O614" s="56">
        <f t="shared" si="129"/>
        <v>-2.0439599506551849</v>
      </c>
      <c r="P614" s="143">
        <f t="shared" si="121"/>
        <v>-6.3974430521028882</v>
      </c>
      <c r="Q614" s="143">
        <f t="shared" si="122"/>
        <v>6.3974430521028882</v>
      </c>
      <c r="R614" s="34">
        <v>1604.1666666666667</v>
      </c>
      <c r="S614" s="56">
        <f t="shared" si="123"/>
        <v>-109.83333333333326</v>
      </c>
      <c r="T614" s="56">
        <f t="shared" si="124"/>
        <v>12063.361111111095</v>
      </c>
      <c r="U614" s="56">
        <f t="shared" si="125"/>
        <v>109.83333333333326</v>
      </c>
      <c r="V614" s="56">
        <f t="shared" si="126"/>
        <v>2.0446703949194607</v>
      </c>
      <c r="W614" s="33">
        <f t="shared" si="127"/>
        <v>-6.4080124465188595</v>
      </c>
      <c r="X614" s="143">
        <f t="shared" si="128"/>
        <v>6.4080124465188595</v>
      </c>
    </row>
    <row r="615" spans="1:24" ht="15" x14ac:dyDescent="0.2">
      <c r="A615" t="s">
        <v>886</v>
      </c>
      <c r="B615" s="224" t="s">
        <v>516</v>
      </c>
      <c r="C615" s="224" t="s">
        <v>824</v>
      </c>
      <c r="D615" s="35" t="s">
        <v>148</v>
      </c>
      <c r="E615" s="35" t="s">
        <v>661</v>
      </c>
      <c r="F615" s="35" t="s">
        <v>374</v>
      </c>
      <c r="G615" s="35" t="s">
        <v>627</v>
      </c>
      <c r="H615" s="35" t="s">
        <v>580</v>
      </c>
      <c r="I615">
        <v>2100</v>
      </c>
      <c r="J615" s="34">
        <v>2013.0434782608695</v>
      </c>
      <c r="K615" s="34">
        <f t="shared" si="117"/>
        <v>-86.956521739130494</v>
      </c>
      <c r="L615" s="56">
        <f t="shared" si="118"/>
        <v>7561.4366729678741</v>
      </c>
      <c r="M615" s="56">
        <f t="shared" si="119"/>
        <v>86.956521739130494</v>
      </c>
      <c r="N615" s="56">
        <f t="shared" si="120"/>
        <v>1.9442680467532121</v>
      </c>
      <c r="O615" s="56">
        <f t="shared" si="129"/>
        <v>-1.9442680467532121</v>
      </c>
      <c r="P615" s="143">
        <f t="shared" si="121"/>
        <v>-4.1407867494824044</v>
      </c>
      <c r="Q615" s="143">
        <f t="shared" si="122"/>
        <v>4.1407867494824044</v>
      </c>
      <c r="R615" s="34">
        <v>2012.5</v>
      </c>
      <c r="S615" s="56">
        <f t="shared" si="123"/>
        <v>-87.5</v>
      </c>
      <c r="T615" s="56">
        <f t="shared" si="124"/>
        <v>7656.25</v>
      </c>
      <c r="U615" s="56">
        <f t="shared" si="125"/>
        <v>87.5</v>
      </c>
      <c r="V615" s="56">
        <f t="shared" si="126"/>
        <v>1.9469432706978254</v>
      </c>
      <c r="W615" s="33">
        <f t="shared" si="127"/>
        <v>-4.166666666666667</v>
      </c>
      <c r="X615" s="143">
        <f t="shared" si="128"/>
        <v>4.166666666666667</v>
      </c>
    </row>
    <row r="616" spans="1:24" ht="15" x14ac:dyDescent="0.2">
      <c r="A616" t="s">
        <v>887</v>
      </c>
      <c r="B616" s="224" t="s">
        <v>516</v>
      </c>
      <c r="C616" s="224" t="s">
        <v>824</v>
      </c>
      <c r="D616" s="35" t="s">
        <v>148</v>
      </c>
      <c r="E616" s="35" t="s">
        <v>661</v>
      </c>
      <c r="F616" s="225" t="s">
        <v>494</v>
      </c>
      <c r="G616" s="35" t="s">
        <v>626</v>
      </c>
      <c r="H616" s="35" t="s">
        <v>580</v>
      </c>
      <c r="I616">
        <v>1056</v>
      </c>
      <c r="J616" s="34">
        <v>1060.8695652173913</v>
      </c>
      <c r="K616" s="34">
        <f t="shared" si="117"/>
        <v>4.8695652173912549</v>
      </c>
      <c r="L616" s="56">
        <f t="shared" si="118"/>
        <v>23.712665406426741</v>
      </c>
      <c r="M616" s="56">
        <f t="shared" si="119"/>
        <v>4.8695652173912549</v>
      </c>
      <c r="N616" s="56">
        <f t="shared" si="120"/>
        <v>0.7686059324774096</v>
      </c>
      <c r="O616" s="56">
        <f t="shared" si="129"/>
        <v>0.7686059324774096</v>
      </c>
      <c r="P616" s="143">
        <f t="shared" si="121"/>
        <v>0.46113306982871732</v>
      </c>
      <c r="Q616" s="143">
        <f t="shared" si="122"/>
        <v>0.46113306982871732</v>
      </c>
      <c r="R616" s="34">
        <v>1070.8333333333335</v>
      </c>
      <c r="S616" s="56">
        <f t="shared" si="123"/>
        <v>14.833333333333485</v>
      </c>
      <c r="T616" s="56">
        <f t="shared" si="124"/>
        <v>220.02777777778226</v>
      </c>
      <c r="U616" s="56">
        <f t="shared" si="125"/>
        <v>14.833333333333485</v>
      </c>
      <c r="V616" s="56">
        <f t="shared" si="126"/>
        <v>1.1995723549052082</v>
      </c>
      <c r="W616" s="33">
        <f t="shared" si="127"/>
        <v>1.4046717171717316</v>
      </c>
      <c r="X616" s="143">
        <f t="shared" si="128"/>
        <v>1.4046717171717316</v>
      </c>
    </row>
    <row r="617" spans="1:24" ht="15" x14ac:dyDescent="0.2">
      <c r="A617" t="s">
        <v>888</v>
      </c>
      <c r="B617" s="224" t="s">
        <v>516</v>
      </c>
      <c r="C617" s="224" t="s">
        <v>824</v>
      </c>
      <c r="D617" s="35" t="s">
        <v>148</v>
      </c>
      <c r="E617" s="35" t="s">
        <v>661</v>
      </c>
      <c r="F617" s="35" t="s">
        <v>374</v>
      </c>
      <c r="G617" s="35" t="s">
        <v>627</v>
      </c>
      <c r="H617" s="35" t="s">
        <v>580</v>
      </c>
      <c r="I617">
        <v>2150</v>
      </c>
      <c r="J617" s="34">
        <v>1921.7391304347825</v>
      </c>
      <c r="K617" s="34">
        <f t="shared" si="117"/>
        <v>-228.26086956521749</v>
      </c>
      <c r="L617" s="56">
        <f t="shared" si="118"/>
        <v>52103.024574669231</v>
      </c>
      <c r="M617" s="56">
        <f t="shared" si="119"/>
        <v>228.26086956521749</v>
      </c>
      <c r="N617" s="56">
        <f t="shared" si="120"/>
        <v>2.3603299353138714</v>
      </c>
      <c r="O617" s="56">
        <f t="shared" si="129"/>
        <v>-2.3603299353138714</v>
      </c>
      <c r="P617" s="143">
        <f t="shared" si="121"/>
        <v>-10.61678463094035</v>
      </c>
      <c r="Q617" s="143">
        <f t="shared" si="122"/>
        <v>10.61678463094035</v>
      </c>
      <c r="R617" s="34">
        <v>1900</v>
      </c>
      <c r="S617" s="56">
        <f t="shared" si="123"/>
        <v>-250</v>
      </c>
      <c r="T617" s="56">
        <f t="shared" si="124"/>
        <v>62500</v>
      </c>
      <c r="U617" s="56">
        <f t="shared" si="125"/>
        <v>250</v>
      </c>
      <c r="V617" s="56">
        <f t="shared" si="126"/>
        <v>2.399673721481038</v>
      </c>
      <c r="W617" s="33">
        <f t="shared" si="127"/>
        <v>-11.627906976744185</v>
      </c>
      <c r="X617" s="143">
        <f t="shared" si="128"/>
        <v>11.627906976744185</v>
      </c>
    </row>
    <row r="618" spans="1:24" ht="15" x14ac:dyDescent="0.2">
      <c r="A618" t="s">
        <v>889</v>
      </c>
      <c r="B618" s="224" t="s">
        <v>516</v>
      </c>
      <c r="C618" s="224" t="s">
        <v>824</v>
      </c>
      <c r="D618" s="35" t="s">
        <v>148</v>
      </c>
      <c r="E618" s="35" t="s">
        <v>661</v>
      </c>
      <c r="F618" s="35" t="s">
        <v>374</v>
      </c>
      <c r="G618" s="35" t="s">
        <v>627</v>
      </c>
      <c r="H618" s="35" t="s">
        <v>580</v>
      </c>
      <c r="I618">
        <v>1895</v>
      </c>
      <c r="J618" s="34">
        <v>1869.5652173913043</v>
      </c>
      <c r="K618" s="34">
        <f t="shared" si="117"/>
        <v>-25.434782608695741</v>
      </c>
      <c r="L618" s="56">
        <f t="shared" si="118"/>
        <v>646.92816635161137</v>
      </c>
      <c r="M618" s="56">
        <f t="shared" si="119"/>
        <v>25.434782608695741</v>
      </c>
      <c r="N618" s="56">
        <f t="shared" si="120"/>
        <v>1.4221757432551436</v>
      </c>
      <c r="O618" s="56">
        <f t="shared" si="129"/>
        <v>-1.4221757432551436</v>
      </c>
      <c r="P618" s="143">
        <f t="shared" si="121"/>
        <v>-1.3422048870024137</v>
      </c>
      <c r="Q618" s="143">
        <f t="shared" si="122"/>
        <v>1.3422048870024137</v>
      </c>
      <c r="R618" s="34">
        <v>1845.8333333333335</v>
      </c>
      <c r="S618" s="56">
        <f t="shared" si="123"/>
        <v>-49.166666666666515</v>
      </c>
      <c r="T618" s="56">
        <f t="shared" si="124"/>
        <v>2417.3611111110963</v>
      </c>
      <c r="U618" s="56">
        <f t="shared" si="125"/>
        <v>49.166666666666515</v>
      </c>
      <c r="V618" s="56">
        <f t="shared" si="126"/>
        <v>1.7004152452101984</v>
      </c>
      <c r="W618" s="33">
        <f t="shared" si="127"/>
        <v>-2.594547053649948</v>
      </c>
      <c r="X618" s="143">
        <f t="shared" si="128"/>
        <v>2.594547053649948</v>
      </c>
    </row>
    <row r="619" spans="1:24" ht="15" x14ac:dyDescent="0.2">
      <c r="A619" t="s">
        <v>890</v>
      </c>
      <c r="B619" s="224" t="s">
        <v>516</v>
      </c>
      <c r="C619" s="224" t="s">
        <v>824</v>
      </c>
      <c r="D619" s="35" t="s">
        <v>148</v>
      </c>
      <c r="E619" s="35" t="s">
        <v>661</v>
      </c>
      <c r="F619" s="35" t="s">
        <v>374</v>
      </c>
      <c r="G619" s="35" t="s">
        <v>626</v>
      </c>
      <c r="H619" s="35" t="s">
        <v>580</v>
      </c>
      <c r="I619">
        <v>1316</v>
      </c>
      <c r="J619" s="34">
        <v>1269.5652173913043</v>
      </c>
      <c r="K619" s="34">
        <f t="shared" si="117"/>
        <v>-46.434782608695741</v>
      </c>
      <c r="L619" s="56">
        <f t="shared" si="118"/>
        <v>2156.1890359168324</v>
      </c>
      <c r="M619" s="56">
        <f t="shared" si="119"/>
        <v>46.434782608695741</v>
      </c>
      <c r="N619" s="56">
        <f t="shared" si="120"/>
        <v>1.6760969145707498</v>
      </c>
      <c r="O619" s="56">
        <f t="shared" si="129"/>
        <v>-1.6760969145707498</v>
      </c>
      <c r="P619" s="143">
        <f t="shared" si="121"/>
        <v>-3.5284789216334151</v>
      </c>
      <c r="Q619" s="143">
        <f t="shared" si="122"/>
        <v>3.5284789216334151</v>
      </c>
      <c r="R619" s="34">
        <v>1275</v>
      </c>
      <c r="S619" s="56">
        <f t="shared" si="123"/>
        <v>-41</v>
      </c>
      <c r="T619" s="56">
        <f t="shared" si="124"/>
        <v>1681</v>
      </c>
      <c r="U619" s="56">
        <f t="shared" si="125"/>
        <v>41</v>
      </c>
      <c r="V619" s="56">
        <f t="shared" si="126"/>
        <v>1.6232492903979006</v>
      </c>
      <c r="W619" s="33">
        <f t="shared" si="127"/>
        <v>-3.115501519756839</v>
      </c>
      <c r="X619" s="143">
        <f t="shared" si="128"/>
        <v>3.115501519756839</v>
      </c>
    </row>
    <row r="620" spans="1:24" ht="15" x14ac:dyDescent="0.2">
      <c r="A620" t="s">
        <v>891</v>
      </c>
      <c r="B620" s="224" t="s">
        <v>516</v>
      </c>
      <c r="C620" s="224" t="s">
        <v>824</v>
      </c>
      <c r="D620" s="35" t="s">
        <v>148</v>
      </c>
      <c r="E620" s="35" t="s">
        <v>661</v>
      </c>
      <c r="F620" s="35" t="s">
        <v>374</v>
      </c>
      <c r="G620" s="35" t="s">
        <v>627</v>
      </c>
      <c r="H620" s="35" t="s">
        <v>580</v>
      </c>
      <c r="I620">
        <v>1704</v>
      </c>
      <c r="J620" s="34">
        <v>1617.391304347826</v>
      </c>
      <c r="K620" s="34">
        <f t="shared" si="117"/>
        <v>-86.608695652173992</v>
      </c>
      <c r="L620" s="56">
        <f t="shared" si="118"/>
        <v>7501.0661625709017</v>
      </c>
      <c r="M620" s="56">
        <f t="shared" si="119"/>
        <v>86.608695652173992</v>
      </c>
      <c r="N620" s="56">
        <f t="shared" si="120"/>
        <v>1.9425472144595357</v>
      </c>
      <c r="O620" s="56">
        <f t="shared" si="129"/>
        <v>-1.9425472144595357</v>
      </c>
      <c r="P620" s="143">
        <f t="shared" si="121"/>
        <v>-5.0826699326393188</v>
      </c>
      <c r="Q620" s="143">
        <f t="shared" si="122"/>
        <v>5.0826699326393188</v>
      </c>
      <c r="R620" s="34">
        <v>1620.8333333333335</v>
      </c>
      <c r="S620" s="56">
        <f t="shared" si="123"/>
        <v>-83.166666666666515</v>
      </c>
      <c r="T620" s="56">
        <f t="shared" si="124"/>
        <v>6916.6944444444189</v>
      </c>
      <c r="U620" s="56">
        <f t="shared" si="125"/>
        <v>83.166666666666515</v>
      </c>
      <c r="V620" s="56">
        <f t="shared" si="126"/>
        <v>1.9251401277350169</v>
      </c>
      <c r="W620" s="33">
        <f t="shared" si="127"/>
        <v>-4.8806729264475655</v>
      </c>
      <c r="X620" s="143">
        <f t="shared" si="128"/>
        <v>4.8806729264475655</v>
      </c>
    </row>
    <row r="621" spans="1:24" ht="15" x14ac:dyDescent="0.2">
      <c r="A621" t="s">
        <v>892</v>
      </c>
      <c r="B621" s="224" t="s">
        <v>516</v>
      </c>
      <c r="C621" s="224" t="s">
        <v>824</v>
      </c>
      <c r="D621" s="35" t="s">
        <v>148</v>
      </c>
      <c r="E621" s="35" t="s">
        <v>661</v>
      </c>
      <c r="F621" s="35" t="s">
        <v>494</v>
      </c>
      <c r="G621" s="35" t="s">
        <v>626</v>
      </c>
      <c r="H621" s="35" t="s">
        <v>580</v>
      </c>
      <c r="I621">
        <v>1090</v>
      </c>
      <c r="J621" s="34">
        <v>1078.2608695652173</v>
      </c>
      <c r="K621" s="34">
        <f t="shared" si="117"/>
        <v>-11.739130434782737</v>
      </c>
      <c r="L621" s="56">
        <f t="shared" si="118"/>
        <v>137.80718336484233</v>
      </c>
      <c r="M621" s="56">
        <f t="shared" si="119"/>
        <v>11.739130434782737</v>
      </c>
      <c r="N621" s="56">
        <f t="shared" si="120"/>
        <v>1.1051397843365209</v>
      </c>
      <c r="O621" s="56">
        <f t="shared" si="129"/>
        <v>-1.1051397843365209</v>
      </c>
      <c r="P621" s="143">
        <f t="shared" si="121"/>
        <v>-1.0769844435580493</v>
      </c>
      <c r="Q621" s="143">
        <f t="shared" si="122"/>
        <v>1.0769844435580493</v>
      </c>
      <c r="R621" s="34">
        <v>1070.8333333333335</v>
      </c>
      <c r="S621" s="56">
        <f t="shared" si="123"/>
        <v>-19.166666666666515</v>
      </c>
      <c r="T621" s="56">
        <f t="shared" si="124"/>
        <v>367.36111111110529</v>
      </c>
      <c r="U621" s="56">
        <f t="shared" si="125"/>
        <v>19.166666666666515</v>
      </c>
      <c r="V621" s="56">
        <f t="shared" si="126"/>
        <v>1.3046341199328031</v>
      </c>
      <c r="W621" s="33">
        <f t="shared" si="127"/>
        <v>-1.7584097859327079</v>
      </c>
      <c r="X621" s="143">
        <f t="shared" si="128"/>
        <v>1.7584097859327079</v>
      </c>
    </row>
    <row r="622" spans="1:24" ht="15" x14ac:dyDescent="0.2">
      <c r="A622" t="s">
        <v>893</v>
      </c>
      <c r="B622" s="224" t="s">
        <v>516</v>
      </c>
      <c r="C622" s="224" t="s">
        <v>824</v>
      </c>
      <c r="D622" s="35" t="s">
        <v>148</v>
      </c>
      <c r="E622" s="35" t="s">
        <v>661</v>
      </c>
      <c r="F622" s="35" t="s">
        <v>374</v>
      </c>
      <c r="G622" s="35" t="s">
        <v>626</v>
      </c>
      <c r="H622" s="35" t="s">
        <v>580</v>
      </c>
      <c r="I622">
        <v>1274</v>
      </c>
      <c r="J622" s="34">
        <v>1204.3478260869565</v>
      </c>
      <c r="K622" s="34">
        <f t="shared" si="117"/>
        <v>-69.652173913043498</v>
      </c>
      <c r="L622" s="56">
        <f t="shared" si="118"/>
        <v>4851.4253308128573</v>
      </c>
      <c r="M622" s="56">
        <f t="shared" si="119"/>
        <v>69.652173913043498</v>
      </c>
      <c r="N622" s="56">
        <f t="shared" si="120"/>
        <v>1.8491255292973003</v>
      </c>
      <c r="O622" s="56">
        <f t="shared" si="129"/>
        <v>-1.8491255292973003</v>
      </c>
      <c r="P622" s="143">
        <f t="shared" si="121"/>
        <v>-5.4672036038495682</v>
      </c>
      <c r="Q622" s="143">
        <f t="shared" si="122"/>
        <v>5.4672036038495682</v>
      </c>
      <c r="R622" s="34">
        <v>1195.8333333333335</v>
      </c>
      <c r="S622" s="56">
        <f t="shared" si="123"/>
        <v>-78.166666666666515</v>
      </c>
      <c r="T622" s="56">
        <f t="shared" si="124"/>
        <v>6110.0277777777537</v>
      </c>
      <c r="U622" s="56">
        <f t="shared" si="125"/>
        <v>78.166666666666515</v>
      </c>
      <c r="V622" s="56">
        <f t="shared" si="126"/>
        <v>1.8985423592412221</v>
      </c>
      <c r="W622" s="33">
        <f t="shared" si="127"/>
        <v>-6.1355311355311235</v>
      </c>
      <c r="X622" s="143">
        <f t="shared" si="128"/>
        <v>6.1355311355311235</v>
      </c>
    </row>
    <row r="623" spans="1:24" ht="15" x14ac:dyDescent="0.2">
      <c r="A623" t="s">
        <v>894</v>
      </c>
      <c r="B623" s="224" t="s">
        <v>516</v>
      </c>
      <c r="C623" s="224" t="s">
        <v>824</v>
      </c>
      <c r="D623" s="35" t="s">
        <v>148</v>
      </c>
      <c r="E623" s="35" t="s">
        <v>661</v>
      </c>
      <c r="F623" s="35" t="s">
        <v>494</v>
      </c>
      <c r="G623" s="35" t="s">
        <v>626</v>
      </c>
      <c r="H623" s="35" t="s">
        <v>580</v>
      </c>
      <c r="I623">
        <v>1111</v>
      </c>
      <c r="J623" s="34">
        <v>1104.3478260869565</v>
      </c>
      <c r="K623" s="34">
        <f t="shared" si="117"/>
        <v>-6.652173913043498</v>
      </c>
      <c r="L623" s="56">
        <f t="shared" si="118"/>
        <v>44.251417769376445</v>
      </c>
      <c r="M623" s="56">
        <f t="shared" si="119"/>
        <v>6.652173913043498</v>
      </c>
      <c r="N623" s="56">
        <f t="shared" si="120"/>
        <v>0.88378483179655809</v>
      </c>
      <c r="O623" s="56">
        <f t="shared" si="129"/>
        <v>-0.88378483179655809</v>
      </c>
      <c r="P623" s="143">
        <f t="shared" si="121"/>
        <v>-0.5987555277266875</v>
      </c>
      <c r="Q623" s="143">
        <f t="shared" si="122"/>
        <v>0.5987555277266875</v>
      </c>
      <c r="R623" s="34">
        <v>1100</v>
      </c>
      <c r="S623" s="56">
        <f t="shared" si="123"/>
        <v>-11</v>
      </c>
      <c r="T623" s="56">
        <f t="shared" si="124"/>
        <v>121</v>
      </c>
      <c r="U623" s="56">
        <f t="shared" si="125"/>
        <v>11</v>
      </c>
      <c r="V623" s="56">
        <f t="shared" si="126"/>
        <v>1.0791812460476249</v>
      </c>
      <c r="W623" s="33">
        <f t="shared" si="127"/>
        <v>-0.99009900990099009</v>
      </c>
      <c r="X623" s="143">
        <f t="shared" si="128"/>
        <v>0.99009900990099009</v>
      </c>
    </row>
    <row r="624" spans="1:24" ht="15" x14ac:dyDescent="0.2">
      <c r="A624" t="s">
        <v>895</v>
      </c>
      <c r="B624" s="224" t="s">
        <v>516</v>
      </c>
      <c r="C624" s="224" t="s">
        <v>824</v>
      </c>
      <c r="D624" s="35" t="s">
        <v>148</v>
      </c>
      <c r="E624" s="35" t="s">
        <v>661</v>
      </c>
      <c r="F624" s="35" t="s">
        <v>494</v>
      </c>
      <c r="G624" s="35" t="s">
        <v>626</v>
      </c>
      <c r="H624" s="35" t="s">
        <v>580</v>
      </c>
      <c r="I624">
        <v>1185</v>
      </c>
      <c r="J624" s="34">
        <v>1186.9565217391305</v>
      </c>
      <c r="K624" s="34">
        <f t="shared" si="117"/>
        <v>1.9565217391304941</v>
      </c>
      <c r="L624" s="56">
        <f t="shared" si="118"/>
        <v>3.8279773156902133</v>
      </c>
      <c r="M624" s="56">
        <f t="shared" si="119"/>
        <v>1.9565217391304941</v>
      </c>
      <c r="N624" s="56">
        <f t="shared" si="120"/>
        <v>0.47078107668865216</v>
      </c>
      <c r="O624" s="56">
        <f t="shared" si="129"/>
        <v>0.47078107668865216</v>
      </c>
      <c r="P624" s="143">
        <f t="shared" si="121"/>
        <v>0.16510731975784759</v>
      </c>
      <c r="Q624" s="143">
        <f t="shared" si="122"/>
        <v>0.16510731975784759</v>
      </c>
      <c r="R624" s="34">
        <v>1187.5</v>
      </c>
      <c r="S624" s="56">
        <f t="shared" si="123"/>
        <v>2.5</v>
      </c>
      <c r="T624" s="56">
        <f t="shared" si="124"/>
        <v>6.25</v>
      </c>
      <c r="U624" s="56">
        <f t="shared" si="125"/>
        <v>2.5</v>
      </c>
      <c r="V624" s="56">
        <f t="shared" si="126"/>
        <v>0.54406804435027567</v>
      </c>
      <c r="W624" s="33">
        <f t="shared" si="127"/>
        <v>0.2109704641350211</v>
      </c>
      <c r="X624" s="143">
        <f t="shared" si="128"/>
        <v>0.2109704641350211</v>
      </c>
    </row>
    <row r="625" spans="1:24" ht="15" x14ac:dyDescent="0.2">
      <c r="A625" t="s">
        <v>896</v>
      </c>
      <c r="B625" s="224" t="s">
        <v>516</v>
      </c>
      <c r="C625" s="224" t="s">
        <v>824</v>
      </c>
      <c r="D625" s="35" t="s">
        <v>148</v>
      </c>
      <c r="E625" s="35" t="s">
        <v>661</v>
      </c>
      <c r="F625" s="35" t="s">
        <v>374</v>
      </c>
      <c r="G625" s="35" t="s">
        <v>627</v>
      </c>
      <c r="H625" s="35" t="s">
        <v>580</v>
      </c>
      <c r="I625">
        <v>1750</v>
      </c>
      <c r="J625" s="34">
        <v>1613.0434782608695</v>
      </c>
      <c r="K625" s="34">
        <f t="shared" si="117"/>
        <v>-136.95652173913049</v>
      </c>
      <c r="L625" s="56">
        <f t="shared" si="118"/>
        <v>18757.088846880924</v>
      </c>
      <c r="M625" s="56">
        <f t="shared" si="119"/>
        <v>136.95652173913049</v>
      </c>
      <c r="N625" s="56">
        <f t="shared" si="120"/>
        <v>2.1397422360828195</v>
      </c>
      <c r="O625" s="56">
        <f t="shared" si="129"/>
        <v>-2.1397422360828195</v>
      </c>
      <c r="P625" s="143">
        <f t="shared" si="121"/>
        <v>-7.8260869565217428</v>
      </c>
      <c r="Q625" s="143">
        <f t="shared" si="122"/>
        <v>7.8260869565217428</v>
      </c>
      <c r="R625" s="34">
        <v>1612.5</v>
      </c>
      <c r="S625" s="56">
        <f t="shared" si="123"/>
        <v>-137.5</v>
      </c>
      <c r="T625" s="56">
        <f t="shared" si="124"/>
        <v>18906.25</v>
      </c>
      <c r="U625" s="56">
        <f t="shared" si="125"/>
        <v>137.5</v>
      </c>
      <c r="V625" s="56">
        <f t="shared" si="126"/>
        <v>2.1414497734004674</v>
      </c>
      <c r="W625" s="33">
        <f t="shared" si="127"/>
        <v>-7.8571428571428568</v>
      </c>
      <c r="X625" s="143">
        <f t="shared" si="128"/>
        <v>7.8571428571428568</v>
      </c>
    </row>
    <row r="626" spans="1:24" ht="15" x14ac:dyDescent="0.2">
      <c r="A626" t="s">
        <v>897</v>
      </c>
      <c r="B626" s="224" t="s">
        <v>516</v>
      </c>
      <c r="C626" s="224" t="s">
        <v>824</v>
      </c>
      <c r="D626" s="35" t="s">
        <v>148</v>
      </c>
      <c r="E626" s="35" t="s">
        <v>661</v>
      </c>
      <c r="F626" s="35" t="s">
        <v>494</v>
      </c>
      <c r="G626" s="35" t="s">
        <v>626</v>
      </c>
      <c r="H626" s="35" t="s">
        <v>580</v>
      </c>
      <c r="I626">
        <v>1031</v>
      </c>
      <c r="J626" s="34">
        <v>1017.391304347826</v>
      </c>
      <c r="K626" s="34">
        <f t="shared" si="117"/>
        <v>-13.608695652173992</v>
      </c>
      <c r="L626" s="56">
        <f t="shared" si="118"/>
        <v>185.19659735349933</v>
      </c>
      <c r="M626" s="56">
        <f t="shared" si="119"/>
        <v>13.608695652173992</v>
      </c>
      <c r="N626" s="56">
        <f t="shared" si="120"/>
        <v>1.1646114413722535</v>
      </c>
      <c r="O626" s="56">
        <f t="shared" si="129"/>
        <v>-1.1646114413722535</v>
      </c>
      <c r="P626" s="143">
        <f t="shared" si="121"/>
        <v>-1.3199510816851592</v>
      </c>
      <c r="Q626" s="143">
        <f t="shared" si="122"/>
        <v>1.3199510816851592</v>
      </c>
      <c r="R626" s="34">
        <v>1016.6666666666667</v>
      </c>
      <c r="S626" s="56">
        <f t="shared" si="123"/>
        <v>-14.333333333333258</v>
      </c>
      <c r="T626" s="56">
        <f t="shared" si="124"/>
        <v>205.44444444444227</v>
      </c>
      <c r="U626" s="56">
        <f t="shared" si="125"/>
        <v>14.333333333333258</v>
      </c>
      <c r="V626" s="56">
        <f t="shared" si="126"/>
        <v>1.1856365769619095</v>
      </c>
      <c r="W626" s="33">
        <f t="shared" si="127"/>
        <v>-1.390236016812149</v>
      </c>
      <c r="X626" s="143">
        <f t="shared" si="128"/>
        <v>1.390236016812149</v>
      </c>
    </row>
    <row r="627" spans="1:24" ht="15" x14ac:dyDescent="0.2">
      <c r="A627" t="s">
        <v>898</v>
      </c>
      <c r="B627" s="224" t="s">
        <v>516</v>
      </c>
      <c r="C627" s="224" t="s">
        <v>824</v>
      </c>
      <c r="D627" s="35" t="s">
        <v>148</v>
      </c>
      <c r="E627" s="35" t="s">
        <v>661</v>
      </c>
      <c r="F627" s="225" t="s">
        <v>494</v>
      </c>
      <c r="G627" s="35" t="s">
        <v>626</v>
      </c>
      <c r="H627" s="35" t="s">
        <v>580</v>
      </c>
      <c r="I627">
        <v>874</v>
      </c>
      <c r="J627" s="34">
        <v>943.47826086956513</v>
      </c>
      <c r="K627" s="34">
        <f t="shared" si="117"/>
        <v>69.478260869565133</v>
      </c>
      <c r="L627" s="56">
        <f t="shared" si="118"/>
        <v>4827.2287334593457</v>
      </c>
      <c r="M627" s="56">
        <f t="shared" si="119"/>
        <v>69.478260869565133</v>
      </c>
      <c r="N627" s="56">
        <f t="shared" si="120"/>
        <v>1.8480551788309216</v>
      </c>
      <c r="O627" s="56">
        <f t="shared" si="129"/>
        <v>1.8480551788309216</v>
      </c>
      <c r="P627" s="143">
        <f t="shared" si="121"/>
        <v>7.9494577653964678</v>
      </c>
      <c r="Q627" s="143">
        <f t="shared" si="122"/>
        <v>7.9494577653964678</v>
      </c>
      <c r="R627" s="34">
        <v>950</v>
      </c>
      <c r="S627" s="56">
        <f t="shared" si="123"/>
        <v>76</v>
      </c>
      <c r="T627" s="56">
        <f t="shared" si="124"/>
        <v>5776</v>
      </c>
      <c r="U627" s="56">
        <f t="shared" si="125"/>
        <v>76</v>
      </c>
      <c r="V627" s="56">
        <f t="shared" si="126"/>
        <v>1.8864907251724818</v>
      </c>
      <c r="W627" s="33">
        <f t="shared" si="127"/>
        <v>8.695652173913043</v>
      </c>
      <c r="X627" s="143">
        <f t="shared" si="128"/>
        <v>8.695652173913043</v>
      </c>
    </row>
    <row r="628" spans="1:24" ht="15" x14ac:dyDescent="0.2">
      <c r="A628" t="s">
        <v>899</v>
      </c>
      <c r="B628" s="224" t="s">
        <v>516</v>
      </c>
      <c r="C628" s="224" t="s">
        <v>824</v>
      </c>
      <c r="D628" s="35" t="s">
        <v>148</v>
      </c>
      <c r="E628" s="35" t="s">
        <v>661</v>
      </c>
      <c r="F628" s="35" t="s">
        <v>374</v>
      </c>
      <c r="G628" s="35" t="s">
        <v>627</v>
      </c>
      <c r="H628" s="35" t="s">
        <v>580</v>
      </c>
      <c r="I628">
        <v>2060</v>
      </c>
      <c r="J628" s="34">
        <v>1917.391304347826</v>
      </c>
      <c r="K628" s="34">
        <f t="shared" si="117"/>
        <v>-142.60869565217399</v>
      </c>
      <c r="L628" s="56">
        <f t="shared" si="118"/>
        <v>20337.240075614391</v>
      </c>
      <c r="M628" s="56">
        <f t="shared" si="119"/>
        <v>142.60869565217399</v>
      </c>
      <c r="N628" s="56">
        <f t="shared" si="120"/>
        <v>2.1571807376738215</v>
      </c>
      <c r="O628" s="56">
        <f t="shared" si="129"/>
        <v>-2.1571807376738215</v>
      </c>
      <c r="P628" s="143">
        <f t="shared" si="121"/>
        <v>-6.9227522161249508</v>
      </c>
      <c r="Q628" s="143">
        <f t="shared" si="122"/>
        <v>6.9227522161249508</v>
      </c>
      <c r="R628" s="34">
        <v>1900</v>
      </c>
      <c r="S628" s="56">
        <f t="shared" si="123"/>
        <v>-160</v>
      </c>
      <c r="T628" s="56">
        <f t="shared" si="124"/>
        <v>25600</v>
      </c>
      <c r="U628" s="56">
        <f t="shared" si="125"/>
        <v>160</v>
      </c>
      <c r="V628" s="56">
        <f t="shared" si="126"/>
        <v>2.2068258760318495</v>
      </c>
      <c r="W628" s="33">
        <f t="shared" si="127"/>
        <v>-7.766990291262136</v>
      </c>
      <c r="X628" s="143">
        <f t="shared" si="128"/>
        <v>7.766990291262136</v>
      </c>
    </row>
    <row r="629" spans="1:24" ht="15" x14ac:dyDescent="0.2">
      <c r="A629" t="s">
        <v>836</v>
      </c>
      <c r="B629" s="224" t="s">
        <v>516</v>
      </c>
      <c r="C629" s="224" t="s">
        <v>824</v>
      </c>
      <c r="D629" s="35" t="s">
        <v>148</v>
      </c>
      <c r="E629" s="35" t="s">
        <v>661</v>
      </c>
      <c r="F629" s="35" t="s">
        <v>374</v>
      </c>
      <c r="G629" s="35" t="s">
        <v>627</v>
      </c>
      <c r="H629" s="35" t="s">
        <v>580</v>
      </c>
      <c r="I629">
        <v>2190</v>
      </c>
      <c r="J629" s="34">
        <v>2130.4347826086955</v>
      </c>
      <c r="K629" s="34">
        <f t="shared" si="117"/>
        <v>-59.565217391304486</v>
      </c>
      <c r="L629" s="56">
        <f t="shared" si="118"/>
        <v>3548.0151228733625</v>
      </c>
      <c r="M629" s="56">
        <f t="shared" si="119"/>
        <v>59.565217391304486</v>
      </c>
      <c r="N629" s="56">
        <f t="shared" si="120"/>
        <v>1.7822232804063716</v>
      </c>
      <c r="O629" s="56">
        <f t="shared" si="129"/>
        <v>-1.7822232804063716</v>
      </c>
      <c r="P629" s="143">
        <f t="shared" si="121"/>
        <v>-2.7198729402422139</v>
      </c>
      <c r="Q629" s="143">
        <f t="shared" si="122"/>
        <v>2.7198729402422139</v>
      </c>
      <c r="R629" s="34">
        <v>2166.666666666667</v>
      </c>
      <c r="S629" s="56">
        <f t="shared" si="123"/>
        <v>-23.33333333333303</v>
      </c>
      <c r="T629" s="56">
        <f t="shared" si="124"/>
        <v>544.44444444443025</v>
      </c>
      <c r="U629" s="56">
        <f t="shared" si="125"/>
        <v>23.33333333333303</v>
      </c>
      <c r="V629" s="56">
        <f t="shared" si="126"/>
        <v>1.386201605400788</v>
      </c>
      <c r="W629" s="33">
        <f t="shared" si="127"/>
        <v>-1.0654490106544763</v>
      </c>
      <c r="X629" s="143">
        <f t="shared" si="128"/>
        <v>1.0654490106544763</v>
      </c>
    </row>
    <row r="630" spans="1:24" ht="15" x14ac:dyDescent="0.2">
      <c r="A630" t="s">
        <v>837</v>
      </c>
      <c r="B630" s="224" t="s">
        <v>516</v>
      </c>
      <c r="C630" s="224" t="s">
        <v>824</v>
      </c>
      <c r="D630" s="35" t="s">
        <v>148</v>
      </c>
      <c r="E630" s="35" t="s">
        <v>661</v>
      </c>
      <c r="F630" s="225" t="s">
        <v>293</v>
      </c>
      <c r="G630" s="35" t="s">
        <v>627</v>
      </c>
      <c r="H630" s="29" t="s">
        <v>580</v>
      </c>
      <c r="I630">
        <v>2570</v>
      </c>
      <c r="J630" s="34">
        <v>2500</v>
      </c>
      <c r="K630" s="34">
        <f t="shared" si="117"/>
        <v>-70</v>
      </c>
      <c r="L630" s="56">
        <f t="shared" si="118"/>
        <v>4900</v>
      </c>
      <c r="M630" s="56">
        <f t="shared" si="119"/>
        <v>70</v>
      </c>
      <c r="N630" s="56">
        <f t="shared" si="120"/>
        <v>1.8512583487190752</v>
      </c>
      <c r="O630" s="56">
        <f t="shared" si="129"/>
        <v>-1.8512583487190752</v>
      </c>
      <c r="P630" s="143">
        <f t="shared" si="121"/>
        <v>-2.7237354085603114</v>
      </c>
      <c r="Q630" s="143">
        <f t="shared" si="122"/>
        <v>2.7237354085603114</v>
      </c>
      <c r="R630" s="34">
        <v>2541.666666666667</v>
      </c>
      <c r="S630" s="56">
        <f t="shared" si="123"/>
        <v>-28.33333333333303</v>
      </c>
      <c r="T630" s="56">
        <f t="shared" si="124"/>
        <v>802.77777777776055</v>
      </c>
      <c r="U630" s="56">
        <f t="shared" si="125"/>
        <v>28.33333333333303</v>
      </c>
      <c r="V630" s="56">
        <f t="shared" si="126"/>
        <v>1.4673614174305016</v>
      </c>
      <c r="W630" s="33">
        <f t="shared" si="127"/>
        <v>-1.1024643320363048</v>
      </c>
      <c r="X630" s="143">
        <f t="shared" si="128"/>
        <v>1.1024643320363048</v>
      </c>
    </row>
    <row r="631" spans="1:24" ht="15" x14ac:dyDescent="0.2">
      <c r="A631" t="s">
        <v>838</v>
      </c>
      <c r="B631" s="224" t="s">
        <v>516</v>
      </c>
      <c r="C631" s="224" t="s">
        <v>824</v>
      </c>
      <c r="D631" s="35" t="s">
        <v>148</v>
      </c>
      <c r="E631" s="35" t="s">
        <v>661</v>
      </c>
      <c r="F631" s="35" t="s">
        <v>374</v>
      </c>
      <c r="G631" s="35" t="s">
        <v>627</v>
      </c>
      <c r="H631" s="35" t="s">
        <v>580</v>
      </c>
      <c r="I631">
        <v>2285</v>
      </c>
      <c r="J631" s="34">
        <v>2260.869565217391</v>
      </c>
      <c r="K631" s="34">
        <f t="shared" si="117"/>
        <v>-24.130434782608972</v>
      </c>
      <c r="L631" s="56">
        <f t="shared" si="118"/>
        <v>582.27788279774495</v>
      </c>
      <c r="M631" s="56">
        <f t="shared" si="119"/>
        <v>24.130434782608972</v>
      </c>
      <c r="N631" s="56">
        <f t="shared" si="120"/>
        <v>1.4002000024029408</v>
      </c>
      <c r="O631" s="56">
        <f t="shared" si="129"/>
        <v>-1.4002000024029408</v>
      </c>
      <c r="P631" s="143">
        <f t="shared" si="121"/>
        <v>-1.0560365331557537</v>
      </c>
      <c r="Q631" s="143">
        <f t="shared" si="122"/>
        <v>1.0560365331557537</v>
      </c>
      <c r="R631" s="34">
        <v>2291.666666666667</v>
      </c>
      <c r="S631" s="56">
        <f t="shared" si="123"/>
        <v>6.6666666666669698</v>
      </c>
      <c r="T631" s="56">
        <f t="shared" si="124"/>
        <v>44.444444444448486</v>
      </c>
      <c r="U631" s="56">
        <f t="shared" si="125"/>
        <v>6.6666666666669698</v>
      </c>
      <c r="V631" s="56">
        <f t="shared" si="126"/>
        <v>0.88460658129794767</v>
      </c>
      <c r="W631" s="33">
        <f t="shared" si="127"/>
        <v>0.29175784099198993</v>
      </c>
      <c r="X631" s="143">
        <f t="shared" si="128"/>
        <v>0.29175784099198993</v>
      </c>
    </row>
    <row r="632" spans="1:24" ht="16" x14ac:dyDescent="0.2">
      <c r="A632" t="s">
        <v>839</v>
      </c>
      <c r="B632" s="224" t="s">
        <v>516</v>
      </c>
      <c r="C632" s="224" t="s">
        <v>824</v>
      </c>
      <c r="D632" s="35" t="s">
        <v>148</v>
      </c>
      <c r="E632" s="35" t="s">
        <v>661</v>
      </c>
      <c r="F632" s="35" t="s">
        <v>374</v>
      </c>
      <c r="G632" s="35" t="s">
        <v>626</v>
      </c>
      <c r="H632" s="35" t="s">
        <v>580</v>
      </c>
      <c r="I632" s="147">
        <v>1380</v>
      </c>
      <c r="J632" s="34">
        <v>1304.3478260869565</v>
      </c>
      <c r="K632" s="34">
        <f t="shared" si="117"/>
        <v>-75.652173913043498</v>
      </c>
      <c r="L632" s="56">
        <f t="shared" si="118"/>
        <v>5723.2514177693793</v>
      </c>
      <c r="M632" s="56">
        <f t="shared" si="119"/>
        <v>75.652173913043498</v>
      </c>
      <c r="N632" s="56">
        <f t="shared" si="120"/>
        <v>1.8845244762817293</v>
      </c>
      <c r="O632" s="56">
        <f t="shared" si="129"/>
        <v>-1.8845244762817293</v>
      </c>
      <c r="P632" s="143">
        <f t="shared" si="121"/>
        <v>-5.482041587901703</v>
      </c>
      <c r="Q632" s="143">
        <f t="shared" si="122"/>
        <v>5.482041587901703</v>
      </c>
      <c r="R632" s="34">
        <v>1320.8333333333335</v>
      </c>
      <c r="S632" s="56">
        <f t="shared" si="123"/>
        <v>-59.166666666666515</v>
      </c>
      <c r="T632" s="56">
        <f t="shared" si="124"/>
        <v>3500.6944444444266</v>
      </c>
      <c r="U632" s="56">
        <f t="shared" si="125"/>
        <v>59.166666666666515</v>
      </c>
      <c r="V632" s="56">
        <f t="shared" si="126"/>
        <v>1.7793559515220132</v>
      </c>
      <c r="W632" s="33">
        <f t="shared" si="127"/>
        <v>-4.2874396135265593</v>
      </c>
      <c r="X632" s="143">
        <f t="shared" si="128"/>
        <v>4.2874396135265593</v>
      </c>
    </row>
    <row r="633" spans="1:24" ht="16" x14ac:dyDescent="0.2">
      <c r="A633" t="s">
        <v>840</v>
      </c>
      <c r="B633" s="224" t="s">
        <v>516</v>
      </c>
      <c r="C633" s="224" t="s">
        <v>824</v>
      </c>
      <c r="D633" s="35" t="s">
        <v>148</v>
      </c>
      <c r="E633" s="35" t="s">
        <v>661</v>
      </c>
      <c r="F633" s="225" t="s">
        <v>293</v>
      </c>
      <c r="G633" s="35" t="s">
        <v>627</v>
      </c>
      <c r="H633" s="29" t="s">
        <v>580</v>
      </c>
      <c r="I633" s="147">
        <v>2645</v>
      </c>
      <c r="J633" s="34">
        <v>2434.782608695652</v>
      </c>
      <c r="K633" s="34">
        <f t="shared" si="117"/>
        <v>-210.21739130434798</v>
      </c>
      <c r="L633" s="56">
        <f t="shared" si="118"/>
        <v>44191.351606805358</v>
      </c>
      <c r="M633" s="56">
        <f t="shared" si="119"/>
        <v>210.21739130434798</v>
      </c>
      <c r="N633" s="56">
        <f t="shared" si="120"/>
        <v>2.3247296744515191</v>
      </c>
      <c r="O633" s="56">
        <f t="shared" si="129"/>
        <v>-2.3247296744515191</v>
      </c>
      <c r="P633" s="143">
        <f t="shared" si="121"/>
        <v>-7.9477274595216629</v>
      </c>
      <c r="Q633" s="143">
        <f t="shared" si="122"/>
        <v>7.9477274595216629</v>
      </c>
      <c r="R633" s="34">
        <v>2458.3333333333335</v>
      </c>
      <c r="S633" s="56">
        <f t="shared" si="123"/>
        <v>-186.66666666666652</v>
      </c>
      <c r="T633" s="56">
        <f t="shared" si="124"/>
        <v>34844.444444444387</v>
      </c>
      <c r="U633" s="56">
        <f t="shared" si="125"/>
        <v>186.66666666666652</v>
      </c>
      <c r="V633" s="56">
        <f t="shared" si="126"/>
        <v>2.2733871401316836</v>
      </c>
      <c r="W633" s="33">
        <f t="shared" si="127"/>
        <v>-7.0573408947700003</v>
      </c>
      <c r="X633" s="143">
        <f t="shared" si="128"/>
        <v>7.0573408947700003</v>
      </c>
    </row>
    <row r="634" spans="1:24" ht="16" x14ac:dyDescent="0.2">
      <c r="A634" t="s">
        <v>841</v>
      </c>
      <c r="B634" s="224" t="s">
        <v>516</v>
      </c>
      <c r="C634" s="224" t="s">
        <v>824</v>
      </c>
      <c r="D634" s="35" t="s">
        <v>148</v>
      </c>
      <c r="E634" s="35" t="s">
        <v>661</v>
      </c>
      <c r="F634" s="35" t="s">
        <v>374</v>
      </c>
      <c r="G634" s="35" t="s">
        <v>626</v>
      </c>
      <c r="H634" s="35" t="s">
        <v>580</v>
      </c>
      <c r="I634" s="147">
        <v>1325</v>
      </c>
      <c r="J634" s="34">
        <v>1282.6086956521738</v>
      </c>
      <c r="K634" s="34">
        <f t="shared" si="117"/>
        <v>-42.391304347826235</v>
      </c>
      <c r="L634" s="56">
        <f t="shared" si="118"/>
        <v>1797.0226843100315</v>
      </c>
      <c r="M634" s="56">
        <f t="shared" si="119"/>
        <v>42.391304347826235</v>
      </c>
      <c r="N634" s="56">
        <f t="shared" si="120"/>
        <v>1.6374027052697797</v>
      </c>
      <c r="O634" s="56">
        <f t="shared" si="129"/>
        <v>-1.6374027052697797</v>
      </c>
      <c r="P634" s="143">
        <f t="shared" si="121"/>
        <v>-3.199343724364244</v>
      </c>
      <c r="Q634" s="143">
        <f t="shared" si="122"/>
        <v>3.199343724364244</v>
      </c>
      <c r="R634" s="34">
        <v>1291.6666666666667</v>
      </c>
      <c r="S634" s="56">
        <f t="shared" si="123"/>
        <v>-33.333333333333258</v>
      </c>
      <c r="T634" s="56">
        <f t="shared" si="124"/>
        <v>1111.1111111111061</v>
      </c>
      <c r="U634" s="56">
        <f t="shared" si="125"/>
        <v>33.333333333333258</v>
      </c>
      <c r="V634" s="56">
        <f t="shared" si="126"/>
        <v>1.5357159699855087</v>
      </c>
      <c r="W634" s="33">
        <f t="shared" si="127"/>
        <v>-2.5157232704402457</v>
      </c>
      <c r="X634" s="143">
        <f t="shared" si="128"/>
        <v>2.5157232704402457</v>
      </c>
    </row>
    <row r="635" spans="1:24" ht="16" x14ac:dyDescent="0.2">
      <c r="A635" t="s">
        <v>842</v>
      </c>
      <c r="B635" s="224" t="s">
        <v>516</v>
      </c>
      <c r="C635" s="224" t="s">
        <v>824</v>
      </c>
      <c r="D635" s="35" t="s">
        <v>148</v>
      </c>
      <c r="E635" s="35" t="s">
        <v>661</v>
      </c>
      <c r="F635" s="35" t="s">
        <v>374</v>
      </c>
      <c r="G635" s="35" t="s">
        <v>627</v>
      </c>
      <c r="H635" s="35" t="s">
        <v>580</v>
      </c>
      <c r="I635" s="147">
        <v>2435</v>
      </c>
      <c r="J635" s="34">
        <v>2304.3478260869565</v>
      </c>
      <c r="K635" s="34">
        <f t="shared" si="117"/>
        <v>-130.6521739130435</v>
      </c>
      <c r="L635" s="56">
        <f t="shared" si="118"/>
        <v>17069.990548204165</v>
      </c>
      <c r="M635" s="56">
        <f t="shared" si="119"/>
        <v>130.6521739130435</v>
      </c>
      <c r="N635" s="56">
        <f t="shared" si="120"/>
        <v>2.1194280348104422</v>
      </c>
      <c r="O635" s="56">
        <f t="shared" si="129"/>
        <v>-2.1194280348104422</v>
      </c>
      <c r="P635" s="143">
        <f t="shared" si="121"/>
        <v>-5.3655923578251947</v>
      </c>
      <c r="Q635" s="143">
        <f t="shared" si="122"/>
        <v>5.3655923578251947</v>
      </c>
      <c r="R635" s="34">
        <v>2291.666666666667</v>
      </c>
      <c r="S635" s="56">
        <f t="shared" si="123"/>
        <v>-143.33333333333303</v>
      </c>
      <c r="T635" s="56">
        <f t="shared" si="124"/>
        <v>20544.444444444358</v>
      </c>
      <c r="U635" s="56">
        <f t="shared" si="125"/>
        <v>143.33333333333303</v>
      </c>
      <c r="V635" s="56">
        <f t="shared" si="126"/>
        <v>2.1593666416337021</v>
      </c>
      <c r="W635" s="33">
        <f t="shared" si="127"/>
        <v>-5.8863791923340054</v>
      </c>
      <c r="X635" s="143">
        <f t="shared" si="128"/>
        <v>5.8863791923340054</v>
      </c>
    </row>
    <row r="636" spans="1:24" ht="16" x14ac:dyDescent="0.2">
      <c r="A636" t="s">
        <v>843</v>
      </c>
      <c r="B636" s="224" t="s">
        <v>516</v>
      </c>
      <c r="C636" s="224" t="s">
        <v>824</v>
      </c>
      <c r="D636" s="35" t="s">
        <v>148</v>
      </c>
      <c r="E636" s="35" t="s">
        <v>661</v>
      </c>
      <c r="F636" s="35" t="s">
        <v>494</v>
      </c>
      <c r="G636" s="35" t="s">
        <v>626</v>
      </c>
      <c r="H636" s="35" t="s">
        <v>580</v>
      </c>
      <c r="I636" s="147">
        <v>1126</v>
      </c>
      <c r="J636" s="34">
        <v>1117.391304347826</v>
      </c>
      <c r="K636" s="34">
        <f t="shared" si="117"/>
        <v>-8.6086956521739921</v>
      </c>
      <c r="L636" s="56">
        <f t="shared" si="118"/>
        <v>74.109640831759393</v>
      </c>
      <c r="M636" s="56">
        <f t="shared" si="119"/>
        <v>8.6086956521739921</v>
      </c>
      <c r="N636" s="56">
        <f t="shared" si="120"/>
        <v>0.98266443766752143</v>
      </c>
      <c r="O636" s="56">
        <f t="shared" si="129"/>
        <v>-0.98266443766752143</v>
      </c>
      <c r="P636" s="143">
        <f t="shared" si="121"/>
        <v>-0.76453780214689093</v>
      </c>
      <c r="Q636" s="143">
        <f t="shared" si="122"/>
        <v>0.76453780214689093</v>
      </c>
      <c r="R636" s="34">
        <v>1133.3333333333335</v>
      </c>
      <c r="S636" s="56">
        <f t="shared" si="123"/>
        <v>7.3333333333334849</v>
      </c>
      <c r="T636" s="56">
        <f t="shared" si="124"/>
        <v>53.777777777780003</v>
      </c>
      <c r="U636" s="56">
        <f t="shared" si="125"/>
        <v>7.3333333333334849</v>
      </c>
      <c r="V636" s="56">
        <f t="shared" si="126"/>
        <v>0.92081875395238311</v>
      </c>
      <c r="W636" s="33">
        <f t="shared" si="127"/>
        <v>0.65127294256958124</v>
      </c>
      <c r="X636" s="143">
        <f t="shared" si="128"/>
        <v>0.65127294256958124</v>
      </c>
    </row>
    <row r="637" spans="1:24" ht="16" x14ac:dyDescent="0.2">
      <c r="A637" t="s">
        <v>844</v>
      </c>
      <c r="B637" s="224" t="s">
        <v>516</v>
      </c>
      <c r="C637" s="224" t="s">
        <v>824</v>
      </c>
      <c r="D637" s="35" t="s">
        <v>148</v>
      </c>
      <c r="E637" s="35" t="s">
        <v>661</v>
      </c>
      <c r="F637" s="225" t="s">
        <v>494</v>
      </c>
      <c r="G637" s="35" t="s">
        <v>626</v>
      </c>
      <c r="H637" s="35" t="s">
        <v>580</v>
      </c>
      <c r="I637" s="147">
        <v>1028</v>
      </c>
      <c r="J637" s="34">
        <v>1030.4347826086955</v>
      </c>
      <c r="K637" s="34">
        <f t="shared" si="117"/>
        <v>2.4347826086955138</v>
      </c>
      <c r="L637" s="56">
        <f t="shared" si="118"/>
        <v>5.9281663516061309</v>
      </c>
      <c r="M637" s="56">
        <f t="shared" si="119"/>
        <v>2.4347826086955138</v>
      </c>
      <c r="N637" s="56">
        <f t="shared" si="120"/>
        <v>0.535899255272831</v>
      </c>
      <c r="O637" s="56">
        <f t="shared" si="129"/>
        <v>0.535899255272831</v>
      </c>
      <c r="P637" s="143">
        <f t="shared" si="121"/>
        <v>0.23684655726610057</v>
      </c>
      <c r="Q637" s="143">
        <f t="shared" si="122"/>
        <v>0.23684655726610057</v>
      </c>
      <c r="R637" s="34">
        <v>1033.3333333333335</v>
      </c>
      <c r="S637" s="56">
        <f t="shared" si="123"/>
        <v>5.3333333333334849</v>
      </c>
      <c r="T637" s="56">
        <f t="shared" si="124"/>
        <v>28.444444444446063</v>
      </c>
      <c r="U637" s="56">
        <f t="shared" si="125"/>
        <v>5.3333333333334849</v>
      </c>
      <c r="V637" s="56">
        <f t="shared" si="126"/>
        <v>0.80163234623317692</v>
      </c>
      <c r="W637" s="33">
        <f t="shared" si="127"/>
        <v>0.51880674448769304</v>
      </c>
      <c r="X637" s="143">
        <f t="shared" si="128"/>
        <v>0.51880674448769304</v>
      </c>
    </row>
    <row r="638" spans="1:24" ht="16" x14ac:dyDescent="0.2">
      <c r="A638" t="s">
        <v>845</v>
      </c>
      <c r="B638" s="224" t="s">
        <v>516</v>
      </c>
      <c r="C638" s="224" t="s">
        <v>824</v>
      </c>
      <c r="D638" s="35" t="s">
        <v>148</v>
      </c>
      <c r="E638" s="35" t="s">
        <v>661</v>
      </c>
      <c r="F638" s="225" t="s">
        <v>494</v>
      </c>
      <c r="G638" s="35" t="s">
        <v>626</v>
      </c>
      <c r="H638" s="35" t="s">
        <v>580</v>
      </c>
      <c r="I638" s="147">
        <v>1059</v>
      </c>
      <c r="J638" s="34">
        <v>1073.9130434782608</v>
      </c>
      <c r="K638" s="34">
        <f t="shared" si="117"/>
        <v>14.913043478260761</v>
      </c>
      <c r="L638" s="56">
        <f t="shared" si="118"/>
        <v>222.39886578449583</v>
      </c>
      <c r="M638" s="56">
        <f t="shared" si="119"/>
        <v>14.913043478260761</v>
      </c>
      <c r="N638" s="56">
        <f t="shared" si="120"/>
        <v>1.2017532493768148</v>
      </c>
      <c r="O638" s="56">
        <f t="shared" si="129"/>
        <v>1.2017532493768148</v>
      </c>
      <c r="P638" s="143">
        <f t="shared" si="121"/>
        <v>1.408219403046342</v>
      </c>
      <c r="Q638" s="143">
        <f t="shared" si="122"/>
        <v>1.408219403046342</v>
      </c>
      <c r="R638" s="34">
        <v>1062.5</v>
      </c>
      <c r="S638" s="56">
        <f t="shared" si="123"/>
        <v>3.5</v>
      </c>
      <c r="T638" s="56">
        <f t="shared" si="124"/>
        <v>12.25</v>
      </c>
      <c r="U638" s="56">
        <f t="shared" si="125"/>
        <v>3.5</v>
      </c>
      <c r="V638" s="56">
        <f t="shared" si="126"/>
        <v>0.65321251377534373</v>
      </c>
      <c r="W638" s="33">
        <f t="shared" si="127"/>
        <v>0.33050047214353162</v>
      </c>
      <c r="X638" s="143">
        <f t="shared" si="128"/>
        <v>0.33050047214353162</v>
      </c>
    </row>
    <row r="639" spans="1:24" ht="16" x14ac:dyDescent="0.2">
      <c r="A639" t="s">
        <v>846</v>
      </c>
      <c r="B639" s="224" t="s">
        <v>516</v>
      </c>
      <c r="C639" s="224" t="s">
        <v>824</v>
      </c>
      <c r="D639" s="35" t="s">
        <v>148</v>
      </c>
      <c r="E639" s="35" t="s">
        <v>661</v>
      </c>
      <c r="F639" s="35" t="s">
        <v>374</v>
      </c>
      <c r="G639" s="35" t="s">
        <v>626</v>
      </c>
      <c r="H639" s="35" t="s">
        <v>580</v>
      </c>
      <c r="I639" s="147">
        <v>1312</v>
      </c>
      <c r="J639" s="34">
        <v>1278.2608695652173</v>
      </c>
      <c r="K639" s="34">
        <f t="shared" si="117"/>
        <v>-33.739130434782737</v>
      </c>
      <c r="L639" s="56">
        <f t="shared" si="118"/>
        <v>1138.3289224952828</v>
      </c>
      <c r="M639" s="56">
        <f t="shared" si="119"/>
        <v>33.739130434782737</v>
      </c>
      <c r="N639" s="56">
        <f t="shared" si="120"/>
        <v>1.5408189432964001</v>
      </c>
      <c r="O639" s="56">
        <f t="shared" si="129"/>
        <v>-1.5408189432964001</v>
      </c>
      <c r="P639" s="143">
        <f t="shared" si="121"/>
        <v>-2.5715800636267332</v>
      </c>
      <c r="Q639" s="143">
        <f t="shared" si="122"/>
        <v>2.5715800636267332</v>
      </c>
      <c r="R639" s="34">
        <v>1279.1666666666667</v>
      </c>
      <c r="S639" s="56">
        <f t="shared" si="123"/>
        <v>-32.833333333333258</v>
      </c>
      <c r="T639" s="56">
        <f t="shared" si="124"/>
        <v>1078.0277777777728</v>
      </c>
      <c r="U639" s="56">
        <f t="shared" si="125"/>
        <v>32.833333333333258</v>
      </c>
      <c r="V639" s="56">
        <f t="shared" si="126"/>
        <v>1.5293447875295683</v>
      </c>
      <c r="W639" s="33">
        <f t="shared" si="127"/>
        <v>-2.5025406504064982</v>
      </c>
      <c r="X639" s="143">
        <f t="shared" si="128"/>
        <v>2.5025406504064982</v>
      </c>
    </row>
    <row r="640" spans="1:24" ht="16" x14ac:dyDescent="0.2">
      <c r="A640" t="s">
        <v>847</v>
      </c>
      <c r="B640" s="224" t="s">
        <v>516</v>
      </c>
      <c r="C640" s="224" t="s">
        <v>824</v>
      </c>
      <c r="D640" s="35" t="s">
        <v>148</v>
      </c>
      <c r="E640" s="35" t="s">
        <v>661</v>
      </c>
      <c r="F640" s="35" t="s">
        <v>494</v>
      </c>
      <c r="G640" s="35" t="s">
        <v>626</v>
      </c>
      <c r="H640" s="35" t="s">
        <v>580</v>
      </c>
      <c r="I640" s="147">
        <v>1170</v>
      </c>
      <c r="J640" s="34">
        <v>1200</v>
      </c>
      <c r="K640" s="34">
        <f t="shared" si="117"/>
        <v>30</v>
      </c>
      <c r="L640" s="56">
        <f t="shared" si="118"/>
        <v>900</v>
      </c>
      <c r="M640" s="56">
        <f t="shared" si="119"/>
        <v>30</v>
      </c>
      <c r="N640" s="56">
        <f t="shared" si="120"/>
        <v>1.4913616938342726</v>
      </c>
      <c r="O640" s="56">
        <f t="shared" si="129"/>
        <v>1.4913616938342726</v>
      </c>
      <c r="P640" s="143">
        <f t="shared" si="121"/>
        <v>2.5641025641025643</v>
      </c>
      <c r="Q640" s="143">
        <f t="shared" si="122"/>
        <v>2.5641025641025643</v>
      </c>
      <c r="R640" s="34">
        <v>1200</v>
      </c>
      <c r="S640" s="56">
        <f t="shared" si="123"/>
        <v>30</v>
      </c>
      <c r="T640" s="56">
        <f t="shared" si="124"/>
        <v>900</v>
      </c>
      <c r="U640" s="56">
        <f t="shared" si="125"/>
        <v>30</v>
      </c>
      <c r="V640" s="56">
        <f t="shared" si="126"/>
        <v>1.4913616938342726</v>
      </c>
      <c r="W640" s="33">
        <f t="shared" si="127"/>
        <v>2.5641025641025643</v>
      </c>
      <c r="X640" s="143">
        <f t="shared" si="128"/>
        <v>2.5641025641025643</v>
      </c>
    </row>
    <row r="641" spans="1:24" ht="16" x14ac:dyDescent="0.2">
      <c r="A641" t="s">
        <v>848</v>
      </c>
      <c r="B641" s="224" t="s">
        <v>516</v>
      </c>
      <c r="C641" s="224" t="s">
        <v>824</v>
      </c>
      <c r="D641" s="35" t="s">
        <v>148</v>
      </c>
      <c r="E641" s="35" t="s">
        <v>661</v>
      </c>
      <c r="F641" s="35" t="s">
        <v>374</v>
      </c>
      <c r="G641" s="35" t="s">
        <v>626</v>
      </c>
      <c r="H641" s="35" t="s">
        <v>580</v>
      </c>
      <c r="I641" s="147">
        <v>1244</v>
      </c>
      <c r="J641" s="34">
        <v>1260.8695652173913</v>
      </c>
      <c r="K641" s="34">
        <f t="shared" si="117"/>
        <v>16.869565217391255</v>
      </c>
      <c r="L641" s="56">
        <f t="shared" si="118"/>
        <v>284.58223062381688</v>
      </c>
      <c r="M641" s="56">
        <f t="shared" si="119"/>
        <v>16.869565217391255</v>
      </c>
      <c r="N641" s="56">
        <f t="shared" si="120"/>
        <v>1.2521139858584751</v>
      </c>
      <c r="O641" s="56">
        <f t="shared" si="129"/>
        <v>1.2521139858584751</v>
      </c>
      <c r="P641" s="143">
        <f t="shared" si="121"/>
        <v>1.3560743743883645</v>
      </c>
      <c r="Q641" s="143">
        <f t="shared" si="122"/>
        <v>1.3560743743883645</v>
      </c>
      <c r="R641" s="34">
        <v>1258.3333333333335</v>
      </c>
      <c r="S641" s="56">
        <f t="shared" si="123"/>
        <v>14.333333333333485</v>
      </c>
      <c r="T641" s="56">
        <f t="shared" si="124"/>
        <v>205.44444444444878</v>
      </c>
      <c r="U641" s="56">
        <f t="shared" si="125"/>
        <v>14.333333333333485</v>
      </c>
      <c r="V641" s="56">
        <f t="shared" si="126"/>
        <v>1.1856365769619159</v>
      </c>
      <c r="W641" s="33">
        <f t="shared" si="127"/>
        <v>1.152197213290473</v>
      </c>
      <c r="X641" s="143">
        <f t="shared" si="128"/>
        <v>1.152197213290473</v>
      </c>
    </row>
    <row r="642" spans="1:24" ht="16" x14ac:dyDescent="0.2">
      <c r="A642" t="s">
        <v>849</v>
      </c>
      <c r="B642" s="224" t="s">
        <v>516</v>
      </c>
      <c r="C642" s="224" t="s">
        <v>824</v>
      </c>
      <c r="D642" s="35" t="s">
        <v>148</v>
      </c>
      <c r="E642" s="35" t="s">
        <v>661</v>
      </c>
      <c r="F642" s="35" t="s">
        <v>374</v>
      </c>
      <c r="G642" s="35" t="s">
        <v>626</v>
      </c>
      <c r="H642" s="35" t="s">
        <v>580</v>
      </c>
      <c r="I642" s="147">
        <v>1413</v>
      </c>
      <c r="J642" s="34">
        <v>1352.1739130434783</v>
      </c>
      <c r="K642" s="34">
        <f t="shared" ref="K642:K705" si="130">J642-I642</f>
        <v>-60.826086956521749</v>
      </c>
      <c r="L642" s="56">
        <f t="shared" ref="L642:L705" si="131">K642^2</f>
        <v>3699.8128544423453</v>
      </c>
      <c r="M642" s="56">
        <f t="shared" ref="M642:M705" si="132">SQRT(L642)</f>
        <v>60.826086956521749</v>
      </c>
      <c r="N642" s="56">
        <f t="shared" ref="N642:N705" si="133">LOG10(M642+1)</f>
        <v>1.7911717603761548</v>
      </c>
      <c r="O642" s="56">
        <f t="shared" si="129"/>
        <v>-1.7911717603761548</v>
      </c>
      <c r="P642" s="143">
        <f t="shared" ref="P642:P705" si="134">100*K642/I642</f>
        <v>-4.3047478383950279</v>
      </c>
      <c r="Q642" s="143">
        <f t="shared" ref="Q642:Q705" si="135">ABS(P642)</f>
        <v>4.3047478383950279</v>
      </c>
      <c r="R642" s="34">
        <v>1362.5</v>
      </c>
      <c r="S642" s="56">
        <f t="shared" ref="S642:S705" si="136">R642-I642</f>
        <v>-50.5</v>
      </c>
      <c r="T642" s="56">
        <f t="shared" ref="T642:T705" si="137">S642^2</f>
        <v>2550.25</v>
      </c>
      <c r="U642" s="56">
        <f t="shared" ref="U642:U705" si="138">SQRT(T642)</f>
        <v>50.5</v>
      </c>
      <c r="V642" s="56">
        <f t="shared" ref="V642:V705" si="139">LOG10(U642+1)</f>
        <v>1.711807229041191</v>
      </c>
      <c r="W642" s="33">
        <f t="shared" ref="W642:W705" si="140">100*S642/I642</f>
        <v>-3.5739561217268223</v>
      </c>
      <c r="X642" s="143">
        <f t="shared" ref="X642:X705" si="141">ABS(W642)</f>
        <v>3.5739561217268223</v>
      </c>
    </row>
    <row r="643" spans="1:24" ht="16" x14ac:dyDescent="0.2">
      <c r="A643" t="s">
        <v>850</v>
      </c>
      <c r="B643" s="224" t="s">
        <v>516</v>
      </c>
      <c r="C643" s="224" t="s">
        <v>824</v>
      </c>
      <c r="D643" s="35" t="s">
        <v>148</v>
      </c>
      <c r="E643" s="35" t="s">
        <v>661</v>
      </c>
      <c r="F643" s="35" t="s">
        <v>374</v>
      </c>
      <c r="G643" s="35" t="s">
        <v>626</v>
      </c>
      <c r="H643" s="35" t="s">
        <v>580</v>
      </c>
      <c r="I643" s="147">
        <v>1240</v>
      </c>
      <c r="J643" s="34">
        <v>1191.304347826087</v>
      </c>
      <c r="K643" s="34">
        <f t="shared" si="130"/>
        <v>-48.695652173913004</v>
      </c>
      <c r="L643" s="56">
        <f t="shared" si="131"/>
        <v>2371.2665406427182</v>
      </c>
      <c r="M643" s="56">
        <f t="shared" si="132"/>
        <v>48.695652173913004</v>
      </c>
      <c r="N643" s="56">
        <f t="shared" si="133"/>
        <v>1.6963183943776885</v>
      </c>
      <c r="O643" s="56">
        <f t="shared" ref="O643:O706" si="142">N643*SIGN(K643)</f>
        <v>-1.6963183943776885</v>
      </c>
      <c r="P643" s="143">
        <f t="shared" si="134"/>
        <v>-3.9270687237026616</v>
      </c>
      <c r="Q643" s="143">
        <f t="shared" si="135"/>
        <v>3.9270687237026616</v>
      </c>
      <c r="R643" s="34">
        <v>1187.5</v>
      </c>
      <c r="S643" s="56">
        <f t="shared" si="136"/>
        <v>-52.5</v>
      </c>
      <c r="T643" s="56">
        <f t="shared" si="137"/>
        <v>2756.25</v>
      </c>
      <c r="U643" s="56">
        <f t="shared" si="138"/>
        <v>52.5</v>
      </c>
      <c r="V643" s="56">
        <f t="shared" si="139"/>
        <v>1.7283537820212285</v>
      </c>
      <c r="W643" s="33">
        <f t="shared" si="140"/>
        <v>-4.2338709677419351</v>
      </c>
      <c r="X643" s="143">
        <f t="shared" si="141"/>
        <v>4.2338709677419351</v>
      </c>
    </row>
    <row r="644" spans="1:24" ht="16" x14ac:dyDescent="0.2">
      <c r="A644" t="s">
        <v>851</v>
      </c>
      <c r="B644" s="224" t="s">
        <v>516</v>
      </c>
      <c r="C644" s="224" t="s">
        <v>824</v>
      </c>
      <c r="D644" s="35" t="s">
        <v>148</v>
      </c>
      <c r="E644" s="35" t="s">
        <v>661</v>
      </c>
      <c r="F644" s="35" t="s">
        <v>374</v>
      </c>
      <c r="G644" s="35" t="s">
        <v>627</v>
      </c>
      <c r="H644" s="35" t="s">
        <v>580</v>
      </c>
      <c r="I644" s="147">
        <v>1622</v>
      </c>
      <c r="J644" s="34">
        <v>1500</v>
      </c>
      <c r="K644" s="34">
        <f t="shared" si="130"/>
        <v>-122</v>
      </c>
      <c r="L644" s="56">
        <f t="shared" si="131"/>
        <v>14884</v>
      </c>
      <c r="M644" s="56">
        <f t="shared" si="132"/>
        <v>122</v>
      </c>
      <c r="N644" s="56">
        <f t="shared" si="133"/>
        <v>2.0899051114393981</v>
      </c>
      <c r="O644" s="56">
        <f t="shared" si="142"/>
        <v>-2.0899051114393981</v>
      </c>
      <c r="P644" s="143">
        <f t="shared" si="134"/>
        <v>-7.5215782983970403</v>
      </c>
      <c r="Q644" s="143">
        <f t="shared" si="135"/>
        <v>7.5215782983970403</v>
      </c>
      <c r="R644" s="34">
        <v>1508.3333333333335</v>
      </c>
      <c r="S644" s="56">
        <f t="shared" si="136"/>
        <v>-113.66666666666652</v>
      </c>
      <c r="T644" s="56">
        <f t="shared" si="137"/>
        <v>12920.111111111077</v>
      </c>
      <c r="U644" s="56">
        <f t="shared" si="138"/>
        <v>113.66666666666652</v>
      </c>
      <c r="V644" s="56">
        <f t="shared" si="139"/>
        <v>2.0594371878518669</v>
      </c>
      <c r="W644" s="33">
        <f t="shared" si="140"/>
        <v>-7.0078092889436814</v>
      </c>
      <c r="X644" s="143">
        <f t="shared" si="141"/>
        <v>7.0078092889436814</v>
      </c>
    </row>
    <row r="645" spans="1:24" ht="16" x14ac:dyDescent="0.2">
      <c r="A645" t="s">
        <v>852</v>
      </c>
      <c r="B645" s="224" t="s">
        <v>516</v>
      </c>
      <c r="C645" s="224" t="s">
        <v>824</v>
      </c>
      <c r="D645" s="35" t="s">
        <v>148</v>
      </c>
      <c r="E645" s="35" t="s">
        <v>661</v>
      </c>
      <c r="F645" s="35" t="s">
        <v>374</v>
      </c>
      <c r="G645" s="35" t="s">
        <v>626</v>
      </c>
      <c r="H645" s="35" t="s">
        <v>580</v>
      </c>
      <c r="I645" s="147">
        <v>1210</v>
      </c>
      <c r="J645" s="34">
        <v>1139.1304347826087</v>
      </c>
      <c r="K645" s="34">
        <f t="shared" si="130"/>
        <v>-70.869565217391255</v>
      </c>
      <c r="L645" s="56">
        <f t="shared" si="131"/>
        <v>5022.4952741020725</v>
      </c>
      <c r="M645" s="56">
        <f t="shared" si="132"/>
        <v>70.869565217391255</v>
      </c>
      <c r="N645" s="56">
        <f t="shared" si="133"/>
        <v>1.8565450175538543</v>
      </c>
      <c r="O645" s="56">
        <f t="shared" si="142"/>
        <v>-1.8565450175538543</v>
      </c>
      <c r="P645" s="143">
        <f t="shared" si="134"/>
        <v>-5.856988860941426</v>
      </c>
      <c r="Q645" s="143">
        <f t="shared" si="135"/>
        <v>5.856988860941426</v>
      </c>
      <c r="R645" s="34">
        <v>1145.8333333333335</v>
      </c>
      <c r="S645" s="56">
        <f t="shared" si="136"/>
        <v>-64.166666666666515</v>
      </c>
      <c r="T645" s="56">
        <f t="shared" si="137"/>
        <v>4117.3611111110913</v>
      </c>
      <c r="U645" s="56">
        <f t="shared" si="138"/>
        <v>64.166666666666515</v>
      </c>
      <c r="V645" s="56">
        <f t="shared" si="139"/>
        <v>1.8140255070122222</v>
      </c>
      <c r="W645" s="33">
        <f t="shared" si="140"/>
        <v>-5.3030303030302903</v>
      </c>
      <c r="X645" s="143">
        <f t="shared" si="141"/>
        <v>5.3030303030302903</v>
      </c>
    </row>
    <row r="646" spans="1:24" ht="16" x14ac:dyDescent="0.2">
      <c r="A646" t="s">
        <v>853</v>
      </c>
      <c r="B646" s="224" t="s">
        <v>516</v>
      </c>
      <c r="C646" s="224" t="s">
        <v>824</v>
      </c>
      <c r="D646" s="35" t="s">
        <v>148</v>
      </c>
      <c r="E646" s="35" t="s">
        <v>661</v>
      </c>
      <c r="F646" s="35" t="s">
        <v>374</v>
      </c>
      <c r="G646" s="35" t="s">
        <v>626</v>
      </c>
      <c r="H646" s="35" t="s">
        <v>580</v>
      </c>
      <c r="I646" s="147">
        <v>1274</v>
      </c>
      <c r="J646" s="34">
        <v>1234.782608695652</v>
      </c>
      <c r="K646" s="34">
        <f t="shared" si="130"/>
        <v>-39.217391304347984</v>
      </c>
      <c r="L646" s="56">
        <f t="shared" si="131"/>
        <v>1538.0037807183489</v>
      </c>
      <c r="M646" s="56">
        <f t="shared" si="132"/>
        <v>39.217391304347984</v>
      </c>
      <c r="N646" s="56">
        <f t="shared" si="133"/>
        <v>1.6044138967214414</v>
      </c>
      <c r="O646" s="56">
        <f t="shared" si="142"/>
        <v>-1.6044138967214414</v>
      </c>
      <c r="P646" s="143">
        <f t="shared" si="134"/>
        <v>-3.0782881714558856</v>
      </c>
      <c r="Q646" s="143">
        <f t="shared" si="135"/>
        <v>3.0782881714558856</v>
      </c>
      <c r="R646" s="34">
        <v>1233.3333333333335</v>
      </c>
      <c r="S646" s="56">
        <f t="shared" si="136"/>
        <v>-40.666666666666515</v>
      </c>
      <c r="T646" s="56">
        <f t="shared" si="137"/>
        <v>1653.7777777777656</v>
      </c>
      <c r="U646" s="56">
        <f t="shared" si="138"/>
        <v>40.666666666666515</v>
      </c>
      <c r="V646" s="56">
        <f t="shared" si="139"/>
        <v>1.6197887582883923</v>
      </c>
      <c r="W646" s="33">
        <f t="shared" si="140"/>
        <v>-3.1920460491888942</v>
      </c>
      <c r="X646" s="143">
        <f t="shared" si="141"/>
        <v>3.1920460491888942</v>
      </c>
    </row>
    <row r="647" spans="1:24" ht="16" x14ac:dyDescent="0.2">
      <c r="A647" t="s">
        <v>854</v>
      </c>
      <c r="B647" s="224" t="s">
        <v>516</v>
      </c>
      <c r="C647" s="224" t="s">
        <v>824</v>
      </c>
      <c r="D647" s="35" t="s">
        <v>148</v>
      </c>
      <c r="E647" s="35" t="s">
        <v>661</v>
      </c>
      <c r="F647" s="35" t="s">
        <v>374</v>
      </c>
      <c r="G647" s="35" t="s">
        <v>626</v>
      </c>
      <c r="H647" s="35" t="s">
        <v>580</v>
      </c>
      <c r="I647" s="147">
        <v>1340</v>
      </c>
      <c r="J647" s="34">
        <v>1286.9565217391303</v>
      </c>
      <c r="K647" s="34">
        <f t="shared" si="130"/>
        <v>-53.043478260869733</v>
      </c>
      <c r="L647" s="56">
        <f t="shared" si="131"/>
        <v>2813.6105860113598</v>
      </c>
      <c r="M647" s="56">
        <f t="shared" si="132"/>
        <v>53.043478260869733</v>
      </c>
      <c r="N647" s="56">
        <f t="shared" si="133"/>
        <v>1.7327432926240531</v>
      </c>
      <c r="O647" s="56">
        <f t="shared" si="142"/>
        <v>-1.7327432926240531</v>
      </c>
      <c r="P647" s="143">
        <f t="shared" si="134"/>
        <v>-3.9584685269305773</v>
      </c>
      <c r="Q647" s="143">
        <f t="shared" si="135"/>
        <v>3.9584685269305773</v>
      </c>
      <c r="R647" s="34">
        <v>1266.6666666666667</v>
      </c>
      <c r="S647" s="56">
        <f t="shared" si="136"/>
        <v>-73.333333333333258</v>
      </c>
      <c r="T647" s="56">
        <f t="shared" si="137"/>
        <v>5377.7777777777665</v>
      </c>
      <c r="U647" s="56">
        <f t="shared" si="138"/>
        <v>73.333333333333258</v>
      </c>
      <c r="V647" s="56">
        <f t="shared" si="139"/>
        <v>1.8711836083284978</v>
      </c>
      <c r="W647" s="33">
        <f t="shared" si="140"/>
        <v>-5.4726368159203922</v>
      </c>
      <c r="X647" s="143">
        <f t="shared" si="141"/>
        <v>5.4726368159203922</v>
      </c>
    </row>
    <row r="648" spans="1:24" ht="16" x14ac:dyDescent="0.2">
      <c r="A648" t="s">
        <v>855</v>
      </c>
      <c r="B648" s="224" t="s">
        <v>516</v>
      </c>
      <c r="C648" s="224" t="s">
        <v>824</v>
      </c>
      <c r="D648" s="35" t="s">
        <v>148</v>
      </c>
      <c r="E648" s="35" t="s">
        <v>661</v>
      </c>
      <c r="F648" s="225" t="s">
        <v>494</v>
      </c>
      <c r="G648" s="35" t="s">
        <v>626</v>
      </c>
      <c r="H648" s="35" t="s">
        <v>580</v>
      </c>
      <c r="I648" s="147">
        <v>980</v>
      </c>
      <c r="J648" s="34">
        <v>1008.695652173913</v>
      </c>
      <c r="K648" s="34">
        <f t="shared" si="130"/>
        <v>28.695652173913004</v>
      </c>
      <c r="L648" s="56">
        <f t="shared" si="131"/>
        <v>823.44045368619811</v>
      </c>
      <c r="M648" s="56">
        <f t="shared" si="132"/>
        <v>28.695652173913004</v>
      </c>
      <c r="N648" s="56">
        <f t="shared" si="133"/>
        <v>1.472692867663939</v>
      </c>
      <c r="O648" s="56">
        <f t="shared" si="142"/>
        <v>1.472692867663939</v>
      </c>
      <c r="P648" s="143">
        <f t="shared" si="134"/>
        <v>2.9281277728482658</v>
      </c>
      <c r="Q648" s="143">
        <f t="shared" si="135"/>
        <v>2.9281277728482658</v>
      </c>
      <c r="R648" s="34">
        <v>1012.5</v>
      </c>
      <c r="S648" s="56">
        <f t="shared" si="136"/>
        <v>32.5</v>
      </c>
      <c r="T648" s="56">
        <f t="shared" si="137"/>
        <v>1056.25</v>
      </c>
      <c r="U648" s="56">
        <f t="shared" si="138"/>
        <v>32.5</v>
      </c>
      <c r="V648" s="56">
        <f t="shared" si="139"/>
        <v>1.5250448070368452</v>
      </c>
      <c r="W648" s="33">
        <f t="shared" si="140"/>
        <v>3.3163265306122449</v>
      </c>
      <c r="X648" s="143">
        <f t="shared" si="141"/>
        <v>3.3163265306122449</v>
      </c>
    </row>
    <row r="649" spans="1:24" ht="16" x14ac:dyDescent="0.2">
      <c r="A649" t="s">
        <v>856</v>
      </c>
      <c r="B649" s="224" t="s">
        <v>516</v>
      </c>
      <c r="C649" s="224" t="s">
        <v>824</v>
      </c>
      <c r="D649" s="35" t="s">
        <v>148</v>
      </c>
      <c r="E649" s="35" t="s">
        <v>661</v>
      </c>
      <c r="F649" s="225" t="s">
        <v>494</v>
      </c>
      <c r="G649" s="35" t="s">
        <v>626</v>
      </c>
      <c r="H649" s="35" t="s">
        <v>580</v>
      </c>
      <c r="I649" s="147">
        <v>1098</v>
      </c>
      <c r="J649" s="34">
        <v>1126.086956521739</v>
      </c>
      <c r="K649" s="34">
        <f t="shared" si="130"/>
        <v>28.086956521739012</v>
      </c>
      <c r="L649" s="56">
        <f t="shared" si="131"/>
        <v>788.87712665405763</v>
      </c>
      <c r="M649" s="56">
        <f t="shared" si="132"/>
        <v>28.086956521739012</v>
      </c>
      <c r="N649" s="56">
        <f t="shared" si="133"/>
        <v>1.4636982817502284</v>
      </c>
      <c r="O649" s="56">
        <f t="shared" si="142"/>
        <v>1.4636982817502284</v>
      </c>
      <c r="P649" s="143">
        <f t="shared" si="134"/>
        <v>2.558010612180238</v>
      </c>
      <c r="Q649" s="143">
        <f t="shared" si="135"/>
        <v>2.558010612180238</v>
      </c>
      <c r="R649" s="34">
        <v>1137.5</v>
      </c>
      <c r="S649" s="56">
        <f t="shared" si="136"/>
        <v>39.5</v>
      </c>
      <c r="T649" s="56">
        <f t="shared" si="137"/>
        <v>1560.25</v>
      </c>
      <c r="U649" s="56">
        <f t="shared" si="138"/>
        <v>39.5</v>
      </c>
      <c r="V649" s="56">
        <f t="shared" si="139"/>
        <v>1.6074550232146685</v>
      </c>
      <c r="W649" s="33">
        <f t="shared" si="140"/>
        <v>3.5974499089253187</v>
      </c>
      <c r="X649" s="143">
        <f t="shared" si="141"/>
        <v>3.5974499089253187</v>
      </c>
    </row>
    <row r="650" spans="1:24" ht="16" x14ac:dyDescent="0.2">
      <c r="A650" t="s">
        <v>857</v>
      </c>
      <c r="B650" s="224" t="s">
        <v>516</v>
      </c>
      <c r="C650" s="224" t="s">
        <v>824</v>
      </c>
      <c r="D650" s="35" t="s">
        <v>148</v>
      </c>
      <c r="E650" s="35" t="s">
        <v>661</v>
      </c>
      <c r="F650" s="225" t="s">
        <v>494</v>
      </c>
      <c r="G650" s="35" t="s">
        <v>626</v>
      </c>
      <c r="H650" s="35" t="s">
        <v>580</v>
      </c>
      <c r="I650" s="147">
        <v>1022</v>
      </c>
      <c r="J650" s="34">
        <v>1030.4347826086955</v>
      </c>
      <c r="K650" s="34">
        <f t="shared" si="130"/>
        <v>8.4347826086955138</v>
      </c>
      <c r="L650" s="56">
        <f t="shared" si="131"/>
        <v>71.145557655952302</v>
      </c>
      <c r="M650" s="56">
        <f t="shared" si="132"/>
        <v>8.4347826086955138</v>
      </c>
      <c r="N650" s="56">
        <f t="shared" si="133"/>
        <v>0.97473189783093028</v>
      </c>
      <c r="O650" s="56">
        <f t="shared" si="142"/>
        <v>0.97473189783093028</v>
      </c>
      <c r="P650" s="143">
        <f t="shared" si="134"/>
        <v>0.82532119458860209</v>
      </c>
      <c r="Q650" s="143">
        <f t="shared" si="135"/>
        <v>0.82532119458860209</v>
      </c>
      <c r="R650" s="34">
        <v>1029.1666666666667</v>
      </c>
      <c r="S650" s="56">
        <f t="shared" si="136"/>
        <v>7.1666666666667425</v>
      </c>
      <c r="T650" s="56">
        <f t="shared" si="137"/>
        <v>51.361111111112194</v>
      </c>
      <c r="U650" s="56">
        <f t="shared" si="138"/>
        <v>7.1666666666667425</v>
      </c>
      <c r="V650" s="56">
        <f t="shared" si="139"/>
        <v>0.9120448296448741</v>
      </c>
      <c r="W650" s="33">
        <f t="shared" si="140"/>
        <v>0.70123939986954431</v>
      </c>
      <c r="X650" s="143">
        <f t="shared" si="141"/>
        <v>0.70123939986954431</v>
      </c>
    </row>
    <row r="651" spans="1:24" ht="16" x14ac:dyDescent="0.2">
      <c r="A651" t="s">
        <v>858</v>
      </c>
      <c r="B651" s="224" t="s">
        <v>516</v>
      </c>
      <c r="C651" s="224" t="s">
        <v>824</v>
      </c>
      <c r="D651" s="35" t="s">
        <v>148</v>
      </c>
      <c r="E651" s="35" t="s">
        <v>661</v>
      </c>
      <c r="F651" s="225" t="s">
        <v>494</v>
      </c>
      <c r="G651" s="35" t="s">
        <v>626</v>
      </c>
      <c r="H651" s="35" t="s">
        <v>580</v>
      </c>
      <c r="I651" s="147">
        <v>1062</v>
      </c>
      <c r="J651" s="34">
        <v>1156.5217391304348</v>
      </c>
      <c r="K651" s="34">
        <f t="shared" si="130"/>
        <v>94.521739130434753</v>
      </c>
      <c r="L651" s="56">
        <f t="shared" si="131"/>
        <v>8934.359168241961</v>
      </c>
      <c r="M651" s="56">
        <f t="shared" si="132"/>
        <v>94.521739130434753</v>
      </c>
      <c r="N651" s="56">
        <f t="shared" si="133"/>
        <v>1.9801022209029173</v>
      </c>
      <c r="O651" s="56">
        <f t="shared" si="142"/>
        <v>1.9801022209029173</v>
      </c>
      <c r="P651" s="143">
        <f t="shared" si="134"/>
        <v>8.9003520838450818</v>
      </c>
      <c r="Q651" s="143">
        <f t="shared" si="135"/>
        <v>8.9003520838450818</v>
      </c>
      <c r="R651" s="34">
        <v>1145.8333333333335</v>
      </c>
      <c r="S651" s="56">
        <f t="shared" si="136"/>
        <v>83.833333333333485</v>
      </c>
      <c r="T651" s="56">
        <f t="shared" si="137"/>
        <v>7028.0277777778028</v>
      </c>
      <c r="U651" s="56">
        <f t="shared" si="138"/>
        <v>83.833333333333485</v>
      </c>
      <c r="V651" s="56">
        <f t="shared" si="139"/>
        <v>1.9285665319531158</v>
      </c>
      <c r="W651" s="33">
        <f t="shared" si="140"/>
        <v>7.8939108600125696</v>
      </c>
      <c r="X651" s="143">
        <f t="shared" si="141"/>
        <v>7.8939108600125696</v>
      </c>
    </row>
    <row r="652" spans="1:24" ht="16" x14ac:dyDescent="0.2">
      <c r="A652" t="s">
        <v>859</v>
      </c>
      <c r="B652" s="224" t="s">
        <v>516</v>
      </c>
      <c r="C652" s="224" t="s">
        <v>824</v>
      </c>
      <c r="D652" s="35" t="s">
        <v>148</v>
      </c>
      <c r="E652" s="35" t="s">
        <v>661</v>
      </c>
      <c r="F652" s="35" t="s">
        <v>494</v>
      </c>
      <c r="G652" s="35" t="s">
        <v>626</v>
      </c>
      <c r="H652" s="35" t="s">
        <v>580</v>
      </c>
      <c r="I652" s="147">
        <v>1135</v>
      </c>
      <c r="J652" s="34">
        <v>1108.695652173913</v>
      </c>
      <c r="K652" s="34">
        <f t="shared" si="130"/>
        <v>-26.304347826086996</v>
      </c>
      <c r="L652" s="56">
        <f t="shared" si="131"/>
        <v>691.91871455576768</v>
      </c>
      <c r="M652" s="56">
        <f t="shared" si="132"/>
        <v>26.304347826086996</v>
      </c>
      <c r="N652" s="56">
        <f t="shared" si="133"/>
        <v>1.4362318077196039</v>
      </c>
      <c r="O652" s="56">
        <f t="shared" si="142"/>
        <v>-1.4362318077196039</v>
      </c>
      <c r="P652" s="143">
        <f t="shared" si="134"/>
        <v>-2.317563685117797</v>
      </c>
      <c r="Q652" s="143">
        <f t="shared" si="135"/>
        <v>2.317563685117797</v>
      </c>
      <c r="R652" s="34">
        <v>1145.8333333333335</v>
      </c>
      <c r="S652" s="56">
        <f t="shared" si="136"/>
        <v>10.833333333333485</v>
      </c>
      <c r="T652" s="56">
        <f t="shared" si="137"/>
        <v>117.3611111111144</v>
      </c>
      <c r="U652" s="56">
        <f t="shared" si="138"/>
        <v>10.833333333333485</v>
      </c>
      <c r="V652" s="56">
        <f t="shared" si="139"/>
        <v>1.0731070983354372</v>
      </c>
      <c r="W652" s="33">
        <f t="shared" si="140"/>
        <v>0.95447870778268584</v>
      </c>
      <c r="X652" s="143">
        <f t="shared" si="141"/>
        <v>0.95447870778268584</v>
      </c>
    </row>
    <row r="653" spans="1:24" ht="16" x14ac:dyDescent="0.2">
      <c r="A653" t="s">
        <v>860</v>
      </c>
      <c r="B653" s="224" t="s">
        <v>516</v>
      </c>
      <c r="C653" s="224" t="s">
        <v>824</v>
      </c>
      <c r="D653" s="35" t="s">
        <v>148</v>
      </c>
      <c r="E653" s="35" t="s">
        <v>661</v>
      </c>
      <c r="F653" s="35" t="s">
        <v>494</v>
      </c>
      <c r="G653" s="35" t="s">
        <v>626</v>
      </c>
      <c r="H653" s="35" t="s">
        <v>580</v>
      </c>
      <c r="I653" s="147">
        <v>1029</v>
      </c>
      <c r="J653" s="34">
        <v>1047.8260869565217</v>
      </c>
      <c r="K653" s="34">
        <f t="shared" si="130"/>
        <v>18.826086956521749</v>
      </c>
      <c r="L653" s="56">
        <f t="shared" si="131"/>
        <v>354.42155009451835</v>
      </c>
      <c r="M653" s="56">
        <f t="shared" si="132"/>
        <v>18.826086956521749</v>
      </c>
      <c r="N653" s="56">
        <f t="shared" si="133"/>
        <v>1.2972370066468424</v>
      </c>
      <c r="O653" s="56">
        <f t="shared" si="142"/>
        <v>1.2972370066468424</v>
      </c>
      <c r="P653" s="143">
        <f t="shared" si="134"/>
        <v>1.8295516964549805</v>
      </c>
      <c r="Q653" s="143">
        <f t="shared" si="135"/>
        <v>1.8295516964549805</v>
      </c>
      <c r="R653" s="34">
        <v>1041.6666666666667</v>
      </c>
      <c r="S653" s="56">
        <f t="shared" si="136"/>
        <v>12.666666666666742</v>
      </c>
      <c r="T653" s="56">
        <f t="shared" si="137"/>
        <v>160.44444444444636</v>
      </c>
      <c r="U653" s="56">
        <f t="shared" si="138"/>
        <v>12.666666666666742</v>
      </c>
      <c r="V653" s="56">
        <f t="shared" si="139"/>
        <v>1.1356626020000755</v>
      </c>
      <c r="W653" s="33">
        <f t="shared" si="140"/>
        <v>1.2309685779073607</v>
      </c>
      <c r="X653" s="143">
        <f t="shared" si="141"/>
        <v>1.2309685779073607</v>
      </c>
    </row>
    <row r="654" spans="1:24" ht="16" x14ac:dyDescent="0.2">
      <c r="A654" t="s">
        <v>861</v>
      </c>
      <c r="B654" s="224" t="s">
        <v>516</v>
      </c>
      <c r="C654" s="224" t="s">
        <v>824</v>
      </c>
      <c r="D654" s="35" t="s">
        <v>148</v>
      </c>
      <c r="E654" s="35" t="s">
        <v>661</v>
      </c>
      <c r="F654" s="35" t="s">
        <v>494</v>
      </c>
      <c r="G654" s="35" t="s">
        <v>626</v>
      </c>
      <c r="H654" s="35" t="s">
        <v>580</v>
      </c>
      <c r="I654" s="147">
        <v>1055</v>
      </c>
      <c r="J654" s="34">
        <v>1095.6521739130435</v>
      </c>
      <c r="K654" s="34">
        <f t="shared" si="130"/>
        <v>40.652173913043498</v>
      </c>
      <c r="L654" s="56">
        <f t="shared" si="131"/>
        <v>1652.5992438563344</v>
      </c>
      <c r="M654" s="56">
        <f t="shared" si="132"/>
        <v>40.652173913043498</v>
      </c>
      <c r="N654" s="56">
        <f t="shared" si="133"/>
        <v>1.6196376730609516</v>
      </c>
      <c r="O654" s="56">
        <f t="shared" si="142"/>
        <v>1.6196376730609516</v>
      </c>
      <c r="P654" s="143">
        <f t="shared" si="134"/>
        <v>3.8532866268287678</v>
      </c>
      <c r="Q654" s="143">
        <f t="shared" si="135"/>
        <v>3.8532866268287678</v>
      </c>
      <c r="R654" s="34">
        <v>1104.1666666666667</v>
      </c>
      <c r="S654" s="56">
        <f t="shared" si="136"/>
        <v>49.166666666666742</v>
      </c>
      <c r="T654" s="56">
        <f t="shared" si="137"/>
        <v>2417.3611111111186</v>
      </c>
      <c r="U654" s="56">
        <f t="shared" si="138"/>
        <v>49.166666666666742</v>
      </c>
      <c r="V654" s="56">
        <f t="shared" si="139"/>
        <v>1.7004152452102004</v>
      </c>
      <c r="W654" s="33">
        <f t="shared" si="140"/>
        <v>4.6603475513428192</v>
      </c>
      <c r="X654" s="143">
        <f t="shared" si="141"/>
        <v>4.6603475513428192</v>
      </c>
    </row>
    <row r="655" spans="1:24" ht="16" x14ac:dyDescent="0.2">
      <c r="A655" t="s">
        <v>862</v>
      </c>
      <c r="B655" s="224" t="s">
        <v>516</v>
      </c>
      <c r="C655" s="224" t="s">
        <v>824</v>
      </c>
      <c r="D655" s="35" t="s">
        <v>148</v>
      </c>
      <c r="E655" s="35" t="s">
        <v>661</v>
      </c>
      <c r="F655" s="35" t="s">
        <v>374</v>
      </c>
      <c r="G655" s="35" t="s">
        <v>626</v>
      </c>
      <c r="H655" s="35" t="s">
        <v>580</v>
      </c>
      <c r="I655" s="147">
        <v>1280</v>
      </c>
      <c r="J655" s="34">
        <v>1239.1304347826087</v>
      </c>
      <c r="K655" s="34">
        <f t="shared" si="130"/>
        <v>-40.869565217391255</v>
      </c>
      <c r="L655" s="56">
        <f t="shared" si="131"/>
        <v>1670.3213610585972</v>
      </c>
      <c r="M655" s="56">
        <f t="shared" si="132"/>
        <v>40.869565217391255</v>
      </c>
      <c r="N655" s="56">
        <f t="shared" si="133"/>
        <v>1.6218984511069412</v>
      </c>
      <c r="O655" s="56">
        <f t="shared" si="142"/>
        <v>-1.6218984511069412</v>
      </c>
      <c r="P655" s="143">
        <f t="shared" si="134"/>
        <v>-3.1929347826086918</v>
      </c>
      <c r="Q655" s="143">
        <f t="shared" si="135"/>
        <v>3.1929347826086918</v>
      </c>
      <c r="R655" s="34">
        <v>1208.3333333333335</v>
      </c>
      <c r="S655" s="56">
        <f t="shared" si="136"/>
        <v>-71.666666666666515</v>
      </c>
      <c r="T655" s="56">
        <f t="shared" si="137"/>
        <v>5136.1111111110895</v>
      </c>
      <c r="U655" s="56">
        <f t="shared" si="138"/>
        <v>71.666666666666515</v>
      </c>
      <c r="V655" s="56">
        <f t="shared" si="139"/>
        <v>1.8613352388849416</v>
      </c>
      <c r="W655" s="33">
        <f t="shared" si="140"/>
        <v>-5.5989583333333215</v>
      </c>
      <c r="X655" s="143">
        <f t="shared" si="141"/>
        <v>5.5989583333333215</v>
      </c>
    </row>
    <row r="656" spans="1:24" ht="16" x14ac:dyDescent="0.2">
      <c r="A656" t="s">
        <v>863</v>
      </c>
      <c r="B656" s="224" t="s">
        <v>516</v>
      </c>
      <c r="C656" s="224" t="s">
        <v>824</v>
      </c>
      <c r="D656" s="35" t="s">
        <v>148</v>
      </c>
      <c r="E656" s="35" t="s">
        <v>661</v>
      </c>
      <c r="F656" s="225" t="s">
        <v>494</v>
      </c>
      <c r="G656" s="35" t="s">
        <v>626</v>
      </c>
      <c r="H656" s="35" t="s">
        <v>580</v>
      </c>
      <c r="I656" s="147">
        <v>1110</v>
      </c>
      <c r="J656" s="34">
        <v>1108.695652173913</v>
      </c>
      <c r="K656" s="34">
        <f t="shared" si="130"/>
        <v>-1.3043478260869961</v>
      </c>
      <c r="L656" s="56">
        <f t="shared" si="131"/>
        <v>1.7013232514178724</v>
      </c>
      <c r="M656" s="56">
        <f t="shared" si="132"/>
        <v>1.3043478260869961</v>
      </c>
      <c r="N656" s="56">
        <f t="shared" si="133"/>
        <v>0.36254803358320364</v>
      </c>
      <c r="O656" s="56">
        <f t="shared" si="142"/>
        <v>-0.36254803358320364</v>
      </c>
      <c r="P656" s="143">
        <f t="shared" si="134"/>
        <v>-0.11750881316099064</v>
      </c>
      <c r="Q656" s="143">
        <f t="shared" si="135"/>
        <v>0.11750881316099064</v>
      </c>
      <c r="R656" s="34">
        <v>1104.1666666666667</v>
      </c>
      <c r="S656" s="56">
        <f t="shared" si="136"/>
        <v>-5.8333333333332575</v>
      </c>
      <c r="T656" s="56">
        <f t="shared" si="137"/>
        <v>34.02777777777689</v>
      </c>
      <c r="U656" s="56">
        <f t="shared" si="138"/>
        <v>5.8333333333332575</v>
      </c>
      <c r="V656" s="56">
        <f t="shared" si="139"/>
        <v>0.83463260633608705</v>
      </c>
      <c r="W656" s="33">
        <f t="shared" si="140"/>
        <v>-0.52552552552551868</v>
      </c>
      <c r="X656" s="143">
        <f t="shared" si="141"/>
        <v>0.52552552552551868</v>
      </c>
    </row>
    <row r="657" spans="1:24" ht="16" x14ac:dyDescent="0.2">
      <c r="A657" t="s">
        <v>864</v>
      </c>
      <c r="B657" s="224" t="s">
        <v>516</v>
      </c>
      <c r="C657" s="224" t="s">
        <v>824</v>
      </c>
      <c r="D657" s="35" t="s">
        <v>148</v>
      </c>
      <c r="E657" s="35" t="s">
        <v>661</v>
      </c>
      <c r="F657" s="35" t="s">
        <v>374</v>
      </c>
      <c r="G657" s="35" t="s">
        <v>626</v>
      </c>
      <c r="H657" s="35" t="s">
        <v>580</v>
      </c>
      <c r="I657" s="147">
        <v>1460</v>
      </c>
      <c r="J657" s="34">
        <v>1373.9130434782608</v>
      </c>
      <c r="K657" s="34">
        <f t="shared" si="130"/>
        <v>-86.086956521739239</v>
      </c>
      <c r="L657" s="56">
        <f t="shared" si="131"/>
        <v>7410.9640831758225</v>
      </c>
      <c r="M657" s="56">
        <f t="shared" si="132"/>
        <v>86.086956521739239</v>
      </c>
      <c r="N657" s="56">
        <f t="shared" si="133"/>
        <v>1.939953113275984</v>
      </c>
      <c r="O657" s="56">
        <f t="shared" si="142"/>
        <v>-1.939953113275984</v>
      </c>
      <c r="P657" s="143">
        <f t="shared" si="134"/>
        <v>-5.8963668850506323</v>
      </c>
      <c r="Q657" s="143">
        <f t="shared" si="135"/>
        <v>5.8963668850506323</v>
      </c>
      <c r="R657" s="34">
        <v>1379.1666666666667</v>
      </c>
      <c r="S657" s="56">
        <f t="shared" si="136"/>
        <v>-80.833333333333258</v>
      </c>
      <c r="T657" s="56">
        <f t="shared" si="137"/>
        <v>6534.0277777777656</v>
      </c>
      <c r="U657" s="56">
        <f t="shared" si="138"/>
        <v>80.833333333333258</v>
      </c>
      <c r="V657" s="56">
        <f t="shared" si="139"/>
        <v>1.9129302417393244</v>
      </c>
      <c r="W657" s="33">
        <f t="shared" si="140"/>
        <v>-5.5365296803652919</v>
      </c>
      <c r="X657" s="143">
        <f t="shared" si="141"/>
        <v>5.5365296803652919</v>
      </c>
    </row>
    <row r="658" spans="1:24" ht="16" x14ac:dyDescent="0.2">
      <c r="A658" t="s">
        <v>865</v>
      </c>
      <c r="B658" s="224" t="s">
        <v>516</v>
      </c>
      <c r="C658" s="224" t="s">
        <v>824</v>
      </c>
      <c r="D658" s="35" t="s">
        <v>148</v>
      </c>
      <c r="E658" s="35" t="s">
        <v>661</v>
      </c>
      <c r="F658" s="35" t="s">
        <v>374</v>
      </c>
      <c r="G658" s="35" t="s">
        <v>627</v>
      </c>
      <c r="H658" s="35" t="s">
        <v>580</v>
      </c>
      <c r="I658" s="147">
        <v>1598</v>
      </c>
      <c r="J658" s="34">
        <v>1560.8695652173913</v>
      </c>
      <c r="K658" s="34">
        <f t="shared" si="130"/>
        <v>-37.130434782608745</v>
      </c>
      <c r="L658" s="56">
        <f t="shared" si="131"/>
        <v>1378.6691871455614</v>
      </c>
      <c r="M658" s="56">
        <f t="shared" si="132"/>
        <v>37.130434782608745</v>
      </c>
      <c r="N658" s="56">
        <f t="shared" si="133"/>
        <v>1.5812717573484483</v>
      </c>
      <c r="O658" s="56">
        <f t="shared" si="142"/>
        <v>-1.5812717573484483</v>
      </c>
      <c r="P658" s="143">
        <f t="shared" si="134"/>
        <v>-2.3235566196876563</v>
      </c>
      <c r="Q658" s="143">
        <f t="shared" si="135"/>
        <v>2.3235566196876563</v>
      </c>
      <c r="R658" s="34">
        <v>1562.5</v>
      </c>
      <c r="S658" s="56">
        <f t="shared" si="136"/>
        <v>-35.5</v>
      </c>
      <c r="T658" s="56">
        <f t="shared" si="137"/>
        <v>1260.25</v>
      </c>
      <c r="U658" s="56">
        <f t="shared" si="138"/>
        <v>35.5</v>
      </c>
      <c r="V658" s="56">
        <f t="shared" si="139"/>
        <v>1.5622928644564746</v>
      </c>
      <c r="W658" s="33">
        <f t="shared" si="140"/>
        <v>-2.2215269086357949</v>
      </c>
      <c r="X658" s="143">
        <f t="shared" si="141"/>
        <v>2.2215269086357949</v>
      </c>
    </row>
    <row r="659" spans="1:24" ht="16" x14ac:dyDescent="0.2">
      <c r="A659" t="s">
        <v>866</v>
      </c>
      <c r="B659" s="224" t="s">
        <v>516</v>
      </c>
      <c r="C659" s="224" t="s">
        <v>824</v>
      </c>
      <c r="D659" s="35" t="s">
        <v>148</v>
      </c>
      <c r="E659" s="35" t="s">
        <v>661</v>
      </c>
      <c r="F659" s="35" t="s">
        <v>374</v>
      </c>
      <c r="G659" s="35" t="s">
        <v>627</v>
      </c>
      <c r="H659" s="35" t="s">
        <v>580</v>
      </c>
      <c r="I659" s="147">
        <v>1565</v>
      </c>
      <c r="J659" s="34">
        <v>1495.6521739130435</v>
      </c>
      <c r="K659" s="34">
        <f t="shared" si="130"/>
        <v>-69.347826086956502</v>
      </c>
      <c r="L659" s="56">
        <f t="shared" si="131"/>
        <v>4809.1209829867648</v>
      </c>
      <c r="M659" s="56">
        <f t="shared" si="132"/>
        <v>69.347826086956502</v>
      </c>
      <c r="N659" s="56">
        <f t="shared" si="133"/>
        <v>1.8472506812586604</v>
      </c>
      <c r="O659" s="56">
        <f t="shared" si="142"/>
        <v>-1.8472506812586604</v>
      </c>
      <c r="P659" s="143">
        <f t="shared" si="134"/>
        <v>-4.4311709959716614</v>
      </c>
      <c r="Q659" s="143">
        <f t="shared" si="135"/>
        <v>4.4311709959716614</v>
      </c>
      <c r="R659" s="34">
        <v>1487.5</v>
      </c>
      <c r="S659" s="56">
        <f t="shared" si="136"/>
        <v>-77.5</v>
      </c>
      <c r="T659" s="56">
        <f t="shared" si="137"/>
        <v>6006.25</v>
      </c>
      <c r="U659" s="56">
        <f t="shared" si="138"/>
        <v>77.5</v>
      </c>
      <c r="V659" s="56">
        <f t="shared" si="139"/>
        <v>1.8948696567452525</v>
      </c>
      <c r="W659" s="33">
        <f t="shared" si="140"/>
        <v>-4.9520766773162936</v>
      </c>
      <c r="X659" s="143">
        <f t="shared" si="141"/>
        <v>4.9520766773162936</v>
      </c>
    </row>
    <row r="660" spans="1:24" ht="15" x14ac:dyDescent="0.2">
      <c r="A660" s="28" t="s">
        <v>416</v>
      </c>
      <c r="B660" s="224" t="s">
        <v>516</v>
      </c>
      <c r="C660" s="35" t="s">
        <v>458</v>
      </c>
      <c r="D660" s="35" t="s">
        <v>82</v>
      </c>
      <c r="E660" s="35" t="s">
        <v>661</v>
      </c>
      <c r="F660" s="35" t="s">
        <v>374</v>
      </c>
      <c r="G660" s="35" t="s">
        <v>626</v>
      </c>
      <c r="H660" s="35" t="s">
        <v>580</v>
      </c>
      <c r="I660" s="141">
        <v>1250</v>
      </c>
      <c r="J660" s="34">
        <v>1291.304347826087</v>
      </c>
      <c r="K660" s="34">
        <f t="shared" si="130"/>
        <v>41.304347826086996</v>
      </c>
      <c r="L660" s="56">
        <f t="shared" si="131"/>
        <v>1706.0491493383774</v>
      </c>
      <c r="M660" s="56">
        <f t="shared" si="132"/>
        <v>41.304347826086996</v>
      </c>
      <c r="N660" s="56">
        <f t="shared" si="133"/>
        <v>1.6263850042507595</v>
      </c>
      <c r="O660" s="56">
        <f t="shared" si="142"/>
        <v>1.6263850042507595</v>
      </c>
      <c r="P660" s="143">
        <f t="shared" si="134"/>
        <v>3.3043478260869596</v>
      </c>
      <c r="Q660" s="143">
        <f t="shared" si="135"/>
        <v>3.3043478260869596</v>
      </c>
      <c r="R660" s="34">
        <v>1270.8333333333335</v>
      </c>
      <c r="S660" s="56">
        <f t="shared" si="136"/>
        <v>20.833333333333485</v>
      </c>
      <c r="T660" s="56">
        <f t="shared" si="137"/>
        <v>434.02777777778408</v>
      </c>
      <c r="U660" s="56">
        <f t="shared" si="138"/>
        <v>20.833333333333485</v>
      </c>
      <c r="V660" s="56">
        <f t="shared" si="139"/>
        <v>1.3391200452721237</v>
      </c>
      <c r="W660" s="33">
        <f t="shared" si="140"/>
        <v>1.6666666666666787</v>
      </c>
      <c r="X660" s="143">
        <f t="shared" si="141"/>
        <v>1.6666666666666787</v>
      </c>
    </row>
    <row r="661" spans="1:24" ht="15" x14ac:dyDescent="0.2">
      <c r="A661" s="28" t="s">
        <v>421</v>
      </c>
      <c r="B661" s="224" t="s">
        <v>516</v>
      </c>
      <c r="C661" s="35" t="s">
        <v>458</v>
      </c>
      <c r="D661" s="35" t="s">
        <v>82</v>
      </c>
      <c r="E661" s="35" t="s">
        <v>661</v>
      </c>
      <c r="F661" s="35" t="s">
        <v>494</v>
      </c>
      <c r="G661" s="35" t="s">
        <v>626</v>
      </c>
      <c r="H661" s="35" t="s">
        <v>580</v>
      </c>
      <c r="I661" s="141">
        <v>825</v>
      </c>
      <c r="J661" s="34">
        <v>839.13043478260863</v>
      </c>
      <c r="K661" s="34">
        <f t="shared" si="130"/>
        <v>14.130434782608631</v>
      </c>
      <c r="L661" s="56">
        <f t="shared" si="131"/>
        <v>199.66918714555584</v>
      </c>
      <c r="M661" s="56">
        <f t="shared" si="132"/>
        <v>14.130434782608631</v>
      </c>
      <c r="N661" s="56">
        <f t="shared" si="133"/>
        <v>1.1798514079289861</v>
      </c>
      <c r="O661" s="56">
        <f t="shared" si="142"/>
        <v>1.1798514079289861</v>
      </c>
      <c r="P661" s="143">
        <f t="shared" si="134"/>
        <v>1.7127799736495311</v>
      </c>
      <c r="Q661" s="143">
        <f t="shared" si="135"/>
        <v>1.7127799736495311</v>
      </c>
      <c r="R661" s="34">
        <v>854.16666666666674</v>
      </c>
      <c r="S661" s="56">
        <f t="shared" si="136"/>
        <v>29.166666666666742</v>
      </c>
      <c r="T661" s="56">
        <f t="shared" si="137"/>
        <v>850.69444444444889</v>
      </c>
      <c r="U661" s="56">
        <f t="shared" si="138"/>
        <v>29.166666666666742</v>
      </c>
      <c r="V661" s="56">
        <f t="shared" si="139"/>
        <v>1.479527324485542</v>
      </c>
      <c r="W661" s="33">
        <f t="shared" si="140"/>
        <v>3.5353535353535444</v>
      </c>
      <c r="X661" s="143">
        <f t="shared" si="141"/>
        <v>3.5353535353535444</v>
      </c>
    </row>
    <row r="662" spans="1:24" ht="15" x14ac:dyDescent="0.2">
      <c r="A662" s="28" t="s">
        <v>422</v>
      </c>
      <c r="B662" s="224" t="s">
        <v>516</v>
      </c>
      <c r="C662" s="35" t="s">
        <v>458</v>
      </c>
      <c r="D662" s="35" t="s">
        <v>82</v>
      </c>
      <c r="E662" s="35" t="s">
        <v>661</v>
      </c>
      <c r="F662" s="35" t="s">
        <v>494</v>
      </c>
      <c r="G662" s="35" t="s">
        <v>626</v>
      </c>
      <c r="H662" s="35" t="s">
        <v>580</v>
      </c>
      <c r="I662" s="141">
        <v>1070</v>
      </c>
      <c r="J662" s="34">
        <v>1117.391304347826</v>
      </c>
      <c r="K662" s="34">
        <f t="shared" si="130"/>
        <v>47.391304347826008</v>
      </c>
      <c r="L662" s="56">
        <f t="shared" si="131"/>
        <v>2245.9357277882723</v>
      </c>
      <c r="M662" s="56">
        <f t="shared" si="132"/>
        <v>47.391304347826008</v>
      </c>
      <c r="N662" s="56">
        <f t="shared" si="133"/>
        <v>1.6847673283171147</v>
      </c>
      <c r="O662" s="56">
        <f t="shared" si="142"/>
        <v>1.6847673283171147</v>
      </c>
      <c r="P662" s="143">
        <f t="shared" si="134"/>
        <v>4.4290938642828044</v>
      </c>
      <c r="Q662" s="143">
        <f t="shared" si="135"/>
        <v>4.4290938642828044</v>
      </c>
      <c r="R662" s="34">
        <v>1104.1666666666667</v>
      </c>
      <c r="S662" s="56">
        <f t="shared" si="136"/>
        <v>34.166666666666742</v>
      </c>
      <c r="T662" s="56">
        <f t="shared" si="137"/>
        <v>1167.3611111111163</v>
      </c>
      <c r="U662" s="56">
        <f t="shared" si="138"/>
        <v>34.166666666666742</v>
      </c>
      <c r="V662" s="56">
        <f t="shared" si="139"/>
        <v>1.5461312049140499</v>
      </c>
      <c r="W662" s="33">
        <f t="shared" si="140"/>
        <v>3.1931464174454898</v>
      </c>
      <c r="X662" s="143">
        <f t="shared" si="141"/>
        <v>3.1931464174454898</v>
      </c>
    </row>
    <row r="663" spans="1:24" ht="15" x14ac:dyDescent="0.2">
      <c r="A663" s="28" t="s">
        <v>423</v>
      </c>
      <c r="B663" s="224" t="s">
        <v>516</v>
      </c>
      <c r="C663" s="35" t="s">
        <v>458</v>
      </c>
      <c r="D663" s="208" t="s">
        <v>82</v>
      </c>
      <c r="E663" s="35" t="s">
        <v>661</v>
      </c>
      <c r="F663" s="35" t="s">
        <v>494</v>
      </c>
      <c r="G663" s="35" t="s">
        <v>626</v>
      </c>
      <c r="H663" s="35" t="s">
        <v>580</v>
      </c>
      <c r="I663" s="141">
        <v>1150</v>
      </c>
      <c r="J663" s="34">
        <v>1165.2173913043478</v>
      </c>
      <c r="K663" s="34">
        <f t="shared" si="130"/>
        <v>15.217391304347757</v>
      </c>
      <c r="L663" s="56">
        <f t="shared" si="131"/>
        <v>231.56899810963873</v>
      </c>
      <c r="M663" s="56">
        <f t="shared" si="132"/>
        <v>15.217391304347757</v>
      </c>
      <c r="N663" s="56">
        <f t="shared" si="133"/>
        <v>1.209980995791093</v>
      </c>
      <c r="O663" s="56">
        <f t="shared" si="142"/>
        <v>1.209980995791093</v>
      </c>
      <c r="P663" s="143">
        <f t="shared" si="134"/>
        <v>1.3232514177693702</v>
      </c>
      <c r="Q663" s="143">
        <f t="shared" si="135"/>
        <v>1.3232514177693702</v>
      </c>
      <c r="R663" s="34">
        <v>1145.8333333333335</v>
      </c>
      <c r="S663" s="56">
        <f t="shared" si="136"/>
        <v>-4.1666666666665151</v>
      </c>
      <c r="T663" s="56">
        <f t="shared" si="137"/>
        <v>17.36111111110985</v>
      </c>
      <c r="U663" s="56">
        <f t="shared" si="138"/>
        <v>4.1666666666665151</v>
      </c>
      <c r="V663" s="56">
        <f t="shared" si="139"/>
        <v>0.71321044345061635</v>
      </c>
      <c r="W663" s="33">
        <f t="shared" si="140"/>
        <v>-0.36231884057969699</v>
      </c>
      <c r="X663" s="143">
        <f t="shared" si="141"/>
        <v>0.36231884057969699</v>
      </c>
    </row>
    <row r="664" spans="1:24" ht="15" x14ac:dyDescent="0.2">
      <c r="A664" s="28" t="s">
        <v>424</v>
      </c>
      <c r="B664" s="224" t="s">
        <v>516</v>
      </c>
      <c r="C664" s="35" t="s">
        <v>458</v>
      </c>
      <c r="D664" s="208" t="s">
        <v>82</v>
      </c>
      <c r="E664" s="35" t="s">
        <v>661</v>
      </c>
      <c r="F664" s="35" t="s">
        <v>374</v>
      </c>
      <c r="G664" s="35" t="s">
        <v>627</v>
      </c>
      <c r="H664" s="35" t="s">
        <v>580</v>
      </c>
      <c r="I664" s="141">
        <v>1800</v>
      </c>
      <c r="J664" s="34">
        <v>1730.4347826086955</v>
      </c>
      <c r="K664" s="34">
        <f t="shared" si="130"/>
        <v>-69.565217391304486</v>
      </c>
      <c r="L664" s="56">
        <f t="shared" si="131"/>
        <v>4839.3194706994518</v>
      </c>
      <c r="M664" s="56">
        <f t="shared" si="132"/>
        <v>69.565217391304486</v>
      </c>
      <c r="N664" s="56">
        <f t="shared" si="133"/>
        <v>1.8485906838086399</v>
      </c>
      <c r="O664" s="56">
        <f t="shared" si="142"/>
        <v>-1.8485906838086399</v>
      </c>
      <c r="P664" s="143">
        <f t="shared" si="134"/>
        <v>-3.864734299516916</v>
      </c>
      <c r="Q664" s="143">
        <f t="shared" si="135"/>
        <v>3.864734299516916</v>
      </c>
      <c r="R664" s="34">
        <v>1770.8333333333335</v>
      </c>
      <c r="S664" s="56">
        <f t="shared" si="136"/>
        <v>-29.166666666666515</v>
      </c>
      <c r="T664" s="56">
        <f t="shared" si="137"/>
        <v>850.69444444443559</v>
      </c>
      <c r="U664" s="56">
        <f t="shared" si="138"/>
        <v>29.166666666666515</v>
      </c>
      <c r="V664" s="56">
        <f t="shared" si="139"/>
        <v>1.4795273244855387</v>
      </c>
      <c r="W664" s="33">
        <f t="shared" si="140"/>
        <v>-1.620370370370362</v>
      </c>
      <c r="X664" s="143">
        <f t="shared" si="141"/>
        <v>1.620370370370362</v>
      </c>
    </row>
    <row r="665" spans="1:24" ht="15" x14ac:dyDescent="0.2">
      <c r="A665" s="28" t="s">
        <v>426</v>
      </c>
      <c r="B665" s="224" t="s">
        <v>516</v>
      </c>
      <c r="C665" s="35" t="s">
        <v>458</v>
      </c>
      <c r="D665" s="208" t="s">
        <v>82</v>
      </c>
      <c r="E665" s="35" t="s">
        <v>661</v>
      </c>
      <c r="F665" s="35" t="s">
        <v>374</v>
      </c>
      <c r="G665" s="35" t="s">
        <v>627</v>
      </c>
      <c r="H665" s="35" t="s">
        <v>580</v>
      </c>
      <c r="I665" s="141">
        <v>1620</v>
      </c>
      <c r="J665" s="34">
        <v>1630.4347826086955</v>
      </c>
      <c r="K665" s="34">
        <f t="shared" si="130"/>
        <v>10.434782608695514</v>
      </c>
      <c r="L665" s="56">
        <f t="shared" si="131"/>
        <v>108.88468809073436</v>
      </c>
      <c r="M665" s="56">
        <f t="shared" si="132"/>
        <v>10.434782608695514</v>
      </c>
      <c r="N665" s="56">
        <f t="shared" si="133"/>
        <v>1.0582279124721596</v>
      </c>
      <c r="O665" s="56">
        <f t="shared" si="142"/>
        <v>1.0582279124721596</v>
      </c>
      <c r="P665" s="143">
        <f t="shared" si="134"/>
        <v>0.64412238325280946</v>
      </c>
      <c r="Q665" s="143">
        <f t="shared" si="135"/>
        <v>0.64412238325280946</v>
      </c>
      <c r="R665" s="34">
        <v>1625</v>
      </c>
      <c r="S665" s="56">
        <f t="shared" si="136"/>
        <v>5</v>
      </c>
      <c r="T665" s="56">
        <f t="shared" si="137"/>
        <v>25</v>
      </c>
      <c r="U665" s="56">
        <f t="shared" si="138"/>
        <v>5</v>
      </c>
      <c r="V665" s="56">
        <f t="shared" si="139"/>
        <v>0.77815125038364363</v>
      </c>
      <c r="W665" s="33">
        <f t="shared" si="140"/>
        <v>0.30864197530864196</v>
      </c>
      <c r="X665" s="143">
        <f t="shared" si="141"/>
        <v>0.30864197530864196</v>
      </c>
    </row>
    <row r="666" spans="1:24" ht="15" x14ac:dyDescent="0.2">
      <c r="A666" s="28" t="s">
        <v>427</v>
      </c>
      <c r="B666" s="224" t="s">
        <v>516</v>
      </c>
      <c r="C666" s="35" t="s">
        <v>458</v>
      </c>
      <c r="D666" s="208" t="s">
        <v>82</v>
      </c>
      <c r="E666" s="35" t="s">
        <v>661</v>
      </c>
      <c r="F666" s="35" t="s">
        <v>374</v>
      </c>
      <c r="G666" s="35" t="s">
        <v>627</v>
      </c>
      <c r="H666" s="35" t="s">
        <v>580</v>
      </c>
      <c r="I666" s="141">
        <v>1650</v>
      </c>
      <c r="J666" s="34">
        <v>1630.4347826086955</v>
      </c>
      <c r="K666" s="34">
        <f t="shared" si="130"/>
        <v>-19.565217391304486</v>
      </c>
      <c r="L666" s="56">
        <f t="shared" si="131"/>
        <v>382.79773156900353</v>
      </c>
      <c r="M666" s="56">
        <f t="shared" si="132"/>
        <v>19.565217391304486</v>
      </c>
      <c r="N666" s="56">
        <f t="shared" si="133"/>
        <v>1.3131333047202216</v>
      </c>
      <c r="O666" s="56">
        <f t="shared" si="142"/>
        <v>-1.3131333047202216</v>
      </c>
      <c r="P666" s="143">
        <f t="shared" si="134"/>
        <v>-1.1857707509881508</v>
      </c>
      <c r="Q666" s="143">
        <f t="shared" si="135"/>
        <v>1.1857707509881508</v>
      </c>
      <c r="R666" s="34">
        <v>1645.8333333333335</v>
      </c>
      <c r="S666" s="56">
        <f t="shared" si="136"/>
        <v>-4.1666666666665151</v>
      </c>
      <c r="T666" s="56">
        <f t="shared" si="137"/>
        <v>17.36111111110985</v>
      </c>
      <c r="U666" s="56">
        <f t="shared" si="138"/>
        <v>4.1666666666665151</v>
      </c>
      <c r="V666" s="56">
        <f t="shared" si="139"/>
        <v>0.71321044345061635</v>
      </c>
      <c r="W666" s="33">
        <f t="shared" si="140"/>
        <v>-0.25252525252524333</v>
      </c>
      <c r="X666" s="143">
        <f t="shared" si="141"/>
        <v>0.25252525252524333</v>
      </c>
    </row>
    <row r="667" spans="1:24" ht="15" x14ac:dyDescent="0.2">
      <c r="A667" s="28" t="s">
        <v>459</v>
      </c>
      <c r="B667" s="224" t="s">
        <v>516</v>
      </c>
      <c r="C667" s="35" t="s">
        <v>458</v>
      </c>
      <c r="D667" s="208" t="s">
        <v>82</v>
      </c>
      <c r="E667" s="35" t="s">
        <v>661</v>
      </c>
      <c r="F667" s="35" t="s">
        <v>374</v>
      </c>
      <c r="G667" s="35" t="s">
        <v>627</v>
      </c>
      <c r="H667" s="35" t="s">
        <v>580</v>
      </c>
      <c r="I667" s="141">
        <v>1640</v>
      </c>
      <c r="J667" s="34">
        <v>1556.5217391304348</v>
      </c>
      <c r="K667" s="34">
        <f t="shared" si="130"/>
        <v>-83.478260869565247</v>
      </c>
      <c r="L667" s="56">
        <f t="shared" si="131"/>
        <v>6968.6200378071881</v>
      </c>
      <c r="M667" s="56">
        <f t="shared" si="132"/>
        <v>83.478260869565247</v>
      </c>
      <c r="N667" s="56">
        <f t="shared" si="133"/>
        <v>1.9267449645821897</v>
      </c>
      <c r="O667" s="56">
        <f t="shared" si="142"/>
        <v>-1.9267449645821897</v>
      </c>
      <c r="P667" s="143">
        <f t="shared" si="134"/>
        <v>-5.0901378579003191</v>
      </c>
      <c r="Q667" s="143">
        <f t="shared" si="135"/>
        <v>5.0901378579003191</v>
      </c>
      <c r="R667" s="34">
        <v>1562.5</v>
      </c>
      <c r="S667" s="56">
        <f t="shared" si="136"/>
        <v>-77.5</v>
      </c>
      <c r="T667" s="56">
        <f t="shared" si="137"/>
        <v>6006.25</v>
      </c>
      <c r="U667" s="56">
        <f t="shared" si="138"/>
        <v>77.5</v>
      </c>
      <c r="V667" s="56">
        <f t="shared" si="139"/>
        <v>1.8948696567452525</v>
      </c>
      <c r="W667" s="33">
        <f t="shared" si="140"/>
        <v>-4.725609756097561</v>
      </c>
      <c r="X667" s="143">
        <f t="shared" si="141"/>
        <v>4.725609756097561</v>
      </c>
    </row>
    <row r="668" spans="1:24" ht="15" x14ac:dyDescent="0.2">
      <c r="A668" s="28" t="s">
        <v>425</v>
      </c>
      <c r="B668" s="224" t="s">
        <v>516</v>
      </c>
      <c r="C668" s="35" t="s">
        <v>458</v>
      </c>
      <c r="D668" s="208" t="s">
        <v>82</v>
      </c>
      <c r="E668" s="35" t="s">
        <v>661</v>
      </c>
      <c r="F668" s="35" t="s">
        <v>293</v>
      </c>
      <c r="G668" s="35" t="s">
        <v>627</v>
      </c>
      <c r="H668" s="35" t="s">
        <v>580</v>
      </c>
      <c r="I668" s="141">
        <v>2690</v>
      </c>
      <c r="J668" s="34">
        <v>2621.7391304347825</v>
      </c>
      <c r="K668" s="34">
        <f t="shared" si="130"/>
        <v>-68.26086956521749</v>
      </c>
      <c r="L668" s="56">
        <f t="shared" si="131"/>
        <v>4659.5463137996358</v>
      </c>
      <c r="M668" s="56">
        <f t="shared" si="132"/>
        <v>68.26086956521749</v>
      </c>
      <c r="N668" s="56">
        <f t="shared" si="133"/>
        <v>1.8404879397835392</v>
      </c>
      <c r="O668" s="56">
        <f t="shared" si="142"/>
        <v>-1.8404879397835392</v>
      </c>
      <c r="P668" s="143">
        <f t="shared" si="134"/>
        <v>-2.5375787942460035</v>
      </c>
      <c r="Q668" s="143">
        <f t="shared" si="135"/>
        <v>2.5375787942460035</v>
      </c>
      <c r="R668" s="34">
        <v>2583.3333333333335</v>
      </c>
      <c r="S668" s="56">
        <f t="shared" si="136"/>
        <v>-106.66666666666652</v>
      </c>
      <c r="T668" s="56">
        <f t="shared" si="137"/>
        <v>11377.777777777745</v>
      </c>
      <c r="U668" s="56">
        <f t="shared" si="138"/>
        <v>106.66666666666652</v>
      </c>
      <c r="V668" s="56">
        <f t="shared" si="139"/>
        <v>2.0320812676114399</v>
      </c>
      <c r="W668" s="33">
        <f t="shared" si="140"/>
        <v>-3.9653035935563761</v>
      </c>
      <c r="X668" s="143">
        <f t="shared" si="141"/>
        <v>3.9653035935563761</v>
      </c>
    </row>
    <row r="669" spans="1:24" ht="15" x14ac:dyDescent="0.2">
      <c r="A669" s="28" t="s">
        <v>433</v>
      </c>
      <c r="B669" s="224" t="s">
        <v>516</v>
      </c>
      <c r="C669" s="35" t="s">
        <v>458</v>
      </c>
      <c r="D669" s="208" t="s">
        <v>82</v>
      </c>
      <c r="E669" s="35" t="s">
        <v>661</v>
      </c>
      <c r="F669" s="35" t="s">
        <v>374</v>
      </c>
      <c r="G669" s="35" t="s">
        <v>627</v>
      </c>
      <c r="H669" s="35" t="s">
        <v>580</v>
      </c>
      <c r="I669" s="141">
        <v>1520</v>
      </c>
      <c r="J669" s="34">
        <v>1404.3478260869565</v>
      </c>
      <c r="K669" s="34">
        <f t="shared" si="130"/>
        <v>-115.6521739130435</v>
      </c>
      <c r="L669" s="56">
        <f t="shared" si="131"/>
        <v>13375.425330812859</v>
      </c>
      <c r="M669" s="56">
        <f t="shared" si="132"/>
        <v>115.6521739130435</v>
      </c>
      <c r="N669" s="56">
        <f t="shared" si="133"/>
        <v>2.066892836654346</v>
      </c>
      <c r="O669" s="56">
        <f t="shared" si="142"/>
        <v>-2.066892836654346</v>
      </c>
      <c r="P669" s="143">
        <f t="shared" si="134"/>
        <v>-7.608695652173914</v>
      </c>
      <c r="Q669" s="143">
        <f t="shared" si="135"/>
        <v>7.608695652173914</v>
      </c>
      <c r="R669" s="34">
        <v>1395.8333333333335</v>
      </c>
      <c r="S669" s="56">
        <f t="shared" si="136"/>
        <v>-124.16666666666652</v>
      </c>
      <c r="T669" s="56">
        <f t="shared" si="137"/>
        <v>15417.361111111073</v>
      </c>
      <c r="U669" s="56">
        <f t="shared" si="138"/>
        <v>124.16666666666652</v>
      </c>
      <c r="V669" s="56">
        <f t="shared" si="139"/>
        <v>2.0974886866205242</v>
      </c>
      <c r="W669" s="33">
        <f t="shared" si="140"/>
        <v>-8.1688596491227976</v>
      </c>
      <c r="X669" s="143">
        <f t="shared" si="141"/>
        <v>8.1688596491227976</v>
      </c>
    </row>
    <row r="670" spans="1:24" ht="15" x14ac:dyDescent="0.2">
      <c r="A670" s="28" t="s">
        <v>434</v>
      </c>
      <c r="B670" s="224" t="s">
        <v>516</v>
      </c>
      <c r="C670" s="35" t="s">
        <v>458</v>
      </c>
      <c r="D670" s="208" t="s">
        <v>82</v>
      </c>
      <c r="E670" s="35" t="s">
        <v>661</v>
      </c>
      <c r="F670" s="35" t="s">
        <v>374</v>
      </c>
      <c r="G670" s="35" t="s">
        <v>627</v>
      </c>
      <c r="H670" s="35" t="s">
        <v>580</v>
      </c>
      <c r="I670" s="141">
        <v>2370</v>
      </c>
      <c r="J670" s="34">
        <v>2282.608695652174</v>
      </c>
      <c r="K670" s="34">
        <f t="shared" si="130"/>
        <v>-87.391304347826008</v>
      </c>
      <c r="L670" s="56">
        <f t="shared" si="131"/>
        <v>7637.2400756143525</v>
      </c>
      <c r="M670" s="56">
        <f t="shared" si="132"/>
        <v>87.391304347826008</v>
      </c>
      <c r="N670" s="56">
        <f t="shared" si="133"/>
        <v>1.9464095426204453</v>
      </c>
      <c r="O670" s="56">
        <f t="shared" si="142"/>
        <v>-1.9464095426204453</v>
      </c>
      <c r="P670" s="143">
        <f t="shared" si="134"/>
        <v>-3.6873968079251478</v>
      </c>
      <c r="Q670" s="143">
        <f t="shared" si="135"/>
        <v>3.6873968079251478</v>
      </c>
      <c r="R670" s="34">
        <v>2291.666666666667</v>
      </c>
      <c r="S670" s="56">
        <f t="shared" si="136"/>
        <v>-78.33333333333303</v>
      </c>
      <c r="T670" s="56">
        <f t="shared" si="137"/>
        <v>6136.111111111064</v>
      </c>
      <c r="U670" s="56">
        <f t="shared" si="138"/>
        <v>78.33333333333303</v>
      </c>
      <c r="V670" s="56">
        <f t="shared" si="139"/>
        <v>1.8994557023368479</v>
      </c>
      <c r="W670" s="33">
        <f t="shared" si="140"/>
        <v>-3.3052039381153175</v>
      </c>
      <c r="X670" s="143">
        <f t="shared" si="141"/>
        <v>3.3052039381153175</v>
      </c>
    </row>
    <row r="671" spans="1:24" ht="15" x14ac:dyDescent="0.2">
      <c r="A671" s="28" t="s">
        <v>435</v>
      </c>
      <c r="B671" s="224" t="s">
        <v>516</v>
      </c>
      <c r="C671" s="35" t="s">
        <v>458</v>
      </c>
      <c r="D671" s="208" t="s">
        <v>82</v>
      </c>
      <c r="E671" s="35" t="s">
        <v>661</v>
      </c>
      <c r="F671" s="35" t="s">
        <v>494</v>
      </c>
      <c r="G671" s="35" t="s">
        <v>626</v>
      </c>
      <c r="H671" s="35" t="s">
        <v>580</v>
      </c>
      <c r="I671" s="141">
        <v>1150</v>
      </c>
      <c r="J671" s="34">
        <v>1121.7391304347825</v>
      </c>
      <c r="K671" s="34">
        <f t="shared" si="130"/>
        <v>-28.26086956521749</v>
      </c>
      <c r="L671" s="56">
        <f t="shared" si="131"/>
        <v>798.6767485822362</v>
      </c>
      <c r="M671" s="56">
        <f t="shared" si="132"/>
        <v>28.26086956521749</v>
      </c>
      <c r="N671" s="56">
        <f t="shared" si="133"/>
        <v>1.4662872282063855</v>
      </c>
      <c r="O671" s="56">
        <f t="shared" si="142"/>
        <v>-1.4662872282063855</v>
      </c>
      <c r="P671" s="143">
        <f t="shared" si="134"/>
        <v>-2.4574669187145646</v>
      </c>
      <c r="Q671" s="143">
        <f t="shared" si="135"/>
        <v>2.4574669187145646</v>
      </c>
      <c r="R671" s="34">
        <v>1125</v>
      </c>
      <c r="S671" s="56">
        <f t="shared" si="136"/>
        <v>-25</v>
      </c>
      <c r="T671" s="56">
        <f t="shared" si="137"/>
        <v>625</v>
      </c>
      <c r="U671" s="56">
        <f t="shared" si="138"/>
        <v>25</v>
      </c>
      <c r="V671" s="56">
        <f t="shared" si="139"/>
        <v>1.414973347970818</v>
      </c>
      <c r="W671" s="33">
        <f t="shared" si="140"/>
        <v>-2.1739130434782608</v>
      </c>
      <c r="X671" s="143">
        <f t="shared" si="141"/>
        <v>2.1739130434782608</v>
      </c>
    </row>
    <row r="672" spans="1:24" ht="15" x14ac:dyDescent="0.2">
      <c r="A672" s="28" t="s">
        <v>734</v>
      </c>
      <c r="B672" s="224" t="s">
        <v>516</v>
      </c>
      <c r="C672" s="35" t="s">
        <v>403</v>
      </c>
      <c r="D672" s="35" t="s">
        <v>82</v>
      </c>
      <c r="E672" s="35" t="s">
        <v>661</v>
      </c>
      <c r="F672" s="35" t="s">
        <v>203</v>
      </c>
      <c r="G672" s="35" t="s">
        <v>627</v>
      </c>
      <c r="H672" s="35" t="s">
        <v>581</v>
      </c>
      <c r="I672" s="141">
        <v>5600</v>
      </c>
      <c r="J672" s="34">
        <v>5172.173913043478</v>
      </c>
      <c r="K672" s="34">
        <f t="shared" si="130"/>
        <v>-427.82608695652198</v>
      </c>
      <c r="L672" s="56">
        <f t="shared" si="131"/>
        <v>183035.16068052952</v>
      </c>
      <c r="M672" s="56">
        <f t="shared" si="132"/>
        <v>427.82608695652198</v>
      </c>
      <c r="N672" s="56">
        <f t="shared" si="133"/>
        <v>2.6322811971060207</v>
      </c>
      <c r="O672" s="56">
        <f t="shared" si="142"/>
        <v>-2.6322811971060207</v>
      </c>
      <c r="P672" s="143">
        <f t="shared" si="134"/>
        <v>-7.639751552795035</v>
      </c>
      <c r="Q672" s="143">
        <f t="shared" si="135"/>
        <v>7.639751552795035</v>
      </c>
      <c r="R672" s="34">
        <v>5189.166666666667</v>
      </c>
      <c r="S672" s="56">
        <f t="shared" si="136"/>
        <v>-410.83333333333303</v>
      </c>
      <c r="T672" s="56">
        <f t="shared" si="137"/>
        <v>168784.02777777752</v>
      </c>
      <c r="U672" s="56">
        <f t="shared" si="138"/>
        <v>410.83333333333303</v>
      </c>
      <c r="V672" s="56">
        <f t="shared" si="139"/>
        <v>2.6147214950184354</v>
      </c>
      <c r="W672" s="33">
        <f t="shared" si="140"/>
        <v>-7.3363095238095175</v>
      </c>
      <c r="X672" s="143">
        <f t="shared" si="141"/>
        <v>7.3363095238095175</v>
      </c>
    </row>
    <row r="673" spans="1:24" ht="15" x14ac:dyDescent="0.2">
      <c r="A673" s="206" t="s">
        <v>460</v>
      </c>
      <c r="B673" s="224" t="s">
        <v>516</v>
      </c>
      <c r="C673" s="35" t="s">
        <v>403</v>
      </c>
      <c r="D673" s="35" t="s">
        <v>82</v>
      </c>
      <c r="E673" s="35" t="s">
        <v>661</v>
      </c>
      <c r="F673" s="35" t="s">
        <v>203</v>
      </c>
      <c r="G673" s="35" t="s">
        <v>627</v>
      </c>
      <c r="H673" s="35" t="s">
        <v>581</v>
      </c>
      <c r="I673" s="141">
        <v>4340</v>
      </c>
      <c r="J673" s="34">
        <v>3821.7391304347825</v>
      </c>
      <c r="K673" s="34">
        <f t="shared" si="130"/>
        <v>-518.26086956521749</v>
      </c>
      <c r="L673" s="56">
        <f t="shared" si="131"/>
        <v>268594.32892249536</v>
      </c>
      <c r="M673" s="56">
        <f t="shared" si="132"/>
        <v>518.26086956521749</v>
      </c>
      <c r="N673" s="56">
        <f t="shared" si="133"/>
        <v>2.7153855962861675</v>
      </c>
      <c r="O673" s="56">
        <f t="shared" si="142"/>
        <v>-2.7153855962861675</v>
      </c>
      <c r="P673" s="143">
        <f t="shared" si="134"/>
        <v>-11.9414946904428</v>
      </c>
      <c r="Q673" s="143">
        <f t="shared" si="135"/>
        <v>11.9414946904428</v>
      </c>
      <c r="R673" s="34">
        <v>3804.166666666667</v>
      </c>
      <c r="S673" s="56">
        <f t="shared" si="136"/>
        <v>-535.83333333333303</v>
      </c>
      <c r="T673" s="56">
        <f t="shared" si="137"/>
        <v>287117.36111111077</v>
      </c>
      <c r="U673" s="56">
        <f t="shared" si="138"/>
        <v>535.83333333333303</v>
      </c>
      <c r="V673" s="56">
        <f t="shared" si="139"/>
        <v>2.7298394744360475</v>
      </c>
      <c r="W673" s="33">
        <f t="shared" si="140"/>
        <v>-12.346390168970807</v>
      </c>
      <c r="X673" s="143">
        <f t="shared" si="141"/>
        <v>12.346390168970807</v>
      </c>
    </row>
    <row r="674" spans="1:24" ht="15" x14ac:dyDescent="0.2">
      <c r="A674" s="28" t="s">
        <v>327</v>
      </c>
      <c r="B674" s="224" t="s">
        <v>516</v>
      </c>
      <c r="C674" s="208" t="s">
        <v>403</v>
      </c>
      <c r="D674" s="35" t="s">
        <v>82</v>
      </c>
      <c r="E674" s="35" t="s">
        <v>661</v>
      </c>
      <c r="F674" s="35" t="s">
        <v>374</v>
      </c>
      <c r="G674" s="35" t="s">
        <v>626</v>
      </c>
      <c r="H674" s="35" t="s">
        <v>580</v>
      </c>
      <c r="I674" s="141">
        <v>1217.5999999999999</v>
      </c>
      <c r="J674" s="34">
        <v>1209.5652173913043</v>
      </c>
      <c r="K674" s="34">
        <f t="shared" si="130"/>
        <v>-8.0347826086956502</v>
      </c>
      <c r="L674" s="56">
        <f t="shared" si="131"/>
        <v>64.557731568998079</v>
      </c>
      <c r="M674" s="56">
        <f t="shared" si="132"/>
        <v>8.0347826086956502</v>
      </c>
      <c r="N674" s="56">
        <f t="shared" si="133"/>
        <v>0.95591770720356561</v>
      </c>
      <c r="O674" s="56">
        <f t="shared" si="142"/>
        <v>-0.95591770720356561</v>
      </c>
      <c r="P674" s="143">
        <f t="shared" si="134"/>
        <v>-0.65988687653545097</v>
      </c>
      <c r="Q674" s="143">
        <f t="shared" si="135"/>
        <v>0.65988687653545097</v>
      </c>
      <c r="R674" s="34">
        <v>1223.75</v>
      </c>
      <c r="S674" s="56">
        <f t="shared" si="136"/>
        <v>6.1500000000000909</v>
      </c>
      <c r="T674" s="56">
        <f t="shared" si="137"/>
        <v>37.822500000001121</v>
      </c>
      <c r="U674" s="56">
        <f t="shared" si="138"/>
        <v>6.1500000000000909</v>
      </c>
      <c r="V674" s="56">
        <f t="shared" si="139"/>
        <v>0.85430604180108616</v>
      </c>
      <c r="W674" s="33">
        <f t="shared" si="140"/>
        <v>0.5050919842312821</v>
      </c>
      <c r="X674" s="143">
        <f t="shared" si="141"/>
        <v>0.5050919842312821</v>
      </c>
    </row>
    <row r="675" spans="1:24" ht="15" x14ac:dyDescent="0.2">
      <c r="A675" s="28" t="s">
        <v>597</v>
      </c>
      <c r="B675" s="224" t="s">
        <v>516</v>
      </c>
      <c r="C675" s="208" t="s">
        <v>403</v>
      </c>
      <c r="D675" s="35" t="s">
        <v>82</v>
      </c>
      <c r="E675" s="35" t="s">
        <v>661</v>
      </c>
      <c r="F675" s="35" t="s">
        <v>203</v>
      </c>
      <c r="G675" s="35" t="s">
        <v>627</v>
      </c>
      <c r="H675" s="35" t="s">
        <v>581</v>
      </c>
      <c r="I675" s="141">
        <v>5241.7</v>
      </c>
      <c r="J675" s="34">
        <v>4939.1304347826081</v>
      </c>
      <c r="K675" s="34">
        <f t="shared" si="130"/>
        <v>-302.56956521739176</v>
      </c>
      <c r="L675" s="56">
        <f t="shared" si="131"/>
        <v>91548.341795841479</v>
      </c>
      <c r="M675" s="56">
        <f t="shared" si="132"/>
        <v>302.56956521739176</v>
      </c>
      <c r="N675" s="56">
        <f t="shared" si="133"/>
        <v>2.4822582286177122</v>
      </c>
      <c r="O675" s="56">
        <f t="shared" si="142"/>
        <v>-2.4822582286177122</v>
      </c>
      <c r="P675" s="143">
        <f t="shared" si="134"/>
        <v>-5.7723556330463737</v>
      </c>
      <c r="Q675" s="143">
        <f t="shared" si="135"/>
        <v>5.7723556330463737</v>
      </c>
      <c r="R675" s="34">
        <v>4983.3333333333339</v>
      </c>
      <c r="S675" s="56">
        <f t="shared" si="136"/>
        <v>-258.36666666666588</v>
      </c>
      <c r="T675" s="56">
        <f t="shared" si="137"/>
        <v>66753.33444444403</v>
      </c>
      <c r="U675" s="56">
        <f t="shared" si="138"/>
        <v>258.36666666666588</v>
      </c>
      <c r="V675" s="56">
        <f t="shared" si="139"/>
        <v>2.4139141605956471</v>
      </c>
      <c r="W675" s="33">
        <f t="shared" si="140"/>
        <v>-4.9290624542928034</v>
      </c>
      <c r="X675" s="143">
        <f t="shared" si="141"/>
        <v>4.9290624542928034</v>
      </c>
    </row>
    <row r="676" spans="1:24" ht="15" x14ac:dyDescent="0.2">
      <c r="A676" s="28" t="s">
        <v>360</v>
      </c>
      <c r="B676" s="224" t="s">
        <v>516</v>
      </c>
      <c r="C676" s="208" t="s">
        <v>403</v>
      </c>
      <c r="D676" s="35" t="s">
        <v>82</v>
      </c>
      <c r="E676" s="35" t="s">
        <v>661</v>
      </c>
      <c r="F676" s="35" t="s">
        <v>494</v>
      </c>
      <c r="G676" s="35" t="s">
        <v>626</v>
      </c>
      <c r="H676" s="35" t="s">
        <v>580</v>
      </c>
      <c r="I676" s="141">
        <v>906.8</v>
      </c>
      <c r="J676" s="34">
        <v>1095.6521739130435</v>
      </c>
      <c r="K676" s="34">
        <f t="shared" si="130"/>
        <v>188.85217391304354</v>
      </c>
      <c r="L676" s="56">
        <f t="shared" si="131"/>
        <v>35665.143591682441</v>
      </c>
      <c r="M676" s="56">
        <f t="shared" si="132"/>
        <v>188.85217391304354</v>
      </c>
      <c r="N676" s="56">
        <f t="shared" si="133"/>
        <v>2.2784155744177892</v>
      </c>
      <c r="O676" s="56">
        <f t="shared" si="142"/>
        <v>2.2784155744177892</v>
      </c>
      <c r="P676" s="143">
        <f t="shared" si="134"/>
        <v>20.826221207878646</v>
      </c>
      <c r="Q676" s="143">
        <f t="shared" si="135"/>
        <v>20.826221207878646</v>
      </c>
      <c r="R676" s="34">
        <v>1083.4583333333333</v>
      </c>
      <c r="S676" s="56">
        <f t="shared" si="136"/>
        <v>176.6583333333333</v>
      </c>
      <c r="T676" s="56">
        <f t="shared" si="137"/>
        <v>31208.166736111099</v>
      </c>
      <c r="U676" s="56">
        <f t="shared" si="138"/>
        <v>176.6583333333333</v>
      </c>
      <c r="V676" s="56">
        <f t="shared" si="139"/>
        <v>2.2495855835439</v>
      </c>
      <c r="W676" s="33">
        <f t="shared" si="140"/>
        <v>19.481510072048223</v>
      </c>
      <c r="X676" s="143">
        <f t="shared" si="141"/>
        <v>19.481510072048223</v>
      </c>
    </row>
    <row r="677" spans="1:24" ht="15" x14ac:dyDescent="0.2">
      <c r="A677" s="28" t="s">
        <v>136</v>
      </c>
      <c r="B677" s="224" t="s">
        <v>516</v>
      </c>
      <c r="C677" s="208" t="s">
        <v>403</v>
      </c>
      <c r="D677" s="35" t="s">
        <v>96</v>
      </c>
      <c r="E677" s="35" t="s">
        <v>661</v>
      </c>
      <c r="F677" s="35" t="s">
        <v>374</v>
      </c>
      <c r="G677" s="35" t="s">
        <v>627</v>
      </c>
      <c r="H677" s="35" t="s">
        <v>580</v>
      </c>
      <c r="I677" s="141">
        <v>2365.6</v>
      </c>
      <c r="J677" s="34">
        <v>2142.782608695652</v>
      </c>
      <c r="K677" s="34">
        <f t="shared" si="130"/>
        <v>-222.81739130434789</v>
      </c>
      <c r="L677" s="56">
        <f t="shared" si="131"/>
        <v>49647.589867674891</v>
      </c>
      <c r="M677" s="56">
        <f t="shared" si="132"/>
        <v>222.81739130434789</v>
      </c>
      <c r="N677" s="56">
        <f t="shared" si="133"/>
        <v>2.3498938295295075</v>
      </c>
      <c r="O677" s="56">
        <f t="shared" si="142"/>
        <v>-2.3498938295295075</v>
      </c>
      <c r="P677" s="143">
        <f t="shared" si="134"/>
        <v>-9.4190645630853869</v>
      </c>
      <c r="Q677" s="143">
        <f t="shared" si="135"/>
        <v>9.4190645630853869</v>
      </c>
      <c r="R677" s="34">
        <v>2188.3333333333335</v>
      </c>
      <c r="S677" s="56">
        <f t="shared" si="136"/>
        <v>-177.26666666666642</v>
      </c>
      <c r="T677" s="56">
        <f t="shared" si="137"/>
        <v>31423.471111111026</v>
      </c>
      <c r="U677" s="56">
        <f t="shared" si="138"/>
        <v>177.26666666666642</v>
      </c>
      <c r="V677" s="56">
        <f t="shared" si="139"/>
        <v>2.2510701438702836</v>
      </c>
      <c r="W677" s="33">
        <f t="shared" si="140"/>
        <v>-7.4935182053883338</v>
      </c>
      <c r="X677" s="143">
        <f t="shared" si="141"/>
        <v>7.4935182053883338</v>
      </c>
    </row>
    <row r="678" spans="1:24" ht="15" x14ac:dyDescent="0.2">
      <c r="A678" s="28" t="s">
        <v>157</v>
      </c>
      <c r="B678" s="224" t="s">
        <v>516</v>
      </c>
      <c r="C678" s="208" t="s">
        <v>403</v>
      </c>
      <c r="D678" s="35" t="s">
        <v>82</v>
      </c>
      <c r="E678" s="35" t="s">
        <v>661</v>
      </c>
      <c r="F678" s="35" t="s">
        <v>203</v>
      </c>
      <c r="G678" s="35" t="s">
        <v>627</v>
      </c>
      <c r="H678" s="35" t="s">
        <v>581</v>
      </c>
      <c r="I678" s="141">
        <v>6408.96</v>
      </c>
      <c r="J678" s="34">
        <v>5940.4347826086951</v>
      </c>
      <c r="K678" s="34">
        <f t="shared" si="130"/>
        <v>-468.52521739130498</v>
      </c>
      <c r="L678" s="56">
        <f t="shared" si="131"/>
        <v>219515.87933156959</v>
      </c>
      <c r="M678" s="56">
        <f t="shared" si="132"/>
        <v>468.52521739130498</v>
      </c>
      <c r="N678" s="56">
        <f t="shared" si="133"/>
        <v>2.6716589224376697</v>
      </c>
      <c r="O678" s="56">
        <f t="shared" si="142"/>
        <v>-2.6716589224376697</v>
      </c>
      <c r="P678" s="143">
        <f t="shared" si="134"/>
        <v>-7.3104718611335535</v>
      </c>
      <c r="Q678" s="143">
        <f t="shared" si="135"/>
        <v>7.3104718611335535</v>
      </c>
      <c r="R678" s="34">
        <v>5868.75</v>
      </c>
      <c r="S678" s="56">
        <f t="shared" si="136"/>
        <v>-540.21</v>
      </c>
      <c r="T678" s="56">
        <f t="shared" si="137"/>
        <v>291826.84410000005</v>
      </c>
      <c r="U678" s="56">
        <f t="shared" si="138"/>
        <v>540.21</v>
      </c>
      <c r="V678" s="56">
        <f t="shared" si="139"/>
        <v>2.7333658125092812</v>
      </c>
      <c r="W678" s="33">
        <f t="shared" si="140"/>
        <v>-8.4289806770521274</v>
      </c>
      <c r="X678" s="143">
        <f t="shared" si="141"/>
        <v>8.4289806770521274</v>
      </c>
    </row>
    <row r="679" spans="1:24" ht="15" x14ac:dyDescent="0.2">
      <c r="A679" s="28" t="s">
        <v>322</v>
      </c>
      <c r="B679" s="224" t="s">
        <v>516</v>
      </c>
      <c r="C679" s="208" t="s">
        <v>403</v>
      </c>
      <c r="D679" s="35" t="s">
        <v>96</v>
      </c>
      <c r="E679" s="35" t="s">
        <v>661</v>
      </c>
      <c r="F679" s="35" t="s">
        <v>374</v>
      </c>
      <c r="G679" s="35" t="s">
        <v>627</v>
      </c>
      <c r="H679" s="35" t="s">
        <v>580</v>
      </c>
      <c r="I679" s="141">
        <f>337.19+626.59+495.45+752.43</f>
        <v>2211.66</v>
      </c>
      <c r="J679" s="34">
        <v>2480.4347826086955</v>
      </c>
      <c r="K679" s="34">
        <f t="shared" si="130"/>
        <v>268.77478260869566</v>
      </c>
      <c r="L679" s="56">
        <f t="shared" si="131"/>
        <v>72239.883766351617</v>
      </c>
      <c r="M679" s="56">
        <f t="shared" si="132"/>
        <v>268.77478260869566</v>
      </c>
      <c r="N679" s="56">
        <f t="shared" si="133"/>
        <v>2.4310013512449364</v>
      </c>
      <c r="O679" s="56">
        <f t="shared" si="142"/>
        <v>2.4310013512449364</v>
      </c>
      <c r="P679" s="143">
        <f t="shared" si="134"/>
        <v>12.152626651867633</v>
      </c>
      <c r="Q679" s="143">
        <f t="shared" si="135"/>
        <v>12.152626651867633</v>
      </c>
      <c r="R679" s="34">
        <v>2494.541666666667</v>
      </c>
      <c r="S679" s="56">
        <f t="shared" si="136"/>
        <v>282.88166666666712</v>
      </c>
      <c r="T679" s="56">
        <f t="shared" si="137"/>
        <v>80022.03733611136</v>
      </c>
      <c r="U679" s="56">
        <f t="shared" si="138"/>
        <v>282.88166666666712</v>
      </c>
      <c r="V679" s="56">
        <f t="shared" si="139"/>
        <v>2.4531373463032629</v>
      </c>
      <c r="W679" s="33">
        <f t="shared" si="140"/>
        <v>12.790468094854866</v>
      </c>
      <c r="X679" s="143">
        <f t="shared" si="141"/>
        <v>12.790468094854866</v>
      </c>
    </row>
    <row r="680" spans="1:24" ht="15" x14ac:dyDescent="0.2">
      <c r="A680" s="28" t="s">
        <v>152</v>
      </c>
      <c r="B680" s="224" t="s">
        <v>516</v>
      </c>
      <c r="C680" s="208" t="s">
        <v>403</v>
      </c>
      <c r="D680" s="35" t="s">
        <v>82</v>
      </c>
      <c r="E680" s="35" t="s">
        <v>661</v>
      </c>
      <c r="F680" s="35" t="s">
        <v>203</v>
      </c>
      <c r="G680" s="35" t="s">
        <v>627</v>
      </c>
      <c r="H680" s="35" t="s">
        <v>581</v>
      </c>
      <c r="I680" s="141">
        <v>5810</v>
      </c>
      <c r="J680" s="34">
        <v>6178.6956521739121</v>
      </c>
      <c r="K680" s="34">
        <f t="shared" si="130"/>
        <v>368.69565217391209</v>
      </c>
      <c r="L680" s="56">
        <f t="shared" si="131"/>
        <v>135936.48393194636</v>
      </c>
      <c r="M680" s="56">
        <f t="shared" si="132"/>
        <v>368.69565217391209</v>
      </c>
      <c r="N680" s="56">
        <f t="shared" si="133"/>
        <v>2.5678443430589559</v>
      </c>
      <c r="O680" s="56">
        <f t="shared" si="142"/>
        <v>2.5678443430589559</v>
      </c>
      <c r="P680" s="143">
        <f t="shared" si="134"/>
        <v>6.3458804160742188</v>
      </c>
      <c r="Q680" s="143">
        <f t="shared" si="135"/>
        <v>6.3458804160742188</v>
      </c>
      <c r="R680" s="34">
        <v>6327.5</v>
      </c>
      <c r="S680" s="56">
        <f t="shared" si="136"/>
        <v>517.5</v>
      </c>
      <c r="T680" s="56">
        <f t="shared" si="137"/>
        <v>267806.25</v>
      </c>
      <c r="U680" s="56">
        <f t="shared" si="138"/>
        <v>517.5</v>
      </c>
      <c r="V680" s="56">
        <f t="shared" si="139"/>
        <v>2.7147487607250596</v>
      </c>
      <c r="W680" s="33">
        <f t="shared" si="140"/>
        <v>8.9070567986230635</v>
      </c>
      <c r="X680" s="143">
        <f t="shared" si="141"/>
        <v>8.9070567986230635</v>
      </c>
    </row>
    <row r="681" spans="1:24" ht="15" x14ac:dyDescent="0.2">
      <c r="A681" s="28" t="s">
        <v>345</v>
      </c>
      <c r="B681" s="224" t="s">
        <v>516</v>
      </c>
      <c r="C681" s="208" t="s">
        <v>403</v>
      </c>
      <c r="D681" s="35" t="s">
        <v>82</v>
      </c>
      <c r="E681" s="35" t="s">
        <v>661</v>
      </c>
      <c r="F681" s="35" t="s">
        <v>374</v>
      </c>
      <c r="G681" s="35" t="s">
        <v>626</v>
      </c>
      <c r="H681" s="35" t="s">
        <v>580</v>
      </c>
      <c r="I681" s="141">
        <v>1499</v>
      </c>
      <c r="J681" s="34">
        <v>1582.6086956521738</v>
      </c>
      <c r="K681" s="34">
        <f t="shared" si="130"/>
        <v>83.608695652173765</v>
      </c>
      <c r="L681" s="56">
        <f t="shared" si="131"/>
        <v>6990.4139886578205</v>
      </c>
      <c r="M681" s="56">
        <f t="shared" si="132"/>
        <v>83.608695652173765</v>
      </c>
      <c r="N681" s="56">
        <f t="shared" si="133"/>
        <v>1.9274149999147394</v>
      </c>
      <c r="O681" s="56">
        <f t="shared" si="142"/>
        <v>1.9274149999147394</v>
      </c>
      <c r="P681" s="143">
        <f t="shared" si="134"/>
        <v>5.577631464454555</v>
      </c>
      <c r="Q681" s="143">
        <f t="shared" si="135"/>
        <v>5.577631464454555</v>
      </c>
      <c r="R681" s="34">
        <v>1591.6666666666667</v>
      </c>
      <c r="S681" s="56">
        <f t="shared" si="136"/>
        <v>92.666666666666742</v>
      </c>
      <c r="T681" s="56">
        <f t="shared" si="137"/>
        <v>8587.1111111111259</v>
      </c>
      <c r="U681" s="56">
        <f t="shared" si="138"/>
        <v>92.666666666666742</v>
      </c>
      <c r="V681" s="56">
        <f t="shared" si="139"/>
        <v>1.9715850651854179</v>
      </c>
      <c r="W681" s="33">
        <f t="shared" si="140"/>
        <v>6.1818990438069878</v>
      </c>
      <c r="X681" s="143">
        <f t="shared" si="141"/>
        <v>6.1818990438069878</v>
      </c>
    </row>
    <row r="682" spans="1:24" ht="15" x14ac:dyDescent="0.2">
      <c r="A682" s="218" t="s">
        <v>344</v>
      </c>
      <c r="B682" s="224" t="s">
        <v>516</v>
      </c>
      <c r="C682" s="208" t="s">
        <v>403</v>
      </c>
      <c r="D682" s="35" t="s">
        <v>82</v>
      </c>
      <c r="E682" s="35" t="s">
        <v>661</v>
      </c>
      <c r="F682" s="35" t="s">
        <v>374</v>
      </c>
      <c r="G682" s="35" t="s">
        <v>626</v>
      </c>
      <c r="H682" s="35" t="s">
        <v>580</v>
      </c>
      <c r="I682" s="141">
        <v>1427.7</v>
      </c>
      <c r="J682" s="34">
        <v>1395.0434782608695</v>
      </c>
      <c r="K682" s="34">
        <f t="shared" si="130"/>
        <v>-32.65652173913054</v>
      </c>
      <c r="L682" s="56">
        <f t="shared" si="131"/>
        <v>1066.4484120983054</v>
      </c>
      <c r="M682" s="56">
        <f t="shared" si="132"/>
        <v>32.65652173913054</v>
      </c>
      <c r="N682" s="56">
        <f t="shared" si="133"/>
        <v>1.5270692314390892</v>
      </c>
      <c r="O682" s="56">
        <f t="shared" si="142"/>
        <v>-1.5270692314390892</v>
      </c>
      <c r="P682" s="143">
        <f t="shared" si="134"/>
        <v>-2.2873518063410057</v>
      </c>
      <c r="Q682" s="143">
        <f t="shared" si="135"/>
        <v>2.2873518063410057</v>
      </c>
      <c r="R682" s="34">
        <v>1402.0833333333335</v>
      </c>
      <c r="S682" s="56">
        <f t="shared" si="136"/>
        <v>-25.616666666666561</v>
      </c>
      <c r="T682" s="56">
        <f t="shared" si="137"/>
        <v>656.21361111110571</v>
      </c>
      <c r="U682" s="56">
        <f t="shared" si="138"/>
        <v>25.616666666666561</v>
      </c>
      <c r="V682" s="56">
        <f t="shared" si="139"/>
        <v>1.4251536657548376</v>
      </c>
      <c r="W682" s="33">
        <f t="shared" si="140"/>
        <v>-1.7942611659779057</v>
      </c>
      <c r="X682" s="143">
        <f t="shared" si="141"/>
        <v>1.7942611659779057</v>
      </c>
    </row>
    <row r="683" spans="1:24" ht="15" x14ac:dyDescent="0.2">
      <c r="A683" s="28" t="s">
        <v>306</v>
      </c>
      <c r="B683" s="224" t="s">
        <v>516</v>
      </c>
      <c r="C683" s="208" t="s">
        <v>403</v>
      </c>
      <c r="D683" s="35" t="s">
        <v>148</v>
      </c>
      <c r="E683" s="35" t="s">
        <v>661</v>
      </c>
      <c r="F683" s="35" t="s">
        <v>494</v>
      </c>
      <c r="G683" s="35" t="s">
        <v>626</v>
      </c>
      <c r="H683" s="35" t="s">
        <v>580</v>
      </c>
      <c r="I683" s="141">
        <v>1098.0999999999999</v>
      </c>
      <c r="J683" s="34">
        <v>1303.1739130434783</v>
      </c>
      <c r="K683" s="34">
        <f t="shared" si="130"/>
        <v>205.07391304347834</v>
      </c>
      <c r="L683" s="56">
        <f t="shared" si="131"/>
        <v>42055.309810964114</v>
      </c>
      <c r="M683" s="56">
        <f t="shared" si="132"/>
        <v>205.07391304347834</v>
      </c>
      <c r="N683" s="56">
        <f t="shared" si="133"/>
        <v>2.3140230177940886</v>
      </c>
      <c r="O683" s="56">
        <f t="shared" si="142"/>
        <v>2.3140230177940886</v>
      </c>
      <c r="P683" s="143">
        <f t="shared" si="134"/>
        <v>18.675340410115506</v>
      </c>
      <c r="Q683" s="143">
        <f t="shared" si="135"/>
        <v>18.675340410115506</v>
      </c>
      <c r="R683" s="34">
        <v>1302.1666666666667</v>
      </c>
      <c r="S683" s="56">
        <f t="shared" si="136"/>
        <v>204.06666666666683</v>
      </c>
      <c r="T683" s="56">
        <f t="shared" si="137"/>
        <v>41643.204444444513</v>
      </c>
      <c r="U683" s="56">
        <f t="shared" si="138"/>
        <v>204.06666666666683</v>
      </c>
      <c r="V683" s="56">
        <f t="shared" si="139"/>
        <v>2.3118950720737126</v>
      </c>
      <c r="W683" s="33">
        <f t="shared" si="140"/>
        <v>18.583614121361155</v>
      </c>
      <c r="X683" s="143">
        <f t="shared" si="141"/>
        <v>18.583614121361155</v>
      </c>
    </row>
    <row r="684" spans="1:24" ht="15" x14ac:dyDescent="0.2">
      <c r="A684" s="28" t="s">
        <v>75</v>
      </c>
      <c r="B684" s="224" t="s">
        <v>516</v>
      </c>
      <c r="C684" s="208" t="s">
        <v>403</v>
      </c>
      <c r="D684" s="35" t="s">
        <v>82</v>
      </c>
      <c r="E684" s="35" t="s">
        <v>661</v>
      </c>
      <c r="F684" s="35" t="s">
        <v>374</v>
      </c>
      <c r="G684" s="35" t="s">
        <v>627</v>
      </c>
      <c r="H684" s="35" t="s">
        <v>580</v>
      </c>
      <c r="I684" s="141">
        <v>2106.6</v>
      </c>
      <c r="J684" s="34">
        <v>1799.0434782608693</v>
      </c>
      <c r="K684" s="34">
        <f t="shared" si="130"/>
        <v>-307.55652173913063</v>
      </c>
      <c r="L684" s="56">
        <f t="shared" si="131"/>
        <v>94591.014064272327</v>
      </c>
      <c r="M684" s="56">
        <f t="shared" si="132"/>
        <v>307.55652173913063</v>
      </c>
      <c r="N684" s="56">
        <f t="shared" si="133"/>
        <v>2.489334730220131</v>
      </c>
      <c r="O684" s="56">
        <f t="shared" si="142"/>
        <v>-2.489334730220131</v>
      </c>
      <c r="P684" s="143">
        <f t="shared" si="134"/>
        <v>-14.599663995971264</v>
      </c>
      <c r="Q684" s="143">
        <f t="shared" si="135"/>
        <v>14.599663995971264</v>
      </c>
      <c r="R684" s="34">
        <v>1783.7916666666667</v>
      </c>
      <c r="S684" s="56">
        <f t="shared" si="136"/>
        <v>-322.80833333333317</v>
      </c>
      <c r="T684" s="56">
        <f t="shared" si="137"/>
        <v>104205.22006944433</v>
      </c>
      <c r="U684" s="56">
        <f t="shared" si="138"/>
        <v>322.80833333333317</v>
      </c>
      <c r="V684" s="56">
        <f t="shared" si="139"/>
        <v>2.5102880212984924</v>
      </c>
      <c r="W684" s="33">
        <f t="shared" si="140"/>
        <v>-15.323665305864102</v>
      </c>
      <c r="X684" s="143">
        <f t="shared" si="141"/>
        <v>15.323665305864102</v>
      </c>
    </row>
    <row r="685" spans="1:24" ht="15" x14ac:dyDescent="0.2">
      <c r="A685" s="28" t="s">
        <v>301</v>
      </c>
      <c r="B685" s="224" t="s">
        <v>516</v>
      </c>
      <c r="C685" s="208" t="s">
        <v>403</v>
      </c>
      <c r="D685" s="35" t="s">
        <v>82</v>
      </c>
      <c r="E685" s="35" t="s">
        <v>661</v>
      </c>
      <c r="F685" s="35" t="s">
        <v>374</v>
      </c>
      <c r="G685" s="35" t="s">
        <v>626</v>
      </c>
      <c r="H685" s="35" t="s">
        <v>580</v>
      </c>
      <c r="I685" s="141">
        <v>1300</v>
      </c>
      <c r="J685" s="34">
        <v>1239.1304347826087</v>
      </c>
      <c r="K685" s="34">
        <f t="shared" si="130"/>
        <v>-60.869565217391255</v>
      </c>
      <c r="L685" s="56">
        <f t="shared" si="131"/>
        <v>3705.1039697542474</v>
      </c>
      <c r="M685" s="56">
        <f t="shared" si="132"/>
        <v>60.869565217391255</v>
      </c>
      <c r="N685" s="56">
        <f t="shared" si="133"/>
        <v>1.791477064066691</v>
      </c>
      <c r="O685" s="56">
        <f t="shared" si="142"/>
        <v>-1.791477064066691</v>
      </c>
      <c r="P685" s="143">
        <f t="shared" si="134"/>
        <v>-4.6822742474916348</v>
      </c>
      <c r="Q685" s="143">
        <f t="shared" si="135"/>
        <v>4.6822742474916348</v>
      </c>
      <c r="R685" s="34">
        <v>1250</v>
      </c>
      <c r="S685" s="56">
        <f t="shared" si="136"/>
        <v>-50</v>
      </c>
      <c r="T685" s="56">
        <f t="shared" si="137"/>
        <v>2500</v>
      </c>
      <c r="U685" s="56">
        <f t="shared" si="138"/>
        <v>50</v>
      </c>
      <c r="V685" s="56">
        <f t="shared" si="139"/>
        <v>1.7075701760979363</v>
      </c>
      <c r="W685" s="33">
        <f t="shared" si="140"/>
        <v>-3.8461538461538463</v>
      </c>
      <c r="X685" s="143">
        <f t="shared" si="141"/>
        <v>3.8461538461538463</v>
      </c>
    </row>
    <row r="686" spans="1:24" ht="15" x14ac:dyDescent="0.2">
      <c r="A686" s="28" t="s">
        <v>664</v>
      </c>
      <c r="B686" s="224" t="s">
        <v>516</v>
      </c>
      <c r="C686" s="208" t="s">
        <v>403</v>
      </c>
      <c r="D686" s="35" t="s">
        <v>82</v>
      </c>
      <c r="E686" s="35" t="s">
        <v>661</v>
      </c>
      <c r="F686" s="35" t="s">
        <v>374</v>
      </c>
      <c r="G686" s="35" t="s">
        <v>627</v>
      </c>
      <c r="H686" s="35" t="s">
        <v>580</v>
      </c>
      <c r="I686" s="141">
        <v>1730.8</v>
      </c>
      <c r="J686" s="34">
        <v>1599.7391304347825</v>
      </c>
      <c r="K686" s="34">
        <f t="shared" si="130"/>
        <v>-131.06086956521744</v>
      </c>
      <c r="L686" s="56">
        <f t="shared" si="131"/>
        <v>17176.951531190942</v>
      </c>
      <c r="M686" s="56">
        <f t="shared" si="132"/>
        <v>131.06086956521744</v>
      </c>
      <c r="N686" s="56">
        <f t="shared" si="133"/>
        <v>2.1207741525926957</v>
      </c>
      <c r="O686" s="56">
        <f t="shared" si="142"/>
        <v>-2.1207741525926957</v>
      </c>
      <c r="P686" s="143">
        <f t="shared" si="134"/>
        <v>-7.57227117894716</v>
      </c>
      <c r="Q686" s="143">
        <f t="shared" si="135"/>
        <v>7.57227117894716</v>
      </c>
      <c r="R686" s="34">
        <v>1659.2500000000002</v>
      </c>
      <c r="S686" s="56">
        <f t="shared" si="136"/>
        <v>-71.549999999999727</v>
      </c>
      <c r="T686" s="56">
        <f t="shared" si="137"/>
        <v>5119.402499999961</v>
      </c>
      <c r="U686" s="56">
        <f t="shared" si="138"/>
        <v>71.549999999999727</v>
      </c>
      <c r="V686" s="56">
        <f t="shared" si="139"/>
        <v>1.8606374167737529</v>
      </c>
      <c r="W686" s="33">
        <f t="shared" si="140"/>
        <v>-4.1339265079731762</v>
      </c>
      <c r="X686" s="143">
        <f t="shared" si="141"/>
        <v>4.1339265079731762</v>
      </c>
    </row>
    <row r="687" spans="1:24" ht="15" x14ac:dyDescent="0.2">
      <c r="A687" s="28" t="s">
        <v>282</v>
      </c>
      <c r="B687" s="224" t="s">
        <v>516</v>
      </c>
      <c r="C687" s="208" t="s">
        <v>403</v>
      </c>
      <c r="D687" s="35" t="s">
        <v>96</v>
      </c>
      <c r="E687" s="35" t="s">
        <v>661</v>
      </c>
      <c r="F687" s="35" t="s">
        <v>494</v>
      </c>
      <c r="G687" s="35" t="s">
        <v>626</v>
      </c>
      <c r="H687" s="35" t="s">
        <v>580</v>
      </c>
      <c r="I687" s="141">
        <v>872.2</v>
      </c>
      <c r="J687" s="34">
        <v>891.30434782608688</v>
      </c>
      <c r="K687" s="34">
        <f t="shared" si="130"/>
        <v>19.104347826086837</v>
      </c>
      <c r="L687" s="56">
        <f t="shared" si="131"/>
        <v>364.97610586010887</v>
      </c>
      <c r="M687" s="56">
        <f t="shared" si="132"/>
        <v>19.104347826086837</v>
      </c>
      <c r="N687" s="56">
        <f t="shared" si="133"/>
        <v>1.3032899893948773</v>
      </c>
      <c r="O687" s="56">
        <f t="shared" si="142"/>
        <v>1.3032899893948773</v>
      </c>
      <c r="P687" s="143">
        <f t="shared" si="134"/>
        <v>2.1903631995054846</v>
      </c>
      <c r="Q687" s="143">
        <f t="shared" si="135"/>
        <v>2.1903631995054846</v>
      </c>
      <c r="R687" s="34">
        <v>891.25</v>
      </c>
      <c r="S687" s="56">
        <f t="shared" si="136"/>
        <v>19.049999999999955</v>
      </c>
      <c r="T687" s="56">
        <f t="shared" si="137"/>
        <v>362.90249999999827</v>
      </c>
      <c r="U687" s="56">
        <f t="shared" si="138"/>
        <v>19.049999999999955</v>
      </c>
      <c r="V687" s="56">
        <f t="shared" si="139"/>
        <v>1.3021143769562</v>
      </c>
      <c r="W687" s="33">
        <f t="shared" si="140"/>
        <v>2.1841320797982062</v>
      </c>
      <c r="X687" s="143">
        <f t="shared" si="141"/>
        <v>2.1841320797982062</v>
      </c>
    </row>
    <row r="688" spans="1:24" ht="15" x14ac:dyDescent="0.2">
      <c r="A688" s="28" t="s">
        <v>600</v>
      </c>
      <c r="B688" s="224" t="s">
        <v>516</v>
      </c>
      <c r="C688" s="208" t="s">
        <v>403</v>
      </c>
      <c r="D688" s="35" t="s">
        <v>82</v>
      </c>
      <c r="E688" s="35" t="s">
        <v>661</v>
      </c>
      <c r="F688" s="35" t="s">
        <v>293</v>
      </c>
      <c r="G688" s="35" t="s">
        <v>627</v>
      </c>
      <c r="H688" s="35" t="s">
        <v>580</v>
      </c>
      <c r="I688" s="141">
        <v>2516.1099999999997</v>
      </c>
      <c r="J688" s="34">
        <v>2849.4347826086955</v>
      </c>
      <c r="K688" s="34">
        <f t="shared" si="130"/>
        <v>333.32478260869584</v>
      </c>
      <c r="L688" s="56">
        <f t="shared" si="131"/>
        <v>111105.41070113434</v>
      </c>
      <c r="M688" s="56">
        <f t="shared" si="132"/>
        <v>333.32478260869584</v>
      </c>
      <c r="N688" s="56">
        <f t="shared" si="133"/>
        <v>2.5241685708829649</v>
      </c>
      <c r="O688" s="56">
        <f t="shared" si="142"/>
        <v>2.5241685708829649</v>
      </c>
      <c r="P688" s="143">
        <f t="shared" si="134"/>
        <v>13.247623617755021</v>
      </c>
      <c r="Q688" s="143">
        <f t="shared" si="135"/>
        <v>13.247623617755021</v>
      </c>
      <c r="R688" s="34">
        <v>2830.625</v>
      </c>
      <c r="S688" s="56">
        <f t="shared" si="136"/>
        <v>314.51500000000033</v>
      </c>
      <c r="T688" s="56">
        <f t="shared" si="137"/>
        <v>98919.685225000212</v>
      </c>
      <c r="U688" s="56">
        <f t="shared" si="138"/>
        <v>314.51500000000033</v>
      </c>
      <c r="V688" s="56">
        <f t="shared" si="139"/>
        <v>2.4990200110044771</v>
      </c>
      <c r="W688" s="33">
        <f t="shared" si="140"/>
        <v>12.500049679862977</v>
      </c>
      <c r="X688" s="143">
        <f t="shared" si="141"/>
        <v>12.500049679862977</v>
      </c>
    </row>
    <row r="689" spans="1:24" ht="15" x14ac:dyDescent="0.2">
      <c r="A689" s="28" t="s">
        <v>289</v>
      </c>
      <c r="B689" s="224" t="s">
        <v>516</v>
      </c>
      <c r="C689" s="208" t="s">
        <v>403</v>
      </c>
      <c r="D689" s="35" t="s">
        <v>148</v>
      </c>
      <c r="E689" s="35" t="s">
        <v>661</v>
      </c>
      <c r="F689" s="35" t="s">
        <v>494</v>
      </c>
      <c r="G689" s="35" t="s">
        <v>626</v>
      </c>
      <c r="H689" s="35" t="s">
        <v>580</v>
      </c>
      <c r="I689" s="141">
        <v>899.05</v>
      </c>
      <c r="J689" s="34">
        <v>955.21739130434776</v>
      </c>
      <c r="K689" s="34">
        <f t="shared" si="130"/>
        <v>56.167391304347802</v>
      </c>
      <c r="L689" s="56">
        <f t="shared" si="131"/>
        <v>3154.7758459357251</v>
      </c>
      <c r="M689" s="56">
        <f t="shared" si="132"/>
        <v>56.167391304347802</v>
      </c>
      <c r="N689" s="56">
        <f t="shared" si="133"/>
        <v>1.7571483746880201</v>
      </c>
      <c r="O689" s="56">
        <f t="shared" si="142"/>
        <v>1.7571483746880201</v>
      </c>
      <c r="P689" s="143">
        <f t="shared" si="134"/>
        <v>6.2474157504418892</v>
      </c>
      <c r="Q689" s="143">
        <f t="shared" si="135"/>
        <v>6.2474157504418892</v>
      </c>
      <c r="R689" s="34">
        <v>951.54166666666674</v>
      </c>
      <c r="S689" s="56">
        <f t="shared" si="136"/>
        <v>52.491666666666788</v>
      </c>
      <c r="T689" s="56">
        <f t="shared" si="137"/>
        <v>2755.375069444457</v>
      </c>
      <c r="U689" s="56">
        <f t="shared" si="138"/>
        <v>52.491666666666788</v>
      </c>
      <c r="V689" s="56">
        <f t="shared" si="139"/>
        <v>1.7282861296366541</v>
      </c>
      <c r="W689" s="33">
        <f t="shared" si="140"/>
        <v>5.8385703427692333</v>
      </c>
      <c r="X689" s="143">
        <f t="shared" si="141"/>
        <v>5.8385703427692333</v>
      </c>
    </row>
    <row r="690" spans="1:24" ht="15" x14ac:dyDescent="0.2">
      <c r="A690" s="28" t="s">
        <v>310</v>
      </c>
      <c r="B690" s="224" t="s">
        <v>516</v>
      </c>
      <c r="C690" s="208" t="s">
        <v>403</v>
      </c>
      <c r="D690" s="35" t="s">
        <v>82</v>
      </c>
      <c r="E690" s="35" t="s">
        <v>661</v>
      </c>
      <c r="F690" s="35" t="s">
        <v>374</v>
      </c>
      <c r="G690" s="35" t="s">
        <v>626</v>
      </c>
      <c r="H690" s="35" t="s">
        <v>580</v>
      </c>
      <c r="I690" s="142">
        <f>489.03+252.1+310.1+413</f>
        <v>1464.23</v>
      </c>
      <c r="J690" s="34">
        <v>1706.086956521739</v>
      </c>
      <c r="K690" s="34">
        <f t="shared" si="130"/>
        <v>241.85695652173899</v>
      </c>
      <c r="L690" s="56">
        <f t="shared" si="131"/>
        <v>58494.787417958345</v>
      </c>
      <c r="M690" s="56">
        <f t="shared" si="132"/>
        <v>241.85695652173899</v>
      </c>
      <c r="N690" s="56">
        <f t="shared" si="133"/>
        <v>2.3853505481456163</v>
      </c>
      <c r="O690" s="56">
        <f t="shared" si="142"/>
        <v>2.3853505481456163</v>
      </c>
      <c r="P690" s="143">
        <f t="shared" si="134"/>
        <v>16.517688923307059</v>
      </c>
      <c r="Q690" s="143">
        <f t="shared" si="135"/>
        <v>16.517688923307059</v>
      </c>
      <c r="R690" s="34">
        <v>1720.8333333333335</v>
      </c>
      <c r="S690" s="56">
        <f t="shared" si="136"/>
        <v>256.60333333333347</v>
      </c>
      <c r="T690" s="56">
        <f t="shared" si="137"/>
        <v>65845.270677777851</v>
      </c>
      <c r="U690" s="56">
        <f t="shared" si="138"/>
        <v>256.60333333333347</v>
      </c>
      <c r="V690" s="56">
        <f t="shared" si="139"/>
        <v>2.4109514784040278</v>
      </c>
      <c r="W690" s="33">
        <f t="shared" si="140"/>
        <v>17.524796878450342</v>
      </c>
      <c r="X690" s="143">
        <f t="shared" si="141"/>
        <v>17.524796878450342</v>
      </c>
    </row>
    <row r="691" spans="1:24" ht="15" x14ac:dyDescent="0.2">
      <c r="A691" s="28" t="s">
        <v>290</v>
      </c>
      <c r="B691" s="224" t="s">
        <v>516</v>
      </c>
      <c r="C691" s="208" t="s">
        <v>403</v>
      </c>
      <c r="D691" s="35" t="s">
        <v>82</v>
      </c>
      <c r="E691" s="35" t="s">
        <v>661</v>
      </c>
      <c r="F691" s="35" t="s">
        <v>374</v>
      </c>
      <c r="G691" s="35" t="s">
        <v>626</v>
      </c>
      <c r="H691" s="35" t="s">
        <v>580</v>
      </c>
      <c r="I691" s="141">
        <v>1369.3</v>
      </c>
      <c r="J691" s="34">
        <v>1388.2608695652175</v>
      </c>
      <c r="K691" s="34">
        <f t="shared" si="130"/>
        <v>18.960869565217536</v>
      </c>
      <c r="L691" s="56">
        <f t="shared" si="131"/>
        <v>359.5145746691926</v>
      </c>
      <c r="M691" s="56">
        <f t="shared" si="132"/>
        <v>18.960869565217536</v>
      </c>
      <c r="N691" s="56">
        <f t="shared" si="133"/>
        <v>1.3001794567484311</v>
      </c>
      <c r="O691" s="56">
        <f t="shared" si="142"/>
        <v>1.3001794567484311</v>
      </c>
      <c r="P691" s="143">
        <f t="shared" si="134"/>
        <v>1.3847125951374817</v>
      </c>
      <c r="Q691" s="143">
        <f t="shared" si="135"/>
        <v>1.3847125951374817</v>
      </c>
      <c r="R691" s="34">
        <v>1375.125</v>
      </c>
      <c r="S691" s="56">
        <f t="shared" si="136"/>
        <v>5.8250000000000455</v>
      </c>
      <c r="T691" s="56">
        <f t="shared" si="137"/>
        <v>33.930625000000532</v>
      </c>
      <c r="U691" s="56">
        <f t="shared" si="138"/>
        <v>5.8250000000000455</v>
      </c>
      <c r="V691" s="56">
        <f t="shared" si="139"/>
        <v>0.83410265571279651</v>
      </c>
      <c r="W691" s="33">
        <f t="shared" si="140"/>
        <v>0.42539983933396958</v>
      </c>
      <c r="X691" s="143">
        <f t="shared" si="141"/>
        <v>0.42539983933396958</v>
      </c>
    </row>
    <row r="692" spans="1:24" ht="15" x14ac:dyDescent="0.2">
      <c r="A692" s="28" t="s">
        <v>365</v>
      </c>
      <c r="B692" s="224" t="s">
        <v>516</v>
      </c>
      <c r="C692" s="208" t="s">
        <v>403</v>
      </c>
      <c r="D692" s="35" t="s">
        <v>148</v>
      </c>
      <c r="E692" s="35" t="s">
        <v>661</v>
      </c>
      <c r="F692" s="35" t="s">
        <v>494</v>
      </c>
      <c r="G692" s="35" t="s">
        <v>626</v>
      </c>
      <c r="H692" s="35" t="s">
        <v>580</v>
      </c>
      <c r="I692" s="141">
        <v>992.24</v>
      </c>
      <c r="J692" s="34">
        <v>978.95652173913038</v>
      </c>
      <c r="K692" s="34">
        <f t="shared" si="130"/>
        <v>-13.283478260869629</v>
      </c>
      <c r="L692" s="56">
        <f t="shared" si="131"/>
        <v>176.45079470699602</v>
      </c>
      <c r="M692" s="56">
        <f t="shared" si="132"/>
        <v>13.283478260869629</v>
      </c>
      <c r="N692" s="56">
        <f t="shared" si="133"/>
        <v>1.1548339781376855</v>
      </c>
      <c r="O692" s="56">
        <f t="shared" si="142"/>
        <v>-1.1548339781376855</v>
      </c>
      <c r="P692" s="143">
        <f t="shared" si="134"/>
        <v>-1.3387364207116856</v>
      </c>
      <c r="Q692" s="143">
        <f t="shared" si="135"/>
        <v>1.3387364207116856</v>
      </c>
      <c r="R692" s="34">
        <v>1007.5416666666667</v>
      </c>
      <c r="S692" s="56">
        <f t="shared" si="136"/>
        <v>15.301666666666733</v>
      </c>
      <c r="T692" s="56">
        <f t="shared" si="137"/>
        <v>234.14100277777982</v>
      </c>
      <c r="U692" s="56">
        <f t="shared" si="138"/>
        <v>15.301666666666733</v>
      </c>
      <c r="V692" s="56">
        <f t="shared" si="139"/>
        <v>1.2122320085225917</v>
      </c>
      <c r="W692" s="33">
        <f t="shared" si="140"/>
        <v>1.5421336235856984</v>
      </c>
      <c r="X692" s="143">
        <f t="shared" si="141"/>
        <v>1.5421336235856984</v>
      </c>
    </row>
    <row r="693" spans="1:24" ht="15" x14ac:dyDescent="0.2">
      <c r="A693" s="28" t="s">
        <v>601</v>
      </c>
      <c r="B693" s="224" t="s">
        <v>516</v>
      </c>
      <c r="C693" s="208" t="s">
        <v>403</v>
      </c>
      <c r="D693" s="35" t="s">
        <v>82</v>
      </c>
      <c r="E693" s="35" t="s">
        <v>661</v>
      </c>
      <c r="F693" s="35" t="s">
        <v>203</v>
      </c>
      <c r="G693" s="35" t="s">
        <v>627</v>
      </c>
      <c r="H693" s="35" t="s">
        <v>581</v>
      </c>
      <c r="I693" s="141">
        <v>5182</v>
      </c>
      <c r="J693" s="34">
        <v>4413.0434782608691</v>
      </c>
      <c r="K693" s="34">
        <f t="shared" si="130"/>
        <v>-768.95652173913095</v>
      </c>
      <c r="L693" s="56">
        <f t="shared" si="131"/>
        <v>591294.13232514262</v>
      </c>
      <c r="M693" s="56">
        <f t="shared" si="132"/>
        <v>768.95652173913095</v>
      </c>
      <c r="N693" s="56">
        <f t="shared" si="133"/>
        <v>2.8864662019232648</v>
      </c>
      <c r="O693" s="56">
        <f t="shared" si="142"/>
        <v>-2.8864662019232648</v>
      </c>
      <c r="P693" s="143">
        <f t="shared" si="134"/>
        <v>-14.838991156679487</v>
      </c>
      <c r="Q693" s="143">
        <f t="shared" si="135"/>
        <v>14.838991156679487</v>
      </c>
      <c r="R693" s="34">
        <v>4441.666666666667</v>
      </c>
      <c r="S693" s="56">
        <f t="shared" si="136"/>
        <v>-740.33333333333303</v>
      </c>
      <c r="T693" s="56">
        <f t="shared" si="137"/>
        <v>548093.44444444403</v>
      </c>
      <c r="U693" s="56">
        <f t="shared" si="138"/>
        <v>740.33333333333303</v>
      </c>
      <c r="V693" s="56">
        <f t="shared" si="139"/>
        <v>2.8700135281903574</v>
      </c>
      <c r="W693" s="33">
        <f t="shared" si="140"/>
        <v>-14.286633217547916</v>
      </c>
      <c r="X693" s="143">
        <f t="shared" si="141"/>
        <v>14.286633217547916</v>
      </c>
    </row>
    <row r="694" spans="1:24" ht="15" x14ac:dyDescent="0.2">
      <c r="A694" s="206" t="s">
        <v>593</v>
      </c>
      <c r="B694" s="224" t="s">
        <v>516</v>
      </c>
      <c r="C694" s="35" t="s">
        <v>403</v>
      </c>
      <c r="D694" s="35" t="s">
        <v>82</v>
      </c>
      <c r="E694" s="35" t="s">
        <v>661</v>
      </c>
      <c r="F694" s="35" t="s">
        <v>374</v>
      </c>
      <c r="G694" s="35" t="s">
        <v>626</v>
      </c>
      <c r="H694" s="35" t="s">
        <v>580</v>
      </c>
      <c r="I694" s="141">
        <v>1284.8</v>
      </c>
      <c r="J694" s="34">
        <v>1273.7391304347825</v>
      </c>
      <c r="K694" s="34">
        <f t="shared" si="130"/>
        <v>-11.060869565217445</v>
      </c>
      <c r="L694" s="56">
        <f t="shared" si="131"/>
        <v>122.34283553875355</v>
      </c>
      <c r="M694" s="56">
        <f t="shared" si="132"/>
        <v>11.060869565217445</v>
      </c>
      <c r="N694" s="56">
        <f t="shared" si="133"/>
        <v>1.0813786207196752</v>
      </c>
      <c r="O694" s="56">
        <f t="shared" si="142"/>
        <v>-1.0813786207196752</v>
      </c>
      <c r="P694" s="143">
        <f t="shared" si="134"/>
        <v>-0.86090205208728554</v>
      </c>
      <c r="Q694" s="143">
        <f t="shared" si="135"/>
        <v>0.86090205208728554</v>
      </c>
      <c r="R694" s="34">
        <v>1274.4166666666667</v>
      </c>
      <c r="S694" s="56">
        <f t="shared" si="136"/>
        <v>-10.383333333333212</v>
      </c>
      <c r="T694" s="56">
        <f t="shared" si="137"/>
        <v>107.8136111111086</v>
      </c>
      <c r="U694" s="56">
        <f t="shared" si="138"/>
        <v>10.383333333333212</v>
      </c>
      <c r="V694" s="56">
        <f t="shared" si="139"/>
        <v>1.0562694532978842</v>
      </c>
      <c r="W694" s="33">
        <f t="shared" si="140"/>
        <v>-0.80816728933166349</v>
      </c>
      <c r="X694" s="143">
        <f t="shared" si="141"/>
        <v>0.80816728933166349</v>
      </c>
    </row>
    <row r="695" spans="1:24" ht="16" x14ac:dyDescent="0.2">
      <c r="A695" t="s">
        <v>867</v>
      </c>
      <c r="B695" s="224" t="s">
        <v>515</v>
      </c>
      <c r="C695" s="224" t="s">
        <v>824</v>
      </c>
      <c r="D695" s="35" t="s">
        <v>148</v>
      </c>
      <c r="E695" s="35" t="s">
        <v>662</v>
      </c>
      <c r="F695" s="35" t="s">
        <v>374</v>
      </c>
      <c r="G695" s="35" t="s">
        <v>627</v>
      </c>
      <c r="H695" s="35" t="s">
        <v>580</v>
      </c>
      <c r="I695" s="147">
        <v>1842</v>
      </c>
      <c r="J695" s="34">
        <v>1747.5513256379145</v>
      </c>
      <c r="K695" s="34">
        <f t="shared" si="130"/>
        <v>-94.448674362085512</v>
      </c>
      <c r="L695" s="56">
        <f t="shared" si="131"/>
        <v>8920.5520887552684</v>
      </c>
      <c r="M695" s="56">
        <f t="shared" si="132"/>
        <v>94.448674362085512</v>
      </c>
      <c r="N695" s="56">
        <f t="shared" si="133"/>
        <v>1.9797699010772061</v>
      </c>
      <c r="O695" s="56">
        <f t="shared" si="142"/>
        <v>-1.9797699010772061</v>
      </c>
      <c r="P695" s="143">
        <f t="shared" si="134"/>
        <v>-5.12750675147044</v>
      </c>
      <c r="Q695" s="143">
        <f t="shared" si="135"/>
        <v>5.12750675147044</v>
      </c>
      <c r="R695" s="34">
        <v>1751.5886548709361</v>
      </c>
      <c r="S695" s="56">
        <f t="shared" si="136"/>
        <v>-90.411345129063875</v>
      </c>
      <c r="T695" s="56">
        <f t="shared" si="137"/>
        <v>8174.211328046702</v>
      </c>
      <c r="U695" s="56">
        <f t="shared" si="138"/>
        <v>90.411345129063875</v>
      </c>
      <c r="V695" s="56">
        <f t="shared" si="139"/>
        <v>1.9610000996854902</v>
      </c>
      <c r="W695" s="33">
        <f t="shared" si="140"/>
        <v>-4.9083249255735009</v>
      </c>
      <c r="X695" s="143">
        <f t="shared" si="141"/>
        <v>4.9083249255735009</v>
      </c>
    </row>
    <row r="696" spans="1:24" ht="16" x14ac:dyDescent="0.2">
      <c r="A696" t="s">
        <v>868</v>
      </c>
      <c r="B696" s="224" t="s">
        <v>515</v>
      </c>
      <c r="C696" s="224" t="s">
        <v>824</v>
      </c>
      <c r="D696" s="35" t="s">
        <v>148</v>
      </c>
      <c r="E696" s="35" t="s">
        <v>662</v>
      </c>
      <c r="F696" s="35" t="s">
        <v>374</v>
      </c>
      <c r="G696" s="35" t="s">
        <v>627</v>
      </c>
      <c r="H696" s="35" t="s">
        <v>580</v>
      </c>
      <c r="I696" s="147">
        <v>1530</v>
      </c>
      <c r="J696" s="34">
        <v>1582.1134213543144</v>
      </c>
      <c r="K696" s="34">
        <f t="shared" si="130"/>
        <v>52.113421354314369</v>
      </c>
      <c r="L696" s="56">
        <f t="shared" si="131"/>
        <v>2715.8086852523088</v>
      </c>
      <c r="M696" s="56">
        <f t="shared" si="132"/>
        <v>52.113421354314369</v>
      </c>
      <c r="N696" s="56">
        <f t="shared" si="133"/>
        <v>1.7252042778349019</v>
      </c>
      <c r="O696" s="56">
        <f t="shared" si="142"/>
        <v>1.7252042778349019</v>
      </c>
      <c r="P696" s="143">
        <f t="shared" si="134"/>
        <v>3.4061059708702204</v>
      </c>
      <c r="Q696" s="143">
        <f t="shared" si="135"/>
        <v>3.4061059708702204</v>
      </c>
      <c r="R696" s="34">
        <v>1604.0901464543242</v>
      </c>
      <c r="S696" s="56">
        <f t="shared" si="136"/>
        <v>74.090146454324213</v>
      </c>
      <c r="T696" s="56">
        <f t="shared" si="137"/>
        <v>5489.3498016232106</v>
      </c>
      <c r="U696" s="56">
        <f t="shared" si="138"/>
        <v>74.090146454324213</v>
      </c>
      <c r="V696" s="56">
        <f t="shared" si="139"/>
        <v>1.8755829513680087</v>
      </c>
      <c r="W696" s="33">
        <f t="shared" si="140"/>
        <v>4.8424932323087724</v>
      </c>
      <c r="X696" s="143">
        <f t="shared" si="141"/>
        <v>4.8424932323087724</v>
      </c>
    </row>
    <row r="697" spans="1:24" ht="16" x14ac:dyDescent="0.2">
      <c r="A697" t="s">
        <v>869</v>
      </c>
      <c r="B697" s="224" t="s">
        <v>515</v>
      </c>
      <c r="C697" s="224" t="s">
        <v>824</v>
      </c>
      <c r="D697" s="35" t="s">
        <v>148</v>
      </c>
      <c r="E697" s="35" t="s">
        <v>662</v>
      </c>
      <c r="F697" s="35" t="s">
        <v>374</v>
      </c>
      <c r="G697" s="35" t="s">
        <v>627</v>
      </c>
      <c r="H697" s="35" t="s">
        <v>580</v>
      </c>
      <c r="I697" s="147">
        <v>1686</v>
      </c>
      <c r="J697" s="34">
        <v>1680.0945734339318</v>
      </c>
      <c r="K697" s="34">
        <f t="shared" si="130"/>
        <v>-5.9054265660681722</v>
      </c>
      <c r="L697" s="56">
        <f t="shared" si="131"/>
        <v>34.874062927223726</v>
      </c>
      <c r="M697" s="56">
        <f t="shared" si="132"/>
        <v>5.9054265660681722</v>
      </c>
      <c r="N697" s="56">
        <f t="shared" si="133"/>
        <v>0.83919051123725796</v>
      </c>
      <c r="O697" s="56">
        <f t="shared" si="142"/>
        <v>-0.83919051123725796</v>
      </c>
      <c r="P697" s="143">
        <f t="shared" si="134"/>
        <v>-0.35026254840261994</v>
      </c>
      <c r="Q697" s="143">
        <f t="shared" si="135"/>
        <v>0.35026254840261994</v>
      </c>
      <c r="R697" s="34">
        <v>1677.6365442719857</v>
      </c>
      <c r="S697" s="56">
        <f t="shared" si="136"/>
        <v>-8.3634557280142872</v>
      </c>
      <c r="T697" s="56">
        <f t="shared" si="137"/>
        <v>69.947391714454994</v>
      </c>
      <c r="U697" s="56">
        <f t="shared" si="138"/>
        <v>8.3634557280142872</v>
      </c>
      <c r="V697" s="56">
        <f t="shared" si="139"/>
        <v>0.97143616141183453</v>
      </c>
      <c r="W697" s="33">
        <f t="shared" si="140"/>
        <v>-0.49605312740298263</v>
      </c>
      <c r="X697" s="143">
        <f t="shared" si="141"/>
        <v>0.49605312740298263</v>
      </c>
    </row>
    <row r="698" spans="1:24" ht="16" x14ac:dyDescent="0.2">
      <c r="A698" t="s">
        <v>870</v>
      </c>
      <c r="B698" s="224" t="s">
        <v>515</v>
      </c>
      <c r="C698" s="224" t="s">
        <v>824</v>
      </c>
      <c r="D698" s="35" t="s">
        <v>148</v>
      </c>
      <c r="E698" s="35" t="s">
        <v>662</v>
      </c>
      <c r="F698" s="35" t="s">
        <v>374</v>
      </c>
      <c r="G698" s="35" t="s">
        <v>627</v>
      </c>
      <c r="H698" s="35" t="s">
        <v>580</v>
      </c>
      <c r="I698" s="147">
        <v>1582</v>
      </c>
      <c r="J698" s="34">
        <v>1602.6795598195727</v>
      </c>
      <c r="K698" s="34">
        <f t="shared" si="130"/>
        <v>20.67955981957266</v>
      </c>
      <c r="L698" s="56">
        <f t="shared" si="131"/>
        <v>427.64419433128404</v>
      </c>
      <c r="M698" s="56">
        <f t="shared" si="132"/>
        <v>20.67955981957266</v>
      </c>
      <c r="N698" s="56">
        <f t="shared" si="133"/>
        <v>1.3360504600678551</v>
      </c>
      <c r="O698" s="56">
        <f t="shared" si="142"/>
        <v>1.3360504600678551</v>
      </c>
      <c r="P698" s="143">
        <f t="shared" si="134"/>
        <v>1.3071782439679305</v>
      </c>
      <c r="Q698" s="143">
        <f t="shared" si="135"/>
        <v>1.3071782439679305</v>
      </c>
      <c r="R698" s="34">
        <v>1599.2018126191538</v>
      </c>
      <c r="S698" s="56">
        <f t="shared" si="136"/>
        <v>17.20181261915377</v>
      </c>
      <c r="T698" s="56">
        <f t="shared" si="137"/>
        <v>295.90235738447791</v>
      </c>
      <c r="U698" s="56">
        <f t="shared" si="138"/>
        <v>17.20181261915377</v>
      </c>
      <c r="V698" s="56">
        <f t="shared" si="139"/>
        <v>1.2601146391552933</v>
      </c>
      <c r="W698" s="33">
        <f t="shared" si="140"/>
        <v>1.0873459304142712</v>
      </c>
      <c r="X698" s="143">
        <f t="shared" si="141"/>
        <v>1.0873459304142712</v>
      </c>
    </row>
    <row r="699" spans="1:24" ht="16" x14ac:dyDescent="0.2">
      <c r="A699" t="s">
        <v>871</v>
      </c>
      <c r="B699" s="224" t="s">
        <v>515</v>
      </c>
      <c r="C699" s="224" t="s">
        <v>824</v>
      </c>
      <c r="D699" s="35" t="s">
        <v>148</v>
      </c>
      <c r="E699" s="35" t="s">
        <v>662</v>
      </c>
      <c r="F699" s="35" t="s">
        <v>374</v>
      </c>
      <c r="G699" s="35" t="s">
        <v>627</v>
      </c>
      <c r="H699" s="35" t="s">
        <v>580</v>
      </c>
      <c r="I699" s="147">
        <v>1575</v>
      </c>
      <c r="J699" s="34">
        <v>1551.3269289152549</v>
      </c>
      <c r="K699" s="34">
        <f t="shared" si="130"/>
        <v>-23.673071084745061</v>
      </c>
      <c r="L699" s="56">
        <f t="shared" si="131"/>
        <v>560.41429458339269</v>
      </c>
      <c r="M699" s="56">
        <f t="shared" si="132"/>
        <v>23.673071084745061</v>
      </c>
      <c r="N699" s="56">
        <f t="shared" si="133"/>
        <v>1.3922232099740406</v>
      </c>
      <c r="O699" s="56">
        <f t="shared" si="142"/>
        <v>-1.3922232099740406</v>
      </c>
      <c r="P699" s="143">
        <f t="shared" si="134"/>
        <v>-1.5030521323647659</v>
      </c>
      <c r="Q699" s="143">
        <f t="shared" si="135"/>
        <v>1.5030521323647659</v>
      </c>
      <c r="R699" s="34">
        <v>1555.2914198825954</v>
      </c>
      <c r="S699" s="56">
        <f t="shared" si="136"/>
        <v>-19.708580117404608</v>
      </c>
      <c r="T699" s="56">
        <f t="shared" si="137"/>
        <v>388.42813024415625</v>
      </c>
      <c r="U699" s="56">
        <f t="shared" si="138"/>
        <v>19.708580117404608</v>
      </c>
      <c r="V699" s="56">
        <f t="shared" si="139"/>
        <v>1.3161503225382698</v>
      </c>
      <c r="W699" s="33">
        <f t="shared" si="140"/>
        <v>-1.2513384201526736</v>
      </c>
      <c r="X699" s="143">
        <f t="shared" si="141"/>
        <v>1.2513384201526736</v>
      </c>
    </row>
    <row r="700" spans="1:24" ht="16" x14ac:dyDescent="0.2">
      <c r="A700" t="s">
        <v>872</v>
      </c>
      <c r="B700" s="224" t="s">
        <v>515</v>
      </c>
      <c r="C700" s="224" t="s">
        <v>824</v>
      </c>
      <c r="D700" s="35" t="s">
        <v>148</v>
      </c>
      <c r="E700" s="35" t="s">
        <v>662</v>
      </c>
      <c r="F700" s="35" t="s">
        <v>374</v>
      </c>
      <c r="G700" s="35" t="s">
        <v>627</v>
      </c>
      <c r="H700" s="35" t="s">
        <v>580</v>
      </c>
      <c r="I700" s="147">
        <v>1684</v>
      </c>
      <c r="J700" s="34">
        <v>1700.8150471457745</v>
      </c>
      <c r="K700" s="34">
        <f t="shared" si="130"/>
        <v>16.815047145774543</v>
      </c>
      <c r="L700" s="56">
        <f t="shared" si="131"/>
        <v>282.74581051462059</v>
      </c>
      <c r="M700" s="56">
        <f t="shared" si="132"/>
        <v>16.815047145774543</v>
      </c>
      <c r="N700" s="56">
        <f t="shared" si="133"/>
        <v>1.2507869760062955</v>
      </c>
      <c r="O700" s="56">
        <f t="shared" si="142"/>
        <v>1.2507869760062955</v>
      </c>
      <c r="P700" s="143">
        <f t="shared" si="134"/>
        <v>0.99851823906024595</v>
      </c>
      <c r="Q700" s="143">
        <f t="shared" si="135"/>
        <v>0.99851823906024595</v>
      </c>
      <c r="R700" s="34">
        <v>1648.1685451826245</v>
      </c>
      <c r="S700" s="56">
        <f t="shared" si="136"/>
        <v>-35.831454817375516</v>
      </c>
      <c r="T700" s="56">
        <f t="shared" si="137"/>
        <v>1283.893154329623</v>
      </c>
      <c r="U700" s="56">
        <f t="shared" si="138"/>
        <v>35.831454817375516</v>
      </c>
      <c r="V700" s="56">
        <f t="shared" si="139"/>
        <v>1.5662188735299059</v>
      </c>
      <c r="W700" s="33">
        <f t="shared" si="140"/>
        <v>-2.1277585996066222</v>
      </c>
      <c r="X700" s="143">
        <f t="shared" si="141"/>
        <v>2.1277585996066222</v>
      </c>
    </row>
    <row r="701" spans="1:24" ht="16" x14ac:dyDescent="0.2">
      <c r="A701" t="s">
        <v>873</v>
      </c>
      <c r="B701" s="224" t="s">
        <v>515</v>
      </c>
      <c r="C701" s="224" t="s">
        <v>824</v>
      </c>
      <c r="D701" s="35" t="s">
        <v>148</v>
      </c>
      <c r="E701" s="35" t="s">
        <v>662</v>
      </c>
      <c r="F701" s="35" t="s">
        <v>374</v>
      </c>
      <c r="G701" s="35" t="s">
        <v>627</v>
      </c>
      <c r="H701" s="35" t="s">
        <v>580</v>
      </c>
      <c r="I701" s="147">
        <v>1646</v>
      </c>
      <c r="J701" s="34">
        <v>1674.9194313367118</v>
      </c>
      <c r="K701" s="34">
        <f t="shared" si="130"/>
        <v>28.919431336711796</v>
      </c>
      <c r="L701" s="56">
        <f t="shared" si="131"/>
        <v>836.33350883878825</v>
      </c>
      <c r="M701" s="56">
        <f t="shared" si="132"/>
        <v>28.919431336711796</v>
      </c>
      <c r="N701" s="56">
        <f t="shared" si="133"/>
        <v>1.4759533348583629</v>
      </c>
      <c r="O701" s="56">
        <f t="shared" si="142"/>
        <v>1.4759533348583629</v>
      </c>
      <c r="P701" s="143">
        <f t="shared" si="134"/>
        <v>1.7569520860699754</v>
      </c>
      <c r="Q701" s="143">
        <f t="shared" si="135"/>
        <v>1.7569520860699754</v>
      </c>
      <c r="R701" s="34">
        <v>1677.6365442719857</v>
      </c>
      <c r="S701" s="56">
        <f t="shared" si="136"/>
        <v>31.636544271985713</v>
      </c>
      <c r="T701" s="56">
        <f t="shared" si="137"/>
        <v>1000.870933473312</v>
      </c>
      <c r="U701" s="56">
        <f t="shared" si="138"/>
        <v>31.636544271985713</v>
      </c>
      <c r="V701" s="56">
        <f t="shared" si="139"/>
        <v>1.5137041671448987</v>
      </c>
      <c r="W701" s="33">
        <f t="shared" si="140"/>
        <v>1.9220257759408088</v>
      </c>
      <c r="X701" s="143">
        <f t="shared" si="141"/>
        <v>1.9220257759408088</v>
      </c>
    </row>
    <row r="702" spans="1:24" ht="16" x14ac:dyDescent="0.2">
      <c r="A702" t="s">
        <v>874</v>
      </c>
      <c r="B702" s="224" t="s">
        <v>515</v>
      </c>
      <c r="C702" s="224" t="s">
        <v>824</v>
      </c>
      <c r="D702" s="35" t="s">
        <v>148</v>
      </c>
      <c r="E702" s="35" t="s">
        <v>662</v>
      </c>
      <c r="F702" s="35" t="s">
        <v>374</v>
      </c>
      <c r="G702" s="35" t="s">
        <v>627</v>
      </c>
      <c r="H702" s="35" t="s">
        <v>580</v>
      </c>
      <c r="I702" s="147">
        <v>1540</v>
      </c>
      <c r="J702" s="34">
        <v>1571.8428543056348</v>
      </c>
      <c r="K702" s="34">
        <f t="shared" si="130"/>
        <v>31.842854305634773</v>
      </c>
      <c r="L702" s="56">
        <f t="shared" si="131"/>
        <v>1013.967370329883</v>
      </c>
      <c r="M702" s="56">
        <f t="shared" si="132"/>
        <v>31.842854305634773</v>
      </c>
      <c r="N702" s="56">
        <f t="shared" si="133"/>
        <v>1.5164408937372731</v>
      </c>
      <c r="O702" s="56">
        <f t="shared" si="142"/>
        <v>1.5164408937372731</v>
      </c>
      <c r="P702" s="143">
        <f t="shared" si="134"/>
        <v>2.0677178120542061</v>
      </c>
      <c r="Q702" s="143">
        <f t="shared" si="135"/>
        <v>2.0677178120542061</v>
      </c>
      <c r="R702" s="34">
        <v>1569.9112035924754</v>
      </c>
      <c r="S702" s="56">
        <f t="shared" si="136"/>
        <v>29.911203592475431</v>
      </c>
      <c r="T702" s="56">
        <f t="shared" si="137"/>
        <v>894.68010035051509</v>
      </c>
      <c r="U702" s="56">
        <f t="shared" si="138"/>
        <v>29.911203592475431</v>
      </c>
      <c r="V702" s="56">
        <f t="shared" si="139"/>
        <v>1.4901159155580941</v>
      </c>
      <c r="W702" s="33">
        <f t="shared" si="140"/>
        <v>1.9422859475633396</v>
      </c>
      <c r="X702" s="143">
        <f t="shared" si="141"/>
        <v>1.9422859475633396</v>
      </c>
    </row>
    <row r="703" spans="1:24" ht="16" x14ac:dyDescent="0.2">
      <c r="A703" t="s">
        <v>875</v>
      </c>
      <c r="B703" s="224" t="s">
        <v>515</v>
      </c>
      <c r="C703" s="224" t="s">
        <v>824</v>
      </c>
      <c r="D703" s="35" t="s">
        <v>148</v>
      </c>
      <c r="E703" s="35" t="s">
        <v>662</v>
      </c>
      <c r="F703" s="35" t="s">
        <v>374</v>
      </c>
      <c r="G703" s="35" t="s">
        <v>626</v>
      </c>
      <c r="H703" s="35" t="s">
        <v>580</v>
      </c>
      <c r="I703" s="147">
        <v>1490</v>
      </c>
      <c r="J703" s="34">
        <v>1561.5806763918238</v>
      </c>
      <c r="K703" s="34">
        <f t="shared" si="130"/>
        <v>71.580676391823772</v>
      </c>
      <c r="L703" s="56">
        <f t="shared" si="131"/>
        <v>5123.7932327109975</v>
      </c>
      <c r="M703" s="56">
        <f t="shared" si="132"/>
        <v>71.580676391823772</v>
      </c>
      <c r="N703" s="56">
        <f t="shared" si="133"/>
        <v>1.8608210111484713</v>
      </c>
      <c r="O703" s="56">
        <f t="shared" si="142"/>
        <v>1.8608210111484713</v>
      </c>
      <c r="P703" s="143">
        <f t="shared" si="134"/>
        <v>4.8040722410619985</v>
      </c>
      <c r="Q703" s="143">
        <f t="shared" si="135"/>
        <v>4.8040722410619985</v>
      </c>
      <c r="R703" s="34">
        <v>1521.2455873906083</v>
      </c>
      <c r="S703" s="56">
        <f t="shared" si="136"/>
        <v>31.245587390608307</v>
      </c>
      <c r="T703" s="56">
        <f t="shared" si="137"/>
        <v>976.28673138414081</v>
      </c>
      <c r="U703" s="56">
        <f t="shared" si="138"/>
        <v>31.245587390608307</v>
      </c>
      <c r="V703" s="56">
        <f t="shared" si="139"/>
        <v>1.5084702925208848</v>
      </c>
      <c r="W703" s="33">
        <f t="shared" si="140"/>
        <v>2.0970192879602889</v>
      </c>
      <c r="X703" s="143">
        <f t="shared" si="141"/>
        <v>2.0970192879602889</v>
      </c>
    </row>
    <row r="704" spans="1:24" ht="16" x14ac:dyDescent="0.2">
      <c r="A704" t="s">
        <v>876</v>
      </c>
      <c r="B704" s="224" t="s">
        <v>515</v>
      </c>
      <c r="C704" s="224" t="s">
        <v>824</v>
      </c>
      <c r="D704" s="35" t="s">
        <v>148</v>
      </c>
      <c r="E704" s="35" t="s">
        <v>662</v>
      </c>
      <c r="F704" s="35" t="s">
        <v>374</v>
      </c>
      <c r="G704" s="35" t="s">
        <v>627</v>
      </c>
      <c r="H704" s="35" t="s">
        <v>580</v>
      </c>
      <c r="I704" s="147">
        <v>1668</v>
      </c>
      <c r="J704" s="34">
        <v>1789.2265130720573</v>
      </c>
      <c r="K704" s="34">
        <f t="shared" si="130"/>
        <v>121.22651307205729</v>
      </c>
      <c r="L704" s="56">
        <f t="shared" si="131"/>
        <v>14695.867471609676</v>
      </c>
      <c r="M704" s="56">
        <f t="shared" si="132"/>
        <v>121.22651307205729</v>
      </c>
      <c r="N704" s="56">
        <f t="shared" si="133"/>
        <v>2.0871654222073222</v>
      </c>
      <c r="O704" s="56">
        <f t="shared" si="142"/>
        <v>2.0871654222073222</v>
      </c>
      <c r="P704" s="143">
        <f t="shared" si="134"/>
        <v>7.267776563072978</v>
      </c>
      <c r="Q704" s="143">
        <f t="shared" si="135"/>
        <v>7.267776563072978</v>
      </c>
      <c r="R704" s="34">
        <v>1766.4266100548346</v>
      </c>
      <c r="S704" s="56">
        <f t="shared" si="136"/>
        <v>98.426610054834555</v>
      </c>
      <c r="T704" s="56">
        <f t="shared" si="137"/>
        <v>9687.7975668864583</v>
      </c>
      <c r="U704" s="56">
        <f t="shared" si="138"/>
        <v>98.426610054834555</v>
      </c>
      <c r="V704" s="56">
        <f t="shared" si="139"/>
        <v>1.9975026324190805</v>
      </c>
      <c r="W704" s="33">
        <f t="shared" si="140"/>
        <v>5.9008759025680195</v>
      </c>
      <c r="X704" s="143">
        <f t="shared" si="141"/>
        <v>5.9008759025680195</v>
      </c>
    </row>
    <row r="705" spans="1:24" ht="16" x14ac:dyDescent="0.2">
      <c r="A705" t="s">
        <v>877</v>
      </c>
      <c r="B705" s="224" t="s">
        <v>515</v>
      </c>
      <c r="C705" s="224" t="s">
        <v>824</v>
      </c>
      <c r="D705" s="35" t="s">
        <v>148</v>
      </c>
      <c r="E705" s="35" t="s">
        <v>662</v>
      </c>
      <c r="F705" s="35" t="s">
        <v>374</v>
      </c>
      <c r="G705" s="35" t="s">
        <v>627</v>
      </c>
      <c r="H705" s="35" t="s">
        <v>580</v>
      </c>
      <c r="I705" s="147">
        <v>1647</v>
      </c>
      <c r="J705" s="34">
        <v>1587.2518380166405</v>
      </c>
      <c r="K705" s="34">
        <f t="shared" si="130"/>
        <v>-59.748161983359523</v>
      </c>
      <c r="L705" s="56">
        <f t="shared" si="131"/>
        <v>3569.8428603897682</v>
      </c>
      <c r="M705" s="56">
        <f t="shared" si="132"/>
        <v>59.748161983359523</v>
      </c>
      <c r="N705" s="56">
        <f t="shared" si="133"/>
        <v>1.7835331423105079</v>
      </c>
      <c r="O705" s="56">
        <f t="shared" si="142"/>
        <v>-1.7835331423105079</v>
      </c>
      <c r="P705" s="143">
        <f t="shared" si="134"/>
        <v>-3.6276965381517621</v>
      </c>
      <c r="Q705" s="143">
        <f t="shared" si="135"/>
        <v>3.6276965381517621</v>
      </c>
      <c r="R705" s="34">
        <v>1579.6672074490571</v>
      </c>
      <c r="S705" s="56">
        <f t="shared" si="136"/>
        <v>-67.332792550942941</v>
      </c>
      <c r="T705" s="56">
        <f t="shared" si="137"/>
        <v>4533.7049527083173</v>
      </c>
      <c r="U705" s="56">
        <f t="shared" si="138"/>
        <v>67.332792550942941</v>
      </c>
      <c r="V705" s="56">
        <f t="shared" si="139"/>
        <v>1.8346291693643253</v>
      </c>
      <c r="W705" s="33">
        <f t="shared" si="140"/>
        <v>-4.0882084123219755</v>
      </c>
      <c r="X705" s="143">
        <f t="shared" si="141"/>
        <v>4.0882084123219755</v>
      </c>
    </row>
    <row r="706" spans="1:24" ht="16" x14ac:dyDescent="0.2">
      <c r="A706" t="s">
        <v>878</v>
      </c>
      <c r="B706" s="224" t="s">
        <v>515</v>
      </c>
      <c r="C706" s="224" t="s">
        <v>824</v>
      </c>
      <c r="D706" s="35" t="s">
        <v>148</v>
      </c>
      <c r="E706" s="35" t="s">
        <v>662</v>
      </c>
      <c r="F706" s="35" t="s">
        <v>374</v>
      </c>
      <c r="G706" s="35" t="s">
        <v>627</v>
      </c>
      <c r="H706" s="35" t="s">
        <v>580</v>
      </c>
      <c r="I706" s="147">
        <v>1520</v>
      </c>
      <c r="J706" s="34">
        <v>1515.5058092276211</v>
      </c>
      <c r="K706" s="34">
        <f t="shared" ref="K706:K769" si="143">J706-I706</f>
        <v>-4.4941907723789427</v>
      </c>
      <c r="L706" s="56">
        <f t="shared" ref="L706:L769" si="144">K706^2</f>
        <v>20.197750698536037</v>
      </c>
      <c r="M706" s="56">
        <f t="shared" ref="M706:M769" si="145">SQRT(L706)</f>
        <v>4.4941907723789427</v>
      </c>
      <c r="N706" s="56">
        <f t="shared" ref="N706:N769" si="146">LOG10(M706+1)</f>
        <v>0.73990373516336572</v>
      </c>
      <c r="O706" s="56">
        <f t="shared" si="142"/>
        <v>-0.73990373516336572</v>
      </c>
      <c r="P706" s="143">
        <f t="shared" ref="P706:P769" si="147">100*K706/I706</f>
        <v>-0.29567044555124622</v>
      </c>
      <c r="Q706" s="143">
        <f t="shared" ref="Q706:Q769" si="148">ABS(P706)</f>
        <v>0.29567044555124622</v>
      </c>
      <c r="R706" s="34">
        <v>1511.5355982677781</v>
      </c>
      <c r="S706" s="56">
        <f t="shared" ref="S706:S769" si="149">R706-I706</f>
        <v>-8.4644017322218588</v>
      </c>
      <c r="T706" s="56">
        <f t="shared" ref="T706:T769" si="150">S706^2</f>
        <v>71.646096684440408</v>
      </c>
      <c r="U706" s="56">
        <f t="shared" ref="U706:U769" si="151">SQRT(T706)</f>
        <v>8.4644017322218588</v>
      </c>
      <c r="V706" s="56">
        <f t="shared" ref="V706:V769" si="152">LOG10(U706+1)</f>
        <v>0.97609316636039245</v>
      </c>
      <c r="W706" s="33">
        <f t="shared" ref="W706:W769" si="153">100*S706/I706</f>
        <v>-0.55686853501459599</v>
      </c>
      <c r="X706" s="143">
        <f t="shared" ref="X706:X769" si="154">ABS(W706)</f>
        <v>0.55686853501459599</v>
      </c>
    </row>
    <row r="707" spans="1:24" ht="16" x14ac:dyDescent="0.2">
      <c r="A707" t="s">
        <v>879</v>
      </c>
      <c r="B707" s="224" t="s">
        <v>515</v>
      </c>
      <c r="C707" s="224" t="s">
        <v>824</v>
      </c>
      <c r="D707" s="35" t="s">
        <v>148</v>
      </c>
      <c r="E707" s="35" t="s">
        <v>662</v>
      </c>
      <c r="F707" s="35" t="s">
        <v>374</v>
      </c>
      <c r="G707" s="35" t="s">
        <v>627</v>
      </c>
      <c r="H707" s="35" t="s">
        <v>580</v>
      </c>
      <c r="I707" s="147">
        <v>1550</v>
      </c>
      <c r="J707" s="34">
        <v>1597.534912277416</v>
      </c>
      <c r="K707" s="34">
        <f t="shared" si="143"/>
        <v>47.53491227741597</v>
      </c>
      <c r="L707" s="56">
        <f t="shared" si="144"/>
        <v>2259.5678852216315</v>
      </c>
      <c r="M707" s="56">
        <f t="shared" si="145"/>
        <v>47.53491227741597</v>
      </c>
      <c r="N707" s="56">
        <f t="shared" si="146"/>
        <v>1.6860542490117816</v>
      </c>
      <c r="O707" s="56">
        <f t="shared" ref="O707:O770" si="155">N707*SIGN(K707)</f>
        <v>1.6860542490117816</v>
      </c>
      <c r="P707" s="143">
        <f t="shared" si="147"/>
        <v>3.0667685340268367</v>
      </c>
      <c r="Q707" s="143">
        <f t="shared" si="148"/>
        <v>3.0667685340268367</v>
      </c>
      <c r="R707" s="34">
        <v>1579.6672074490571</v>
      </c>
      <c r="S707" s="56">
        <f t="shared" si="149"/>
        <v>29.667207449057059</v>
      </c>
      <c r="T707" s="56">
        <f t="shared" si="150"/>
        <v>880.14319782538666</v>
      </c>
      <c r="U707" s="56">
        <f t="shared" si="151"/>
        <v>29.667207449057059</v>
      </c>
      <c r="V707" s="56">
        <f t="shared" si="152"/>
        <v>1.4866742309977616</v>
      </c>
      <c r="W707" s="33">
        <f t="shared" si="153"/>
        <v>1.914013383810133</v>
      </c>
      <c r="X707" s="143">
        <f t="shared" si="154"/>
        <v>1.914013383810133</v>
      </c>
    </row>
    <row r="708" spans="1:24" ht="16" x14ac:dyDescent="0.2">
      <c r="A708" t="s">
        <v>880</v>
      </c>
      <c r="B708" s="224" t="s">
        <v>515</v>
      </c>
      <c r="C708" s="224" t="s">
        <v>824</v>
      </c>
      <c r="D708" s="35" t="s">
        <v>148</v>
      </c>
      <c r="E708" s="35" t="s">
        <v>662</v>
      </c>
      <c r="F708" s="35" t="s">
        <v>374</v>
      </c>
      <c r="G708" s="35" t="s">
        <v>627</v>
      </c>
      <c r="H708" s="35" t="s">
        <v>580</v>
      </c>
      <c r="I708" s="147">
        <v>1695</v>
      </c>
      <c r="J708" s="34">
        <v>1700.8150471457745</v>
      </c>
      <c r="K708" s="34">
        <f t="shared" si="143"/>
        <v>5.8150471457745425</v>
      </c>
      <c r="L708" s="56">
        <f t="shared" si="144"/>
        <v>33.814773307580651</v>
      </c>
      <c r="M708" s="56">
        <f t="shared" si="145"/>
        <v>5.8150471457745425</v>
      </c>
      <c r="N708" s="56">
        <f t="shared" si="146"/>
        <v>0.83346886458432501</v>
      </c>
      <c r="O708" s="56">
        <f t="shared" si="155"/>
        <v>0.83346886458432501</v>
      </c>
      <c r="P708" s="143">
        <f t="shared" si="147"/>
        <v>0.34307062806929456</v>
      </c>
      <c r="Q708" s="143">
        <f t="shared" si="148"/>
        <v>0.34307062806929456</v>
      </c>
      <c r="R708" s="34">
        <v>1653.075334653186</v>
      </c>
      <c r="S708" s="56">
        <f t="shared" si="149"/>
        <v>-41.924665346813981</v>
      </c>
      <c r="T708" s="56">
        <f t="shared" si="150"/>
        <v>1757.6775644423451</v>
      </c>
      <c r="U708" s="56">
        <f t="shared" si="151"/>
        <v>41.924665346813981</v>
      </c>
      <c r="V708" s="56">
        <f t="shared" si="152"/>
        <v>1.6327069179599527</v>
      </c>
      <c r="W708" s="33">
        <f t="shared" si="153"/>
        <v>-2.4734315838828307</v>
      </c>
      <c r="X708" s="143">
        <f t="shared" si="154"/>
        <v>2.4734315838828307</v>
      </c>
    </row>
    <row r="709" spans="1:24" ht="16" x14ac:dyDescent="0.2">
      <c r="A709" t="s">
        <v>881</v>
      </c>
      <c r="B709" s="224" t="s">
        <v>515</v>
      </c>
      <c r="C709" s="224" t="s">
        <v>824</v>
      </c>
      <c r="D709" s="35" t="s">
        <v>148</v>
      </c>
      <c r="E709" s="35" t="s">
        <v>662</v>
      </c>
      <c r="F709" s="35" t="s">
        <v>374</v>
      </c>
      <c r="G709" s="35" t="s">
        <v>627</v>
      </c>
      <c r="H709" s="35" t="s">
        <v>580</v>
      </c>
      <c r="I709" s="147">
        <v>1835</v>
      </c>
      <c r="J709" s="34">
        <v>1752.7539892058892</v>
      </c>
      <c r="K709" s="34">
        <f t="shared" si="143"/>
        <v>-82.246010794110816</v>
      </c>
      <c r="L709" s="56">
        <f t="shared" si="144"/>
        <v>6764.4062915449931</v>
      </c>
      <c r="M709" s="56">
        <f t="shared" si="145"/>
        <v>82.246010794110816</v>
      </c>
      <c r="N709" s="56">
        <f t="shared" si="146"/>
        <v>1.9203634309877839</v>
      </c>
      <c r="O709" s="56">
        <f t="shared" si="155"/>
        <v>-1.9203634309877839</v>
      </c>
      <c r="P709" s="143">
        <f t="shared" si="147"/>
        <v>-4.4820714329215701</v>
      </c>
      <c r="Q709" s="143">
        <f t="shared" si="148"/>
        <v>4.4820714329215701</v>
      </c>
      <c r="R709" s="34">
        <v>1726.8936881026432</v>
      </c>
      <c r="S709" s="56">
        <f t="shared" si="149"/>
        <v>-108.10631189735682</v>
      </c>
      <c r="T709" s="56">
        <f t="shared" si="150"/>
        <v>11686.974672048593</v>
      </c>
      <c r="U709" s="56">
        <f t="shared" si="151"/>
        <v>108.10631189735682</v>
      </c>
      <c r="V709" s="56">
        <f t="shared" si="152"/>
        <v>2.037849875637836</v>
      </c>
      <c r="W709" s="33">
        <f t="shared" si="153"/>
        <v>-5.8913521469949224</v>
      </c>
      <c r="X709" s="143">
        <f t="shared" si="154"/>
        <v>5.8913521469949224</v>
      </c>
    </row>
    <row r="710" spans="1:24" ht="16" x14ac:dyDescent="0.2">
      <c r="A710" t="s">
        <v>882</v>
      </c>
      <c r="B710" s="224" t="s">
        <v>515</v>
      </c>
      <c r="C710" s="224" t="s">
        <v>824</v>
      </c>
      <c r="D710" s="35" t="s">
        <v>148</v>
      </c>
      <c r="E710" s="35" t="s">
        <v>662</v>
      </c>
      <c r="F710" s="35" t="s">
        <v>374</v>
      </c>
      <c r="G710" s="35" t="s">
        <v>627</v>
      </c>
      <c r="H710" s="35" t="s">
        <v>580</v>
      </c>
      <c r="I710" s="147">
        <v>1643</v>
      </c>
      <c r="J710" s="34">
        <v>1706.0001190895075</v>
      </c>
      <c r="K710" s="34">
        <f t="shared" si="143"/>
        <v>63.000119089507507</v>
      </c>
      <c r="L710" s="56">
        <f t="shared" si="144"/>
        <v>3969.0150052921281</v>
      </c>
      <c r="M710" s="56">
        <f t="shared" si="145"/>
        <v>63.000119089507507</v>
      </c>
      <c r="N710" s="56">
        <f t="shared" si="146"/>
        <v>1.8061807821068223</v>
      </c>
      <c r="O710" s="56">
        <f t="shared" si="155"/>
        <v>1.8061807821068223</v>
      </c>
      <c r="P710" s="143">
        <f t="shared" si="147"/>
        <v>3.8344564266285763</v>
      </c>
      <c r="Q710" s="143">
        <f t="shared" si="148"/>
        <v>3.8344564266285763</v>
      </c>
      <c r="R710" s="34">
        <v>1687.4736757592464</v>
      </c>
      <c r="S710" s="56">
        <f t="shared" si="149"/>
        <v>44.473675759246362</v>
      </c>
      <c r="T710" s="56">
        <f t="shared" si="150"/>
        <v>1977.9078355385775</v>
      </c>
      <c r="U710" s="56">
        <f t="shared" si="151"/>
        <v>44.473675759246362</v>
      </c>
      <c r="V710" s="56">
        <f t="shared" si="152"/>
        <v>1.6577600608124681</v>
      </c>
      <c r="W710" s="33">
        <f t="shared" si="153"/>
        <v>2.7068579281342888</v>
      </c>
      <c r="X710" s="143">
        <f t="shared" si="154"/>
        <v>2.7068579281342888</v>
      </c>
    </row>
    <row r="711" spans="1:24" ht="16" x14ac:dyDescent="0.2">
      <c r="A711" t="s">
        <v>883</v>
      </c>
      <c r="B711" s="224" t="s">
        <v>515</v>
      </c>
      <c r="C711" s="224" t="s">
        <v>824</v>
      </c>
      <c r="D711" s="35" t="s">
        <v>148</v>
      </c>
      <c r="E711" s="35" t="s">
        <v>662</v>
      </c>
      <c r="F711" s="35" t="s">
        <v>374</v>
      </c>
      <c r="G711" s="35" t="s">
        <v>627</v>
      </c>
      <c r="H711" s="35" t="s">
        <v>580</v>
      </c>
      <c r="I711" s="147">
        <v>1670</v>
      </c>
      <c r="J711" s="34">
        <v>1784.0104094680048</v>
      </c>
      <c r="K711" s="34">
        <f t="shared" si="143"/>
        <v>114.01040946800481</v>
      </c>
      <c r="L711" s="56">
        <f t="shared" si="144"/>
        <v>12998.37346706212</v>
      </c>
      <c r="M711" s="56">
        <f t="shared" si="145"/>
        <v>114.01040946800481</v>
      </c>
      <c r="N711" s="56">
        <f t="shared" si="146"/>
        <v>2.060737149657287</v>
      </c>
      <c r="O711" s="56">
        <f t="shared" si="155"/>
        <v>2.060737149657287</v>
      </c>
      <c r="P711" s="143">
        <f t="shared" si="147"/>
        <v>6.8269706268266344</v>
      </c>
      <c r="Q711" s="143">
        <f t="shared" si="148"/>
        <v>6.8269706268266344</v>
      </c>
      <c r="R711" s="34">
        <v>1751.5886548709361</v>
      </c>
      <c r="S711" s="56">
        <f t="shared" si="149"/>
        <v>81.588654870936125</v>
      </c>
      <c r="T711" s="56">
        <f t="shared" si="150"/>
        <v>6656.708603648729</v>
      </c>
      <c r="U711" s="56">
        <f t="shared" si="151"/>
        <v>81.588654870936125</v>
      </c>
      <c r="V711" s="56">
        <f t="shared" si="152"/>
        <v>1.9169203927761822</v>
      </c>
      <c r="W711" s="33">
        <f t="shared" si="153"/>
        <v>4.8855481958644384</v>
      </c>
      <c r="X711" s="143">
        <f t="shared" si="154"/>
        <v>4.8855481958644384</v>
      </c>
    </row>
    <row r="712" spans="1:24" ht="15" x14ac:dyDescent="0.2">
      <c r="A712" t="s">
        <v>884</v>
      </c>
      <c r="B712" s="224" t="s">
        <v>515</v>
      </c>
      <c r="C712" s="224" t="s">
        <v>824</v>
      </c>
      <c r="D712" s="35" t="s">
        <v>148</v>
      </c>
      <c r="E712" s="35" t="s">
        <v>662</v>
      </c>
      <c r="F712" s="35" t="s">
        <v>374</v>
      </c>
      <c r="G712" s="35" t="s">
        <v>627</v>
      </c>
      <c r="H712" s="35" t="s">
        <v>580</v>
      </c>
      <c r="I712">
        <v>1733</v>
      </c>
      <c r="J712" s="34">
        <v>1883.4378707002845</v>
      </c>
      <c r="K712" s="34">
        <f t="shared" si="143"/>
        <v>150.43787070028452</v>
      </c>
      <c r="L712" s="56">
        <f t="shared" si="144"/>
        <v>22631.552940835525</v>
      </c>
      <c r="M712" s="56">
        <f t="shared" si="145"/>
        <v>150.43787070028452</v>
      </c>
      <c r="N712" s="56">
        <f t="shared" si="146"/>
        <v>2.1802344945794996</v>
      </c>
      <c r="O712" s="56">
        <f t="shared" si="155"/>
        <v>2.1802344945794996</v>
      </c>
      <c r="P712" s="143">
        <f t="shared" si="147"/>
        <v>8.6807773052674264</v>
      </c>
      <c r="Q712" s="143">
        <f t="shared" si="148"/>
        <v>8.6807773052674264</v>
      </c>
      <c r="R712" s="34">
        <v>1875.709062762948</v>
      </c>
      <c r="S712" s="56">
        <f t="shared" si="149"/>
        <v>142.70906276294795</v>
      </c>
      <c r="T712" s="56">
        <f t="shared" si="150"/>
        <v>20365.876594679019</v>
      </c>
      <c r="U712" s="56">
        <f t="shared" si="151"/>
        <v>142.70906276294795</v>
      </c>
      <c r="V712" s="56">
        <f t="shared" si="152"/>
        <v>2.1574841570265768</v>
      </c>
      <c r="W712" s="33">
        <f t="shared" si="153"/>
        <v>8.2347987745497946</v>
      </c>
      <c r="X712" s="143">
        <f t="shared" si="154"/>
        <v>8.2347987745497946</v>
      </c>
    </row>
    <row r="713" spans="1:24" ht="15" x14ac:dyDescent="0.2">
      <c r="A713" t="s">
        <v>885</v>
      </c>
      <c r="B713" s="224" t="s">
        <v>515</v>
      </c>
      <c r="C713" s="224" t="s">
        <v>824</v>
      </c>
      <c r="D713" s="35" t="s">
        <v>148</v>
      </c>
      <c r="E713" s="35" t="s">
        <v>662</v>
      </c>
      <c r="F713" s="35" t="s">
        <v>374</v>
      </c>
      <c r="G713" s="35" t="s">
        <v>627</v>
      </c>
      <c r="H713" s="35" t="s">
        <v>580</v>
      </c>
      <c r="I713">
        <v>1714</v>
      </c>
      <c r="J713" s="34">
        <v>1669.7462889777796</v>
      </c>
      <c r="K713" s="34">
        <f t="shared" si="143"/>
        <v>-44.253711022220386</v>
      </c>
      <c r="L713" s="56">
        <f t="shared" si="144"/>
        <v>1958.3909392381902</v>
      </c>
      <c r="M713" s="56">
        <f t="shared" si="145"/>
        <v>44.253711022220386</v>
      </c>
      <c r="N713" s="56">
        <f t="shared" si="146"/>
        <v>1.655654199240407</v>
      </c>
      <c r="O713" s="56">
        <f t="shared" si="155"/>
        <v>-1.655654199240407</v>
      </c>
      <c r="P713" s="143">
        <f t="shared" si="147"/>
        <v>-2.5818967924282608</v>
      </c>
      <c r="Q713" s="143">
        <f t="shared" si="148"/>
        <v>2.5818967924282608</v>
      </c>
      <c r="R713" s="34">
        <v>1653.075334653186</v>
      </c>
      <c r="S713" s="56">
        <f t="shared" si="149"/>
        <v>-60.924665346813981</v>
      </c>
      <c r="T713" s="56">
        <f t="shared" si="150"/>
        <v>3711.8148476212764</v>
      </c>
      <c r="U713" s="56">
        <f t="shared" si="151"/>
        <v>60.924665346813981</v>
      </c>
      <c r="V713" s="56">
        <f t="shared" si="152"/>
        <v>1.7918636682506117</v>
      </c>
      <c r="W713" s="33">
        <f t="shared" si="153"/>
        <v>-3.5545312337697772</v>
      </c>
      <c r="X713" s="143">
        <f t="shared" si="154"/>
        <v>3.5545312337697772</v>
      </c>
    </row>
    <row r="714" spans="1:24" ht="15" x14ac:dyDescent="0.2">
      <c r="A714" t="s">
        <v>886</v>
      </c>
      <c r="B714" s="224" t="s">
        <v>515</v>
      </c>
      <c r="C714" s="224" t="s">
        <v>824</v>
      </c>
      <c r="D714" s="35" t="s">
        <v>148</v>
      </c>
      <c r="E714" s="35" t="s">
        <v>662</v>
      </c>
      <c r="F714" s="35" t="s">
        <v>374</v>
      </c>
      <c r="G714" s="35" t="s">
        <v>627</v>
      </c>
      <c r="H714" s="35" t="s">
        <v>580</v>
      </c>
      <c r="I714">
        <v>2100</v>
      </c>
      <c r="J714" s="34">
        <v>2164.2051348871405</v>
      </c>
      <c r="K714" s="34">
        <f t="shared" si="143"/>
        <v>64.205134887140503</v>
      </c>
      <c r="L714" s="56">
        <f t="shared" si="144"/>
        <v>4122.2993458759065</v>
      </c>
      <c r="M714" s="56">
        <f t="shared" si="145"/>
        <v>64.205134887140503</v>
      </c>
      <c r="N714" s="56">
        <f t="shared" si="146"/>
        <v>1.8142817976543122</v>
      </c>
      <c r="O714" s="56">
        <f t="shared" si="155"/>
        <v>1.8142817976543122</v>
      </c>
      <c r="P714" s="143">
        <f t="shared" si="147"/>
        <v>3.0573873755781191</v>
      </c>
      <c r="Q714" s="143">
        <f t="shared" si="148"/>
        <v>3.0573873755781191</v>
      </c>
      <c r="R714" s="34">
        <v>2142.2127632416227</v>
      </c>
      <c r="S714" s="56">
        <f t="shared" si="149"/>
        <v>42.212763241622724</v>
      </c>
      <c r="T714" s="56">
        <f t="shared" si="150"/>
        <v>1781.9173804932946</v>
      </c>
      <c r="U714" s="56">
        <f t="shared" si="151"/>
        <v>42.212763241622724</v>
      </c>
      <c r="V714" s="56">
        <f t="shared" si="152"/>
        <v>1.6356120381746677</v>
      </c>
      <c r="W714" s="33">
        <f t="shared" si="153"/>
        <v>2.0101315829344153</v>
      </c>
      <c r="X714" s="143">
        <f t="shared" si="154"/>
        <v>2.0101315829344153</v>
      </c>
    </row>
    <row r="715" spans="1:24" ht="15" x14ac:dyDescent="0.2">
      <c r="A715" t="s">
        <v>887</v>
      </c>
      <c r="B715" s="224" t="s">
        <v>515</v>
      </c>
      <c r="C715" s="224" t="s">
        <v>824</v>
      </c>
      <c r="D715" s="35" t="s">
        <v>148</v>
      </c>
      <c r="E715" s="35" t="s">
        <v>662</v>
      </c>
      <c r="F715" s="225" t="s">
        <v>494</v>
      </c>
      <c r="G715" s="35" t="s">
        <v>626</v>
      </c>
      <c r="H715" s="35" t="s">
        <v>580</v>
      </c>
      <c r="I715">
        <v>1056</v>
      </c>
      <c r="J715" s="34">
        <v>1040.7008802552009</v>
      </c>
      <c r="K715" s="34">
        <f t="shared" si="143"/>
        <v>-15.2991197447991</v>
      </c>
      <c r="L715" s="56">
        <f t="shared" si="144"/>
        <v>234.06306496570167</v>
      </c>
      <c r="M715" s="56">
        <f t="shared" si="145"/>
        <v>15.2991197447991</v>
      </c>
      <c r="N715" s="56">
        <f t="shared" si="146"/>
        <v>1.212164150397868</v>
      </c>
      <c r="O715" s="56">
        <f t="shared" si="155"/>
        <v>-1.212164150397868</v>
      </c>
      <c r="P715" s="143">
        <f t="shared" si="147"/>
        <v>-1.4487802788635511</v>
      </c>
      <c r="Q715" s="143">
        <f t="shared" si="148"/>
        <v>1.4487802788635511</v>
      </c>
      <c r="R715" s="34">
        <v>1041.5127527546599</v>
      </c>
      <c r="S715" s="56">
        <f t="shared" si="149"/>
        <v>-14.487247245340086</v>
      </c>
      <c r="T715" s="56">
        <f t="shared" si="150"/>
        <v>209.88033274761392</v>
      </c>
      <c r="U715" s="56">
        <f t="shared" si="151"/>
        <v>14.487247245340086</v>
      </c>
      <c r="V715" s="56">
        <f t="shared" si="152"/>
        <v>1.1899742316779178</v>
      </c>
      <c r="W715" s="33">
        <f t="shared" si="153"/>
        <v>-1.3718984133844778</v>
      </c>
      <c r="X715" s="143">
        <f t="shared" si="154"/>
        <v>1.3718984133844778</v>
      </c>
    </row>
    <row r="716" spans="1:24" ht="15" x14ac:dyDescent="0.2">
      <c r="A716" t="s">
        <v>888</v>
      </c>
      <c r="B716" s="224" t="s">
        <v>515</v>
      </c>
      <c r="C716" s="224" t="s">
        <v>824</v>
      </c>
      <c r="D716" s="35" t="s">
        <v>148</v>
      </c>
      <c r="E716" s="35" t="s">
        <v>662</v>
      </c>
      <c r="F716" s="35" t="s">
        <v>374</v>
      </c>
      <c r="G716" s="35" t="s">
        <v>627</v>
      </c>
      <c r="H716" s="35" t="s">
        <v>580</v>
      </c>
      <c r="I716">
        <v>2150</v>
      </c>
      <c r="J716" s="34">
        <v>2052.376362871586</v>
      </c>
      <c r="K716" s="34">
        <f t="shared" si="143"/>
        <v>-97.623637128413975</v>
      </c>
      <c r="L716" s="56">
        <f t="shared" si="144"/>
        <v>9530.3745261802469</v>
      </c>
      <c r="M716" s="56">
        <f t="shared" si="145"/>
        <v>97.623637128413975</v>
      </c>
      <c r="N716" s="56">
        <f t="shared" si="146"/>
        <v>1.993981014780732</v>
      </c>
      <c r="O716" s="56">
        <f t="shared" si="155"/>
        <v>-1.993981014780732</v>
      </c>
      <c r="P716" s="143">
        <f t="shared" si="147"/>
        <v>-4.5406342850425103</v>
      </c>
      <c r="Q716" s="143">
        <f t="shared" si="148"/>
        <v>4.5406342850425103</v>
      </c>
      <c r="R716" s="34">
        <v>2005.8933898457146</v>
      </c>
      <c r="S716" s="56">
        <f t="shared" si="149"/>
        <v>-144.10661015428536</v>
      </c>
      <c r="T716" s="56">
        <f t="shared" si="150"/>
        <v>20766.715090159181</v>
      </c>
      <c r="U716" s="56">
        <f t="shared" si="151"/>
        <v>144.10661015428536</v>
      </c>
      <c r="V716" s="56">
        <f t="shared" si="152"/>
        <v>2.1616871966427174</v>
      </c>
      <c r="W716" s="33">
        <f t="shared" si="153"/>
        <v>-6.702633030431878</v>
      </c>
      <c r="X716" s="143">
        <f t="shared" si="154"/>
        <v>6.702633030431878</v>
      </c>
    </row>
    <row r="717" spans="1:24" ht="15" x14ac:dyDescent="0.2">
      <c r="A717" t="s">
        <v>889</v>
      </c>
      <c r="B717" s="224" t="s">
        <v>515</v>
      </c>
      <c r="C717" s="224" t="s">
        <v>824</v>
      </c>
      <c r="D717" s="35" t="s">
        <v>148</v>
      </c>
      <c r="E717" s="35" t="s">
        <v>662</v>
      </c>
      <c r="F717" s="35" t="s">
        <v>374</v>
      </c>
      <c r="G717" s="35" t="s">
        <v>627</v>
      </c>
      <c r="H717" s="35" t="s">
        <v>580</v>
      </c>
      <c r="I717">
        <v>1895</v>
      </c>
      <c r="J717" s="34">
        <v>1988.8122902983998</v>
      </c>
      <c r="K717" s="34">
        <f t="shared" si="143"/>
        <v>93.81229029839983</v>
      </c>
      <c r="L717" s="56">
        <f t="shared" si="144"/>
        <v>8800.7458110312436</v>
      </c>
      <c r="M717" s="56">
        <f t="shared" si="145"/>
        <v>93.81229029839983</v>
      </c>
      <c r="N717" s="56">
        <f t="shared" si="146"/>
        <v>1.9768646375786789</v>
      </c>
      <c r="O717" s="56">
        <f t="shared" si="155"/>
        <v>1.9768646375786789</v>
      </c>
      <c r="P717" s="143">
        <f t="shared" si="147"/>
        <v>4.9505166384379855</v>
      </c>
      <c r="Q717" s="143">
        <f t="shared" si="148"/>
        <v>4.9505166384379855</v>
      </c>
      <c r="R717" s="34">
        <v>1940.6646323028981</v>
      </c>
      <c r="S717" s="56">
        <f t="shared" si="149"/>
        <v>45.664632302898099</v>
      </c>
      <c r="T717" s="56">
        <f t="shared" si="150"/>
        <v>2085.2586433588845</v>
      </c>
      <c r="U717" s="56">
        <f t="shared" si="151"/>
        <v>45.664632302898099</v>
      </c>
      <c r="V717" s="56">
        <f t="shared" si="152"/>
        <v>1.6689878481253511</v>
      </c>
      <c r="W717" s="33">
        <f t="shared" si="153"/>
        <v>2.4097431294405327</v>
      </c>
      <c r="X717" s="143">
        <f t="shared" si="154"/>
        <v>2.4097431294405327</v>
      </c>
    </row>
    <row r="718" spans="1:24" ht="15" x14ac:dyDescent="0.2">
      <c r="A718" t="s">
        <v>890</v>
      </c>
      <c r="B718" s="224" t="s">
        <v>515</v>
      </c>
      <c r="C718" s="224" t="s">
        <v>824</v>
      </c>
      <c r="D718" s="35" t="s">
        <v>148</v>
      </c>
      <c r="E718" s="35" t="s">
        <v>662</v>
      </c>
      <c r="F718" s="35" t="s">
        <v>374</v>
      </c>
      <c r="G718" s="35" t="s">
        <v>626</v>
      </c>
      <c r="H718" s="35" t="s">
        <v>580</v>
      </c>
      <c r="I718">
        <v>1316</v>
      </c>
      <c r="J718" s="34">
        <v>1277.8266740820682</v>
      </c>
      <c r="K718" s="34">
        <f t="shared" si="143"/>
        <v>-38.173325917931834</v>
      </c>
      <c r="L718" s="56">
        <f t="shared" si="144"/>
        <v>1457.2028116366462</v>
      </c>
      <c r="M718" s="56">
        <f t="shared" si="145"/>
        <v>38.173325917931834</v>
      </c>
      <c r="N718" s="56">
        <f t="shared" si="146"/>
        <v>1.5929904458518096</v>
      </c>
      <c r="O718" s="56">
        <f t="shared" si="155"/>
        <v>-1.5929904458518096</v>
      </c>
      <c r="P718" s="143">
        <f t="shared" si="147"/>
        <v>-2.9007086563777991</v>
      </c>
      <c r="Q718" s="143">
        <f t="shared" si="148"/>
        <v>2.9007086563777991</v>
      </c>
      <c r="R718" s="34">
        <v>1271.4246364409021</v>
      </c>
      <c r="S718" s="56">
        <f t="shared" si="149"/>
        <v>-44.575363559097923</v>
      </c>
      <c r="T718" s="56">
        <f t="shared" si="150"/>
        <v>1986.963036425755</v>
      </c>
      <c r="U718" s="56">
        <f t="shared" si="151"/>
        <v>44.575363559097923</v>
      </c>
      <c r="V718" s="56">
        <f t="shared" si="152"/>
        <v>1.6587301417500597</v>
      </c>
      <c r="W718" s="33">
        <f t="shared" si="153"/>
        <v>-3.3871856807825171</v>
      </c>
      <c r="X718" s="143">
        <f t="shared" si="154"/>
        <v>3.3871856807825171</v>
      </c>
    </row>
    <row r="719" spans="1:24" ht="15" x14ac:dyDescent="0.2">
      <c r="A719" t="s">
        <v>891</v>
      </c>
      <c r="B719" s="224" t="s">
        <v>515</v>
      </c>
      <c r="C719" s="224" t="s">
        <v>824</v>
      </c>
      <c r="D719" s="35" t="s">
        <v>148</v>
      </c>
      <c r="E719" s="35" t="s">
        <v>662</v>
      </c>
      <c r="F719" s="35" t="s">
        <v>374</v>
      </c>
      <c r="G719" s="35" t="s">
        <v>627</v>
      </c>
      <c r="H719" s="35" t="s">
        <v>580</v>
      </c>
      <c r="I719">
        <v>1704</v>
      </c>
      <c r="J719" s="34">
        <v>1685.2717106491937</v>
      </c>
      <c r="K719" s="34">
        <f t="shared" si="143"/>
        <v>-18.728289350806335</v>
      </c>
      <c r="L719" s="56">
        <f t="shared" si="144"/>
        <v>350.74882200752597</v>
      </c>
      <c r="M719" s="56">
        <f t="shared" si="145"/>
        <v>18.728289350806335</v>
      </c>
      <c r="N719" s="56">
        <f t="shared" si="146"/>
        <v>1.2950894290071806</v>
      </c>
      <c r="O719" s="56">
        <f t="shared" si="155"/>
        <v>-1.2950894290071806</v>
      </c>
      <c r="P719" s="143">
        <f t="shared" si="147"/>
        <v>-1.0990780135449727</v>
      </c>
      <c r="Q719" s="143">
        <f t="shared" si="148"/>
        <v>1.0990780135449727</v>
      </c>
      <c r="R719" s="34">
        <v>1672.7206807756877</v>
      </c>
      <c r="S719" s="56">
        <f t="shared" si="149"/>
        <v>-31.279319224312303</v>
      </c>
      <c r="T719" s="56">
        <f t="shared" si="150"/>
        <v>978.39581113643317</v>
      </c>
      <c r="U719" s="56">
        <f t="shared" si="151"/>
        <v>31.279319224312303</v>
      </c>
      <c r="V719" s="56">
        <f t="shared" si="152"/>
        <v>1.5089243668108046</v>
      </c>
      <c r="W719" s="33">
        <f t="shared" si="153"/>
        <v>-1.8356407995488442</v>
      </c>
      <c r="X719" s="143">
        <f t="shared" si="154"/>
        <v>1.8356407995488442</v>
      </c>
    </row>
    <row r="720" spans="1:24" ht="15" x14ac:dyDescent="0.2">
      <c r="A720" t="s">
        <v>892</v>
      </c>
      <c r="B720" s="224" t="s">
        <v>515</v>
      </c>
      <c r="C720" s="224" t="s">
        <v>824</v>
      </c>
      <c r="D720" s="35" t="s">
        <v>148</v>
      </c>
      <c r="E720" s="35" t="s">
        <v>662</v>
      </c>
      <c r="F720" s="35" t="s">
        <v>494</v>
      </c>
      <c r="G720" s="35" t="s">
        <v>626</v>
      </c>
      <c r="H720" s="35" t="s">
        <v>580</v>
      </c>
      <c r="I720">
        <v>1090</v>
      </c>
      <c r="J720" s="34">
        <v>1060.2239769868622</v>
      </c>
      <c r="K720" s="34">
        <f t="shared" si="143"/>
        <v>-29.776023013137774</v>
      </c>
      <c r="L720" s="56">
        <f t="shared" si="144"/>
        <v>886.61154647891033</v>
      </c>
      <c r="M720" s="56">
        <f t="shared" si="145"/>
        <v>29.776023013137774</v>
      </c>
      <c r="N720" s="56">
        <f t="shared" si="146"/>
        <v>1.488212498047752</v>
      </c>
      <c r="O720" s="56">
        <f t="shared" si="155"/>
        <v>-1.488212498047752</v>
      </c>
      <c r="P720" s="143">
        <f t="shared" si="147"/>
        <v>-2.7317452305630985</v>
      </c>
      <c r="Q720" s="143">
        <f t="shared" si="148"/>
        <v>2.7317452305630985</v>
      </c>
      <c r="R720" s="34">
        <v>1041.5127527546599</v>
      </c>
      <c r="S720" s="56">
        <f t="shared" si="149"/>
        <v>-48.487247245340086</v>
      </c>
      <c r="T720" s="56">
        <f t="shared" si="150"/>
        <v>2351.0131454307398</v>
      </c>
      <c r="U720" s="56">
        <f t="shared" si="151"/>
        <v>48.487247245340086</v>
      </c>
      <c r="V720" s="56">
        <f t="shared" si="152"/>
        <v>1.6944932966196316</v>
      </c>
      <c r="W720" s="33">
        <f t="shared" si="153"/>
        <v>-4.4483713069119348</v>
      </c>
      <c r="X720" s="143">
        <f t="shared" si="154"/>
        <v>4.4483713069119348</v>
      </c>
    </row>
    <row r="721" spans="1:24" ht="15" x14ac:dyDescent="0.2">
      <c r="A721" t="s">
        <v>893</v>
      </c>
      <c r="B721" s="224" t="s">
        <v>515</v>
      </c>
      <c r="C721" s="224" t="s">
        <v>824</v>
      </c>
      <c r="D721" s="35" t="s">
        <v>148</v>
      </c>
      <c r="E721" s="35" t="s">
        <v>662</v>
      </c>
      <c r="F721" s="35" t="s">
        <v>374</v>
      </c>
      <c r="G721" s="35" t="s">
        <v>626</v>
      </c>
      <c r="H721" s="35" t="s">
        <v>580</v>
      </c>
      <c r="I721">
        <v>1274</v>
      </c>
      <c r="J721" s="34">
        <v>1203.0778372925508</v>
      </c>
      <c r="K721" s="34">
        <f t="shared" si="143"/>
        <v>-70.922162707449161</v>
      </c>
      <c r="L721" s="56">
        <f t="shared" si="144"/>
        <v>5029.9531631018926</v>
      </c>
      <c r="M721" s="56">
        <f t="shared" si="145"/>
        <v>70.922162707449161</v>
      </c>
      <c r="N721" s="56">
        <f t="shared" si="146"/>
        <v>1.8568627382050014</v>
      </c>
      <c r="O721" s="56">
        <f t="shared" si="155"/>
        <v>-1.8568627382050014</v>
      </c>
      <c r="P721" s="143">
        <f t="shared" si="147"/>
        <v>-5.5668887525470296</v>
      </c>
      <c r="Q721" s="143">
        <f t="shared" si="148"/>
        <v>5.5668887525470296</v>
      </c>
      <c r="R721" s="34">
        <v>1181.5987966479629</v>
      </c>
      <c r="S721" s="56">
        <f t="shared" si="149"/>
        <v>-92.401203352037101</v>
      </c>
      <c r="T721" s="56">
        <f t="shared" si="150"/>
        <v>8537.982380904512</v>
      </c>
      <c r="U721" s="56">
        <f t="shared" si="151"/>
        <v>92.401203352037101</v>
      </c>
      <c r="V721" s="56">
        <f t="shared" si="152"/>
        <v>1.9703524715810883</v>
      </c>
      <c r="W721" s="33">
        <f t="shared" si="153"/>
        <v>-7.2528417073812479</v>
      </c>
      <c r="X721" s="143">
        <f t="shared" si="154"/>
        <v>7.2528417073812479</v>
      </c>
    </row>
    <row r="722" spans="1:24" ht="15" x14ac:dyDescent="0.2">
      <c r="A722" t="s">
        <v>894</v>
      </c>
      <c r="B722" s="224" t="s">
        <v>515</v>
      </c>
      <c r="C722" s="224" t="s">
        <v>824</v>
      </c>
      <c r="D722" s="35" t="s">
        <v>148</v>
      </c>
      <c r="E722" s="35" t="s">
        <v>662</v>
      </c>
      <c r="F722" s="35" t="s">
        <v>494</v>
      </c>
      <c r="G722" s="35" t="s">
        <v>626</v>
      </c>
      <c r="H722" s="35" t="s">
        <v>580</v>
      </c>
      <c r="I722">
        <v>1111</v>
      </c>
      <c r="J722" s="34">
        <v>1089.592959866741</v>
      </c>
      <c r="K722" s="34">
        <f t="shared" si="143"/>
        <v>-21.407040133258988</v>
      </c>
      <c r="L722" s="56">
        <f t="shared" si="144"/>
        <v>458.26136726696097</v>
      </c>
      <c r="M722" s="56">
        <f t="shared" si="145"/>
        <v>21.407040133258988</v>
      </c>
      <c r="N722" s="56">
        <f t="shared" si="146"/>
        <v>1.3503844920241146</v>
      </c>
      <c r="O722" s="56">
        <f t="shared" si="155"/>
        <v>-1.3503844920241146</v>
      </c>
      <c r="P722" s="143">
        <f t="shared" si="147"/>
        <v>-1.9268262946227712</v>
      </c>
      <c r="Q722" s="143">
        <f t="shared" si="148"/>
        <v>1.9268262946227712</v>
      </c>
      <c r="R722" s="34">
        <v>1074.0000966834873</v>
      </c>
      <c r="S722" s="56">
        <f t="shared" si="149"/>
        <v>-36.9999033165127</v>
      </c>
      <c r="T722" s="56">
        <f t="shared" si="150"/>
        <v>1368.9928454312876</v>
      </c>
      <c r="U722" s="56">
        <f t="shared" si="151"/>
        <v>36.9999033165127</v>
      </c>
      <c r="V722" s="56">
        <f t="shared" si="152"/>
        <v>1.5797824916389565</v>
      </c>
      <c r="W722" s="33">
        <f t="shared" si="153"/>
        <v>-3.3303243309192347</v>
      </c>
      <c r="X722" s="143">
        <f t="shared" si="154"/>
        <v>3.3303243309192347</v>
      </c>
    </row>
    <row r="723" spans="1:24" ht="15" x14ac:dyDescent="0.2">
      <c r="A723" t="s">
        <v>895</v>
      </c>
      <c r="B723" s="224" t="s">
        <v>515</v>
      </c>
      <c r="C723" s="224" t="s">
        <v>824</v>
      </c>
      <c r="D723" s="35" t="s">
        <v>148</v>
      </c>
      <c r="E723" s="35" t="s">
        <v>662</v>
      </c>
      <c r="F723" s="35" t="s">
        <v>494</v>
      </c>
      <c r="G723" s="35" t="s">
        <v>626</v>
      </c>
      <c r="H723" s="35" t="s">
        <v>580</v>
      </c>
      <c r="I723">
        <v>1185</v>
      </c>
      <c r="J723" s="34">
        <v>1183.241125745011</v>
      </c>
      <c r="K723" s="34">
        <f t="shared" si="143"/>
        <v>-1.7588742549889957</v>
      </c>
      <c r="L723" s="56">
        <f t="shared" si="144"/>
        <v>3.0936386448630948</v>
      </c>
      <c r="M723" s="56">
        <f t="shared" si="145"/>
        <v>1.7588742549889957</v>
      </c>
      <c r="N723" s="56">
        <f t="shared" si="146"/>
        <v>0.44073190649262767</v>
      </c>
      <c r="O723" s="56">
        <f t="shared" si="155"/>
        <v>-0.44073190649262767</v>
      </c>
      <c r="P723" s="143">
        <f t="shared" si="147"/>
        <v>-0.14842820717206714</v>
      </c>
      <c r="Q723" s="143">
        <f t="shared" si="148"/>
        <v>0.14842820717206714</v>
      </c>
      <c r="R723" s="34">
        <v>1172.1918757434262</v>
      </c>
      <c r="S723" s="56">
        <f t="shared" si="149"/>
        <v>-12.808124256573819</v>
      </c>
      <c r="T723" s="56">
        <f t="shared" si="150"/>
        <v>164.04804697183465</v>
      </c>
      <c r="U723" s="56">
        <f t="shared" si="151"/>
        <v>12.808124256573819</v>
      </c>
      <c r="V723" s="56">
        <f t="shared" si="152"/>
        <v>1.140134686518697</v>
      </c>
      <c r="W723" s="33">
        <f t="shared" si="153"/>
        <v>-1.0808543676433602</v>
      </c>
      <c r="X723" s="143">
        <f t="shared" si="154"/>
        <v>1.0808543676433602</v>
      </c>
    </row>
    <row r="724" spans="1:24" ht="15" x14ac:dyDescent="0.2">
      <c r="A724" t="s">
        <v>896</v>
      </c>
      <c r="B724" s="224" t="s">
        <v>515</v>
      </c>
      <c r="C724" s="224" t="s">
        <v>824</v>
      </c>
      <c r="D724" s="35" t="s">
        <v>148</v>
      </c>
      <c r="E724" s="35" t="s">
        <v>662</v>
      </c>
      <c r="F724" s="35" t="s">
        <v>374</v>
      </c>
      <c r="G724" s="35" t="s">
        <v>627</v>
      </c>
      <c r="H724" s="35" t="s">
        <v>580</v>
      </c>
      <c r="I724">
        <v>1750</v>
      </c>
      <c r="J724" s="34">
        <v>1680.0945734339318</v>
      </c>
      <c r="K724" s="34">
        <f t="shared" si="143"/>
        <v>-69.905426566068172</v>
      </c>
      <c r="L724" s="56">
        <f t="shared" si="144"/>
        <v>4886.7686633839494</v>
      </c>
      <c r="M724" s="56">
        <f t="shared" si="145"/>
        <v>69.905426566068172</v>
      </c>
      <c r="N724" s="56">
        <f t="shared" si="146"/>
        <v>1.8506794740760668</v>
      </c>
      <c r="O724" s="56">
        <f t="shared" si="155"/>
        <v>-1.8506794740760668</v>
      </c>
      <c r="P724" s="143">
        <f t="shared" si="147"/>
        <v>-3.994595803775324</v>
      </c>
      <c r="Q724" s="143">
        <f t="shared" si="148"/>
        <v>3.994595803775324</v>
      </c>
      <c r="R724" s="34">
        <v>1662.8943781330693</v>
      </c>
      <c r="S724" s="56">
        <f t="shared" si="149"/>
        <v>-87.105621866930733</v>
      </c>
      <c r="T724" s="56">
        <f t="shared" si="150"/>
        <v>7587.3893608247217</v>
      </c>
      <c r="U724" s="56">
        <f t="shared" si="151"/>
        <v>87.105621866930733</v>
      </c>
      <c r="V724" s="56">
        <f t="shared" si="152"/>
        <v>1.9450036208738977</v>
      </c>
      <c r="W724" s="33">
        <f t="shared" si="153"/>
        <v>-4.9774641066817571</v>
      </c>
      <c r="X724" s="143">
        <f t="shared" si="154"/>
        <v>4.9774641066817571</v>
      </c>
    </row>
    <row r="725" spans="1:24" ht="15" x14ac:dyDescent="0.2">
      <c r="A725" t="s">
        <v>897</v>
      </c>
      <c r="B725" s="224" t="s">
        <v>515</v>
      </c>
      <c r="C725" s="224" t="s">
        <v>824</v>
      </c>
      <c r="D725" s="35" t="s">
        <v>148</v>
      </c>
      <c r="E725" s="35" t="s">
        <v>662</v>
      </c>
      <c r="F725" s="35" t="s">
        <v>494</v>
      </c>
      <c r="G725" s="35" t="s">
        <v>626</v>
      </c>
      <c r="H725" s="35" t="s">
        <v>580</v>
      </c>
      <c r="I725">
        <v>1031</v>
      </c>
      <c r="J725" s="34">
        <v>992.09457636409627</v>
      </c>
      <c r="K725" s="34">
        <f t="shared" si="143"/>
        <v>-38.90542363590373</v>
      </c>
      <c r="L725" s="56">
        <f t="shared" si="144"/>
        <v>1513.6319882891366</v>
      </c>
      <c r="M725" s="56">
        <f t="shared" si="145"/>
        <v>38.90542363590373</v>
      </c>
      <c r="N725" s="56">
        <f t="shared" si="146"/>
        <v>1.6010319256383769</v>
      </c>
      <c r="O725" s="56">
        <f t="shared" si="155"/>
        <v>-1.6010319256383769</v>
      </c>
      <c r="P725" s="143">
        <f t="shared" si="147"/>
        <v>-3.7735619433466274</v>
      </c>
      <c r="Q725" s="143">
        <f t="shared" si="148"/>
        <v>3.7735619433466274</v>
      </c>
      <c r="R725" s="34">
        <v>981.51649717891257</v>
      </c>
      <c r="S725" s="56">
        <f t="shared" si="149"/>
        <v>-49.483502821087427</v>
      </c>
      <c r="T725" s="56">
        <f t="shared" si="150"/>
        <v>2448.6170514445676</v>
      </c>
      <c r="U725" s="56">
        <f t="shared" si="151"/>
        <v>49.483502821087427</v>
      </c>
      <c r="V725" s="56">
        <f t="shared" si="152"/>
        <v>1.703149481004137</v>
      </c>
      <c r="W725" s="33">
        <f t="shared" si="153"/>
        <v>-4.7995638041791873</v>
      </c>
      <c r="X725" s="143">
        <f t="shared" si="154"/>
        <v>4.7995638041791873</v>
      </c>
    </row>
    <row r="726" spans="1:24" ht="15" x14ac:dyDescent="0.2">
      <c r="A726" t="s">
        <v>898</v>
      </c>
      <c r="B726" s="224" t="s">
        <v>515</v>
      </c>
      <c r="C726" s="224" t="s">
        <v>824</v>
      </c>
      <c r="D726" s="35" t="s">
        <v>148</v>
      </c>
      <c r="E726" s="35" t="s">
        <v>662</v>
      </c>
      <c r="F726" s="225" t="s">
        <v>494</v>
      </c>
      <c r="G726" s="35" t="s">
        <v>626</v>
      </c>
      <c r="H726" s="35" t="s">
        <v>580</v>
      </c>
      <c r="I726">
        <v>874</v>
      </c>
      <c r="J726" s="34">
        <v>910.14969143015594</v>
      </c>
      <c r="K726" s="34">
        <f t="shared" si="143"/>
        <v>36.14969143015594</v>
      </c>
      <c r="L726" s="56">
        <f t="shared" si="144"/>
        <v>1306.8001904954899</v>
      </c>
      <c r="M726" s="56">
        <f t="shared" si="145"/>
        <v>36.14969143015594</v>
      </c>
      <c r="N726" s="56">
        <f t="shared" si="146"/>
        <v>1.5699552108089196</v>
      </c>
      <c r="O726" s="56">
        <f t="shared" si="155"/>
        <v>1.5699552108089196</v>
      </c>
      <c r="P726" s="143">
        <f t="shared" si="147"/>
        <v>4.1361203009331735</v>
      </c>
      <c r="Q726" s="143">
        <f t="shared" si="148"/>
        <v>4.1361203009331735</v>
      </c>
      <c r="R726" s="34">
        <v>908.30261007754825</v>
      </c>
      <c r="S726" s="56">
        <f t="shared" si="149"/>
        <v>34.302610077548252</v>
      </c>
      <c r="T726" s="56">
        <f t="shared" si="150"/>
        <v>1176.6690581323148</v>
      </c>
      <c r="U726" s="56">
        <f t="shared" si="151"/>
        <v>34.302610077548252</v>
      </c>
      <c r="V726" s="56">
        <f t="shared" si="152"/>
        <v>1.5478068158799365</v>
      </c>
      <c r="W726" s="33">
        <f t="shared" si="153"/>
        <v>3.9247837617332095</v>
      </c>
      <c r="X726" s="143">
        <f t="shared" si="154"/>
        <v>3.9247837617332095</v>
      </c>
    </row>
    <row r="727" spans="1:24" ht="15" x14ac:dyDescent="0.2">
      <c r="A727" t="s">
        <v>899</v>
      </c>
      <c r="B727" s="224" t="s">
        <v>515</v>
      </c>
      <c r="C727" s="224" t="s">
        <v>824</v>
      </c>
      <c r="D727" s="35" t="s">
        <v>148</v>
      </c>
      <c r="E727" s="35" t="s">
        <v>662</v>
      </c>
      <c r="F727" s="35" t="s">
        <v>374</v>
      </c>
      <c r="G727" s="35" t="s">
        <v>627</v>
      </c>
      <c r="H727" s="35" t="s">
        <v>580</v>
      </c>
      <c r="I727">
        <v>2060</v>
      </c>
      <c r="J727" s="34">
        <v>2047.0698324216023</v>
      </c>
      <c r="K727" s="34">
        <f t="shared" si="143"/>
        <v>-12.930167578397686</v>
      </c>
      <c r="L727" s="56">
        <f t="shared" si="144"/>
        <v>167.18923360544667</v>
      </c>
      <c r="M727" s="56">
        <f t="shared" si="145"/>
        <v>12.930167578397686</v>
      </c>
      <c r="N727" s="56">
        <f t="shared" si="146"/>
        <v>1.1439563409706714</v>
      </c>
      <c r="O727" s="56">
        <f t="shared" si="155"/>
        <v>-1.1439563409706714</v>
      </c>
      <c r="P727" s="143">
        <f t="shared" si="147"/>
        <v>-0.6276780377862955</v>
      </c>
      <c r="Q727" s="143">
        <f t="shared" si="148"/>
        <v>0.6276780377862955</v>
      </c>
      <c r="R727" s="34">
        <v>2005.8933898457146</v>
      </c>
      <c r="S727" s="56">
        <f t="shared" si="149"/>
        <v>-54.106610154285363</v>
      </c>
      <c r="T727" s="56">
        <f t="shared" si="150"/>
        <v>2927.5252623878159</v>
      </c>
      <c r="U727" s="56">
        <f t="shared" si="151"/>
        <v>54.106610154285363</v>
      </c>
      <c r="V727" s="56">
        <f t="shared" si="152"/>
        <v>1.7412036965168904</v>
      </c>
      <c r="W727" s="33">
        <f t="shared" si="153"/>
        <v>-2.6265344735089982</v>
      </c>
      <c r="X727" s="143">
        <f t="shared" si="154"/>
        <v>2.6265344735089982</v>
      </c>
    </row>
    <row r="728" spans="1:24" ht="15" x14ac:dyDescent="0.2">
      <c r="A728" t="s">
        <v>836</v>
      </c>
      <c r="B728" s="224" t="s">
        <v>515</v>
      </c>
      <c r="C728" s="224" t="s">
        <v>824</v>
      </c>
      <c r="D728" s="35" t="s">
        <v>148</v>
      </c>
      <c r="E728" s="35" t="s">
        <v>662</v>
      </c>
      <c r="F728" s="35" t="s">
        <v>374</v>
      </c>
      <c r="G728" s="35" t="s">
        <v>627</v>
      </c>
      <c r="H728" s="35" t="s">
        <v>580</v>
      </c>
      <c r="I728">
        <v>2190</v>
      </c>
      <c r="J728" s="34">
        <v>2309.0507053687115</v>
      </c>
      <c r="K728" s="34">
        <f t="shared" si="143"/>
        <v>119.05070536871153</v>
      </c>
      <c r="L728" s="56">
        <f t="shared" si="144"/>
        <v>14173.070448787761</v>
      </c>
      <c r="M728" s="56">
        <f t="shared" si="145"/>
        <v>119.05070536871153</v>
      </c>
      <c r="N728" s="56">
        <f t="shared" si="146"/>
        <v>2.0793647161368125</v>
      </c>
      <c r="O728" s="56">
        <f t="shared" si="155"/>
        <v>2.0793647161368125</v>
      </c>
      <c r="P728" s="143">
        <f t="shared" si="147"/>
        <v>5.4361052679776956</v>
      </c>
      <c r="Q728" s="143">
        <f t="shared" si="148"/>
        <v>5.4361052679776956</v>
      </c>
      <c r="R728" s="34">
        <v>2330.7884312340916</v>
      </c>
      <c r="S728" s="56">
        <f t="shared" si="149"/>
        <v>140.7884312340916</v>
      </c>
      <c r="T728" s="56">
        <f t="shared" si="150"/>
        <v>19821.382369356539</v>
      </c>
      <c r="U728" s="56">
        <f t="shared" si="151"/>
        <v>140.7884312340916</v>
      </c>
      <c r="V728" s="56">
        <f t="shared" si="152"/>
        <v>2.1516407974467686</v>
      </c>
      <c r="W728" s="33">
        <f t="shared" si="153"/>
        <v>6.4286954901411688</v>
      </c>
      <c r="X728" s="143">
        <f t="shared" si="154"/>
        <v>6.4286954901411688</v>
      </c>
    </row>
    <row r="729" spans="1:24" ht="15" x14ac:dyDescent="0.2">
      <c r="A729" t="s">
        <v>837</v>
      </c>
      <c r="B729" s="224" t="s">
        <v>515</v>
      </c>
      <c r="C729" s="224" t="s">
        <v>824</v>
      </c>
      <c r="D729" s="35" t="s">
        <v>148</v>
      </c>
      <c r="E729" s="35" t="s">
        <v>662</v>
      </c>
      <c r="F729" s="225" t="s">
        <v>293</v>
      </c>
      <c r="G729" s="35" t="s">
        <v>627</v>
      </c>
      <c r="H729" s="29" t="s">
        <v>580</v>
      </c>
      <c r="I729">
        <v>2570</v>
      </c>
      <c r="J729" s="34">
        <v>2772.296628975394</v>
      </c>
      <c r="K729" s="34">
        <f t="shared" si="143"/>
        <v>202.29662897539401</v>
      </c>
      <c r="L729" s="56">
        <f t="shared" si="144"/>
        <v>40923.926094808223</v>
      </c>
      <c r="M729" s="56">
        <f t="shared" si="145"/>
        <v>202.29662897539401</v>
      </c>
      <c r="N729" s="56">
        <f t="shared" si="146"/>
        <v>2.3081301773122997</v>
      </c>
      <c r="O729" s="56">
        <f t="shared" si="155"/>
        <v>2.3081301773122997</v>
      </c>
      <c r="P729" s="143">
        <f t="shared" si="147"/>
        <v>7.871464162466693</v>
      </c>
      <c r="Q729" s="143">
        <f t="shared" si="148"/>
        <v>7.871464162466693</v>
      </c>
      <c r="R729" s="34">
        <v>2797.3256877526032</v>
      </c>
      <c r="S729" s="56">
        <f t="shared" si="149"/>
        <v>227.32568775260324</v>
      </c>
      <c r="T729" s="56">
        <f t="shared" si="150"/>
        <v>51676.968312194069</v>
      </c>
      <c r="U729" s="56">
        <f t="shared" si="151"/>
        <v>227.32568775260324</v>
      </c>
      <c r="V729" s="56">
        <f t="shared" si="152"/>
        <v>2.3585547744846704</v>
      </c>
      <c r="W729" s="33">
        <f t="shared" si="153"/>
        <v>8.8453575001012936</v>
      </c>
      <c r="X729" s="143">
        <f t="shared" si="154"/>
        <v>8.8453575001012936</v>
      </c>
    </row>
    <row r="730" spans="1:24" ht="15" x14ac:dyDescent="0.2">
      <c r="A730" t="s">
        <v>838</v>
      </c>
      <c r="B730" s="224" t="s">
        <v>515</v>
      </c>
      <c r="C730" s="224" t="s">
        <v>824</v>
      </c>
      <c r="D730" s="35" t="s">
        <v>148</v>
      </c>
      <c r="E730" s="35" t="s">
        <v>662</v>
      </c>
      <c r="F730" s="35" t="s">
        <v>374</v>
      </c>
      <c r="G730" s="35" t="s">
        <v>627</v>
      </c>
      <c r="H730" s="35" t="s">
        <v>580</v>
      </c>
      <c r="I730">
        <v>2285</v>
      </c>
      <c r="J730" s="34">
        <v>2471.3324524302984</v>
      </c>
      <c r="K730" s="34">
        <f t="shared" si="143"/>
        <v>186.33245243029842</v>
      </c>
      <c r="L730" s="56">
        <f t="shared" si="144"/>
        <v>34719.782828689422</v>
      </c>
      <c r="M730" s="56">
        <f t="shared" si="145"/>
        <v>186.33245243029842</v>
      </c>
      <c r="N730" s="56">
        <f t="shared" si="146"/>
        <v>2.2726130186489004</v>
      </c>
      <c r="O730" s="56">
        <f t="shared" si="155"/>
        <v>2.2726130186489004</v>
      </c>
      <c r="P730" s="143">
        <f t="shared" si="147"/>
        <v>8.1545931041706101</v>
      </c>
      <c r="Q730" s="143">
        <f t="shared" si="148"/>
        <v>8.1545931041706101</v>
      </c>
      <c r="R730" s="34">
        <v>2485.1098237131282</v>
      </c>
      <c r="S730" s="56">
        <f t="shared" si="149"/>
        <v>200.10982371312821</v>
      </c>
      <c r="T730" s="56">
        <f t="shared" si="150"/>
        <v>40043.941546499249</v>
      </c>
      <c r="U730" s="56">
        <f t="shared" si="151"/>
        <v>200.10982371312821</v>
      </c>
      <c r="V730" s="56">
        <f t="shared" si="152"/>
        <v>2.3034332853167845</v>
      </c>
      <c r="W730" s="33">
        <f t="shared" si="153"/>
        <v>8.7575415191741008</v>
      </c>
      <c r="X730" s="143">
        <f t="shared" si="154"/>
        <v>8.7575415191741008</v>
      </c>
    </row>
    <row r="731" spans="1:24" ht="16" x14ac:dyDescent="0.2">
      <c r="A731" t="s">
        <v>839</v>
      </c>
      <c r="B731" s="224" t="s">
        <v>515</v>
      </c>
      <c r="C731" s="224" t="s">
        <v>824</v>
      </c>
      <c r="D731" s="35" t="s">
        <v>148</v>
      </c>
      <c r="E731" s="35" t="s">
        <v>662</v>
      </c>
      <c r="F731" s="35" t="s">
        <v>374</v>
      </c>
      <c r="G731" s="35" t="s">
        <v>626</v>
      </c>
      <c r="H731" s="35" t="s">
        <v>580</v>
      </c>
      <c r="I731" s="147">
        <v>1380</v>
      </c>
      <c r="J731" s="34">
        <v>1317.9196840977086</v>
      </c>
      <c r="K731" s="34">
        <f t="shared" si="143"/>
        <v>-62.080315902291431</v>
      </c>
      <c r="L731" s="56">
        <f t="shared" si="144"/>
        <v>3853.9656225282984</v>
      </c>
      <c r="M731" s="56">
        <f t="shared" si="145"/>
        <v>62.080315902291431</v>
      </c>
      <c r="N731" s="56">
        <f t="shared" si="146"/>
        <v>1.7998938595820151</v>
      </c>
      <c r="O731" s="56">
        <f t="shared" si="155"/>
        <v>-1.7998938595820151</v>
      </c>
      <c r="P731" s="143">
        <f t="shared" si="147"/>
        <v>-4.4985736161080752</v>
      </c>
      <c r="Q731" s="143">
        <f t="shared" si="148"/>
        <v>4.4985736161080752</v>
      </c>
      <c r="R731" s="34">
        <v>1323.7981467492684</v>
      </c>
      <c r="S731" s="56">
        <f t="shared" si="149"/>
        <v>-56.201853250731574</v>
      </c>
      <c r="T731" s="56">
        <f t="shared" si="150"/>
        <v>3158.648308816767</v>
      </c>
      <c r="U731" s="56">
        <f t="shared" si="151"/>
        <v>56.201853250731574</v>
      </c>
      <c r="V731" s="56">
        <f t="shared" si="152"/>
        <v>1.7574100994840751</v>
      </c>
      <c r="W731" s="33">
        <f t="shared" si="153"/>
        <v>-4.0725980616472155</v>
      </c>
      <c r="X731" s="143">
        <f t="shared" si="154"/>
        <v>4.0725980616472155</v>
      </c>
    </row>
    <row r="732" spans="1:24" ht="16" x14ac:dyDescent="0.2">
      <c r="A732" t="s">
        <v>840</v>
      </c>
      <c r="B732" s="224" t="s">
        <v>515</v>
      </c>
      <c r="C732" s="224" t="s">
        <v>824</v>
      </c>
      <c r="D732" s="35" t="s">
        <v>148</v>
      </c>
      <c r="E732" s="35" t="s">
        <v>662</v>
      </c>
      <c r="F732" s="225" t="s">
        <v>293</v>
      </c>
      <c r="G732" s="35" t="s">
        <v>627</v>
      </c>
      <c r="H732" s="29" t="s">
        <v>580</v>
      </c>
      <c r="I732" s="147">
        <v>2645</v>
      </c>
      <c r="J732" s="34">
        <v>2689.789322527281</v>
      </c>
      <c r="K732" s="34">
        <f t="shared" si="143"/>
        <v>44.789322527281001</v>
      </c>
      <c r="L732" s="56">
        <f t="shared" si="144"/>
        <v>2006.0834124528014</v>
      </c>
      <c r="M732" s="56">
        <f t="shared" si="145"/>
        <v>44.789322527281001</v>
      </c>
      <c r="N732" s="56">
        <f t="shared" si="146"/>
        <v>1.6607642180015985</v>
      </c>
      <c r="O732" s="56">
        <f t="shared" si="155"/>
        <v>1.6607642180015985</v>
      </c>
      <c r="P732" s="143">
        <f t="shared" si="147"/>
        <v>1.6933581295758413</v>
      </c>
      <c r="Q732" s="143">
        <f t="shared" si="148"/>
        <v>1.6933581295758413</v>
      </c>
      <c r="R732" s="34">
        <v>2692.7428497888218</v>
      </c>
      <c r="S732" s="56">
        <f t="shared" si="149"/>
        <v>47.742849788821786</v>
      </c>
      <c r="T732" s="56">
        <f t="shared" si="150"/>
        <v>2279.3797059580006</v>
      </c>
      <c r="U732" s="56">
        <f t="shared" si="151"/>
        <v>47.742849788821786</v>
      </c>
      <c r="V732" s="56">
        <f t="shared" si="152"/>
        <v>1.6879109169574287</v>
      </c>
      <c r="W732" s="33">
        <f t="shared" si="153"/>
        <v>1.8050226763259654</v>
      </c>
      <c r="X732" s="143">
        <f t="shared" si="154"/>
        <v>1.8050226763259654</v>
      </c>
    </row>
    <row r="733" spans="1:24" ht="16" x14ac:dyDescent="0.2">
      <c r="A733" t="s">
        <v>841</v>
      </c>
      <c r="B733" s="224" t="s">
        <v>515</v>
      </c>
      <c r="C733" s="224" t="s">
        <v>824</v>
      </c>
      <c r="D733" s="35" t="s">
        <v>148</v>
      </c>
      <c r="E733" s="35" t="s">
        <v>662</v>
      </c>
      <c r="F733" s="35" t="s">
        <v>374</v>
      </c>
      <c r="G733" s="35" t="s">
        <v>626</v>
      </c>
      <c r="H733" s="35" t="s">
        <v>580</v>
      </c>
      <c r="I733" s="147">
        <v>1325</v>
      </c>
      <c r="J733" s="34">
        <v>1292.8433760975963</v>
      </c>
      <c r="K733" s="34">
        <f t="shared" si="143"/>
        <v>-32.15662390240368</v>
      </c>
      <c r="L733" s="56">
        <f t="shared" si="144"/>
        <v>1034.0484608006398</v>
      </c>
      <c r="M733" s="56">
        <f t="shared" si="145"/>
        <v>32.15662390240368</v>
      </c>
      <c r="N733" s="56">
        <f t="shared" si="146"/>
        <v>1.5205703030844724</v>
      </c>
      <c r="O733" s="56">
        <f t="shared" si="155"/>
        <v>-1.5205703030844724</v>
      </c>
      <c r="P733" s="143">
        <f t="shared" si="147"/>
        <v>-2.4269150115021647</v>
      </c>
      <c r="Q733" s="143">
        <f t="shared" si="148"/>
        <v>2.4269150115021647</v>
      </c>
      <c r="R733" s="34">
        <v>1290.4389053750222</v>
      </c>
      <c r="S733" s="56">
        <f t="shared" si="149"/>
        <v>-34.561094624977841</v>
      </c>
      <c r="T733" s="56">
        <f t="shared" si="150"/>
        <v>1194.4692616766722</v>
      </c>
      <c r="U733" s="56">
        <f t="shared" si="151"/>
        <v>34.561094624977841</v>
      </c>
      <c r="V733" s="56">
        <f t="shared" si="152"/>
        <v>1.5509751207534894</v>
      </c>
      <c r="W733" s="33">
        <f t="shared" si="153"/>
        <v>-2.6083844999983277</v>
      </c>
      <c r="X733" s="143">
        <f t="shared" si="154"/>
        <v>2.6083844999983277</v>
      </c>
    </row>
    <row r="734" spans="1:24" ht="16" x14ac:dyDescent="0.2">
      <c r="A734" t="s">
        <v>842</v>
      </c>
      <c r="B734" s="224" t="s">
        <v>515</v>
      </c>
      <c r="C734" s="224" t="s">
        <v>824</v>
      </c>
      <c r="D734" s="35" t="s">
        <v>148</v>
      </c>
      <c r="E734" s="35" t="s">
        <v>662</v>
      </c>
      <c r="F734" s="35" t="s">
        <v>374</v>
      </c>
      <c r="G734" s="35" t="s">
        <v>627</v>
      </c>
      <c r="H734" s="35" t="s">
        <v>580</v>
      </c>
      <c r="I734" s="147">
        <v>2435</v>
      </c>
      <c r="J734" s="34">
        <v>2525.7285265125197</v>
      </c>
      <c r="K734" s="34">
        <f t="shared" si="143"/>
        <v>90.728526512519693</v>
      </c>
      <c r="L734" s="56">
        <f t="shared" si="144"/>
        <v>8231.6655231329896</v>
      </c>
      <c r="M734" s="56">
        <f t="shared" si="145"/>
        <v>90.728526512519693</v>
      </c>
      <c r="N734" s="56">
        <f t="shared" si="146"/>
        <v>1.9625044172444159</v>
      </c>
      <c r="O734" s="56">
        <f t="shared" si="155"/>
        <v>1.9625044172444159</v>
      </c>
      <c r="P734" s="143">
        <f t="shared" si="147"/>
        <v>3.7260175159145663</v>
      </c>
      <c r="Q734" s="143">
        <f t="shared" si="148"/>
        <v>3.7260175159145663</v>
      </c>
      <c r="R734" s="34">
        <v>2485.1098237131282</v>
      </c>
      <c r="S734" s="56">
        <f t="shared" si="149"/>
        <v>50.109823713128208</v>
      </c>
      <c r="T734" s="56">
        <f t="shared" si="150"/>
        <v>2510.9944325607862</v>
      </c>
      <c r="U734" s="56">
        <f t="shared" si="151"/>
        <v>50.109823713128208</v>
      </c>
      <c r="V734" s="56">
        <f t="shared" si="152"/>
        <v>1.7085043829989135</v>
      </c>
      <c r="W734" s="33">
        <f t="shared" si="153"/>
        <v>2.0578983044405836</v>
      </c>
      <c r="X734" s="143">
        <f t="shared" si="154"/>
        <v>2.0578983044405836</v>
      </c>
    </row>
    <row r="735" spans="1:24" ht="16" x14ac:dyDescent="0.2">
      <c r="A735" t="s">
        <v>843</v>
      </c>
      <c r="B735" s="224" t="s">
        <v>515</v>
      </c>
      <c r="C735" s="224" t="s">
        <v>824</v>
      </c>
      <c r="D735" s="35" t="s">
        <v>148</v>
      </c>
      <c r="E735" s="35" t="s">
        <v>662</v>
      </c>
      <c r="F735" s="35" t="s">
        <v>494</v>
      </c>
      <c r="G735" s="35" t="s">
        <v>626</v>
      </c>
      <c r="H735" s="35" t="s">
        <v>580</v>
      </c>
      <c r="I735" s="147">
        <v>1126</v>
      </c>
      <c r="J735" s="34">
        <v>1104.314845144386</v>
      </c>
      <c r="K735" s="34">
        <f t="shared" si="143"/>
        <v>-21.685154855613973</v>
      </c>
      <c r="L735" s="56">
        <f t="shared" si="144"/>
        <v>470.2459411119583</v>
      </c>
      <c r="M735" s="56">
        <f t="shared" si="145"/>
        <v>21.685154855613973</v>
      </c>
      <c r="N735" s="56">
        <f t="shared" si="146"/>
        <v>1.3557417482354539</v>
      </c>
      <c r="O735" s="56">
        <f t="shared" si="155"/>
        <v>-1.3557417482354539</v>
      </c>
      <c r="P735" s="143">
        <f t="shared" si="147"/>
        <v>-1.9258574472126087</v>
      </c>
      <c r="Q735" s="143">
        <f t="shared" si="148"/>
        <v>1.9258574472126087</v>
      </c>
      <c r="R735" s="34">
        <v>1111.2794653429034</v>
      </c>
      <c r="S735" s="56">
        <f t="shared" si="149"/>
        <v>-14.72053465709655</v>
      </c>
      <c r="T735" s="56">
        <f t="shared" si="150"/>
        <v>216.69414059078065</v>
      </c>
      <c r="U735" s="56">
        <f t="shared" si="151"/>
        <v>14.72053465709655</v>
      </c>
      <c r="V735" s="56">
        <f t="shared" si="152"/>
        <v>1.1964673123572152</v>
      </c>
      <c r="W735" s="33">
        <f t="shared" si="153"/>
        <v>-1.3073298984988055</v>
      </c>
      <c r="X735" s="143">
        <f t="shared" si="154"/>
        <v>1.3073298984988055</v>
      </c>
    </row>
    <row r="736" spans="1:24" ht="16" x14ac:dyDescent="0.2">
      <c r="A736" t="s">
        <v>844</v>
      </c>
      <c r="B736" s="224" t="s">
        <v>515</v>
      </c>
      <c r="C736" s="224" t="s">
        <v>824</v>
      </c>
      <c r="D736" s="35" t="s">
        <v>148</v>
      </c>
      <c r="E736" s="35" t="s">
        <v>662</v>
      </c>
      <c r="F736" s="225" t="s">
        <v>494</v>
      </c>
      <c r="G736" s="35" t="s">
        <v>626</v>
      </c>
      <c r="H736" s="35" t="s">
        <v>580</v>
      </c>
      <c r="I736" s="147">
        <v>1028</v>
      </c>
      <c r="J736" s="34">
        <v>1006.6458556388822</v>
      </c>
      <c r="K736" s="34">
        <f t="shared" si="143"/>
        <v>-21.354144361117847</v>
      </c>
      <c r="L736" s="56">
        <f t="shared" si="144"/>
        <v>455.99948139546115</v>
      </c>
      <c r="M736" s="56">
        <f t="shared" si="145"/>
        <v>21.354144361117847</v>
      </c>
      <c r="N736" s="56">
        <f t="shared" si="146"/>
        <v>1.3493580512402084</v>
      </c>
      <c r="O736" s="56">
        <f t="shared" si="155"/>
        <v>-1.3493580512402084</v>
      </c>
      <c r="P736" s="143">
        <f t="shared" si="147"/>
        <v>-2.0772513969958997</v>
      </c>
      <c r="Q736" s="143">
        <f t="shared" si="148"/>
        <v>2.0772513969958997</v>
      </c>
      <c r="R736" s="34">
        <v>999.92932057678115</v>
      </c>
      <c r="S736" s="56">
        <f t="shared" si="149"/>
        <v>-28.070679423218849</v>
      </c>
      <c r="T736" s="56">
        <f t="shared" si="150"/>
        <v>787.96304328112205</v>
      </c>
      <c r="U736" s="56">
        <f t="shared" si="151"/>
        <v>28.070679423218849</v>
      </c>
      <c r="V736" s="56">
        <f t="shared" si="152"/>
        <v>1.4634551819701764</v>
      </c>
      <c r="W736" s="33">
        <f t="shared" si="153"/>
        <v>-2.7306108388345183</v>
      </c>
      <c r="X736" s="143">
        <f t="shared" si="154"/>
        <v>2.7306108388345183</v>
      </c>
    </row>
    <row r="737" spans="1:24" ht="16" x14ac:dyDescent="0.2">
      <c r="A737" t="s">
        <v>845</v>
      </c>
      <c r="B737" s="224" t="s">
        <v>515</v>
      </c>
      <c r="C737" s="224" t="s">
        <v>824</v>
      </c>
      <c r="D737" s="35" t="s">
        <v>148</v>
      </c>
      <c r="E737" s="35" t="s">
        <v>662</v>
      </c>
      <c r="F737" s="225" t="s">
        <v>494</v>
      </c>
      <c r="G737" s="35" t="s">
        <v>626</v>
      </c>
      <c r="H737" s="35" t="s">
        <v>580</v>
      </c>
      <c r="I737" s="147">
        <v>1059</v>
      </c>
      <c r="J737" s="34">
        <v>1055.3389518967106</v>
      </c>
      <c r="K737" s="34">
        <f t="shared" si="143"/>
        <v>-3.6610481032894313</v>
      </c>
      <c r="L737" s="56">
        <f t="shared" si="144"/>
        <v>13.403273214599142</v>
      </c>
      <c r="M737" s="56">
        <f t="shared" si="145"/>
        <v>3.6610481032894313</v>
      </c>
      <c r="N737" s="56">
        <f t="shared" si="146"/>
        <v>0.66848358499337956</v>
      </c>
      <c r="O737" s="56">
        <f t="shared" si="155"/>
        <v>-0.66848358499337956</v>
      </c>
      <c r="P737" s="143">
        <f t="shared" si="147"/>
        <v>-0.34570803619352514</v>
      </c>
      <c r="Q737" s="143">
        <f t="shared" si="148"/>
        <v>0.34570803619352514</v>
      </c>
      <c r="R737" s="34">
        <v>1032.2537238943391</v>
      </c>
      <c r="S737" s="56">
        <f t="shared" si="149"/>
        <v>-26.746276105660854</v>
      </c>
      <c r="T737" s="56">
        <f t="shared" si="150"/>
        <v>715.36328552024474</v>
      </c>
      <c r="U737" s="56">
        <f t="shared" si="151"/>
        <v>26.746276105660854</v>
      </c>
      <c r="V737" s="56">
        <f t="shared" si="152"/>
        <v>1.4432047036645885</v>
      </c>
      <c r="W737" s="33">
        <f t="shared" si="153"/>
        <v>-2.5256162517149061</v>
      </c>
      <c r="X737" s="143">
        <f t="shared" si="154"/>
        <v>2.5256162517149061</v>
      </c>
    </row>
    <row r="738" spans="1:24" ht="16" x14ac:dyDescent="0.2">
      <c r="A738" t="s">
        <v>846</v>
      </c>
      <c r="B738" s="224" t="s">
        <v>515</v>
      </c>
      <c r="C738" s="224" t="s">
        <v>824</v>
      </c>
      <c r="D738" s="35" t="s">
        <v>148</v>
      </c>
      <c r="E738" s="35" t="s">
        <v>662</v>
      </c>
      <c r="F738" s="35" t="s">
        <v>374</v>
      </c>
      <c r="G738" s="35" t="s">
        <v>626</v>
      </c>
      <c r="H738" s="35" t="s">
        <v>580</v>
      </c>
      <c r="I738" s="147">
        <v>1312</v>
      </c>
      <c r="J738" s="34">
        <v>1287.8353711068967</v>
      </c>
      <c r="K738" s="34">
        <f t="shared" si="143"/>
        <v>-24.164628893103327</v>
      </c>
      <c r="L738" s="56">
        <f t="shared" si="144"/>
        <v>583.92928954140416</v>
      </c>
      <c r="M738" s="56">
        <f t="shared" si="145"/>
        <v>24.164628893103327</v>
      </c>
      <c r="N738" s="56">
        <f t="shared" si="146"/>
        <v>1.4007905301686514</v>
      </c>
      <c r="O738" s="56">
        <f t="shared" si="155"/>
        <v>-1.4007905301686514</v>
      </c>
      <c r="P738" s="143">
        <f t="shared" si="147"/>
        <v>-1.8418162266084852</v>
      </c>
      <c r="Q738" s="143">
        <f t="shared" si="148"/>
        <v>1.8418162266084852</v>
      </c>
      <c r="R738" s="34">
        <v>1276.1748900578859</v>
      </c>
      <c r="S738" s="56">
        <f t="shared" si="149"/>
        <v>-35.825109942114068</v>
      </c>
      <c r="T738" s="56">
        <f t="shared" si="150"/>
        <v>1283.4385023645602</v>
      </c>
      <c r="U738" s="56">
        <f t="shared" si="151"/>
        <v>35.825109942114068</v>
      </c>
      <c r="V738" s="56">
        <f t="shared" si="152"/>
        <v>1.5661440521116052</v>
      </c>
      <c r="W738" s="33">
        <f t="shared" si="153"/>
        <v>-2.730572404124548</v>
      </c>
      <c r="X738" s="143">
        <f t="shared" si="154"/>
        <v>2.730572404124548</v>
      </c>
    </row>
    <row r="739" spans="1:24" ht="16" x14ac:dyDescent="0.2">
      <c r="A739" t="s">
        <v>847</v>
      </c>
      <c r="B739" s="224" t="s">
        <v>515</v>
      </c>
      <c r="C739" s="224" t="s">
        <v>824</v>
      </c>
      <c r="D739" s="35" t="s">
        <v>148</v>
      </c>
      <c r="E739" s="35" t="s">
        <v>662</v>
      </c>
      <c r="F739" s="35" t="s">
        <v>494</v>
      </c>
      <c r="G739" s="35" t="s">
        <v>626</v>
      </c>
      <c r="H739" s="35" t="s">
        <v>580</v>
      </c>
      <c r="I739" s="147">
        <v>1170</v>
      </c>
      <c r="J739" s="34">
        <v>1198.1147952270878</v>
      </c>
      <c r="K739" s="34">
        <f t="shared" si="143"/>
        <v>28.114795227087825</v>
      </c>
      <c r="L739" s="56">
        <f t="shared" si="144"/>
        <v>790.44171066108038</v>
      </c>
      <c r="M739" s="56">
        <f t="shared" si="145"/>
        <v>28.114795227087825</v>
      </c>
      <c r="N739" s="56">
        <f t="shared" si="146"/>
        <v>1.4641137399340478</v>
      </c>
      <c r="O739" s="56">
        <f t="shared" si="155"/>
        <v>1.4641137399340478</v>
      </c>
      <c r="P739" s="143">
        <f t="shared" si="147"/>
        <v>2.4029739510331476</v>
      </c>
      <c r="Q739" s="143">
        <f t="shared" si="148"/>
        <v>2.4029739510331476</v>
      </c>
      <c r="R739" s="34">
        <v>1186.3057776779654</v>
      </c>
      <c r="S739" s="56">
        <f t="shared" si="149"/>
        <v>16.305777677965352</v>
      </c>
      <c r="T739" s="56">
        <f t="shared" si="150"/>
        <v>265.87838568323315</v>
      </c>
      <c r="U739" s="56">
        <f t="shared" si="151"/>
        <v>16.305777677965352</v>
      </c>
      <c r="V739" s="56">
        <f t="shared" si="152"/>
        <v>1.238191120166426</v>
      </c>
      <c r="W739" s="33">
        <f t="shared" si="153"/>
        <v>1.3936562117919105</v>
      </c>
      <c r="X739" s="143">
        <f t="shared" si="154"/>
        <v>1.3936562117919105</v>
      </c>
    </row>
    <row r="740" spans="1:24" ht="16" x14ac:dyDescent="0.2">
      <c r="A740" t="s">
        <v>848</v>
      </c>
      <c r="B740" s="224" t="s">
        <v>515</v>
      </c>
      <c r="C740" s="224" t="s">
        <v>824</v>
      </c>
      <c r="D740" s="35" t="s">
        <v>148</v>
      </c>
      <c r="E740" s="35" t="s">
        <v>662</v>
      </c>
      <c r="F740" s="35" t="s">
        <v>374</v>
      </c>
      <c r="G740" s="35" t="s">
        <v>626</v>
      </c>
      <c r="H740" s="35" t="s">
        <v>580</v>
      </c>
      <c r="I740" s="147">
        <v>1244</v>
      </c>
      <c r="J740" s="34">
        <v>1267.8277753679693</v>
      </c>
      <c r="K740" s="34">
        <f t="shared" si="143"/>
        <v>23.827775367969252</v>
      </c>
      <c r="L740" s="56">
        <f t="shared" si="144"/>
        <v>567.76287898640226</v>
      </c>
      <c r="M740" s="56">
        <f t="shared" si="145"/>
        <v>23.827775367969252</v>
      </c>
      <c r="N740" s="56">
        <f t="shared" si="146"/>
        <v>1.3949378074040015</v>
      </c>
      <c r="O740" s="56">
        <f t="shared" si="155"/>
        <v>1.3949378074040015</v>
      </c>
      <c r="P740" s="143">
        <f t="shared" si="147"/>
        <v>1.9154160263640878</v>
      </c>
      <c r="Q740" s="143">
        <f t="shared" si="148"/>
        <v>1.9154160263640878</v>
      </c>
      <c r="R740" s="34">
        <v>1252.4458782582117</v>
      </c>
      <c r="S740" s="56">
        <f t="shared" si="149"/>
        <v>8.4458782582116783</v>
      </c>
      <c r="T740" s="56">
        <f t="shared" si="150"/>
        <v>71.332859552532739</v>
      </c>
      <c r="U740" s="56">
        <f t="shared" si="151"/>
        <v>8.4458782582116783</v>
      </c>
      <c r="V740" s="56">
        <f t="shared" si="152"/>
        <v>0.97524234393731479</v>
      </c>
      <c r="W740" s="33">
        <f t="shared" si="153"/>
        <v>0.6789291204350224</v>
      </c>
      <c r="X740" s="143">
        <f t="shared" si="154"/>
        <v>0.6789291204350224</v>
      </c>
    </row>
    <row r="741" spans="1:24" ht="16" x14ac:dyDescent="0.2">
      <c r="A741" t="s">
        <v>849</v>
      </c>
      <c r="B741" s="224" t="s">
        <v>515</v>
      </c>
      <c r="C741" s="224" t="s">
        <v>824</v>
      </c>
      <c r="D741" s="35" t="s">
        <v>148</v>
      </c>
      <c r="E741" s="35" t="s">
        <v>662</v>
      </c>
      <c r="F741" s="35" t="s">
        <v>374</v>
      </c>
      <c r="G741" s="35" t="s">
        <v>626</v>
      </c>
      <c r="H741" s="35" t="s">
        <v>580</v>
      </c>
      <c r="I741" s="147">
        <v>1413</v>
      </c>
      <c r="J741" s="34">
        <v>1373.2970117681998</v>
      </c>
      <c r="K741" s="34">
        <f t="shared" si="143"/>
        <v>-39.702988231800191</v>
      </c>
      <c r="L741" s="56">
        <f t="shared" si="144"/>
        <v>1576.3272745344646</v>
      </c>
      <c r="M741" s="56">
        <f t="shared" si="145"/>
        <v>39.702988231800191</v>
      </c>
      <c r="N741" s="56">
        <f t="shared" si="146"/>
        <v>1.6096262943589292</v>
      </c>
      <c r="O741" s="56">
        <f t="shared" si="155"/>
        <v>-1.6096262943589292</v>
      </c>
      <c r="P741" s="143">
        <f t="shared" si="147"/>
        <v>-2.8098363929087182</v>
      </c>
      <c r="Q741" s="143">
        <f t="shared" si="148"/>
        <v>2.8098363929087182</v>
      </c>
      <c r="R741" s="34">
        <v>1371.63675243378</v>
      </c>
      <c r="S741" s="56">
        <f t="shared" si="149"/>
        <v>-41.363247566220025</v>
      </c>
      <c r="T741" s="56">
        <f t="shared" si="150"/>
        <v>1710.9182492244067</v>
      </c>
      <c r="U741" s="56">
        <f t="shared" si="151"/>
        <v>41.363247566220025</v>
      </c>
      <c r="V741" s="56">
        <f t="shared" si="152"/>
        <v>1.6269892457231472</v>
      </c>
      <c r="W741" s="33">
        <f t="shared" si="153"/>
        <v>-2.9273352842335476</v>
      </c>
      <c r="X741" s="143">
        <f t="shared" si="154"/>
        <v>2.9273352842335476</v>
      </c>
    </row>
    <row r="742" spans="1:24" ht="16" x14ac:dyDescent="0.2">
      <c r="A742" t="s">
        <v>850</v>
      </c>
      <c r="B742" s="224" t="s">
        <v>515</v>
      </c>
      <c r="C742" s="224" t="s">
        <v>824</v>
      </c>
      <c r="D742" s="35" t="s">
        <v>148</v>
      </c>
      <c r="E742" s="35" t="s">
        <v>662</v>
      </c>
      <c r="F742" s="35" t="s">
        <v>374</v>
      </c>
      <c r="G742" s="35" t="s">
        <v>626</v>
      </c>
      <c r="H742" s="35" t="s">
        <v>580</v>
      </c>
      <c r="I742" s="147">
        <v>1240</v>
      </c>
      <c r="J742" s="34">
        <v>1188.1964314167765</v>
      </c>
      <c r="K742" s="34">
        <f t="shared" si="143"/>
        <v>-51.803568583223523</v>
      </c>
      <c r="L742" s="56">
        <f t="shared" si="144"/>
        <v>2683.6097179567432</v>
      </c>
      <c r="M742" s="56">
        <f t="shared" si="145"/>
        <v>51.803568583223523</v>
      </c>
      <c r="N742" s="56">
        <f t="shared" si="146"/>
        <v>1.7226632741177326</v>
      </c>
      <c r="O742" s="56">
        <f t="shared" si="155"/>
        <v>-1.7226632741177326</v>
      </c>
      <c r="P742" s="143">
        <f t="shared" si="147"/>
        <v>-4.1777071438083491</v>
      </c>
      <c r="Q742" s="143">
        <f t="shared" si="148"/>
        <v>4.1777071438083491</v>
      </c>
      <c r="R742" s="34">
        <v>1172.1918757434262</v>
      </c>
      <c r="S742" s="56">
        <f t="shared" si="149"/>
        <v>-67.808124256573819</v>
      </c>
      <c r="T742" s="56">
        <f t="shared" si="150"/>
        <v>4597.9417151949547</v>
      </c>
      <c r="U742" s="56">
        <f t="shared" si="151"/>
        <v>67.808124256573819</v>
      </c>
      <c r="V742" s="56">
        <f t="shared" si="152"/>
        <v>1.8376397189258447</v>
      </c>
      <c r="W742" s="33">
        <f t="shared" si="153"/>
        <v>-5.4683971174656305</v>
      </c>
      <c r="X742" s="143">
        <f t="shared" si="154"/>
        <v>5.4683971174656305</v>
      </c>
    </row>
    <row r="743" spans="1:24" ht="16" x14ac:dyDescent="0.2">
      <c r="A743" t="s">
        <v>851</v>
      </c>
      <c r="B743" s="224" t="s">
        <v>515</v>
      </c>
      <c r="C743" s="224" t="s">
        <v>824</v>
      </c>
      <c r="D743" s="35" t="s">
        <v>148</v>
      </c>
      <c r="E743" s="35" t="s">
        <v>662</v>
      </c>
      <c r="F743" s="35" t="s">
        <v>374</v>
      </c>
      <c r="G743" s="35" t="s">
        <v>627</v>
      </c>
      <c r="H743" s="35" t="s">
        <v>580</v>
      </c>
      <c r="I743" s="147">
        <v>1622</v>
      </c>
      <c r="J743" s="34">
        <v>1546.2032296189091</v>
      </c>
      <c r="K743" s="34">
        <f t="shared" si="143"/>
        <v>-75.796770381090937</v>
      </c>
      <c r="L743" s="56">
        <f t="shared" si="144"/>
        <v>5745.1504002038246</v>
      </c>
      <c r="M743" s="56">
        <f t="shared" si="145"/>
        <v>75.796770381090937</v>
      </c>
      <c r="N743" s="56">
        <f t="shared" si="146"/>
        <v>1.8853429565528257</v>
      </c>
      <c r="O743" s="56">
        <f t="shared" si="155"/>
        <v>-1.8853429565528257</v>
      </c>
      <c r="P743" s="143">
        <f t="shared" si="147"/>
        <v>-4.6730437966147313</v>
      </c>
      <c r="Q743" s="143">
        <f t="shared" si="148"/>
        <v>4.6730437966147313</v>
      </c>
      <c r="R743" s="34">
        <v>1540.6888095106331</v>
      </c>
      <c r="S743" s="56">
        <f t="shared" si="149"/>
        <v>-81.311190489366936</v>
      </c>
      <c r="T743" s="56">
        <f t="shared" si="150"/>
        <v>6611.509698798116</v>
      </c>
      <c r="U743" s="56">
        <f t="shared" si="151"/>
        <v>81.311190489366936</v>
      </c>
      <c r="V743" s="56">
        <f t="shared" si="152"/>
        <v>1.9154588830543382</v>
      </c>
      <c r="W743" s="33">
        <f t="shared" si="153"/>
        <v>-5.0130203754233627</v>
      </c>
      <c r="X743" s="143">
        <f t="shared" si="154"/>
        <v>5.0130203754233627</v>
      </c>
    </row>
    <row r="744" spans="1:24" ht="16" x14ac:dyDescent="0.2">
      <c r="A744" t="s">
        <v>852</v>
      </c>
      <c r="B744" s="224" t="s">
        <v>515</v>
      </c>
      <c r="C744" s="224" t="s">
        <v>824</v>
      </c>
      <c r="D744" s="35" t="s">
        <v>148</v>
      </c>
      <c r="E744" s="35" t="s">
        <v>662</v>
      </c>
      <c r="F744" s="35" t="s">
        <v>374</v>
      </c>
      <c r="G744" s="35" t="s">
        <v>626</v>
      </c>
      <c r="H744" s="35" t="s">
        <v>580</v>
      </c>
      <c r="I744" s="147">
        <v>1210</v>
      </c>
      <c r="J744" s="34">
        <v>1128.9058573068405</v>
      </c>
      <c r="K744" s="34">
        <f t="shared" si="143"/>
        <v>-81.094142693159483</v>
      </c>
      <c r="L744" s="56">
        <f t="shared" si="144"/>
        <v>6576.2599791385119</v>
      </c>
      <c r="M744" s="56">
        <f t="shared" si="145"/>
        <v>81.094142693159483</v>
      </c>
      <c r="N744" s="56">
        <f t="shared" si="146"/>
        <v>1.914312171896716</v>
      </c>
      <c r="O744" s="56">
        <f t="shared" si="155"/>
        <v>-1.914312171896716</v>
      </c>
      <c r="P744" s="143">
        <f t="shared" si="147"/>
        <v>-6.7019952638974782</v>
      </c>
      <c r="Q744" s="143">
        <f t="shared" si="148"/>
        <v>6.7019952638974782</v>
      </c>
      <c r="R744" s="34">
        <v>1125.2999539430198</v>
      </c>
      <c r="S744" s="56">
        <f t="shared" si="149"/>
        <v>-84.700046056980227</v>
      </c>
      <c r="T744" s="56">
        <f t="shared" si="150"/>
        <v>7174.0978020545717</v>
      </c>
      <c r="U744" s="56">
        <f t="shared" si="151"/>
        <v>84.700046056980227</v>
      </c>
      <c r="V744" s="56">
        <f t="shared" si="152"/>
        <v>1.932981055322113</v>
      </c>
      <c r="W744" s="33">
        <f t="shared" si="153"/>
        <v>-7.0000038063620025</v>
      </c>
      <c r="X744" s="143">
        <f t="shared" si="154"/>
        <v>7.0000038063620025</v>
      </c>
    </row>
    <row r="745" spans="1:24" ht="16" x14ac:dyDescent="0.2">
      <c r="A745" t="s">
        <v>853</v>
      </c>
      <c r="B745" s="224" t="s">
        <v>515</v>
      </c>
      <c r="C745" s="224" t="s">
        <v>824</v>
      </c>
      <c r="D745" s="35" t="s">
        <v>148</v>
      </c>
      <c r="E745" s="35" t="s">
        <v>662</v>
      </c>
      <c r="F745" s="35" t="s">
        <v>374</v>
      </c>
      <c r="G745" s="35" t="s">
        <v>626</v>
      </c>
      <c r="H745" s="35" t="s">
        <v>580</v>
      </c>
      <c r="I745" s="147">
        <v>1274</v>
      </c>
      <c r="J745" s="34">
        <v>1237.8904516731147</v>
      </c>
      <c r="K745" s="34">
        <f t="shared" si="143"/>
        <v>-36.10954832688526</v>
      </c>
      <c r="L745" s="56">
        <f t="shared" si="144"/>
        <v>1303.8994803716621</v>
      </c>
      <c r="M745" s="56">
        <f t="shared" si="145"/>
        <v>36.10954832688526</v>
      </c>
      <c r="N745" s="56">
        <f t="shared" si="146"/>
        <v>1.5694856684329892</v>
      </c>
      <c r="O745" s="56">
        <f t="shared" si="155"/>
        <v>-1.5694856684329892</v>
      </c>
      <c r="P745" s="143">
        <f t="shared" si="147"/>
        <v>-2.8343444526597534</v>
      </c>
      <c r="Q745" s="143">
        <f t="shared" si="148"/>
        <v>2.8343444526597534</v>
      </c>
      <c r="R745" s="34">
        <v>1224.0452073342542</v>
      </c>
      <c r="S745" s="56">
        <f t="shared" si="149"/>
        <v>-49.954792665745799</v>
      </c>
      <c r="T745" s="56">
        <f t="shared" si="150"/>
        <v>2495.4813102776502</v>
      </c>
      <c r="U745" s="56">
        <f t="shared" si="151"/>
        <v>49.954792665745799</v>
      </c>
      <c r="V745" s="56">
        <f t="shared" si="152"/>
        <v>1.7071850387918519</v>
      </c>
      <c r="W745" s="33">
        <f t="shared" si="153"/>
        <v>-3.9210983254117582</v>
      </c>
      <c r="X745" s="143">
        <f t="shared" si="154"/>
        <v>3.9210983254117582</v>
      </c>
    </row>
    <row r="746" spans="1:24" ht="16" x14ac:dyDescent="0.2">
      <c r="A746" t="s">
        <v>854</v>
      </c>
      <c r="B746" s="224" t="s">
        <v>515</v>
      </c>
      <c r="C746" s="224" t="s">
        <v>824</v>
      </c>
      <c r="D746" s="35" t="s">
        <v>148</v>
      </c>
      <c r="E746" s="35" t="s">
        <v>662</v>
      </c>
      <c r="F746" s="35" t="s">
        <v>374</v>
      </c>
      <c r="G746" s="35" t="s">
        <v>626</v>
      </c>
      <c r="H746" s="35" t="s">
        <v>580</v>
      </c>
      <c r="I746" s="147">
        <v>1340</v>
      </c>
      <c r="J746" s="34">
        <v>1297.853809290292</v>
      </c>
      <c r="K746" s="34">
        <f t="shared" si="143"/>
        <v>-42.14619070970798</v>
      </c>
      <c r="L746" s="56">
        <f t="shared" si="144"/>
        <v>1776.3013913390753</v>
      </c>
      <c r="M746" s="56">
        <f t="shared" si="145"/>
        <v>42.14619070970798</v>
      </c>
      <c r="N746" s="56">
        <f t="shared" si="146"/>
        <v>1.6349424587584955</v>
      </c>
      <c r="O746" s="56">
        <f t="shared" si="155"/>
        <v>-1.6349424587584955</v>
      </c>
      <c r="P746" s="143">
        <f t="shared" si="147"/>
        <v>-3.1452381126647748</v>
      </c>
      <c r="Q746" s="143">
        <f t="shared" si="148"/>
        <v>3.1452381126647748</v>
      </c>
      <c r="R746" s="34">
        <v>1261.9307935660077</v>
      </c>
      <c r="S746" s="56">
        <f t="shared" si="149"/>
        <v>-78.069206433992349</v>
      </c>
      <c r="T746" s="56">
        <f t="shared" si="150"/>
        <v>6094.8009932333125</v>
      </c>
      <c r="U746" s="56">
        <f t="shared" si="151"/>
        <v>78.069206433992349</v>
      </c>
      <c r="V746" s="56">
        <f t="shared" si="152"/>
        <v>1.8980073800891721</v>
      </c>
      <c r="W746" s="33">
        <f t="shared" si="153"/>
        <v>-5.8260601816412203</v>
      </c>
      <c r="X746" s="143">
        <f t="shared" si="154"/>
        <v>5.8260601816412203</v>
      </c>
    </row>
    <row r="747" spans="1:24" ht="16" x14ac:dyDescent="0.2">
      <c r="A747" t="s">
        <v>855</v>
      </c>
      <c r="B747" s="224" t="s">
        <v>515</v>
      </c>
      <c r="C747" s="224" t="s">
        <v>824</v>
      </c>
      <c r="D747" s="35" t="s">
        <v>148</v>
      </c>
      <c r="E747" s="35" t="s">
        <v>662</v>
      </c>
      <c r="F747" s="225" t="s">
        <v>494</v>
      </c>
      <c r="G747" s="35" t="s">
        <v>626</v>
      </c>
      <c r="H747" s="35" t="s">
        <v>580</v>
      </c>
      <c r="I747" s="147">
        <v>980</v>
      </c>
      <c r="J747" s="34">
        <v>982.40851291107163</v>
      </c>
      <c r="K747" s="34">
        <f t="shared" si="143"/>
        <v>2.4085129110716252</v>
      </c>
      <c r="L747" s="56">
        <f t="shared" si="144"/>
        <v>5.8009344427987148</v>
      </c>
      <c r="M747" s="56">
        <f t="shared" si="145"/>
        <v>2.4085129110716252</v>
      </c>
      <c r="N747" s="56">
        <f t="shared" si="146"/>
        <v>0.53256494339727178</v>
      </c>
      <c r="O747" s="56">
        <f t="shared" si="155"/>
        <v>0.53256494339727178</v>
      </c>
      <c r="P747" s="143">
        <f t="shared" si="147"/>
        <v>0.24576662357873727</v>
      </c>
      <c r="Q747" s="143">
        <f t="shared" si="148"/>
        <v>0.24576662357873727</v>
      </c>
      <c r="R747" s="34">
        <v>976.92000445357928</v>
      </c>
      <c r="S747" s="56">
        <f t="shared" si="149"/>
        <v>-3.0799955464207187</v>
      </c>
      <c r="T747" s="56">
        <f t="shared" si="150"/>
        <v>9.4863725659714611</v>
      </c>
      <c r="U747" s="56">
        <f t="shared" si="151"/>
        <v>3.0799955464207187</v>
      </c>
      <c r="V747" s="56">
        <f t="shared" si="152"/>
        <v>0.61065968902959511</v>
      </c>
      <c r="W747" s="33">
        <f t="shared" si="153"/>
        <v>-0.31428525983884886</v>
      </c>
      <c r="X747" s="143">
        <f t="shared" si="154"/>
        <v>0.31428525983884886</v>
      </c>
    </row>
    <row r="748" spans="1:24" ht="16" x14ac:dyDescent="0.2">
      <c r="A748" t="s">
        <v>856</v>
      </c>
      <c r="B748" s="224" t="s">
        <v>515</v>
      </c>
      <c r="C748" s="224" t="s">
        <v>824</v>
      </c>
      <c r="D748" s="35" t="s">
        <v>148</v>
      </c>
      <c r="E748" s="35" t="s">
        <v>662</v>
      </c>
      <c r="F748" s="225" t="s">
        <v>494</v>
      </c>
      <c r="G748" s="35" t="s">
        <v>626</v>
      </c>
      <c r="H748" s="35" t="s">
        <v>580</v>
      </c>
      <c r="I748" s="147">
        <v>1098</v>
      </c>
      <c r="J748" s="34">
        <v>1114.1431147445649</v>
      </c>
      <c r="K748" s="34">
        <f t="shared" si="143"/>
        <v>16.143114744564855</v>
      </c>
      <c r="L748" s="56">
        <f t="shared" si="144"/>
        <v>260.60015365618722</v>
      </c>
      <c r="M748" s="56">
        <f t="shared" si="145"/>
        <v>16.143114744564855</v>
      </c>
      <c r="N748" s="56">
        <f t="shared" si="146"/>
        <v>1.2340897320260136</v>
      </c>
      <c r="O748" s="56">
        <f t="shared" si="155"/>
        <v>1.2340897320260136</v>
      </c>
      <c r="P748" s="143">
        <f t="shared" si="147"/>
        <v>1.4702290295596407</v>
      </c>
      <c r="Q748" s="143">
        <f t="shared" si="148"/>
        <v>1.4702290295596407</v>
      </c>
      <c r="R748" s="34">
        <v>1115.950516708014</v>
      </c>
      <c r="S748" s="56">
        <f t="shared" si="149"/>
        <v>17.950516708013993</v>
      </c>
      <c r="T748" s="56">
        <f t="shared" si="150"/>
        <v>322.22105008468952</v>
      </c>
      <c r="U748" s="56">
        <f t="shared" si="151"/>
        <v>17.950516708013993</v>
      </c>
      <c r="V748" s="56">
        <f t="shared" si="152"/>
        <v>1.2776210560127927</v>
      </c>
      <c r="W748" s="33">
        <f t="shared" si="153"/>
        <v>1.634837587250819</v>
      </c>
      <c r="X748" s="143">
        <f t="shared" si="154"/>
        <v>1.634837587250819</v>
      </c>
    </row>
    <row r="749" spans="1:24" ht="16" x14ac:dyDescent="0.2">
      <c r="A749" t="s">
        <v>857</v>
      </c>
      <c r="B749" s="224" t="s">
        <v>515</v>
      </c>
      <c r="C749" s="224" t="s">
        <v>824</v>
      </c>
      <c r="D749" s="35" t="s">
        <v>148</v>
      </c>
      <c r="E749" s="35" t="s">
        <v>662</v>
      </c>
      <c r="F749" s="225" t="s">
        <v>494</v>
      </c>
      <c r="G749" s="35" t="s">
        <v>626</v>
      </c>
      <c r="H749" s="35" t="s">
        <v>580</v>
      </c>
      <c r="I749" s="147">
        <v>1022</v>
      </c>
      <c r="J749" s="34">
        <v>1006.6458556388822</v>
      </c>
      <c r="K749" s="34">
        <f t="shared" si="143"/>
        <v>-15.354144361117847</v>
      </c>
      <c r="L749" s="56">
        <f t="shared" si="144"/>
        <v>235.74974906204696</v>
      </c>
      <c r="M749" s="56">
        <f t="shared" si="145"/>
        <v>15.354144361117847</v>
      </c>
      <c r="N749" s="56">
        <f t="shared" si="146"/>
        <v>1.213627827032338</v>
      </c>
      <c r="O749" s="56">
        <f t="shared" si="155"/>
        <v>-1.213627827032338</v>
      </c>
      <c r="P749" s="143">
        <f t="shared" si="147"/>
        <v>-1.5023624619489087</v>
      </c>
      <c r="Q749" s="143">
        <f t="shared" si="148"/>
        <v>1.5023624619489087</v>
      </c>
      <c r="R749" s="34">
        <v>995.32210556804591</v>
      </c>
      <c r="S749" s="56">
        <f t="shared" si="149"/>
        <v>-26.677894431954087</v>
      </c>
      <c r="T749" s="56">
        <f t="shared" si="150"/>
        <v>711.71005132248683</v>
      </c>
      <c r="U749" s="56">
        <f t="shared" si="151"/>
        <v>26.677894431954087</v>
      </c>
      <c r="V749" s="56">
        <f t="shared" si="152"/>
        <v>1.4421330485244184</v>
      </c>
      <c r="W749" s="33">
        <f t="shared" si="153"/>
        <v>-2.6103614904064663</v>
      </c>
      <c r="X749" s="143">
        <f t="shared" si="154"/>
        <v>2.6103614904064663</v>
      </c>
    </row>
    <row r="750" spans="1:24" ht="16" x14ac:dyDescent="0.2">
      <c r="A750" t="s">
        <v>858</v>
      </c>
      <c r="B750" s="224" t="s">
        <v>515</v>
      </c>
      <c r="C750" s="224" t="s">
        <v>824</v>
      </c>
      <c r="D750" s="35" t="s">
        <v>148</v>
      </c>
      <c r="E750" s="35" t="s">
        <v>662</v>
      </c>
      <c r="F750" s="225" t="s">
        <v>494</v>
      </c>
      <c r="G750" s="35" t="s">
        <v>626</v>
      </c>
      <c r="H750" s="35" t="s">
        <v>580</v>
      </c>
      <c r="I750" s="147">
        <v>1062</v>
      </c>
      <c r="J750" s="34">
        <v>1148.6271066717065</v>
      </c>
      <c r="K750" s="34">
        <f t="shared" si="143"/>
        <v>86.627106671706542</v>
      </c>
      <c r="L750" s="56">
        <f t="shared" si="144"/>
        <v>7504.2556103112238</v>
      </c>
      <c r="M750" s="56">
        <f t="shared" si="145"/>
        <v>86.627106671706542</v>
      </c>
      <c r="N750" s="56">
        <f t="shared" si="146"/>
        <v>1.9426384721147933</v>
      </c>
      <c r="O750" s="56">
        <f t="shared" si="155"/>
        <v>1.9426384721147933</v>
      </c>
      <c r="P750" s="143">
        <f t="shared" si="147"/>
        <v>8.1569780293508973</v>
      </c>
      <c r="Q750" s="143">
        <f t="shared" si="148"/>
        <v>8.1569780293508973</v>
      </c>
      <c r="R750" s="34">
        <v>1125.2999539430198</v>
      </c>
      <c r="S750" s="56">
        <f t="shared" si="149"/>
        <v>63.299953943019773</v>
      </c>
      <c r="T750" s="56">
        <f t="shared" si="150"/>
        <v>4006.8841691884245</v>
      </c>
      <c r="U750" s="56">
        <f t="shared" si="151"/>
        <v>63.299953943019773</v>
      </c>
      <c r="V750" s="56">
        <f t="shared" si="152"/>
        <v>1.8082106618464688</v>
      </c>
      <c r="W750" s="33">
        <f t="shared" si="153"/>
        <v>5.9604476405856657</v>
      </c>
      <c r="X750" s="143">
        <f t="shared" si="154"/>
        <v>5.9604476405856657</v>
      </c>
    </row>
    <row r="751" spans="1:24" ht="16" x14ac:dyDescent="0.2">
      <c r="A751" t="s">
        <v>859</v>
      </c>
      <c r="B751" s="224" t="s">
        <v>515</v>
      </c>
      <c r="C751" s="224" t="s">
        <v>824</v>
      </c>
      <c r="D751" s="35" t="s">
        <v>148</v>
      </c>
      <c r="E751" s="35" t="s">
        <v>662</v>
      </c>
      <c r="F751" s="35" t="s">
        <v>494</v>
      </c>
      <c r="G751" s="35" t="s">
        <v>626</v>
      </c>
      <c r="H751" s="35" t="s">
        <v>580</v>
      </c>
      <c r="I751" s="147">
        <v>1135</v>
      </c>
      <c r="J751" s="34">
        <v>1094.4975068592519</v>
      </c>
      <c r="K751" s="34">
        <f t="shared" si="143"/>
        <v>-40.502493140748129</v>
      </c>
      <c r="L751" s="56">
        <f t="shared" si="144"/>
        <v>1640.4519506163492</v>
      </c>
      <c r="M751" s="56">
        <f t="shared" si="145"/>
        <v>40.502493140748129</v>
      </c>
      <c r="N751" s="56">
        <f t="shared" si="146"/>
        <v>1.6180741864650356</v>
      </c>
      <c r="O751" s="56">
        <f t="shared" si="155"/>
        <v>-1.6180741864650356</v>
      </c>
      <c r="P751" s="143">
        <f t="shared" si="147"/>
        <v>-3.5685015983037998</v>
      </c>
      <c r="Q751" s="143">
        <f t="shared" si="148"/>
        <v>3.5685015983037998</v>
      </c>
      <c r="R751" s="34">
        <v>1125.2999539430198</v>
      </c>
      <c r="S751" s="56">
        <f t="shared" si="149"/>
        <v>-9.7000460569802271</v>
      </c>
      <c r="T751" s="56">
        <f t="shared" si="150"/>
        <v>94.090893507537658</v>
      </c>
      <c r="U751" s="56">
        <f t="shared" si="151"/>
        <v>9.7000460569802271</v>
      </c>
      <c r="V751" s="56">
        <f t="shared" si="152"/>
        <v>1.0293856470543048</v>
      </c>
      <c r="W751" s="33">
        <f t="shared" si="153"/>
        <v>-0.85462960854451342</v>
      </c>
      <c r="X751" s="143">
        <f t="shared" si="154"/>
        <v>0.85462960854451342</v>
      </c>
    </row>
    <row r="752" spans="1:24" ht="16" x14ac:dyDescent="0.2">
      <c r="A752" t="s">
        <v>860</v>
      </c>
      <c r="B752" s="224" t="s">
        <v>515</v>
      </c>
      <c r="C752" s="224" t="s">
        <v>824</v>
      </c>
      <c r="D752" s="35" t="s">
        <v>148</v>
      </c>
      <c r="E752" s="35" t="s">
        <v>662</v>
      </c>
      <c r="F752" s="35" t="s">
        <v>494</v>
      </c>
      <c r="G752" s="35" t="s">
        <v>626</v>
      </c>
      <c r="H752" s="35" t="s">
        <v>580</v>
      </c>
      <c r="I752" s="147">
        <v>1029</v>
      </c>
      <c r="J752" s="34">
        <v>1026.088523212542</v>
      </c>
      <c r="K752" s="34">
        <f t="shared" si="143"/>
        <v>-2.9114767874580139</v>
      </c>
      <c r="L752" s="56">
        <f t="shared" si="144"/>
        <v>8.4766970839068367</v>
      </c>
      <c r="M752" s="56">
        <f t="shared" si="145"/>
        <v>2.9114767874580139</v>
      </c>
      <c r="N752" s="56">
        <f t="shared" si="146"/>
        <v>0.59234075728207991</v>
      </c>
      <c r="O752" s="56">
        <f t="shared" si="155"/>
        <v>-0.59234075728207991</v>
      </c>
      <c r="P752" s="143">
        <f t="shared" si="147"/>
        <v>-0.28294235057901007</v>
      </c>
      <c r="Q752" s="143">
        <f t="shared" si="148"/>
        <v>0.28294235057901007</v>
      </c>
      <c r="R752" s="34">
        <v>1009.1517135026892</v>
      </c>
      <c r="S752" s="56">
        <f t="shared" si="149"/>
        <v>-19.848286497310824</v>
      </c>
      <c r="T752" s="56">
        <f t="shared" si="150"/>
        <v>393.95447687933114</v>
      </c>
      <c r="U752" s="56">
        <f t="shared" si="151"/>
        <v>19.848286497310824</v>
      </c>
      <c r="V752" s="56">
        <f t="shared" si="152"/>
        <v>1.3190703664875736</v>
      </c>
      <c r="W752" s="33">
        <f t="shared" si="153"/>
        <v>-1.9288908160651919</v>
      </c>
      <c r="X752" s="143">
        <f t="shared" si="154"/>
        <v>1.9288908160651919</v>
      </c>
    </row>
    <row r="753" spans="1:24" ht="16" x14ac:dyDescent="0.2">
      <c r="A753" t="s">
        <v>861</v>
      </c>
      <c r="B753" s="224" t="s">
        <v>515</v>
      </c>
      <c r="C753" s="224" t="s">
        <v>824</v>
      </c>
      <c r="D753" s="35" t="s">
        <v>148</v>
      </c>
      <c r="E753" s="35" t="s">
        <v>662</v>
      </c>
      <c r="F753" s="35" t="s">
        <v>494</v>
      </c>
      <c r="G753" s="35" t="s">
        <v>626</v>
      </c>
      <c r="H753" s="35" t="s">
        <v>580</v>
      </c>
      <c r="I753" s="147">
        <v>1055</v>
      </c>
      <c r="J753" s="34">
        <v>1079.7921565822337</v>
      </c>
      <c r="K753" s="34">
        <f t="shared" si="143"/>
        <v>24.792156582233702</v>
      </c>
      <c r="L753" s="56">
        <f t="shared" si="144"/>
        <v>614.65102799799388</v>
      </c>
      <c r="M753" s="56">
        <f t="shared" si="145"/>
        <v>24.792156582233702</v>
      </c>
      <c r="N753" s="56">
        <f t="shared" si="146"/>
        <v>1.4114876567019834</v>
      </c>
      <c r="O753" s="56">
        <f t="shared" si="155"/>
        <v>1.4114876567019834</v>
      </c>
      <c r="P753" s="143">
        <f t="shared" si="147"/>
        <v>2.3499674485529574</v>
      </c>
      <c r="Q753" s="143">
        <f t="shared" si="148"/>
        <v>2.3499674485529574</v>
      </c>
      <c r="R753" s="34">
        <v>1078.6512869165899</v>
      </c>
      <c r="S753" s="56">
        <f t="shared" si="149"/>
        <v>23.651286916589925</v>
      </c>
      <c r="T753" s="56">
        <f t="shared" si="150"/>
        <v>559.38337281085774</v>
      </c>
      <c r="U753" s="56">
        <f t="shared" si="151"/>
        <v>23.651286916589925</v>
      </c>
      <c r="V753" s="56">
        <f t="shared" si="152"/>
        <v>1.3918395964807846</v>
      </c>
      <c r="W753" s="33">
        <f t="shared" si="153"/>
        <v>2.2418281437525995</v>
      </c>
      <c r="X753" s="143">
        <f t="shared" si="154"/>
        <v>2.2418281437525995</v>
      </c>
    </row>
    <row r="754" spans="1:24" ht="16" x14ac:dyDescent="0.2">
      <c r="A754" t="s">
        <v>862</v>
      </c>
      <c r="B754" s="224" t="s">
        <v>515</v>
      </c>
      <c r="C754" s="224" t="s">
        <v>824</v>
      </c>
      <c r="D754" s="35" t="s">
        <v>148</v>
      </c>
      <c r="E754" s="35" t="s">
        <v>662</v>
      </c>
      <c r="F754" s="35" t="s">
        <v>374</v>
      </c>
      <c r="G754" s="35" t="s">
        <v>626</v>
      </c>
      <c r="H754" s="35" t="s">
        <v>580</v>
      </c>
      <c r="I754" s="147">
        <v>1280</v>
      </c>
      <c r="J754" s="34">
        <v>1242.8737778941406</v>
      </c>
      <c r="K754" s="34">
        <f t="shared" si="143"/>
        <v>-37.12622210585937</v>
      </c>
      <c r="L754" s="56">
        <f t="shared" si="144"/>
        <v>1378.3563678536009</v>
      </c>
      <c r="M754" s="56">
        <f t="shared" si="145"/>
        <v>37.12622210585937</v>
      </c>
      <c r="N754" s="56">
        <f t="shared" si="146"/>
        <v>1.5812237735436814</v>
      </c>
      <c r="O754" s="56">
        <f t="shared" si="155"/>
        <v>-1.5812237735436814</v>
      </c>
      <c r="P754" s="143">
        <f t="shared" si="147"/>
        <v>-2.9004861020202632</v>
      </c>
      <c r="Q754" s="143">
        <f t="shared" si="148"/>
        <v>2.9004861020202632</v>
      </c>
      <c r="R754" s="34">
        <v>1195.7267459984785</v>
      </c>
      <c r="S754" s="56">
        <f t="shared" si="149"/>
        <v>-84.273254001521536</v>
      </c>
      <c r="T754" s="56">
        <f t="shared" si="150"/>
        <v>7101.9813400049652</v>
      </c>
      <c r="U754" s="56">
        <f t="shared" si="151"/>
        <v>84.273254001521536</v>
      </c>
      <c r="V754" s="56">
        <f t="shared" si="152"/>
        <v>1.9308128358452801</v>
      </c>
      <c r="W754" s="33">
        <f t="shared" si="153"/>
        <v>-6.5838479688688691</v>
      </c>
      <c r="X754" s="143">
        <f t="shared" si="154"/>
        <v>6.5838479688688691</v>
      </c>
    </row>
    <row r="755" spans="1:24" ht="16" x14ac:dyDescent="0.2">
      <c r="A755" t="s">
        <v>863</v>
      </c>
      <c r="B755" s="224" t="s">
        <v>515</v>
      </c>
      <c r="C755" s="224" t="s">
        <v>824</v>
      </c>
      <c r="D755" s="35" t="s">
        <v>148</v>
      </c>
      <c r="E755" s="35" t="s">
        <v>662</v>
      </c>
      <c r="F755" s="225" t="s">
        <v>494</v>
      </c>
      <c r="G755" s="35" t="s">
        <v>626</v>
      </c>
      <c r="H755" s="35" t="s">
        <v>580</v>
      </c>
      <c r="I755" s="147">
        <v>1110</v>
      </c>
      <c r="J755" s="34">
        <v>1094.4975068592519</v>
      </c>
      <c r="K755" s="34">
        <f t="shared" si="143"/>
        <v>-15.502493140748129</v>
      </c>
      <c r="L755" s="56">
        <f t="shared" si="144"/>
        <v>240.3272935789428</v>
      </c>
      <c r="M755" s="56">
        <f t="shared" si="145"/>
        <v>15.502493140748129</v>
      </c>
      <c r="N755" s="56">
        <f t="shared" si="146"/>
        <v>1.2175495609094065</v>
      </c>
      <c r="O755" s="56">
        <f t="shared" si="155"/>
        <v>-1.2175495609094065</v>
      </c>
      <c r="P755" s="143">
        <f t="shared" si="147"/>
        <v>-1.3966210036710025</v>
      </c>
      <c r="Q755" s="143">
        <f t="shared" si="148"/>
        <v>1.3966210036710025</v>
      </c>
      <c r="R755" s="34">
        <v>1078.6512869165899</v>
      </c>
      <c r="S755" s="56">
        <f t="shared" si="149"/>
        <v>-31.348713083410075</v>
      </c>
      <c r="T755" s="56">
        <f t="shared" si="150"/>
        <v>982.74181198596602</v>
      </c>
      <c r="U755" s="56">
        <f t="shared" si="151"/>
        <v>31.348713083410075</v>
      </c>
      <c r="V755" s="56">
        <f t="shared" si="152"/>
        <v>1.5098570079756375</v>
      </c>
      <c r="W755" s="33">
        <f t="shared" si="153"/>
        <v>-2.8242083858927995</v>
      </c>
      <c r="X755" s="143">
        <f t="shared" si="154"/>
        <v>2.8242083858927995</v>
      </c>
    </row>
    <row r="756" spans="1:24" ht="16" x14ac:dyDescent="0.2">
      <c r="A756" t="s">
        <v>864</v>
      </c>
      <c r="B756" s="224" t="s">
        <v>515</v>
      </c>
      <c r="C756" s="224" t="s">
        <v>824</v>
      </c>
      <c r="D756" s="35" t="s">
        <v>148</v>
      </c>
      <c r="E756" s="35" t="s">
        <v>662</v>
      </c>
      <c r="F756" s="35" t="s">
        <v>374</v>
      </c>
      <c r="G756" s="35" t="s">
        <v>626</v>
      </c>
      <c r="H756" s="35" t="s">
        <v>580</v>
      </c>
      <c r="I756" s="147">
        <v>1460</v>
      </c>
      <c r="J756" s="34">
        <v>1398.5618772336802</v>
      </c>
      <c r="K756" s="34">
        <f t="shared" si="143"/>
        <v>-61.438122766319793</v>
      </c>
      <c r="L756" s="56">
        <f t="shared" si="144"/>
        <v>3774.6429290493825</v>
      </c>
      <c r="M756" s="56">
        <f t="shared" si="145"/>
        <v>61.438122766319793</v>
      </c>
      <c r="N756" s="56">
        <f t="shared" si="146"/>
        <v>1.7954498373038292</v>
      </c>
      <c r="O756" s="56">
        <f t="shared" si="155"/>
        <v>-1.7954498373038292</v>
      </c>
      <c r="P756" s="143">
        <f t="shared" si="147"/>
        <v>-4.2080906004328629</v>
      </c>
      <c r="Q756" s="143">
        <f t="shared" si="148"/>
        <v>4.2080906004328629</v>
      </c>
      <c r="R756" s="34">
        <v>1390.8312142369939</v>
      </c>
      <c r="S756" s="56">
        <f t="shared" si="149"/>
        <v>-69.168785763006099</v>
      </c>
      <c r="T756" s="56">
        <f t="shared" si="150"/>
        <v>4784.3209239286352</v>
      </c>
      <c r="U756" s="56">
        <f t="shared" si="151"/>
        <v>69.168785763006099</v>
      </c>
      <c r="V756" s="56">
        <f t="shared" si="152"/>
        <v>1.8461439613372979</v>
      </c>
      <c r="W756" s="33">
        <f t="shared" si="153"/>
        <v>-4.7375880659593221</v>
      </c>
      <c r="X756" s="143">
        <f t="shared" si="154"/>
        <v>4.7375880659593221</v>
      </c>
    </row>
    <row r="757" spans="1:24" ht="16" x14ac:dyDescent="0.2">
      <c r="A757" t="s">
        <v>865</v>
      </c>
      <c r="B757" s="224" t="s">
        <v>515</v>
      </c>
      <c r="C757" s="224" t="s">
        <v>824</v>
      </c>
      <c r="D757" s="35" t="s">
        <v>148</v>
      </c>
      <c r="E757" s="35" t="s">
        <v>662</v>
      </c>
      <c r="F757" s="35" t="s">
        <v>374</v>
      </c>
      <c r="G757" s="35" t="s">
        <v>627</v>
      </c>
      <c r="H757" s="35" t="s">
        <v>580</v>
      </c>
      <c r="I757" s="147">
        <v>1598</v>
      </c>
      <c r="J757" s="34">
        <v>1618.1258843048238</v>
      </c>
      <c r="K757" s="34">
        <f t="shared" si="143"/>
        <v>20.125884304823785</v>
      </c>
      <c r="L757" s="56">
        <f t="shared" si="144"/>
        <v>405.05121905115237</v>
      </c>
      <c r="M757" s="56">
        <f t="shared" si="145"/>
        <v>20.125884304823785</v>
      </c>
      <c r="N757" s="56">
        <f t="shared" si="146"/>
        <v>1.3248148970616005</v>
      </c>
      <c r="O757" s="56">
        <f t="shared" si="155"/>
        <v>1.3248148970616005</v>
      </c>
      <c r="P757" s="143">
        <f t="shared" si="147"/>
        <v>1.2594420716410379</v>
      </c>
      <c r="Q757" s="143">
        <f t="shared" si="148"/>
        <v>1.2594420716410379</v>
      </c>
      <c r="R757" s="34">
        <v>1604.0901464543242</v>
      </c>
      <c r="S757" s="56">
        <f t="shared" si="149"/>
        <v>6.0901464543242128</v>
      </c>
      <c r="T757" s="56">
        <f t="shared" si="150"/>
        <v>37.089883835117782</v>
      </c>
      <c r="U757" s="56">
        <f t="shared" si="151"/>
        <v>6.0901464543242128</v>
      </c>
      <c r="V757" s="56">
        <f t="shared" si="152"/>
        <v>0.85065520607840439</v>
      </c>
      <c r="W757" s="33">
        <f t="shared" si="153"/>
        <v>0.38111054157222857</v>
      </c>
      <c r="X757" s="143">
        <f t="shared" si="154"/>
        <v>0.38111054157222857</v>
      </c>
    </row>
    <row r="758" spans="1:24" ht="16" x14ac:dyDescent="0.2">
      <c r="A758" t="s">
        <v>866</v>
      </c>
      <c r="B758" s="224" t="s">
        <v>515</v>
      </c>
      <c r="C758" s="224" t="s">
        <v>824</v>
      </c>
      <c r="D758" s="35" t="s">
        <v>148</v>
      </c>
      <c r="E758" s="35" t="s">
        <v>662</v>
      </c>
      <c r="F758" s="35" t="s">
        <v>374</v>
      </c>
      <c r="G758" s="35" t="s">
        <v>627</v>
      </c>
      <c r="H758" s="35" t="s">
        <v>580</v>
      </c>
      <c r="I758" s="147">
        <v>1565</v>
      </c>
      <c r="J758" s="34">
        <v>1541.0816536214795</v>
      </c>
      <c r="K758" s="34">
        <f t="shared" si="143"/>
        <v>-23.918346378520482</v>
      </c>
      <c r="L758" s="56">
        <f t="shared" si="144"/>
        <v>572.08729348288387</v>
      </c>
      <c r="M758" s="56">
        <f t="shared" si="145"/>
        <v>23.918346378520482</v>
      </c>
      <c r="N758" s="56">
        <f t="shared" si="146"/>
        <v>1.3965192184641679</v>
      </c>
      <c r="O758" s="56">
        <f t="shared" si="155"/>
        <v>-1.3965192184641679</v>
      </c>
      <c r="P758" s="143">
        <f t="shared" si="147"/>
        <v>-1.5283288420779861</v>
      </c>
      <c r="Q758" s="143">
        <f t="shared" si="148"/>
        <v>1.5283288420779861</v>
      </c>
      <c r="R758" s="34">
        <v>1516.3896204691716</v>
      </c>
      <c r="S758" s="56">
        <f t="shared" si="149"/>
        <v>-48.610379530828368</v>
      </c>
      <c r="T758" s="56">
        <f t="shared" si="150"/>
        <v>2362.9689981311776</v>
      </c>
      <c r="U758" s="56">
        <f t="shared" si="151"/>
        <v>48.610379530828368</v>
      </c>
      <c r="V758" s="56">
        <f t="shared" si="152"/>
        <v>1.6955725495016962</v>
      </c>
      <c r="W758" s="33">
        <f t="shared" si="153"/>
        <v>-3.1060945387110777</v>
      </c>
      <c r="X758" s="143">
        <f t="shared" si="154"/>
        <v>3.1060945387110777</v>
      </c>
    </row>
    <row r="759" spans="1:24" ht="15" x14ac:dyDescent="0.2">
      <c r="A759" s="28" t="s">
        <v>416</v>
      </c>
      <c r="B759" s="224" t="s">
        <v>515</v>
      </c>
      <c r="C759" s="35" t="s">
        <v>458</v>
      </c>
      <c r="D759" s="35" t="s">
        <v>82</v>
      </c>
      <c r="E759" s="35" t="s">
        <v>662</v>
      </c>
      <c r="F759" s="35" t="s">
        <v>374</v>
      </c>
      <c r="G759" s="35" t="s">
        <v>626</v>
      </c>
      <c r="H759" s="35" t="s">
        <v>580</v>
      </c>
      <c r="I759" s="141">
        <v>1250</v>
      </c>
      <c r="J759" s="34">
        <v>1302.866663652964</v>
      </c>
      <c r="K759" s="34">
        <f t="shared" si="143"/>
        <v>52.866663652964007</v>
      </c>
      <c r="L759" s="56">
        <f t="shared" si="144"/>
        <v>2794.8841257956256</v>
      </c>
      <c r="M759" s="56">
        <f t="shared" si="145"/>
        <v>52.866663652964007</v>
      </c>
      <c r="N759" s="56">
        <f t="shared" si="146"/>
        <v>1.7313200774212352</v>
      </c>
      <c r="O759" s="56">
        <f t="shared" si="155"/>
        <v>1.7313200774212352</v>
      </c>
      <c r="P759" s="143">
        <f t="shared" si="147"/>
        <v>4.2293330922371206</v>
      </c>
      <c r="Q759" s="143">
        <f t="shared" si="148"/>
        <v>4.2293330922371206</v>
      </c>
      <c r="R759" s="34">
        <v>1266.6766021987301</v>
      </c>
      <c r="S759" s="56">
        <f t="shared" si="149"/>
        <v>16.676602198730052</v>
      </c>
      <c r="T759" s="56">
        <f t="shared" si="150"/>
        <v>278.10906089468801</v>
      </c>
      <c r="U759" s="56">
        <f t="shared" si="151"/>
        <v>16.676602198730052</v>
      </c>
      <c r="V759" s="56">
        <f t="shared" si="152"/>
        <v>1.247398788496193</v>
      </c>
      <c r="W759" s="33">
        <f t="shared" si="153"/>
        <v>1.334128175898404</v>
      </c>
      <c r="X759" s="143">
        <f t="shared" si="154"/>
        <v>1.334128175898404</v>
      </c>
    </row>
    <row r="760" spans="1:24" ht="15" x14ac:dyDescent="0.2">
      <c r="A760" s="28" t="s">
        <v>421</v>
      </c>
      <c r="B760" s="224" t="s">
        <v>515</v>
      </c>
      <c r="C760" s="35" t="s">
        <v>458</v>
      </c>
      <c r="D760" s="35" t="s">
        <v>82</v>
      </c>
      <c r="E760" s="35" t="s">
        <v>662</v>
      </c>
      <c r="F760" s="35" t="s">
        <v>494</v>
      </c>
      <c r="G760" s="35" t="s">
        <v>626</v>
      </c>
      <c r="H760" s="35" t="s">
        <v>580</v>
      </c>
      <c r="I760" s="141">
        <v>825</v>
      </c>
      <c r="J760" s="34">
        <v>796.03351790723593</v>
      </c>
      <c r="K760" s="34">
        <f t="shared" si="143"/>
        <v>-28.966482092764068</v>
      </c>
      <c r="L760" s="56">
        <f t="shared" si="144"/>
        <v>839.05708483042145</v>
      </c>
      <c r="M760" s="56">
        <f t="shared" si="145"/>
        <v>28.966482092764068</v>
      </c>
      <c r="N760" s="56">
        <f t="shared" si="146"/>
        <v>1.4766357620522448</v>
      </c>
      <c r="O760" s="56">
        <f t="shared" si="155"/>
        <v>-1.4766357620522448</v>
      </c>
      <c r="P760" s="143">
        <f t="shared" si="147"/>
        <v>-3.5110887385168565</v>
      </c>
      <c r="Q760" s="143">
        <f t="shared" si="148"/>
        <v>3.5110887385168565</v>
      </c>
      <c r="R760" s="34">
        <v>804.35116511253204</v>
      </c>
      <c r="S760" s="56">
        <f t="shared" si="149"/>
        <v>-20.648834887467956</v>
      </c>
      <c r="T760" s="56">
        <f t="shared" si="150"/>
        <v>426.37438220991379</v>
      </c>
      <c r="U760" s="56">
        <f t="shared" si="151"/>
        <v>20.648834887467956</v>
      </c>
      <c r="V760" s="56">
        <f t="shared" si="152"/>
        <v>1.3354345281462245</v>
      </c>
      <c r="W760" s="33">
        <f t="shared" si="153"/>
        <v>-2.502889077268843</v>
      </c>
      <c r="X760" s="143">
        <f t="shared" si="154"/>
        <v>2.502889077268843</v>
      </c>
    </row>
    <row r="761" spans="1:24" ht="15" x14ac:dyDescent="0.2">
      <c r="A761" s="28" t="s">
        <v>422</v>
      </c>
      <c r="B761" s="224" t="s">
        <v>515</v>
      </c>
      <c r="C761" s="35" t="s">
        <v>458</v>
      </c>
      <c r="D761" s="35" t="s">
        <v>82</v>
      </c>
      <c r="E761" s="35" t="s">
        <v>662</v>
      </c>
      <c r="F761" s="35" t="s">
        <v>494</v>
      </c>
      <c r="G761" s="35" t="s">
        <v>626</v>
      </c>
      <c r="H761" s="35" t="s">
        <v>580</v>
      </c>
      <c r="I761" s="141">
        <v>1070</v>
      </c>
      <c r="J761" s="34">
        <v>1104.314845144386</v>
      </c>
      <c r="K761" s="34">
        <f t="shared" si="143"/>
        <v>34.314845144386027</v>
      </c>
      <c r="L761" s="56">
        <f t="shared" si="144"/>
        <v>1177.5085972831932</v>
      </c>
      <c r="M761" s="56">
        <f t="shared" si="145"/>
        <v>34.314845144386027</v>
      </c>
      <c r="N761" s="56">
        <f t="shared" si="146"/>
        <v>1.5479573062098368</v>
      </c>
      <c r="O761" s="56">
        <f t="shared" si="155"/>
        <v>1.5479573062098368</v>
      </c>
      <c r="P761" s="143">
        <f t="shared" si="147"/>
        <v>3.2069948733071052</v>
      </c>
      <c r="Q761" s="143">
        <f t="shared" si="148"/>
        <v>3.2069948733071052</v>
      </c>
      <c r="R761" s="34">
        <v>1078.6512869165899</v>
      </c>
      <c r="S761" s="56">
        <f t="shared" si="149"/>
        <v>8.6512869165899247</v>
      </c>
      <c r="T761" s="56">
        <f t="shared" si="150"/>
        <v>74.844765313160011</v>
      </c>
      <c r="U761" s="56">
        <f t="shared" si="151"/>
        <v>8.6512869165899247</v>
      </c>
      <c r="V761" s="56">
        <f t="shared" si="152"/>
        <v>0.98458522666085968</v>
      </c>
      <c r="W761" s="33">
        <f t="shared" si="153"/>
        <v>0.80853148753176862</v>
      </c>
      <c r="X761" s="143">
        <f t="shared" si="154"/>
        <v>0.80853148753176862</v>
      </c>
    </row>
    <row r="762" spans="1:24" ht="15" x14ac:dyDescent="0.2">
      <c r="A762" s="28" t="s">
        <v>423</v>
      </c>
      <c r="B762" s="224" t="s">
        <v>515</v>
      </c>
      <c r="C762" s="35" t="s">
        <v>458</v>
      </c>
      <c r="D762" s="208" t="s">
        <v>82</v>
      </c>
      <c r="E762" s="35" t="s">
        <v>662</v>
      </c>
      <c r="F762" s="35" t="s">
        <v>494</v>
      </c>
      <c r="G762" s="35" t="s">
        <v>626</v>
      </c>
      <c r="H762" s="35" t="s">
        <v>580</v>
      </c>
      <c r="I762" s="141">
        <v>1150</v>
      </c>
      <c r="J762" s="34">
        <v>1158.5036861382248</v>
      </c>
      <c r="K762" s="34">
        <f t="shared" si="143"/>
        <v>8.5036861382247935</v>
      </c>
      <c r="L762" s="56">
        <f t="shared" si="144"/>
        <v>72.312677937436504</v>
      </c>
      <c r="M762" s="56">
        <f t="shared" si="145"/>
        <v>8.5036861382247935</v>
      </c>
      <c r="N762" s="56">
        <f t="shared" si="146"/>
        <v>0.97789208518258985</v>
      </c>
      <c r="O762" s="56">
        <f t="shared" si="155"/>
        <v>0.97789208518258985</v>
      </c>
      <c r="P762" s="143">
        <f t="shared" si="147"/>
        <v>0.73945096854128634</v>
      </c>
      <c r="Q762" s="143">
        <f t="shared" si="148"/>
        <v>0.73945096854128634</v>
      </c>
      <c r="R762" s="34">
        <v>1125.2999539430198</v>
      </c>
      <c r="S762" s="56">
        <f t="shared" si="149"/>
        <v>-24.700046056980227</v>
      </c>
      <c r="T762" s="56">
        <f t="shared" si="150"/>
        <v>610.09227521694447</v>
      </c>
      <c r="U762" s="56">
        <f t="shared" si="151"/>
        <v>24.700046056980227</v>
      </c>
      <c r="V762" s="56">
        <f t="shared" si="152"/>
        <v>1.4099339016299111</v>
      </c>
      <c r="W762" s="33">
        <f t="shared" si="153"/>
        <v>-2.1478300919113242</v>
      </c>
      <c r="X762" s="143">
        <f t="shared" si="154"/>
        <v>2.1478300919113242</v>
      </c>
    </row>
    <row r="763" spans="1:24" ht="15" x14ac:dyDescent="0.2">
      <c r="A763" s="28" t="s">
        <v>424</v>
      </c>
      <c r="B763" s="224" t="s">
        <v>515</v>
      </c>
      <c r="C763" s="35" t="s">
        <v>458</v>
      </c>
      <c r="D763" s="208" t="s">
        <v>82</v>
      </c>
      <c r="E763" s="35" t="s">
        <v>662</v>
      </c>
      <c r="F763" s="35" t="s">
        <v>374</v>
      </c>
      <c r="G763" s="35" t="s">
        <v>627</v>
      </c>
      <c r="H763" s="35" t="s">
        <v>580</v>
      </c>
      <c r="I763" s="141">
        <v>1800</v>
      </c>
      <c r="J763" s="34">
        <v>1820.562956505177</v>
      </c>
      <c r="K763" s="34">
        <f t="shared" si="143"/>
        <v>20.562956505176999</v>
      </c>
      <c r="L763" s="56">
        <f t="shared" si="144"/>
        <v>422.83518023380105</v>
      </c>
      <c r="M763" s="56">
        <f t="shared" si="145"/>
        <v>20.562956505176999</v>
      </c>
      <c r="N763" s="56">
        <f t="shared" si="146"/>
        <v>1.3337083068790621</v>
      </c>
      <c r="O763" s="56">
        <f t="shared" si="155"/>
        <v>1.3337083068790621</v>
      </c>
      <c r="P763" s="143">
        <f t="shared" si="147"/>
        <v>1.1423864725098332</v>
      </c>
      <c r="Q763" s="143">
        <f t="shared" si="148"/>
        <v>1.1423864725098332</v>
      </c>
      <c r="R763" s="34">
        <v>1850.8003761607013</v>
      </c>
      <c r="S763" s="56">
        <f t="shared" si="149"/>
        <v>50.800376160701262</v>
      </c>
      <c r="T763" s="56">
        <f t="shared" si="150"/>
        <v>2580.6782180687451</v>
      </c>
      <c r="U763" s="56">
        <f t="shared" si="151"/>
        <v>50.800376160701262</v>
      </c>
      <c r="V763" s="56">
        <f t="shared" si="152"/>
        <v>1.714332913488934</v>
      </c>
      <c r="W763" s="33">
        <f t="shared" si="153"/>
        <v>2.8222431200389591</v>
      </c>
      <c r="X763" s="143">
        <f t="shared" si="154"/>
        <v>2.8222431200389591</v>
      </c>
    </row>
    <row r="764" spans="1:24" ht="15" x14ac:dyDescent="0.2">
      <c r="A764" s="28" t="s">
        <v>426</v>
      </c>
      <c r="B764" s="224" t="s">
        <v>515</v>
      </c>
      <c r="C764" s="35" t="s">
        <v>458</v>
      </c>
      <c r="D764" s="208" t="s">
        <v>82</v>
      </c>
      <c r="E764" s="35" t="s">
        <v>662</v>
      </c>
      <c r="F764" s="35" t="s">
        <v>374</v>
      </c>
      <c r="G764" s="35" t="s">
        <v>627</v>
      </c>
      <c r="H764" s="35" t="s">
        <v>580</v>
      </c>
      <c r="I764" s="141">
        <v>1620</v>
      </c>
      <c r="J764" s="34">
        <v>1700.8150471457745</v>
      </c>
      <c r="K764" s="34">
        <f t="shared" si="143"/>
        <v>80.815047145774543</v>
      </c>
      <c r="L764" s="56">
        <f t="shared" si="144"/>
        <v>6531.0718451737621</v>
      </c>
      <c r="M764" s="56">
        <f t="shared" si="145"/>
        <v>80.815047145774543</v>
      </c>
      <c r="N764" s="56">
        <f t="shared" si="146"/>
        <v>1.9128331849843281</v>
      </c>
      <c r="O764" s="56">
        <f t="shared" si="155"/>
        <v>1.9128331849843281</v>
      </c>
      <c r="P764" s="143">
        <f t="shared" si="147"/>
        <v>4.9885831571465769</v>
      </c>
      <c r="Q764" s="143">
        <f t="shared" si="148"/>
        <v>4.9885831571465769</v>
      </c>
      <c r="R764" s="34">
        <v>1677.6365442719857</v>
      </c>
      <c r="S764" s="56">
        <f t="shared" si="149"/>
        <v>57.636544271985713</v>
      </c>
      <c r="T764" s="56">
        <f t="shared" si="150"/>
        <v>3321.9712356165692</v>
      </c>
      <c r="U764" s="56">
        <f t="shared" si="151"/>
        <v>57.636544271985713</v>
      </c>
      <c r="V764" s="56">
        <f t="shared" si="152"/>
        <v>1.7681683673658237</v>
      </c>
      <c r="W764" s="33">
        <f t="shared" si="153"/>
        <v>3.5578113748139328</v>
      </c>
      <c r="X764" s="143">
        <f t="shared" si="154"/>
        <v>3.5578113748139328</v>
      </c>
    </row>
    <row r="765" spans="1:24" ht="15" x14ac:dyDescent="0.2">
      <c r="A765" s="28" t="s">
        <v>427</v>
      </c>
      <c r="B765" s="224" t="s">
        <v>515</v>
      </c>
      <c r="C765" s="35" t="s">
        <v>458</v>
      </c>
      <c r="D765" s="208" t="s">
        <v>82</v>
      </c>
      <c r="E765" s="35" t="s">
        <v>662</v>
      </c>
      <c r="F765" s="35" t="s">
        <v>374</v>
      </c>
      <c r="G765" s="35" t="s">
        <v>627</v>
      </c>
      <c r="H765" s="35" t="s">
        <v>580</v>
      </c>
      <c r="I765" s="141">
        <v>1650</v>
      </c>
      <c r="J765" s="34">
        <v>1700.8150471457745</v>
      </c>
      <c r="K765" s="34">
        <f t="shared" si="143"/>
        <v>50.815047145774543</v>
      </c>
      <c r="L765" s="56">
        <f t="shared" si="144"/>
        <v>2582.1690164272895</v>
      </c>
      <c r="M765" s="56">
        <f t="shared" si="145"/>
        <v>50.815047145774543</v>
      </c>
      <c r="N765" s="56">
        <f t="shared" si="146"/>
        <v>1.7144558976490265</v>
      </c>
      <c r="O765" s="56">
        <f t="shared" si="155"/>
        <v>1.7144558976490265</v>
      </c>
      <c r="P765" s="143">
        <f t="shared" si="147"/>
        <v>3.0796998270166389</v>
      </c>
      <c r="Q765" s="143">
        <f t="shared" si="148"/>
        <v>3.0796998270166389</v>
      </c>
      <c r="R765" s="34">
        <v>1702.2428252243062</v>
      </c>
      <c r="S765" s="56">
        <f t="shared" si="149"/>
        <v>52.242825224306216</v>
      </c>
      <c r="T765" s="56">
        <f t="shared" si="150"/>
        <v>2729.3127874174056</v>
      </c>
      <c r="U765" s="56">
        <f t="shared" si="151"/>
        <v>52.242825224306216</v>
      </c>
      <c r="V765" s="56">
        <f t="shared" si="152"/>
        <v>1.7262610923843833</v>
      </c>
      <c r="W765" s="33">
        <f t="shared" si="153"/>
        <v>3.1662318317761344</v>
      </c>
      <c r="X765" s="143">
        <f t="shared" si="154"/>
        <v>3.1662318317761344</v>
      </c>
    </row>
    <row r="766" spans="1:24" ht="15" x14ac:dyDescent="0.2">
      <c r="A766" s="28" t="s">
        <v>459</v>
      </c>
      <c r="B766" s="224" t="s">
        <v>515</v>
      </c>
      <c r="C766" s="35" t="s">
        <v>458</v>
      </c>
      <c r="D766" s="208" t="s">
        <v>82</v>
      </c>
      <c r="E766" s="35" t="s">
        <v>662</v>
      </c>
      <c r="F766" s="35" t="s">
        <v>374</v>
      </c>
      <c r="G766" s="35" t="s">
        <v>627</v>
      </c>
      <c r="H766" s="35" t="s">
        <v>580</v>
      </c>
      <c r="I766" s="141">
        <v>1640</v>
      </c>
      <c r="J766" s="34">
        <v>1612.9750507832416</v>
      </c>
      <c r="K766" s="34">
        <f t="shared" si="143"/>
        <v>-27.024949216758387</v>
      </c>
      <c r="L766" s="56">
        <f t="shared" si="144"/>
        <v>730.34788016836978</v>
      </c>
      <c r="M766" s="56">
        <f t="shared" si="145"/>
        <v>27.024949216758387</v>
      </c>
      <c r="N766" s="56">
        <f t="shared" si="146"/>
        <v>1.447544834294608</v>
      </c>
      <c r="O766" s="56">
        <f t="shared" si="155"/>
        <v>-1.447544834294608</v>
      </c>
      <c r="P766" s="143">
        <f t="shared" si="147"/>
        <v>-1.6478627571194138</v>
      </c>
      <c r="Q766" s="143">
        <f t="shared" si="148"/>
        <v>1.6478627571194138</v>
      </c>
      <c r="R766" s="34">
        <v>1604.0901464543242</v>
      </c>
      <c r="S766" s="56">
        <f t="shared" si="149"/>
        <v>-35.909853545675787</v>
      </c>
      <c r="T766" s="56">
        <f t="shared" si="150"/>
        <v>1289.5175816718838</v>
      </c>
      <c r="U766" s="56">
        <f t="shared" si="151"/>
        <v>35.909853545675787</v>
      </c>
      <c r="V766" s="56">
        <f t="shared" si="152"/>
        <v>1.5671423219653391</v>
      </c>
      <c r="W766" s="33">
        <f t="shared" si="153"/>
        <v>-2.1896252161997429</v>
      </c>
      <c r="X766" s="143">
        <f t="shared" si="154"/>
        <v>2.1896252161997429</v>
      </c>
    </row>
    <row r="767" spans="1:24" ht="15" x14ac:dyDescent="0.2">
      <c r="A767" s="28" t="s">
        <v>425</v>
      </c>
      <c r="B767" s="224" t="s">
        <v>515</v>
      </c>
      <c r="C767" s="35" t="s">
        <v>458</v>
      </c>
      <c r="D767" s="208" t="s">
        <v>82</v>
      </c>
      <c r="E767" s="35" t="s">
        <v>662</v>
      </c>
      <c r="F767" s="35" t="s">
        <v>293</v>
      </c>
      <c r="G767" s="35" t="s">
        <v>627</v>
      </c>
      <c r="H767" s="35" t="s">
        <v>580</v>
      </c>
      <c r="I767" s="141">
        <v>2690</v>
      </c>
      <c r="J767" s="34">
        <v>2927.1301845291105</v>
      </c>
      <c r="K767" s="34">
        <f t="shared" si="143"/>
        <v>237.13018452911047</v>
      </c>
      <c r="L767" s="56">
        <f t="shared" si="144"/>
        <v>56230.724414809978</v>
      </c>
      <c r="M767" s="56">
        <f t="shared" si="145"/>
        <v>237.13018452911047</v>
      </c>
      <c r="N767" s="56">
        <f t="shared" si="146"/>
        <v>2.376814448506825</v>
      </c>
      <c r="O767" s="56">
        <f t="shared" si="155"/>
        <v>2.376814448506825</v>
      </c>
      <c r="P767" s="143">
        <f t="shared" si="147"/>
        <v>8.8152484955059656</v>
      </c>
      <c r="Q767" s="143">
        <f t="shared" si="148"/>
        <v>8.8152484955059656</v>
      </c>
      <c r="R767" s="34">
        <v>2849.8023032990063</v>
      </c>
      <c r="S767" s="56">
        <f t="shared" si="149"/>
        <v>159.80230329900633</v>
      </c>
      <c r="T767" s="56">
        <f t="shared" si="150"/>
        <v>25536.776139667607</v>
      </c>
      <c r="U767" s="56">
        <f t="shared" si="151"/>
        <v>159.80230329900633</v>
      </c>
      <c r="V767" s="56">
        <f t="shared" si="152"/>
        <v>2.2062922652015149</v>
      </c>
      <c r="W767" s="33">
        <f t="shared" si="153"/>
        <v>5.940606070595031</v>
      </c>
      <c r="X767" s="143">
        <f t="shared" si="154"/>
        <v>5.940606070595031</v>
      </c>
    </row>
    <row r="768" spans="1:24" ht="15" x14ac:dyDescent="0.2">
      <c r="A768" s="28" t="s">
        <v>433</v>
      </c>
      <c r="B768" s="224" t="s">
        <v>515</v>
      </c>
      <c r="C768" s="35" t="s">
        <v>458</v>
      </c>
      <c r="D768" s="208" t="s">
        <v>82</v>
      </c>
      <c r="E768" s="35" t="s">
        <v>662</v>
      </c>
      <c r="F768" s="35" t="s">
        <v>374</v>
      </c>
      <c r="G768" s="35" t="s">
        <v>627</v>
      </c>
      <c r="H768" s="35" t="s">
        <v>580</v>
      </c>
      <c r="I768" s="141">
        <v>1520</v>
      </c>
      <c r="J768" s="34">
        <v>1434.0286677350061</v>
      </c>
      <c r="K768" s="34">
        <f t="shared" si="143"/>
        <v>-85.971332264993862</v>
      </c>
      <c r="L768" s="56">
        <f t="shared" si="144"/>
        <v>7391.0699714179746</v>
      </c>
      <c r="M768" s="56">
        <f t="shared" si="145"/>
        <v>85.971332264993862</v>
      </c>
      <c r="N768" s="56">
        <f t="shared" si="146"/>
        <v>1.9393761228388735</v>
      </c>
      <c r="O768" s="56">
        <f t="shared" si="155"/>
        <v>-1.9393761228388735</v>
      </c>
      <c r="P768" s="143">
        <f t="shared" si="147"/>
        <v>-5.6560087016443337</v>
      </c>
      <c r="Q768" s="143">
        <f t="shared" si="148"/>
        <v>5.6560087016443337</v>
      </c>
      <c r="R768" s="34">
        <v>1410.0588753537183</v>
      </c>
      <c r="S768" s="56">
        <f t="shared" si="149"/>
        <v>-109.94112464628165</v>
      </c>
      <c r="T768" s="56">
        <f t="shared" si="150"/>
        <v>12087.050888489239</v>
      </c>
      <c r="U768" s="56">
        <f t="shared" si="151"/>
        <v>109.94112464628165</v>
      </c>
      <c r="V768" s="56">
        <f t="shared" si="152"/>
        <v>2.045092564149618</v>
      </c>
      <c r="W768" s="33">
        <f t="shared" si="153"/>
        <v>-7.2329687267290552</v>
      </c>
      <c r="X768" s="143">
        <f t="shared" si="154"/>
        <v>7.2329687267290552</v>
      </c>
    </row>
    <row r="769" spans="1:24" ht="15" x14ac:dyDescent="0.2">
      <c r="A769" s="28" t="s">
        <v>434</v>
      </c>
      <c r="B769" s="224" t="s">
        <v>515</v>
      </c>
      <c r="C769" s="35" t="s">
        <v>458</v>
      </c>
      <c r="D769" s="208" t="s">
        <v>82</v>
      </c>
      <c r="E769" s="35" t="s">
        <v>662</v>
      </c>
      <c r="F769" s="35" t="s">
        <v>374</v>
      </c>
      <c r="G769" s="35" t="s">
        <v>627</v>
      </c>
      <c r="H769" s="35" t="s">
        <v>580</v>
      </c>
      <c r="I769" s="141">
        <v>2370</v>
      </c>
      <c r="J769" s="34">
        <v>2498.5119686462231</v>
      </c>
      <c r="K769" s="34">
        <f t="shared" si="143"/>
        <v>128.51196864622307</v>
      </c>
      <c r="L769" s="56">
        <f t="shared" si="144"/>
        <v>16515.326085327823</v>
      </c>
      <c r="M769" s="56">
        <f t="shared" si="145"/>
        <v>128.51196864622307</v>
      </c>
      <c r="N769" s="56">
        <f t="shared" si="146"/>
        <v>2.1123099049178453</v>
      </c>
      <c r="O769" s="56">
        <f t="shared" si="155"/>
        <v>2.1123099049178453</v>
      </c>
      <c r="P769" s="143">
        <f t="shared" si="147"/>
        <v>5.4224459344397919</v>
      </c>
      <c r="Q769" s="143">
        <f t="shared" si="148"/>
        <v>5.4224459344397919</v>
      </c>
      <c r="R769" s="34">
        <v>2485.1098237131282</v>
      </c>
      <c r="S769" s="56">
        <f t="shared" si="149"/>
        <v>115.10982371312821</v>
      </c>
      <c r="T769" s="56">
        <f t="shared" si="150"/>
        <v>13250.271515267454</v>
      </c>
      <c r="U769" s="56">
        <f t="shared" si="151"/>
        <v>115.10982371312821</v>
      </c>
      <c r="V769" s="56">
        <f t="shared" si="152"/>
        <v>2.0648689656809953</v>
      </c>
      <c r="W769" s="33">
        <f t="shared" si="153"/>
        <v>4.8569545870518231</v>
      </c>
      <c r="X769" s="143">
        <f t="shared" si="154"/>
        <v>4.8569545870518231</v>
      </c>
    </row>
    <row r="770" spans="1:24" ht="15" x14ac:dyDescent="0.2">
      <c r="A770" s="28" t="s">
        <v>435</v>
      </c>
      <c r="B770" s="224" t="s">
        <v>515</v>
      </c>
      <c r="C770" s="35" t="s">
        <v>458</v>
      </c>
      <c r="D770" s="208" t="s">
        <v>82</v>
      </c>
      <c r="E770" s="35" t="s">
        <v>662</v>
      </c>
      <c r="F770" s="35" t="s">
        <v>494</v>
      </c>
      <c r="G770" s="35" t="s">
        <v>626</v>
      </c>
      <c r="H770" s="35" t="s">
        <v>580</v>
      </c>
      <c r="I770" s="141">
        <v>1150</v>
      </c>
      <c r="J770" s="34">
        <v>1109.2276180784049</v>
      </c>
      <c r="K770" s="34">
        <f t="shared" ref="K770:K793" si="156">J770-I770</f>
        <v>-40.77238192159507</v>
      </c>
      <c r="L770" s="56">
        <f t="shared" ref="L770:L793" si="157">K770^2</f>
        <v>1662.3871275604124</v>
      </c>
      <c r="M770" s="56">
        <f t="shared" ref="M770:M793" si="158">SQRT(L770)</f>
        <v>40.77238192159507</v>
      </c>
      <c r="N770" s="56">
        <f t="shared" ref="N770:N793" si="159">LOG10(M770+1)</f>
        <v>1.6208892400702788</v>
      </c>
      <c r="O770" s="56">
        <f t="shared" si="155"/>
        <v>-1.6208892400702788</v>
      </c>
      <c r="P770" s="143">
        <f t="shared" ref="P770:P793" si="160">100*K770/I770</f>
        <v>-3.5454245149213106</v>
      </c>
      <c r="Q770" s="143">
        <f t="shared" ref="Q770:Q793" si="161">ABS(P770)</f>
        <v>3.5454245149213106</v>
      </c>
      <c r="R770" s="34">
        <v>1101.9447356633996</v>
      </c>
      <c r="S770" s="56">
        <f t="shared" ref="S770:S793" si="162">R770-I770</f>
        <v>-48.05526433660043</v>
      </c>
      <c r="T770" s="56">
        <f t="shared" ref="T770:T793" si="163">S770^2</f>
        <v>2309.3084304605413</v>
      </c>
      <c r="U770" s="56">
        <f t="shared" ref="U770:U793" si="164">SQRT(T770)</f>
        <v>48.05526433660043</v>
      </c>
      <c r="V770" s="56">
        <f t="shared" ref="V770:V793" si="165">LOG10(U770+1)</f>
        <v>1.6906856202716671</v>
      </c>
      <c r="W770" s="33">
        <f t="shared" ref="W770:W793" si="166">100*S770/I770</f>
        <v>-4.1787186379652548</v>
      </c>
      <c r="X770" s="143">
        <f t="shared" ref="X770:X793" si="167">ABS(W770)</f>
        <v>4.1787186379652548</v>
      </c>
    </row>
    <row r="771" spans="1:24" ht="15" x14ac:dyDescent="0.2">
      <c r="A771" s="28" t="s">
        <v>734</v>
      </c>
      <c r="B771" s="224" t="s">
        <v>515</v>
      </c>
      <c r="C771" s="35" t="s">
        <v>403</v>
      </c>
      <c r="D771" s="35" t="s">
        <v>82</v>
      </c>
      <c r="E771" s="35" t="s">
        <v>662</v>
      </c>
      <c r="F771" s="35" t="s">
        <v>203</v>
      </c>
      <c r="G771" s="35" t="s">
        <v>627</v>
      </c>
      <c r="H771" s="35" t="s">
        <v>581</v>
      </c>
      <c r="I771" s="141">
        <v>5600</v>
      </c>
      <c r="J771" s="34">
        <v>6363.889682017787</v>
      </c>
      <c r="K771" s="34">
        <f t="shared" si="156"/>
        <v>763.88968201778698</v>
      </c>
      <c r="L771" s="56">
        <f t="shared" si="157"/>
        <v>583527.44629323576</v>
      </c>
      <c r="M771" s="56">
        <f t="shared" si="158"/>
        <v>763.88968201778698</v>
      </c>
      <c r="N771" s="56">
        <f t="shared" si="159"/>
        <v>2.8835988025447752</v>
      </c>
      <c r="O771" s="56">
        <f t="shared" ref="O771:O793" si="168">N771*SIGN(K771)</f>
        <v>2.8835988025447752</v>
      </c>
      <c r="P771" s="143">
        <f t="shared" si="160"/>
        <v>13.640887178889054</v>
      </c>
      <c r="Q771" s="143">
        <f t="shared" si="161"/>
        <v>13.640887178889054</v>
      </c>
      <c r="R771" s="34">
        <v>6324.8329659494721</v>
      </c>
      <c r="S771" s="56">
        <f t="shared" si="162"/>
        <v>724.83296594947205</v>
      </c>
      <c r="T771" s="56">
        <f t="shared" si="163"/>
        <v>525382.82852710853</v>
      </c>
      <c r="U771" s="56">
        <f t="shared" si="164"/>
        <v>724.83296594947205</v>
      </c>
      <c r="V771" s="56">
        <f t="shared" si="165"/>
        <v>2.8608366891398447</v>
      </c>
      <c r="W771" s="33">
        <f t="shared" si="166"/>
        <v>12.943445820526286</v>
      </c>
      <c r="X771" s="143">
        <f t="shared" si="167"/>
        <v>12.943445820526286</v>
      </c>
    </row>
    <row r="772" spans="1:24" ht="15" x14ac:dyDescent="0.2">
      <c r="A772" s="206" t="s">
        <v>460</v>
      </c>
      <c r="B772" s="224" t="s">
        <v>515</v>
      </c>
      <c r="C772" s="35" t="s">
        <v>403</v>
      </c>
      <c r="D772" s="35" t="s">
        <v>82</v>
      </c>
      <c r="E772" s="35" t="s">
        <v>662</v>
      </c>
      <c r="F772" s="35" t="s">
        <v>203</v>
      </c>
      <c r="G772" s="35" t="s">
        <v>627</v>
      </c>
      <c r="H772" s="35" t="s">
        <v>581</v>
      </c>
      <c r="I772" s="141">
        <v>4340</v>
      </c>
      <c r="J772" s="34">
        <v>4503.1730298196908</v>
      </c>
      <c r="K772" s="34">
        <f t="shared" si="156"/>
        <v>163.17302981969078</v>
      </c>
      <c r="L772" s="56">
        <f t="shared" si="157"/>
        <v>26625.437660537697</v>
      </c>
      <c r="M772" s="56">
        <f t="shared" si="158"/>
        <v>163.17302981969078</v>
      </c>
      <c r="N772" s="56">
        <f t="shared" si="159"/>
        <v>2.2153018131821338</v>
      </c>
      <c r="O772" s="56">
        <f t="shared" si="168"/>
        <v>2.2153018131821338</v>
      </c>
      <c r="P772" s="143">
        <f t="shared" si="160"/>
        <v>3.7597472308684514</v>
      </c>
      <c r="Q772" s="143">
        <f t="shared" si="161"/>
        <v>3.7597472308684514</v>
      </c>
      <c r="R772" s="34">
        <v>4435.362606988142</v>
      </c>
      <c r="S772" s="56">
        <f t="shared" si="162"/>
        <v>95.362606988142034</v>
      </c>
      <c r="T772" s="56">
        <f t="shared" si="163"/>
        <v>9094.0268115748349</v>
      </c>
      <c r="U772" s="56">
        <f t="shared" si="164"/>
        <v>95.362606988142034</v>
      </c>
      <c r="V772" s="56">
        <f t="shared" si="165"/>
        <v>1.9839085408618919</v>
      </c>
      <c r="W772" s="33">
        <f t="shared" si="166"/>
        <v>2.1972950918926735</v>
      </c>
      <c r="X772" s="143">
        <f t="shared" si="167"/>
        <v>2.1972950918926735</v>
      </c>
    </row>
    <row r="773" spans="1:24" ht="15" x14ac:dyDescent="0.2">
      <c r="A773" s="28" t="s">
        <v>327</v>
      </c>
      <c r="B773" s="224" t="s">
        <v>515</v>
      </c>
      <c r="C773" s="208" t="s">
        <v>403</v>
      </c>
      <c r="D773" s="35" t="s">
        <v>82</v>
      </c>
      <c r="E773" s="35" t="s">
        <v>662</v>
      </c>
      <c r="F773" s="35" t="s">
        <v>374</v>
      </c>
      <c r="G773" s="35" t="s">
        <v>626</v>
      </c>
      <c r="H773" s="35" t="s">
        <v>580</v>
      </c>
      <c r="I773" s="141">
        <v>1217.5999999999999</v>
      </c>
      <c r="J773" s="34">
        <v>1209.0368699901596</v>
      </c>
      <c r="K773" s="34">
        <f t="shared" si="156"/>
        <v>-8.5631300098402789</v>
      </c>
      <c r="L773" s="56">
        <f t="shared" si="157"/>
        <v>73.327195565427175</v>
      </c>
      <c r="M773" s="56">
        <f t="shared" si="158"/>
        <v>8.5631300098402789</v>
      </c>
      <c r="N773" s="56">
        <f t="shared" si="159"/>
        <v>0.98060006000840916</v>
      </c>
      <c r="O773" s="56">
        <f t="shared" si="168"/>
        <v>-0.98060006000840916</v>
      </c>
      <c r="P773" s="143">
        <f t="shared" si="160"/>
        <v>-0.70327940291066682</v>
      </c>
      <c r="Q773" s="143">
        <f t="shared" si="161"/>
        <v>0.70327940291066682</v>
      </c>
      <c r="R773" s="34">
        <v>1213.1800023193341</v>
      </c>
      <c r="S773" s="56">
        <f t="shared" si="162"/>
        <v>-4.4199976806658015</v>
      </c>
      <c r="T773" s="56">
        <f t="shared" si="163"/>
        <v>19.536379497091065</v>
      </c>
      <c r="U773" s="56">
        <f t="shared" si="164"/>
        <v>4.4199976806658015</v>
      </c>
      <c r="V773" s="56">
        <f t="shared" si="165"/>
        <v>0.73399910069442753</v>
      </c>
      <c r="W773" s="33">
        <f t="shared" si="166"/>
        <v>-0.36300900793904417</v>
      </c>
      <c r="X773" s="143">
        <f t="shared" si="167"/>
        <v>0.36300900793904417</v>
      </c>
    </row>
    <row r="774" spans="1:24" ht="15" x14ac:dyDescent="0.2">
      <c r="A774" s="28" t="s">
        <v>597</v>
      </c>
      <c r="B774" s="224" t="s">
        <v>515</v>
      </c>
      <c r="C774" s="208" t="s">
        <v>403</v>
      </c>
      <c r="D774" s="35" t="s">
        <v>82</v>
      </c>
      <c r="E774" s="35" t="s">
        <v>662</v>
      </c>
      <c r="F774" s="35" t="s">
        <v>203</v>
      </c>
      <c r="G774" s="35" t="s">
        <v>627</v>
      </c>
      <c r="H774" s="35" t="s">
        <v>581</v>
      </c>
      <c r="I774" s="141">
        <v>5241.7</v>
      </c>
      <c r="J774" s="34">
        <v>6037.2169564434416</v>
      </c>
      <c r="K774" s="34">
        <f t="shared" si="156"/>
        <v>795.51695644344181</v>
      </c>
      <c r="L774" s="56">
        <f t="shared" si="157"/>
        <v>632847.22798903694</v>
      </c>
      <c r="M774" s="56">
        <f t="shared" si="158"/>
        <v>795.51695644344181</v>
      </c>
      <c r="N774" s="56">
        <f t="shared" si="159"/>
        <v>2.9011950256003449</v>
      </c>
      <c r="O774" s="56">
        <f t="shared" si="168"/>
        <v>2.9011950256003449</v>
      </c>
      <c r="P774" s="143">
        <f t="shared" si="160"/>
        <v>15.176697568411809</v>
      </c>
      <c r="Q774" s="143">
        <f t="shared" si="161"/>
        <v>15.176697568411809</v>
      </c>
      <c r="R774" s="34">
        <v>6038.8990591526126</v>
      </c>
      <c r="S774" s="56">
        <f t="shared" si="162"/>
        <v>797.19905915261279</v>
      </c>
      <c r="T774" s="56">
        <f t="shared" si="163"/>
        <v>635526.33991381107</v>
      </c>
      <c r="U774" s="56">
        <f t="shared" si="164"/>
        <v>797.19905915261279</v>
      </c>
      <c r="V774" s="56">
        <f t="shared" si="165"/>
        <v>2.9021112115398746</v>
      </c>
      <c r="W774" s="33">
        <f t="shared" si="166"/>
        <v>15.208788354018978</v>
      </c>
      <c r="X774" s="143">
        <f t="shared" si="167"/>
        <v>15.208788354018978</v>
      </c>
    </row>
    <row r="775" spans="1:24" ht="15" x14ac:dyDescent="0.2">
      <c r="A775" s="28" t="s">
        <v>360</v>
      </c>
      <c r="B775" s="224" t="s">
        <v>515</v>
      </c>
      <c r="C775" s="208" t="s">
        <v>403</v>
      </c>
      <c r="D775" s="35" t="s">
        <v>82</v>
      </c>
      <c r="E775" s="35" t="s">
        <v>662</v>
      </c>
      <c r="F775" s="35" t="s">
        <v>494</v>
      </c>
      <c r="G775" s="35" t="s">
        <v>626</v>
      </c>
      <c r="H775" s="35" t="s">
        <v>580</v>
      </c>
      <c r="I775" s="141">
        <v>906.8</v>
      </c>
      <c r="J775" s="34">
        <v>1079.7921565822337</v>
      </c>
      <c r="K775" s="34">
        <f t="shared" si="156"/>
        <v>172.99215658223375</v>
      </c>
      <c r="L775" s="56">
        <f t="shared" si="157"/>
        <v>29926.286238972079</v>
      </c>
      <c r="M775" s="56">
        <f t="shared" si="158"/>
        <v>172.99215658223375</v>
      </c>
      <c r="N775" s="56">
        <f t="shared" si="159"/>
        <v>2.2405296710996585</v>
      </c>
      <c r="O775" s="56">
        <f t="shared" si="168"/>
        <v>2.2405296710996585</v>
      </c>
      <c r="P775" s="143">
        <f t="shared" si="160"/>
        <v>19.077211797776108</v>
      </c>
      <c r="Q775" s="143">
        <f t="shared" si="161"/>
        <v>19.077211797776108</v>
      </c>
      <c r="R775" s="34">
        <v>1055.5598001641042</v>
      </c>
      <c r="S775" s="56">
        <f t="shared" si="162"/>
        <v>148.75980016410426</v>
      </c>
      <c r="T775" s="56">
        <f t="shared" si="163"/>
        <v>22129.478144864235</v>
      </c>
      <c r="U775" s="56">
        <f t="shared" si="164"/>
        <v>148.75980016410426</v>
      </c>
      <c r="V775" s="56">
        <f t="shared" si="165"/>
        <v>2.1753952518822466</v>
      </c>
      <c r="W775" s="33">
        <f t="shared" si="166"/>
        <v>16.404918412450847</v>
      </c>
      <c r="X775" s="143">
        <f t="shared" si="167"/>
        <v>16.404918412450847</v>
      </c>
    </row>
    <row r="776" spans="1:24" ht="15" x14ac:dyDescent="0.2">
      <c r="A776" s="28" t="s">
        <v>136</v>
      </c>
      <c r="B776" s="224" t="s">
        <v>515</v>
      </c>
      <c r="C776" s="208" t="s">
        <v>403</v>
      </c>
      <c r="D776" s="35" t="s">
        <v>96</v>
      </c>
      <c r="E776" s="35" t="s">
        <v>662</v>
      </c>
      <c r="F776" s="35" t="s">
        <v>374</v>
      </c>
      <c r="G776" s="35" t="s">
        <v>627</v>
      </c>
      <c r="H776" s="35" t="s">
        <v>580</v>
      </c>
      <c r="I776" s="141">
        <v>2365.6</v>
      </c>
      <c r="J776" s="34">
        <v>2324.3538823577378</v>
      </c>
      <c r="K776" s="34">
        <f t="shared" si="156"/>
        <v>-41.246117642262107</v>
      </c>
      <c r="L776" s="56">
        <f t="shared" si="157"/>
        <v>1701.2422205593255</v>
      </c>
      <c r="M776" s="56">
        <f t="shared" si="158"/>
        <v>41.246117642262107</v>
      </c>
      <c r="N776" s="56">
        <f t="shared" si="159"/>
        <v>1.6257868040782688</v>
      </c>
      <c r="O776" s="56">
        <f t="shared" si="168"/>
        <v>-1.6257868040782688</v>
      </c>
      <c r="P776" s="143">
        <f t="shared" si="160"/>
        <v>-1.7435795418609279</v>
      </c>
      <c r="Q776" s="143">
        <f t="shared" si="161"/>
        <v>1.7435795418609279</v>
      </c>
      <c r="R776" s="34">
        <v>2357.4483370916932</v>
      </c>
      <c r="S776" s="56">
        <f t="shared" si="162"/>
        <v>-8.1516629083066618</v>
      </c>
      <c r="T776" s="56">
        <f t="shared" si="163"/>
        <v>66.449608170662628</v>
      </c>
      <c r="U776" s="56">
        <f t="shared" si="164"/>
        <v>8.1516629083066618</v>
      </c>
      <c r="V776" s="56">
        <f t="shared" si="165"/>
        <v>0.96150001497184356</v>
      </c>
      <c r="W776" s="33">
        <f t="shared" si="166"/>
        <v>-0.34459176988107298</v>
      </c>
      <c r="X776" s="143">
        <f t="shared" si="167"/>
        <v>0.34459176988107298</v>
      </c>
    </row>
    <row r="777" spans="1:24" ht="15" x14ac:dyDescent="0.2">
      <c r="A777" s="28" t="s">
        <v>157</v>
      </c>
      <c r="B777" s="224" t="s">
        <v>515</v>
      </c>
      <c r="C777" s="208" t="s">
        <v>403</v>
      </c>
      <c r="D777" s="35" t="s">
        <v>82</v>
      </c>
      <c r="E777" s="35" t="s">
        <v>662</v>
      </c>
      <c r="F777" s="35" t="s">
        <v>203</v>
      </c>
      <c r="G777" s="35" t="s">
        <v>627</v>
      </c>
      <c r="H777" s="35" t="s">
        <v>581</v>
      </c>
      <c r="I777" s="141">
        <v>6408.96</v>
      </c>
      <c r="J777" s="34">
        <v>7455.3580645186266</v>
      </c>
      <c r="K777" s="34">
        <f t="shared" si="156"/>
        <v>1046.3980645186266</v>
      </c>
      <c r="L777" s="56">
        <f t="shared" si="157"/>
        <v>1094948.9094283278</v>
      </c>
      <c r="M777" s="56">
        <f t="shared" si="158"/>
        <v>1046.3980645186266</v>
      </c>
      <c r="N777" s="56">
        <f t="shared" si="159"/>
        <v>3.0201117670357203</v>
      </c>
      <c r="O777" s="56">
        <f t="shared" si="168"/>
        <v>3.0201117670357203</v>
      </c>
      <c r="P777" s="143">
        <f t="shared" si="160"/>
        <v>16.327111801581328</v>
      </c>
      <c r="Q777" s="143">
        <f t="shared" si="161"/>
        <v>16.327111801581328</v>
      </c>
      <c r="R777" s="34">
        <v>7280.1464045025705</v>
      </c>
      <c r="S777" s="56">
        <f t="shared" si="162"/>
        <v>871.18640450257044</v>
      </c>
      <c r="T777" s="56">
        <f t="shared" si="163"/>
        <v>758965.75139011629</v>
      </c>
      <c r="U777" s="56">
        <f t="shared" si="164"/>
        <v>871.18640450257044</v>
      </c>
      <c r="V777" s="56">
        <f t="shared" si="165"/>
        <v>2.94060931267961</v>
      </c>
      <c r="W777" s="33">
        <f t="shared" si="166"/>
        <v>13.593257010537911</v>
      </c>
      <c r="X777" s="143">
        <f t="shared" si="167"/>
        <v>13.593257010537911</v>
      </c>
    </row>
    <row r="778" spans="1:24" ht="15" x14ac:dyDescent="0.2">
      <c r="A778" s="28" t="s">
        <v>322</v>
      </c>
      <c r="B778" s="224" t="s">
        <v>515</v>
      </c>
      <c r="C778" s="208" t="s">
        <v>403</v>
      </c>
      <c r="D778" s="35" t="s">
        <v>96</v>
      </c>
      <c r="E778" s="35" t="s">
        <v>662</v>
      </c>
      <c r="F778" s="35" t="s">
        <v>374</v>
      </c>
      <c r="G778" s="35" t="s">
        <v>627</v>
      </c>
      <c r="H778" s="35" t="s">
        <v>580</v>
      </c>
      <c r="I778" s="141">
        <f>337.19+626.59+495.45+752.43</f>
        <v>2211.66</v>
      </c>
      <c r="J778" s="34">
        <v>2747.5117406360596</v>
      </c>
      <c r="K778" s="34">
        <f t="shared" si="156"/>
        <v>535.85174063605973</v>
      </c>
      <c r="L778" s="56">
        <f t="shared" si="157"/>
        <v>287137.08794269501</v>
      </c>
      <c r="M778" s="56">
        <f t="shared" si="158"/>
        <v>535.85174063605973</v>
      </c>
      <c r="N778" s="56">
        <f t="shared" si="159"/>
        <v>2.7298543655623106</v>
      </c>
      <c r="O778" s="56">
        <f t="shared" si="168"/>
        <v>2.7298543655623106</v>
      </c>
      <c r="P778" s="143">
        <f t="shared" si="160"/>
        <v>24.228486324121235</v>
      </c>
      <c r="Q778" s="143">
        <f t="shared" si="161"/>
        <v>24.228486324121235</v>
      </c>
      <c r="R778" s="34">
        <v>2738.1228074683436</v>
      </c>
      <c r="S778" s="56">
        <f t="shared" si="162"/>
        <v>526.46280746834373</v>
      </c>
      <c r="T778" s="56">
        <f t="shared" si="163"/>
        <v>277163.08764745033</v>
      </c>
      <c r="U778" s="56">
        <f t="shared" si="164"/>
        <v>526.46280746834373</v>
      </c>
      <c r="V778" s="56">
        <f t="shared" si="165"/>
        <v>2.7221918420157456</v>
      </c>
      <c r="W778" s="33">
        <f t="shared" si="166"/>
        <v>23.803966589274292</v>
      </c>
      <c r="X778" s="143">
        <f t="shared" si="167"/>
        <v>23.803966589274292</v>
      </c>
    </row>
    <row r="779" spans="1:24" ht="15" x14ac:dyDescent="0.2">
      <c r="A779" s="28" t="s">
        <v>152</v>
      </c>
      <c r="B779" s="224" t="s">
        <v>515</v>
      </c>
      <c r="C779" s="208" t="s">
        <v>403</v>
      </c>
      <c r="D779" s="35" t="s">
        <v>82</v>
      </c>
      <c r="E779" s="35" t="s">
        <v>662</v>
      </c>
      <c r="F779" s="35" t="s">
        <v>203</v>
      </c>
      <c r="G779" s="35" t="s">
        <v>627</v>
      </c>
      <c r="H779" s="35" t="s">
        <v>581</v>
      </c>
      <c r="I779" s="141">
        <v>5810</v>
      </c>
      <c r="J779" s="34">
        <v>7798.1092142346288</v>
      </c>
      <c r="K779" s="34">
        <f t="shared" si="156"/>
        <v>1988.1092142346288</v>
      </c>
      <c r="L779" s="56">
        <f t="shared" si="157"/>
        <v>3952578.2477246332</v>
      </c>
      <c r="M779" s="56">
        <f t="shared" si="158"/>
        <v>1988.1092142346288</v>
      </c>
      <c r="N779" s="56">
        <f t="shared" si="159"/>
        <v>3.2986586291964772</v>
      </c>
      <c r="O779" s="56">
        <f t="shared" si="168"/>
        <v>3.2986586291964772</v>
      </c>
      <c r="P779" s="143">
        <f t="shared" si="160"/>
        <v>34.218747232954023</v>
      </c>
      <c r="Q779" s="143">
        <f t="shared" si="161"/>
        <v>34.218747232954023</v>
      </c>
      <c r="R779" s="34">
        <v>7934.1577886664045</v>
      </c>
      <c r="S779" s="56">
        <f t="shared" si="162"/>
        <v>2124.1577886664045</v>
      </c>
      <c r="T779" s="56">
        <f t="shared" si="163"/>
        <v>4512046.3111521499</v>
      </c>
      <c r="U779" s="56">
        <f t="shared" si="164"/>
        <v>2124.1577886664045</v>
      </c>
      <c r="V779" s="56">
        <f t="shared" si="165"/>
        <v>3.3273911810701313</v>
      </c>
      <c r="W779" s="33">
        <f t="shared" si="166"/>
        <v>36.56037502007581</v>
      </c>
      <c r="X779" s="143">
        <f t="shared" si="167"/>
        <v>36.56037502007581</v>
      </c>
    </row>
    <row r="780" spans="1:24" ht="15" x14ac:dyDescent="0.2">
      <c r="A780" s="28" t="s">
        <v>345</v>
      </c>
      <c r="B780" s="224" t="s">
        <v>515</v>
      </c>
      <c r="C780" s="208" t="s">
        <v>403</v>
      </c>
      <c r="D780" s="35" t="s">
        <v>82</v>
      </c>
      <c r="E780" s="35" t="s">
        <v>662</v>
      </c>
      <c r="F780" s="35" t="s">
        <v>374</v>
      </c>
      <c r="G780" s="35" t="s">
        <v>626</v>
      </c>
      <c r="H780" s="35" t="s">
        <v>580</v>
      </c>
      <c r="I780" s="141">
        <v>1499</v>
      </c>
      <c r="J780" s="34">
        <v>1643.9107366033597</v>
      </c>
      <c r="K780" s="34">
        <f t="shared" si="156"/>
        <v>144.91073660335974</v>
      </c>
      <c r="L780" s="56">
        <f t="shared" si="157"/>
        <v>20999.121582928303</v>
      </c>
      <c r="M780" s="56">
        <f t="shared" si="158"/>
        <v>144.91073660335974</v>
      </c>
      <c r="N780" s="56">
        <f t="shared" si="159"/>
        <v>2.1640872499197386</v>
      </c>
      <c r="O780" s="56">
        <f t="shared" si="168"/>
        <v>2.1640872499197386</v>
      </c>
      <c r="P780" s="143">
        <f t="shared" si="160"/>
        <v>9.6671605472554862</v>
      </c>
      <c r="Q780" s="143">
        <f t="shared" si="161"/>
        <v>9.6671605472554862</v>
      </c>
      <c r="R780" s="34">
        <v>1638.3604511177209</v>
      </c>
      <c r="S780" s="56">
        <f t="shared" si="162"/>
        <v>139.36045111772091</v>
      </c>
      <c r="T780" s="56">
        <f t="shared" si="163"/>
        <v>19421.335335734679</v>
      </c>
      <c r="U780" s="56">
        <f t="shared" si="164"/>
        <v>139.36045111772091</v>
      </c>
      <c r="V780" s="56">
        <f t="shared" si="165"/>
        <v>2.1472447553656973</v>
      </c>
      <c r="W780" s="33">
        <f t="shared" si="166"/>
        <v>9.2968946709620361</v>
      </c>
      <c r="X780" s="143">
        <f t="shared" si="167"/>
        <v>9.2968946709620361</v>
      </c>
    </row>
    <row r="781" spans="1:24" ht="15" x14ac:dyDescent="0.2">
      <c r="A781" s="218" t="s">
        <v>344</v>
      </c>
      <c r="B781" s="224" t="s">
        <v>515</v>
      </c>
      <c r="C781" s="208" t="s">
        <v>403</v>
      </c>
      <c r="D781" s="35" t="s">
        <v>82</v>
      </c>
      <c r="E781" s="35" t="s">
        <v>662</v>
      </c>
      <c r="F781" s="35" t="s">
        <v>374</v>
      </c>
      <c r="G781" s="35" t="s">
        <v>626</v>
      </c>
      <c r="H781" s="35" t="s">
        <v>580</v>
      </c>
      <c r="I781" s="141">
        <v>1427.7</v>
      </c>
      <c r="J781" s="34">
        <v>1423.1741847190051</v>
      </c>
      <c r="K781" s="34">
        <f t="shared" si="156"/>
        <v>-4.5258152809949479</v>
      </c>
      <c r="L781" s="56">
        <f t="shared" si="157"/>
        <v>20.48300395768738</v>
      </c>
      <c r="M781" s="56">
        <f t="shared" si="158"/>
        <v>4.5258152809949479</v>
      </c>
      <c r="N781" s="56">
        <f t="shared" si="159"/>
        <v>0.74239636306593693</v>
      </c>
      <c r="O781" s="56">
        <f t="shared" si="168"/>
        <v>-0.74239636306593693</v>
      </c>
      <c r="P781" s="143">
        <f t="shared" si="160"/>
        <v>-0.31700043993800853</v>
      </c>
      <c r="Q781" s="143">
        <f t="shared" si="161"/>
        <v>0.31700043993800853</v>
      </c>
      <c r="R781" s="34">
        <v>1417.2777378294782</v>
      </c>
      <c r="S781" s="56">
        <f t="shared" si="162"/>
        <v>-10.42226217052189</v>
      </c>
      <c r="T781" s="56">
        <f t="shared" si="163"/>
        <v>108.62354875109166</v>
      </c>
      <c r="U781" s="56">
        <f t="shared" si="164"/>
        <v>10.42226217052189</v>
      </c>
      <c r="V781" s="56">
        <f t="shared" si="165"/>
        <v>1.057752124127149</v>
      </c>
      <c r="W781" s="33">
        <f t="shared" si="166"/>
        <v>-0.73000365416557322</v>
      </c>
      <c r="X781" s="143">
        <f t="shared" si="167"/>
        <v>0.73000365416557322</v>
      </c>
    </row>
    <row r="782" spans="1:24" ht="15" x14ac:dyDescent="0.2">
      <c r="A782" s="28" t="s">
        <v>306</v>
      </c>
      <c r="B782" s="224" t="s">
        <v>515</v>
      </c>
      <c r="C782" s="208" t="s">
        <v>403</v>
      </c>
      <c r="D782" s="35" t="s">
        <v>148</v>
      </c>
      <c r="E782" s="35" t="s">
        <v>662</v>
      </c>
      <c r="F782" s="35" t="s">
        <v>494</v>
      </c>
      <c r="G782" s="35" t="s">
        <v>626</v>
      </c>
      <c r="H782" s="35" t="s">
        <v>580</v>
      </c>
      <c r="I782" s="141">
        <v>1098.0999999999999</v>
      </c>
      <c r="J782" s="34">
        <v>1316.5640273832407</v>
      </c>
      <c r="K782" s="34">
        <f t="shared" si="156"/>
        <v>218.46402738324082</v>
      </c>
      <c r="L782" s="56">
        <f t="shared" si="157"/>
        <v>47726.531260505391</v>
      </c>
      <c r="M782" s="56">
        <f t="shared" si="158"/>
        <v>218.46402738324082</v>
      </c>
      <c r="N782" s="56">
        <f t="shared" si="159"/>
        <v>2.3413633446726418</v>
      </c>
      <c r="O782" s="56">
        <f t="shared" si="168"/>
        <v>2.3413633446726418</v>
      </c>
      <c r="P782" s="143">
        <f t="shared" si="160"/>
        <v>19.894729749862567</v>
      </c>
      <c r="Q782" s="143">
        <f t="shared" si="161"/>
        <v>19.894729749862567</v>
      </c>
      <c r="R782" s="34">
        <v>1302.4359504793742</v>
      </c>
      <c r="S782" s="56">
        <f t="shared" si="162"/>
        <v>204.33595047937433</v>
      </c>
      <c r="T782" s="56">
        <f t="shared" si="163"/>
        <v>41753.18065830932</v>
      </c>
      <c r="U782" s="56">
        <f t="shared" si="164"/>
        <v>204.33595047937433</v>
      </c>
      <c r="V782" s="56">
        <f t="shared" si="165"/>
        <v>2.3124649928579473</v>
      </c>
      <c r="W782" s="33">
        <f t="shared" si="166"/>
        <v>18.60813682536876</v>
      </c>
      <c r="X782" s="143">
        <f t="shared" si="167"/>
        <v>18.60813682536876</v>
      </c>
    </row>
    <row r="783" spans="1:24" ht="15" x14ac:dyDescent="0.2">
      <c r="A783" s="28" t="s">
        <v>75</v>
      </c>
      <c r="B783" s="224" t="s">
        <v>515</v>
      </c>
      <c r="C783" s="208" t="s">
        <v>403</v>
      </c>
      <c r="D783" s="35" t="s">
        <v>82</v>
      </c>
      <c r="E783" s="35" t="s">
        <v>662</v>
      </c>
      <c r="F783" s="35" t="s">
        <v>374</v>
      </c>
      <c r="G783" s="35" t="s">
        <v>627</v>
      </c>
      <c r="H783" s="35" t="s">
        <v>580</v>
      </c>
      <c r="I783" s="141">
        <v>2106.6</v>
      </c>
      <c r="J783" s="34">
        <v>1903.2984042856315</v>
      </c>
      <c r="K783" s="34">
        <f t="shared" si="156"/>
        <v>-203.30159571436843</v>
      </c>
      <c r="L783" s="56">
        <f t="shared" si="157"/>
        <v>41331.538820008507</v>
      </c>
      <c r="M783" s="56">
        <f t="shared" si="158"/>
        <v>203.30159571436843</v>
      </c>
      <c r="N783" s="56">
        <f t="shared" si="159"/>
        <v>2.310271758738363</v>
      </c>
      <c r="O783" s="56">
        <f t="shared" si="168"/>
        <v>-2.310271758738363</v>
      </c>
      <c r="P783" s="143">
        <f t="shared" si="160"/>
        <v>-9.6506976034543079</v>
      </c>
      <c r="Q783" s="143">
        <f t="shared" si="161"/>
        <v>9.6506976034543079</v>
      </c>
      <c r="R783" s="34">
        <v>1866.2886837136323</v>
      </c>
      <c r="S783" s="56">
        <f t="shared" si="162"/>
        <v>-240.31131628636763</v>
      </c>
      <c r="T783" s="56">
        <f t="shared" si="163"/>
        <v>57749.528735286622</v>
      </c>
      <c r="U783" s="56">
        <f t="shared" si="164"/>
        <v>240.31131628636763</v>
      </c>
      <c r="V783" s="56">
        <f t="shared" si="165"/>
        <v>2.3825776886120114</v>
      </c>
      <c r="W783" s="33">
        <f t="shared" si="166"/>
        <v>-11.407543733331797</v>
      </c>
      <c r="X783" s="143">
        <f t="shared" si="167"/>
        <v>11.407543733331797</v>
      </c>
    </row>
    <row r="784" spans="1:24" ht="15" x14ac:dyDescent="0.2">
      <c r="A784" s="28" t="s">
        <v>301</v>
      </c>
      <c r="B784" s="224" t="s">
        <v>515</v>
      </c>
      <c r="C784" s="208" t="s">
        <v>403</v>
      </c>
      <c r="D784" s="35" t="s">
        <v>82</v>
      </c>
      <c r="E784" s="35" t="s">
        <v>662</v>
      </c>
      <c r="F784" s="35" t="s">
        <v>374</v>
      </c>
      <c r="G784" s="35" t="s">
        <v>626</v>
      </c>
      <c r="H784" s="35" t="s">
        <v>580</v>
      </c>
      <c r="I784" s="141">
        <v>1300</v>
      </c>
      <c r="J784" s="34">
        <v>1242.8737778941406</v>
      </c>
      <c r="K784" s="34">
        <f t="shared" si="156"/>
        <v>-57.12622210585937</v>
      </c>
      <c r="L784" s="56">
        <f t="shared" si="157"/>
        <v>3263.4052520879759</v>
      </c>
      <c r="M784" s="56">
        <f t="shared" si="158"/>
        <v>57.12622210585937</v>
      </c>
      <c r="N784" s="56">
        <f t="shared" si="159"/>
        <v>1.7643720970507231</v>
      </c>
      <c r="O784" s="56">
        <f t="shared" si="168"/>
        <v>-1.7643720970507231</v>
      </c>
      <c r="P784" s="143">
        <f t="shared" si="160"/>
        <v>-4.3943247773737975</v>
      </c>
      <c r="Q784" s="143">
        <f t="shared" si="161"/>
        <v>4.3943247773737975</v>
      </c>
      <c r="R784" s="34">
        <v>1242.969941162647</v>
      </c>
      <c r="S784" s="56">
        <f t="shared" si="162"/>
        <v>-57.030058837352954</v>
      </c>
      <c r="T784" s="56">
        <f t="shared" si="163"/>
        <v>3252.4276109919397</v>
      </c>
      <c r="U784" s="56">
        <f t="shared" si="164"/>
        <v>57.030058837352954</v>
      </c>
      <c r="V784" s="56">
        <f t="shared" si="165"/>
        <v>1.7636530109009902</v>
      </c>
      <c r="W784" s="33">
        <f t="shared" si="166"/>
        <v>-4.3869276028733042</v>
      </c>
      <c r="X784" s="143">
        <f t="shared" si="167"/>
        <v>4.3869276028733042</v>
      </c>
    </row>
    <row r="785" spans="1:24" ht="15" x14ac:dyDescent="0.2">
      <c r="A785" s="28" t="s">
        <v>664</v>
      </c>
      <c r="B785" s="224" t="s">
        <v>515</v>
      </c>
      <c r="C785" s="208" t="s">
        <v>403</v>
      </c>
      <c r="D785" s="35" t="s">
        <v>82</v>
      </c>
      <c r="E785" s="35" t="s">
        <v>662</v>
      </c>
      <c r="F785" s="35" t="s">
        <v>374</v>
      </c>
      <c r="G785" s="35" t="s">
        <v>627</v>
      </c>
      <c r="H785" s="35" t="s">
        <v>580</v>
      </c>
      <c r="I785" s="141">
        <v>1730.8</v>
      </c>
      <c r="J785" s="34">
        <v>1664.2649465631184</v>
      </c>
      <c r="K785" s="34">
        <f t="shared" si="156"/>
        <v>-66.535053436881526</v>
      </c>
      <c r="L785" s="56">
        <f t="shared" si="157"/>
        <v>4426.9133358486806</v>
      </c>
      <c r="M785" s="56">
        <f t="shared" si="158"/>
        <v>66.535053436881526</v>
      </c>
      <c r="N785" s="56">
        <f t="shared" si="159"/>
        <v>1.8295292478342018</v>
      </c>
      <c r="O785" s="56">
        <f t="shared" si="168"/>
        <v>-1.8295292478342018</v>
      </c>
      <c r="P785" s="143">
        <f t="shared" si="160"/>
        <v>-3.844179190945316</v>
      </c>
      <c r="Q785" s="143">
        <f t="shared" si="161"/>
        <v>3.844179190945316</v>
      </c>
      <c r="R785" s="34">
        <v>1718.1129006695942</v>
      </c>
      <c r="S785" s="56">
        <f t="shared" si="162"/>
        <v>-12.687099330405772</v>
      </c>
      <c r="T785" s="56">
        <f t="shared" si="163"/>
        <v>160.9624894195826</v>
      </c>
      <c r="U785" s="56">
        <f t="shared" si="164"/>
        <v>12.687099330405772</v>
      </c>
      <c r="V785" s="56">
        <f t="shared" si="165"/>
        <v>1.1363114190414914</v>
      </c>
      <c r="W785" s="33">
        <f t="shared" si="166"/>
        <v>-0.73301937430123487</v>
      </c>
      <c r="X785" s="143">
        <f t="shared" si="167"/>
        <v>0.73301937430123487</v>
      </c>
    </row>
    <row r="786" spans="1:24" ht="15" x14ac:dyDescent="0.2">
      <c r="A786" s="28" t="s">
        <v>282</v>
      </c>
      <c r="B786" s="224" t="s">
        <v>515</v>
      </c>
      <c r="C786" s="208" t="s">
        <v>403</v>
      </c>
      <c r="D786" s="35" t="s">
        <v>96</v>
      </c>
      <c r="E786" s="35" t="s">
        <v>662</v>
      </c>
      <c r="F786" s="35" t="s">
        <v>494</v>
      </c>
      <c r="G786" s="35" t="s">
        <v>626</v>
      </c>
      <c r="H786" s="35" t="s">
        <v>580</v>
      </c>
      <c r="I786" s="141">
        <v>872.2</v>
      </c>
      <c r="J786" s="34">
        <v>852.85267030445266</v>
      </c>
      <c r="K786" s="34">
        <f t="shared" si="156"/>
        <v>-19.347329695547387</v>
      </c>
      <c r="L786" s="56">
        <f t="shared" si="157"/>
        <v>374.31916634820976</v>
      </c>
      <c r="M786" s="56">
        <f t="shared" si="158"/>
        <v>19.347329695547387</v>
      </c>
      <c r="N786" s="56">
        <f t="shared" si="159"/>
        <v>1.3085074221812583</v>
      </c>
      <c r="O786" s="56">
        <f t="shared" si="168"/>
        <v>-1.3085074221812583</v>
      </c>
      <c r="P786" s="143">
        <f t="shared" si="160"/>
        <v>-2.2182217032271709</v>
      </c>
      <c r="Q786" s="143">
        <f t="shared" si="161"/>
        <v>2.2182217032271709</v>
      </c>
      <c r="R786" s="34">
        <v>844.38781743026686</v>
      </c>
      <c r="S786" s="56">
        <f t="shared" si="162"/>
        <v>-27.812182569733181</v>
      </c>
      <c r="T786" s="56">
        <f t="shared" si="163"/>
        <v>773.51749929217021</v>
      </c>
      <c r="U786" s="56">
        <f t="shared" si="164"/>
        <v>27.812182569733181</v>
      </c>
      <c r="V786" s="56">
        <f t="shared" si="165"/>
        <v>1.4595761580405286</v>
      </c>
      <c r="W786" s="33">
        <f t="shared" si="166"/>
        <v>-3.1887391159978424</v>
      </c>
      <c r="X786" s="143">
        <f t="shared" si="167"/>
        <v>3.1887391159978424</v>
      </c>
    </row>
    <row r="787" spans="1:24" ht="15" x14ac:dyDescent="0.2">
      <c r="A787" s="28" t="s">
        <v>600</v>
      </c>
      <c r="B787" s="224" t="s">
        <v>515</v>
      </c>
      <c r="C787" s="208" t="s">
        <v>403</v>
      </c>
      <c r="D787" s="35" t="s">
        <v>82</v>
      </c>
      <c r="E787" s="35" t="s">
        <v>662</v>
      </c>
      <c r="F787" s="35" t="s">
        <v>293</v>
      </c>
      <c r="G787" s="35" t="s">
        <v>627</v>
      </c>
      <c r="H787" s="35" t="s">
        <v>580</v>
      </c>
      <c r="I787" s="141">
        <v>2516.1099999999997</v>
      </c>
      <c r="J787" s="34">
        <v>3219.4633498833768</v>
      </c>
      <c r="K787" s="34">
        <f t="shared" si="156"/>
        <v>703.35334988337718</v>
      </c>
      <c r="L787" s="56">
        <f t="shared" si="157"/>
        <v>494705.93479216838</v>
      </c>
      <c r="M787" s="56">
        <f t="shared" si="158"/>
        <v>703.35334988337718</v>
      </c>
      <c r="N787" s="56">
        <f t="shared" si="159"/>
        <v>2.8477905844344611</v>
      </c>
      <c r="O787" s="56">
        <f t="shared" si="168"/>
        <v>2.8477905844344611</v>
      </c>
      <c r="P787" s="143">
        <f t="shared" si="160"/>
        <v>27.95399842945568</v>
      </c>
      <c r="Q787" s="143">
        <f t="shared" si="161"/>
        <v>27.95399842945568</v>
      </c>
      <c r="R787" s="34">
        <v>3163.6905239424182</v>
      </c>
      <c r="S787" s="56">
        <f t="shared" si="162"/>
        <v>647.58052394241849</v>
      </c>
      <c r="T787" s="56">
        <f t="shared" si="163"/>
        <v>419360.53498953726</v>
      </c>
      <c r="U787" s="56">
        <f t="shared" si="164"/>
        <v>647.58052394241849</v>
      </c>
      <c r="V787" s="56">
        <f t="shared" si="165"/>
        <v>2.8119639032155659</v>
      </c>
      <c r="W787" s="33">
        <f t="shared" si="166"/>
        <v>25.737369349607871</v>
      </c>
      <c r="X787" s="143">
        <f t="shared" si="167"/>
        <v>25.737369349607871</v>
      </c>
    </row>
    <row r="788" spans="1:24" ht="15" x14ac:dyDescent="0.2">
      <c r="A788" s="28" t="s">
        <v>289</v>
      </c>
      <c r="B788" s="224" t="s">
        <v>515</v>
      </c>
      <c r="C788" s="208" t="s">
        <v>403</v>
      </c>
      <c r="D788" s="35" t="s">
        <v>148</v>
      </c>
      <c r="E788" s="35" t="s">
        <v>662</v>
      </c>
      <c r="F788" s="35" t="s">
        <v>494</v>
      </c>
      <c r="G788" s="35" t="s">
        <v>626</v>
      </c>
      <c r="H788" s="35" t="s">
        <v>580</v>
      </c>
      <c r="I788" s="141">
        <v>899.05</v>
      </c>
      <c r="J788" s="34">
        <v>923.10500451765211</v>
      </c>
      <c r="K788" s="34">
        <f t="shared" si="156"/>
        <v>24.055004517652151</v>
      </c>
      <c r="L788" s="56">
        <f t="shared" si="157"/>
        <v>578.64324234426533</v>
      </c>
      <c r="M788" s="56">
        <f t="shared" si="158"/>
        <v>24.055004517652151</v>
      </c>
      <c r="N788" s="56">
        <f t="shared" si="159"/>
        <v>1.3988944853858682</v>
      </c>
      <c r="O788" s="56">
        <f t="shared" si="168"/>
        <v>1.3988944853858682</v>
      </c>
      <c r="P788" s="143">
        <f t="shared" si="160"/>
        <v>2.6756025268508039</v>
      </c>
      <c r="Q788" s="143">
        <f t="shared" si="161"/>
        <v>2.6756025268508039</v>
      </c>
      <c r="R788" s="34">
        <v>909.9875873016025</v>
      </c>
      <c r="S788" s="56">
        <f t="shared" si="162"/>
        <v>10.937587301602548</v>
      </c>
      <c r="T788" s="56">
        <f t="shared" si="163"/>
        <v>119.6308159801773</v>
      </c>
      <c r="U788" s="56">
        <f t="shared" si="164"/>
        <v>10.937587301602548</v>
      </c>
      <c r="V788" s="56">
        <f t="shared" si="165"/>
        <v>1.0769165606726916</v>
      </c>
      <c r="W788" s="33">
        <f t="shared" si="166"/>
        <v>1.2165716369059061</v>
      </c>
      <c r="X788" s="143">
        <f t="shared" si="167"/>
        <v>1.2165716369059061</v>
      </c>
    </row>
    <row r="789" spans="1:24" ht="15" x14ac:dyDescent="0.2">
      <c r="A789" s="28" t="s">
        <v>310</v>
      </c>
      <c r="B789" s="224" t="s">
        <v>515</v>
      </c>
      <c r="C789" s="208" t="s">
        <v>403</v>
      </c>
      <c r="D789" s="35" t="s">
        <v>82</v>
      </c>
      <c r="E789" s="35" t="s">
        <v>662</v>
      </c>
      <c r="F789" s="35" t="s">
        <v>374</v>
      </c>
      <c r="G789" s="35" t="s">
        <v>626</v>
      </c>
      <c r="H789" s="35" t="s">
        <v>580</v>
      </c>
      <c r="I789" s="142">
        <f>489.03+252.1+310.1+413</f>
        <v>1464.23</v>
      </c>
      <c r="J789" s="34">
        <v>1791.3134876320246</v>
      </c>
      <c r="K789" s="34">
        <f t="shared" si="156"/>
        <v>327.08348763202457</v>
      </c>
      <c r="L789" s="56">
        <f t="shared" si="157"/>
        <v>106983.60788152878</v>
      </c>
      <c r="M789" s="56">
        <f t="shared" si="158"/>
        <v>327.08348763202457</v>
      </c>
      <c r="N789" s="56">
        <f t="shared" si="159"/>
        <v>2.5159843729927069</v>
      </c>
      <c r="O789" s="56">
        <f t="shared" si="168"/>
        <v>2.5159843729927069</v>
      </c>
      <c r="P789" s="143">
        <f t="shared" si="160"/>
        <v>22.338258854962987</v>
      </c>
      <c r="Q789" s="143">
        <f t="shared" si="161"/>
        <v>22.338258854962987</v>
      </c>
      <c r="R789" s="34">
        <v>1791.191175969321</v>
      </c>
      <c r="S789" s="56">
        <f t="shared" si="162"/>
        <v>326.96117596932095</v>
      </c>
      <c r="T789" s="56">
        <f t="shared" si="163"/>
        <v>106903.61059124126</v>
      </c>
      <c r="U789" s="56">
        <f t="shared" si="164"/>
        <v>326.96117596932095</v>
      </c>
      <c r="V789" s="56">
        <f t="shared" si="165"/>
        <v>2.5158224349913874</v>
      </c>
      <c r="W789" s="33">
        <f t="shared" si="166"/>
        <v>22.32990554553048</v>
      </c>
      <c r="X789" s="143">
        <f t="shared" si="167"/>
        <v>22.32990554553048</v>
      </c>
    </row>
    <row r="790" spans="1:24" ht="15" x14ac:dyDescent="0.2">
      <c r="A790" s="28" t="s">
        <v>290</v>
      </c>
      <c r="B790" s="224" t="s">
        <v>515</v>
      </c>
      <c r="C790" s="208" t="s">
        <v>403</v>
      </c>
      <c r="D790" s="35" t="s">
        <v>82</v>
      </c>
      <c r="E790" s="35" t="s">
        <v>662</v>
      </c>
      <c r="F790" s="35" t="s">
        <v>374</v>
      </c>
      <c r="G790" s="35" t="s">
        <v>626</v>
      </c>
      <c r="H790" s="35" t="s">
        <v>580</v>
      </c>
      <c r="I790" s="141">
        <v>1369.3</v>
      </c>
      <c r="J790" s="34">
        <v>1415.2680884644537</v>
      </c>
      <c r="K790" s="34">
        <f t="shared" si="156"/>
        <v>45.968088464453785</v>
      </c>
      <c r="L790" s="56">
        <f t="shared" si="157"/>
        <v>2113.0651570758491</v>
      </c>
      <c r="M790" s="56">
        <f t="shared" si="158"/>
        <v>45.968088464453785</v>
      </c>
      <c r="N790" s="56">
        <f t="shared" si="159"/>
        <v>1.6718028853645812</v>
      </c>
      <c r="O790" s="56">
        <f t="shared" si="168"/>
        <v>1.6718028853645812</v>
      </c>
      <c r="P790" s="143">
        <f t="shared" si="160"/>
        <v>3.3570502055396032</v>
      </c>
      <c r="Q790" s="143">
        <f t="shared" si="161"/>
        <v>3.3570502055396032</v>
      </c>
      <c r="R790" s="34">
        <v>1386.1734948992305</v>
      </c>
      <c r="S790" s="56">
        <f t="shared" si="162"/>
        <v>16.873494899230536</v>
      </c>
      <c r="T790" s="56">
        <f t="shared" si="163"/>
        <v>284.7148301143589</v>
      </c>
      <c r="U790" s="56">
        <f t="shared" si="164"/>
        <v>16.873494899230536</v>
      </c>
      <c r="V790" s="56">
        <f t="shared" si="165"/>
        <v>1.2522094807120072</v>
      </c>
      <c r="W790" s="33">
        <f t="shared" si="166"/>
        <v>1.2322715912678404</v>
      </c>
      <c r="X790" s="143">
        <f t="shared" si="167"/>
        <v>1.2322715912678404</v>
      </c>
    </row>
    <row r="791" spans="1:24" ht="15" x14ac:dyDescent="0.2">
      <c r="A791" s="28" t="s">
        <v>365</v>
      </c>
      <c r="B791" s="224" t="s">
        <v>515</v>
      </c>
      <c r="C791" s="208" t="s">
        <v>403</v>
      </c>
      <c r="D791" s="35" t="s">
        <v>148</v>
      </c>
      <c r="E791" s="35" t="s">
        <v>662</v>
      </c>
      <c r="F791" s="35" t="s">
        <v>494</v>
      </c>
      <c r="G791" s="35" t="s">
        <v>626</v>
      </c>
      <c r="H791" s="35" t="s">
        <v>580</v>
      </c>
      <c r="I791" s="141">
        <v>992.24</v>
      </c>
      <c r="J791" s="34">
        <v>949.37291562501969</v>
      </c>
      <c r="K791" s="34">
        <f t="shared" si="156"/>
        <v>-42.867084374980323</v>
      </c>
      <c r="L791" s="56">
        <f t="shared" si="157"/>
        <v>1837.5869228116821</v>
      </c>
      <c r="M791" s="56">
        <f t="shared" si="158"/>
        <v>42.867084374980323</v>
      </c>
      <c r="N791" s="56">
        <f t="shared" si="159"/>
        <v>1.6421387699887902</v>
      </c>
      <c r="O791" s="56">
        <f t="shared" si="168"/>
        <v>-1.6421387699887902</v>
      </c>
      <c r="P791" s="143">
        <f t="shared" si="160"/>
        <v>-4.3202334490627594</v>
      </c>
      <c r="Q791" s="143">
        <f t="shared" si="161"/>
        <v>4.3202334490627594</v>
      </c>
      <c r="R791" s="34">
        <v>971.45370253316821</v>
      </c>
      <c r="S791" s="56">
        <f t="shared" si="162"/>
        <v>-20.786297466831797</v>
      </c>
      <c r="T791" s="56">
        <f t="shared" si="163"/>
        <v>432.07016237961801</v>
      </c>
      <c r="U791" s="56">
        <f t="shared" si="164"/>
        <v>20.786297466831797</v>
      </c>
      <c r="V791" s="56">
        <f t="shared" si="165"/>
        <v>1.3381834291286132</v>
      </c>
      <c r="W791" s="33">
        <f t="shared" si="166"/>
        <v>-2.0948860625284</v>
      </c>
      <c r="X791" s="143">
        <f t="shared" si="167"/>
        <v>2.0948860625284</v>
      </c>
    </row>
    <row r="792" spans="1:24" ht="15" x14ac:dyDescent="0.2">
      <c r="A792" s="28" t="s">
        <v>601</v>
      </c>
      <c r="B792" s="224" t="s">
        <v>515</v>
      </c>
      <c r="C792" s="208" t="s">
        <v>403</v>
      </c>
      <c r="D792" s="35" t="s">
        <v>82</v>
      </c>
      <c r="E792" s="35" t="s">
        <v>662</v>
      </c>
      <c r="F792" s="35" t="s">
        <v>203</v>
      </c>
      <c r="G792" s="35" t="s">
        <v>627</v>
      </c>
      <c r="H792" s="35" t="s">
        <v>581</v>
      </c>
      <c r="I792" s="141">
        <v>5182</v>
      </c>
      <c r="J792" s="34">
        <v>5307.9892750274566</v>
      </c>
      <c r="K792" s="34">
        <f t="shared" si="156"/>
        <v>125.98927502745664</v>
      </c>
      <c r="L792" s="56">
        <f t="shared" si="157"/>
        <v>15873.297421944109</v>
      </c>
      <c r="M792" s="56">
        <f t="shared" si="158"/>
        <v>125.98927502745664</v>
      </c>
      <c r="N792" s="56">
        <f t="shared" si="159"/>
        <v>2.103767043845111</v>
      </c>
      <c r="O792" s="56">
        <f t="shared" si="168"/>
        <v>2.103767043845111</v>
      </c>
      <c r="P792" s="143">
        <f t="shared" si="160"/>
        <v>2.4312866659100085</v>
      </c>
      <c r="Q792" s="143">
        <f t="shared" si="161"/>
        <v>2.4312866659100085</v>
      </c>
      <c r="R792" s="34">
        <v>5294.6531748829857</v>
      </c>
      <c r="S792" s="56">
        <f t="shared" si="162"/>
        <v>112.6531748829857</v>
      </c>
      <c r="T792" s="56">
        <f t="shared" si="163"/>
        <v>12690.737811216559</v>
      </c>
      <c r="U792" s="56">
        <f t="shared" si="164"/>
        <v>112.6531748829857</v>
      </c>
      <c r="V792" s="56">
        <f t="shared" si="165"/>
        <v>2.0555815721762771</v>
      </c>
      <c r="W792" s="33">
        <f t="shared" si="166"/>
        <v>2.1739323597642937</v>
      </c>
      <c r="X792" s="143">
        <f t="shared" si="167"/>
        <v>2.1739323597642937</v>
      </c>
    </row>
    <row r="793" spans="1:24" ht="15" x14ac:dyDescent="0.2">
      <c r="A793" s="206" t="s">
        <v>593</v>
      </c>
      <c r="B793" s="224" t="s">
        <v>515</v>
      </c>
      <c r="C793" s="35" t="s">
        <v>403</v>
      </c>
      <c r="D793" s="35" t="s">
        <v>82</v>
      </c>
      <c r="E793" s="35" t="s">
        <v>662</v>
      </c>
      <c r="F793" s="35" t="s">
        <v>374</v>
      </c>
      <c r="G793" s="35" t="s">
        <v>626</v>
      </c>
      <c r="H793" s="35" t="s">
        <v>580</v>
      </c>
      <c r="I793" s="141">
        <v>1284.8</v>
      </c>
      <c r="J793" s="34">
        <v>1282.6296293605014</v>
      </c>
      <c r="K793" s="34">
        <f t="shared" si="156"/>
        <v>-2.1703706394985147</v>
      </c>
      <c r="L793" s="56">
        <f t="shared" si="157"/>
        <v>4.7105087127971919</v>
      </c>
      <c r="M793" s="56">
        <f t="shared" si="158"/>
        <v>2.1703706394985147</v>
      </c>
      <c r="N793" s="56">
        <f t="shared" si="159"/>
        <v>0.50111003738479332</v>
      </c>
      <c r="O793" s="56">
        <f t="shared" si="168"/>
        <v>-0.50111003738479332</v>
      </c>
      <c r="P793" s="143">
        <f t="shared" si="160"/>
        <v>-0.16892673096968516</v>
      </c>
      <c r="Q793" s="143">
        <f t="shared" si="161"/>
        <v>0.16892673096968516</v>
      </c>
      <c r="R793" s="34">
        <v>1270.7597778984134</v>
      </c>
      <c r="S793" s="56">
        <f t="shared" si="162"/>
        <v>-14.040222101586551</v>
      </c>
      <c r="T793" s="56">
        <f t="shared" si="163"/>
        <v>197.12783666187946</v>
      </c>
      <c r="U793" s="56">
        <f t="shared" si="164"/>
        <v>14.040222101586551</v>
      </c>
      <c r="V793" s="56">
        <f t="shared" si="165"/>
        <v>1.177254249605441</v>
      </c>
      <c r="W793" s="33">
        <f t="shared" si="166"/>
        <v>-1.0927943727884926</v>
      </c>
      <c r="X793" s="143">
        <f t="shared" si="167"/>
        <v>1.0927943727884926</v>
      </c>
    </row>
    <row r="794" spans="1:24" x14ac:dyDescent="0.15">
      <c r="R794"/>
    </row>
  </sheetData>
  <sortState xmlns:xlrd2="http://schemas.microsoft.com/office/spreadsheetml/2017/richdata2" ref="A2:X795">
    <sortCondition ref="B761:B795"/>
  </sortState>
  <phoneticPr fontId="3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4B67-365A-A94B-B8AB-2D609A0E2E46}">
  <dimension ref="A1:BU47"/>
  <sheetViews>
    <sheetView zoomScale="111" zoomScaleNormal="175" workbookViewId="0">
      <selection activeCell="C20" sqref="C20"/>
    </sheetView>
  </sheetViews>
  <sheetFormatPr baseColWidth="10" defaultRowHeight="14" x14ac:dyDescent="0.15"/>
  <cols>
    <col min="4" max="4" width="11.83203125" bestFit="1" customWidth="1"/>
    <col min="5" max="5" width="12.1640625" bestFit="1" customWidth="1"/>
    <col min="8" max="8" width="10.83203125" style="20"/>
    <col min="11" max="11" width="11.5" bestFit="1" customWidth="1"/>
    <col min="16" max="16" width="6.5" bestFit="1" customWidth="1"/>
    <col min="17" max="17" width="11.33203125" customWidth="1"/>
    <col min="18" max="18" width="12.83203125" customWidth="1"/>
    <col min="19" max="19" width="12" customWidth="1"/>
    <col min="20" max="20" width="11.6640625" customWidth="1"/>
    <col min="21" max="23" width="10.83203125" customWidth="1"/>
    <col min="24" max="24" width="11.1640625" customWidth="1"/>
    <col min="25" max="25" width="11.83203125" customWidth="1"/>
    <col min="26" max="26" width="12.6640625" bestFit="1" customWidth="1"/>
    <col min="27" max="27" width="12.5" customWidth="1"/>
    <col min="28" max="28" width="11" bestFit="1" customWidth="1"/>
    <col min="32" max="34" width="11" bestFit="1" customWidth="1"/>
    <col min="35" max="37" width="10.83203125" style="103"/>
    <col min="38" max="38" width="12.1640625" bestFit="1" customWidth="1"/>
    <col min="39" max="40" width="11" bestFit="1" customWidth="1"/>
    <col min="41" max="43" width="10.83203125" style="103"/>
    <col min="44" max="45" width="11" bestFit="1" customWidth="1"/>
    <col min="46" max="46" width="11.6640625" bestFit="1" customWidth="1"/>
    <col min="47" max="47" width="11.83203125" style="77" bestFit="1" customWidth="1"/>
    <col min="48" max="48" width="10.83203125" style="77" customWidth="1"/>
    <col min="50" max="51" width="11" bestFit="1" customWidth="1"/>
    <col min="52" max="52" width="11.6640625" bestFit="1" customWidth="1"/>
    <col min="53" max="55" width="10.83203125" style="77" customWidth="1"/>
    <col min="56" max="61" width="11" hidden="1" customWidth="1"/>
  </cols>
  <sheetData>
    <row r="1" spans="1:73" ht="15.75" customHeight="1" x14ac:dyDescent="0.15">
      <c r="A1" s="55" t="s">
        <v>0</v>
      </c>
      <c r="B1" s="55" t="s">
        <v>402</v>
      </c>
      <c r="C1" s="55" t="s">
        <v>400</v>
      </c>
      <c r="D1" s="54" t="s">
        <v>33</v>
      </c>
      <c r="E1" s="54" t="s">
        <v>34</v>
      </c>
      <c r="F1" s="55" t="s">
        <v>81</v>
      </c>
      <c r="G1" s="54" t="s">
        <v>984</v>
      </c>
      <c r="H1" s="65" t="s">
        <v>442</v>
      </c>
      <c r="I1" s="54" t="s">
        <v>583</v>
      </c>
      <c r="J1" s="55" t="s">
        <v>502</v>
      </c>
      <c r="K1" s="55" t="s">
        <v>503</v>
      </c>
      <c r="L1" s="55" t="s">
        <v>510</v>
      </c>
      <c r="M1" s="55" t="s">
        <v>28</v>
      </c>
      <c r="N1" s="55" t="s">
        <v>6</v>
      </c>
      <c r="O1" s="55" t="s">
        <v>5</v>
      </c>
      <c r="P1" t="s">
        <v>487</v>
      </c>
      <c r="Q1" s="52" t="s">
        <v>545</v>
      </c>
      <c r="R1" s="52" t="s">
        <v>546</v>
      </c>
      <c r="S1" s="52" t="s">
        <v>547</v>
      </c>
      <c r="T1" s="52" t="s">
        <v>554</v>
      </c>
      <c r="U1" s="52" t="s">
        <v>549</v>
      </c>
      <c r="V1" s="52" t="s">
        <v>728</v>
      </c>
      <c r="W1" s="52" t="s">
        <v>729</v>
      </c>
      <c r="X1" s="52" t="s">
        <v>550</v>
      </c>
      <c r="Y1" s="52" t="s">
        <v>672</v>
      </c>
      <c r="Z1" s="59" t="s">
        <v>551</v>
      </c>
      <c r="AA1" s="58" t="s">
        <v>495</v>
      </c>
      <c r="AB1" s="59" t="s">
        <v>650</v>
      </c>
      <c r="AC1" s="105" t="s">
        <v>686</v>
      </c>
      <c r="AD1" s="105" t="s">
        <v>687</v>
      </c>
      <c r="AE1" s="105" t="s">
        <v>679</v>
      </c>
      <c r="AF1" s="59" t="s">
        <v>552</v>
      </c>
      <c r="AG1" s="58" t="s">
        <v>496</v>
      </c>
      <c r="AH1" s="59" t="s">
        <v>651</v>
      </c>
      <c r="AI1" s="105" t="s">
        <v>688</v>
      </c>
      <c r="AJ1" s="105" t="s">
        <v>689</v>
      </c>
      <c r="AK1" s="105" t="s">
        <v>680</v>
      </c>
      <c r="AL1" s="59" t="s">
        <v>553</v>
      </c>
      <c r="AM1" s="58" t="s">
        <v>498</v>
      </c>
      <c r="AN1" s="59" t="s">
        <v>652</v>
      </c>
      <c r="AO1" s="105" t="s">
        <v>690</v>
      </c>
      <c r="AP1" s="105" t="s">
        <v>691</v>
      </c>
      <c r="AQ1" s="105" t="s">
        <v>696</v>
      </c>
      <c r="AR1" s="59" t="s">
        <v>555</v>
      </c>
      <c r="AS1" s="59" t="s">
        <v>556</v>
      </c>
      <c r="AT1" s="59" t="s">
        <v>656</v>
      </c>
      <c r="AU1" s="105" t="s">
        <v>702</v>
      </c>
      <c r="AV1" s="105" t="s">
        <v>703</v>
      </c>
      <c r="AW1" s="105" t="s">
        <v>704</v>
      </c>
      <c r="AX1" s="59" t="s">
        <v>557</v>
      </c>
      <c r="AY1" s="59" t="s">
        <v>499</v>
      </c>
      <c r="AZ1" s="59" t="s">
        <v>654</v>
      </c>
      <c r="BA1" s="105" t="s">
        <v>697</v>
      </c>
      <c r="BB1" s="105" t="s">
        <v>698</v>
      </c>
      <c r="BC1" s="105" t="s">
        <v>681</v>
      </c>
      <c r="BD1" s="59" t="s">
        <v>558</v>
      </c>
      <c r="BE1" s="58" t="s">
        <v>500</v>
      </c>
      <c r="BF1" s="59" t="s">
        <v>671</v>
      </c>
      <c r="BG1" s="59" t="s">
        <v>673</v>
      </c>
      <c r="BH1" s="59" t="s">
        <v>501</v>
      </c>
      <c r="BI1" s="59" t="s">
        <v>674</v>
      </c>
      <c r="BJ1" s="59" t="s">
        <v>717</v>
      </c>
      <c r="BK1" s="59" t="s">
        <v>718</v>
      </c>
      <c r="BL1" s="59" t="s">
        <v>719</v>
      </c>
      <c r="BM1" s="59" t="s">
        <v>721</v>
      </c>
      <c r="BN1" s="59" t="s">
        <v>720</v>
      </c>
      <c r="BO1" s="59" t="s">
        <v>722</v>
      </c>
      <c r="BP1" s="59" t="s">
        <v>732</v>
      </c>
      <c r="BQ1" s="59" t="s">
        <v>723</v>
      </c>
      <c r="BR1" s="59" t="s">
        <v>724</v>
      </c>
      <c r="BS1" s="59" t="s">
        <v>725</v>
      </c>
      <c r="BT1" s="59" t="s">
        <v>726</v>
      </c>
      <c r="BU1" s="59" t="s">
        <v>727</v>
      </c>
    </row>
    <row r="2" spans="1:73" x14ac:dyDescent="0.15">
      <c r="A2" s="24" t="s">
        <v>77</v>
      </c>
      <c r="B2" s="90" t="s">
        <v>670</v>
      </c>
      <c r="C2" s="24" t="s">
        <v>403</v>
      </c>
      <c r="D2" s="275">
        <v>-29.399277000000001</v>
      </c>
      <c r="E2" s="275">
        <v>153.34526</v>
      </c>
      <c r="F2" s="29" t="s">
        <v>83</v>
      </c>
      <c r="G2" s="29" t="s">
        <v>990</v>
      </c>
      <c r="H2" s="29" t="s">
        <v>203</v>
      </c>
      <c r="I2" s="29" t="s">
        <v>581</v>
      </c>
      <c r="J2" s="24">
        <f>2213.6+2992.3</f>
        <v>5205.8999999999996</v>
      </c>
      <c r="K2" s="24">
        <v>5181.6000000000004</v>
      </c>
      <c r="L2" s="29" t="s">
        <v>518</v>
      </c>
      <c r="M2" s="27">
        <v>1600.17</v>
      </c>
      <c r="N2" s="27">
        <v>1433.5</v>
      </c>
      <c r="O2" s="27">
        <v>1831.5</v>
      </c>
      <c r="P2" t="s">
        <v>37</v>
      </c>
      <c r="Q2" s="38">
        <f t="shared" ref="Q2:Q30" si="0">3.4543*M2+225.536</f>
        <v>5753.0032310000006</v>
      </c>
      <c r="R2" s="38">
        <f t="shared" ref="R2:R30" si="1">M2*3.4252+184.08</f>
        <v>5664.9822839999997</v>
      </c>
      <c r="S2" s="38">
        <f t="shared" ref="S2:S30" si="2">5.0661*(M2^0.9562)</f>
        <v>5868.0986446187635</v>
      </c>
      <c r="T2" s="38">
        <f t="shared" ref="T2:T30" si="3">(M2*12.4148)^0.8559</f>
        <v>4772.531442831908</v>
      </c>
      <c r="U2" s="38">
        <f t="shared" ref="U2:U30" si="4">M2/0.27</f>
        <v>5926.5555555555557</v>
      </c>
      <c r="V2" s="38">
        <f t="shared" ref="V2:V30" si="5">2.71828^(1.03*LN(M2)+1.18)</f>
        <v>6497.645774945815</v>
      </c>
      <c r="W2" s="38">
        <f t="shared" ref="W2:W30" si="6">2.71828^(1.03*LN(M2)+1.19)</f>
        <v>6562.9481564919106</v>
      </c>
      <c r="X2" s="38">
        <f t="shared" ref="X2:X30" si="7">(M2*3.5522)+147.41</f>
        <v>5831.5338739999997</v>
      </c>
      <c r="Y2" s="38">
        <f t="shared" ref="Y2:Y30" si="8">4.3444*M2^0.9778</f>
        <v>5901.5139910036232</v>
      </c>
      <c r="Z2" s="34">
        <f t="shared" ref="Z2:Z30" si="9">N2*3.705+225.536</f>
        <v>5536.6535000000003</v>
      </c>
      <c r="AA2" s="34">
        <f t="shared" ref="AA2:AA30" si="10">-(J2-Z2)</f>
        <v>330.75350000000071</v>
      </c>
      <c r="AB2" s="34">
        <f t="shared" ref="AB2:AB30" si="11">ABS(AA2)</f>
        <v>330.75350000000071</v>
      </c>
      <c r="AC2" s="113">
        <f t="shared" ref="AC2:AC30" si="12">AA2/J2*100</f>
        <v>6.3534355250773302</v>
      </c>
      <c r="AD2" s="113">
        <f t="shared" ref="AD2:AD30" si="13">ABS(AC2)</f>
        <v>6.3534355250773302</v>
      </c>
      <c r="AE2" s="113">
        <f t="shared" ref="AE2:AE30" si="14">LOG10(AB2+1)</f>
        <v>2.5208155133681802</v>
      </c>
      <c r="AF2" s="34">
        <f t="shared" ref="AF2:AF30" si="15">N2*3.7666+166.15</f>
        <v>5565.5710999999992</v>
      </c>
      <c r="AG2" s="34">
        <f t="shared" ref="AG2:AG30" si="16">-(J2-AF2)</f>
        <v>359.67109999999957</v>
      </c>
      <c r="AH2" s="34">
        <f t="shared" ref="AH2:AH30" si="17">ABS(AG2)</f>
        <v>359.67109999999957</v>
      </c>
      <c r="AI2" s="113">
        <f t="shared" ref="AI2:AI30" si="18">AG2/J2*100</f>
        <v>6.908912964136837</v>
      </c>
      <c r="AJ2" s="113">
        <f t="shared" ref="AJ2:AJ30" si="19">ABS(AI2)</f>
        <v>6.908912964136837</v>
      </c>
      <c r="AK2" s="113">
        <f t="shared" ref="AK2:AK30" si="20">LOG10(AH2+1)</f>
        <v>2.5571113443883271</v>
      </c>
      <c r="AL2" s="34">
        <f t="shared" ref="AL2:AL30" si="21">5.0242*N2^0.9704</f>
        <v>5808.1155063776323</v>
      </c>
      <c r="AM2" s="34">
        <f t="shared" ref="AM2:AM30" si="22">-(J2-AL2)</f>
        <v>602.21550637763266</v>
      </c>
      <c r="AN2" s="34">
        <f t="shared" ref="AN2:AN30" si="23">ABS(AM2)</f>
        <v>602.21550637763266</v>
      </c>
      <c r="AO2" s="113">
        <f t="shared" ref="AO2:AO30" si="24">AM2/J2*100</f>
        <v>11.567942265076791</v>
      </c>
      <c r="AP2" s="113">
        <f t="shared" ref="AP2:AP30" si="25">ABS(AO2)</f>
        <v>11.567942265076791</v>
      </c>
      <c r="AQ2" s="113">
        <f t="shared" ref="AQ2:AQ30" si="26">LOG10(AN2+1)</f>
        <v>2.7804724970654351</v>
      </c>
      <c r="AR2" s="34">
        <f t="shared" ref="AR2:AR30" si="27">(N2*13.6426)^0.8559</f>
        <v>4708.8977070969549</v>
      </c>
      <c r="AS2" s="34">
        <f t="shared" ref="AS2:AS30" si="28">-(J2-AR2)</f>
        <v>-497.00229290304469</v>
      </c>
      <c r="AT2" s="34">
        <f t="shared" ref="AT2:AT30" si="29">ABS(AS2)</f>
        <v>497.00229290304469</v>
      </c>
      <c r="AU2" s="113">
        <f t="shared" ref="AU2:AU30" si="30">AS2/J2*100</f>
        <v>-9.5469043374449125</v>
      </c>
      <c r="AV2" s="113">
        <f t="shared" ref="AV2:AV30" si="31">ABS(AU2)</f>
        <v>9.5469043374449125</v>
      </c>
      <c r="AW2" s="113">
        <f t="shared" ref="AW2:AW30" si="32">LOG10(AT2+1)</f>
        <v>2.6972313423437484</v>
      </c>
      <c r="AX2" s="34">
        <f t="shared" ref="AX2:AX30" si="33">N2/0.24</f>
        <v>5972.916666666667</v>
      </c>
      <c r="AY2" s="34">
        <f t="shared" ref="AY2:AY30" si="34">-(J2-AX2)</f>
        <v>767.01666666666733</v>
      </c>
      <c r="AZ2" s="34">
        <f t="shared" ref="AZ2:AZ30" si="35">ABS(AY2)</f>
        <v>767.01666666666733</v>
      </c>
      <c r="BA2" s="113">
        <f t="shared" ref="BA2:BA30" si="36">AY2/J2*100</f>
        <v>14.733603539573704</v>
      </c>
      <c r="BB2" s="113">
        <f t="shared" ref="BB2:BB30" si="37">ABS(BA2)</f>
        <v>14.733603539573704</v>
      </c>
      <c r="BC2" s="113">
        <f t="shared" ref="BC2:BC30" si="38">LOG10(AZ2+1)</f>
        <v>2.8853706447226926</v>
      </c>
      <c r="BD2" s="34">
        <f t="shared" ref="BD2:BD16" si="39">3.7584*N2+110.54</f>
        <v>5498.2064</v>
      </c>
      <c r="BE2" s="34">
        <f t="shared" ref="BE2:BE30" si="40">-(J2-BD2)</f>
        <v>292.30640000000039</v>
      </c>
      <c r="BF2" s="34">
        <f t="shared" ref="BF2:BF30" si="41">ABS(BE2)</f>
        <v>292.30640000000039</v>
      </c>
      <c r="BG2" s="34">
        <f t="shared" ref="BG2:BG30" si="42">4.5397*(N2)^0.9812</f>
        <v>5676.5513994048515</v>
      </c>
      <c r="BH2" s="34">
        <f t="shared" ref="BH2:BH30" si="43">-(J2-BG2)</f>
        <v>470.65139940485187</v>
      </c>
      <c r="BI2" s="34">
        <f t="shared" ref="BI2:BI30" si="44">ABS(BH2)</f>
        <v>470.65139940485187</v>
      </c>
      <c r="BJ2" s="33">
        <f t="shared" ref="BJ2:BJ30" si="45">2.71828^(1.02*LN(N2)+1.29)</f>
        <v>6022.3083808801039</v>
      </c>
      <c r="BK2" s="34">
        <f t="shared" ref="BK2:BK30" si="46">(BJ2-J2)</f>
        <v>816.40838088010423</v>
      </c>
      <c r="BL2" s="34">
        <f t="shared" ref="BL2:BL30" si="47">ABS(BK2)</f>
        <v>816.40838088010423</v>
      </c>
      <c r="BM2" s="113">
        <f t="shared" ref="BM2:BM30" si="48">BK2/J2*100</f>
        <v>15.682367715094495</v>
      </c>
      <c r="BN2" s="113">
        <f t="shared" ref="BN2:BN30" si="49">ABS(BM2)</f>
        <v>15.682367715094495</v>
      </c>
      <c r="BO2" s="113">
        <f t="shared" ref="BO2:BO30" si="50">LOG10(BL2+1)</f>
        <v>2.9124390862154614</v>
      </c>
      <c r="BP2" s="33">
        <f t="shared" ref="BP2:BP30" si="51">(2.71828^1.08)*N2^1.05</f>
        <v>6070.9311430734406</v>
      </c>
      <c r="BQ2" s="34">
        <f t="shared" ref="BQ2:BQ30" si="52">(BP2-J2)</f>
        <v>865.03114307344094</v>
      </c>
      <c r="BR2" s="34">
        <f t="shared" ref="BR2:BR30" si="53">ABS(BQ2)</f>
        <v>865.03114307344094</v>
      </c>
      <c r="BS2" s="113">
        <f t="shared" ref="BS2:BS30" si="54">BQ2/J2*100</f>
        <v>16.61636111092109</v>
      </c>
      <c r="BT2" s="113">
        <f t="shared" ref="BT2:BT30" si="55">ABS(BS2)</f>
        <v>16.61636111092109</v>
      </c>
      <c r="BU2" s="113">
        <f t="shared" ref="BU2:BU30" si="56">LOG10(BR2+1)</f>
        <v>2.9375335098253754</v>
      </c>
    </row>
    <row r="3" spans="1:73" x14ac:dyDescent="0.15">
      <c r="A3" s="24" t="s">
        <v>77</v>
      </c>
      <c r="B3" s="90" t="s">
        <v>84</v>
      </c>
      <c r="C3" s="24" t="s">
        <v>403</v>
      </c>
      <c r="D3" s="275">
        <v>-28.874831</v>
      </c>
      <c r="E3" s="275">
        <v>153.527727</v>
      </c>
      <c r="F3" s="44" t="s">
        <v>83</v>
      </c>
      <c r="G3" s="29" t="s">
        <v>990</v>
      </c>
      <c r="H3" s="44" t="s">
        <v>203</v>
      </c>
      <c r="I3" s="44" t="s">
        <v>581</v>
      </c>
      <c r="J3" s="26">
        <v>4572</v>
      </c>
      <c r="K3" s="26">
        <v>4572</v>
      </c>
      <c r="L3" s="44" t="s">
        <v>518</v>
      </c>
      <c r="M3" s="27">
        <v>1295</v>
      </c>
      <c r="N3" s="27">
        <v>1224.2</v>
      </c>
      <c r="O3" s="27">
        <v>1562.8</v>
      </c>
      <c r="P3" t="s">
        <v>37</v>
      </c>
      <c r="Q3" s="38">
        <f t="shared" si="0"/>
        <v>4698.8545000000004</v>
      </c>
      <c r="R3" s="38">
        <f t="shared" si="1"/>
        <v>4619.7139999999999</v>
      </c>
      <c r="S3" s="38">
        <f t="shared" si="2"/>
        <v>4793.2061807504788</v>
      </c>
      <c r="T3" s="38">
        <f t="shared" si="3"/>
        <v>3981.9399616655141</v>
      </c>
      <c r="U3" s="38">
        <f t="shared" si="4"/>
        <v>4796.2962962962956</v>
      </c>
      <c r="V3" s="38">
        <f t="shared" si="5"/>
        <v>5225.1991691645235</v>
      </c>
      <c r="W3" s="38">
        <f t="shared" si="6"/>
        <v>5277.7132583619923</v>
      </c>
      <c r="X3" s="38">
        <f t="shared" si="7"/>
        <v>4747.509</v>
      </c>
      <c r="Y3" s="38">
        <f t="shared" si="8"/>
        <v>4798.5186224097015</v>
      </c>
      <c r="Z3" s="34">
        <f t="shared" si="9"/>
        <v>4761.1970000000001</v>
      </c>
      <c r="AA3" s="34">
        <f t="shared" si="10"/>
        <v>189.19700000000012</v>
      </c>
      <c r="AB3" s="34">
        <f t="shared" si="11"/>
        <v>189.19700000000012</v>
      </c>
      <c r="AC3" s="113">
        <f t="shared" si="12"/>
        <v>4.1381671041119885</v>
      </c>
      <c r="AD3" s="113">
        <f t="shared" si="13"/>
        <v>4.1381671041119885</v>
      </c>
      <c r="AE3" s="113">
        <f t="shared" si="14"/>
        <v>2.2792036624766796</v>
      </c>
      <c r="AF3" s="34">
        <f t="shared" si="15"/>
        <v>4777.2217199999996</v>
      </c>
      <c r="AG3" s="34">
        <f t="shared" si="16"/>
        <v>205.22171999999955</v>
      </c>
      <c r="AH3" s="34">
        <f t="shared" si="17"/>
        <v>205.22171999999955</v>
      </c>
      <c r="AI3" s="113">
        <f t="shared" si="18"/>
        <v>4.488664041994741</v>
      </c>
      <c r="AJ3" s="113">
        <f t="shared" si="19"/>
        <v>4.488664041994741</v>
      </c>
      <c r="AK3" s="113">
        <f t="shared" si="20"/>
        <v>2.3143344047854093</v>
      </c>
      <c r="AL3" s="34">
        <f t="shared" si="21"/>
        <v>4983.3210107803998</v>
      </c>
      <c r="AM3" s="34">
        <f t="shared" si="22"/>
        <v>411.32101078039977</v>
      </c>
      <c r="AN3" s="34">
        <f t="shared" si="23"/>
        <v>411.32101078039977</v>
      </c>
      <c r="AO3" s="113">
        <f t="shared" si="24"/>
        <v>8.9965225455030584</v>
      </c>
      <c r="AP3" s="113">
        <f t="shared" si="25"/>
        <v>8.9965225455030584</v>
      </c>
      <c r="AQ3" s="113">
        <f t="shared" si="26"/>
        <v>2.6152354658551902</v>
      </c>
      <c r="AR3" s="34">
        <f t="shared" si="27"/>
        <v>4113.8771170500522</v>
      </c>
      <c r="AS3" s="34">
        <f t="shared" si="28"/>
        <v>-458.12288294994778</v>
      </c>
      <c r="AT3" s="34">
        <f t="shared" si="29"/>
        <v>458.12288294994778</v>
      </c>
      <c r="AU3" s="113">
        <f t="shared" si="30"/>
        <v>-10.02018554133744</v>
      </c>
      <c r="AV3" s="113">
        <f t="shared" si="31"/>
        <v>10.02018554133744</v>
      </c>
      <c r="AW3" s="113">
        <f t="shared" si="32"/>
        <v>2.6619289387935345</v>
      </c>
      <c r="AX3" s="34">
        <f t="shared" si="33"/>
        <v>5100.8333333333339</v>
      </c>
      <c r="AY3" s="34">
        <f t="shared" si="34"/>
        <v>528.83333333333394</v>
      </c>
      <c r="AZ3" s="34">
        <f t="shared" si="35"/>
        <v>528.83333333333394</v>
      </c>
      <c r="BA3" s="113">
        <f t="shared" si="36"/>
        <v>11.566783318751837</v>
      </c>
      <c r="BB3" s="113">
        <f t="shared" si="37"/>
        <v>11.566783318751837</v>
      </c>
      <c r="BC3" s="113">
        <f t="shared" si="38"/>
        <v>2.7241392775311297</v>
      </c>
      <c r="BD3" s="34">
        <f t="shared" si="39"/>
        <v>4711.5732800000005</v>
      </c>
      <c r="BE3" s="34">
        <f t="shared" si="40"/>
        <v>139.57328000000052</v>
      </c>
      <c r="BF3" s="34">
        <f t="shared" si="41"/>
        <v>139.57328000000052</v>
      </c>
      <c r="BG3" s="34">
        <f t="shared" si="42"/>
        <v>4862.1449800266646</v>
      </c>
      <c r="BH3" s="34">
        <f t="shared" si="43"/>
        <v>290.1449800266646</v>
      </c>
      <c r="BI3" s="34">
        <f t="shared" si="44"/>
        <v>290.1449800266646</v>
      </c>
      <c r="BJ3" s="33">
        <f t="shared" si="45"/>
        <v>5126.8051143249231</v>
      </c>
      <c r="BK3" s="34">
        <f t="shared" si="46"/>
        <v>554.80511432492312</v>
      </c>
      <c r="BL3" s="34">
        <f t="shared" si="47"/>
        <v>554.80511432492312</v>
      </c>
      <c r="BM3" s="113">
        <f t="shared" si="48"/>
        <v>12.134845020230165</v>
      </c>
      <c r="BN3" s="113">
        <f t="shared" si="49"/>
        <v>12.134845020230165</v>
      </c>
      <c r="BO3" s="113">
        <f t="shared" si="50"/>
        <v>2.7449225386861782</v>
      </c>
      <c r="BP3" s="33">
        <f t="shared" si="51"/>
        <v>5143.7839485919985</v>
      </c>
      <c r="BQ3" s="34">
        <f t="shared" si="52"/>
        <v>571.78394859199852</v>
      </c>
      <c r="BR3" s="34">
        <f t="shared" si="53"/>
        <v>571.78394859199852</v>
      </c>
      <c r="BS3" s="113">
        <f t="shared" si="54"/>
        <v>12.506210599125078</v>
      </c>
      <c r="BT3" s="113">
        <f t="shared" si="55"/>
        <v>12.506210599125078</v>
      </c>
      <c r="BU3" s="113">
        <f t="shared" si="56"/>
        <v>2.7579908390211725</v>
      </c>
    </row>
    <row r="4" spans="1:73" x14ac:dyDescent="0.15">
      <c r="A4" s="24" t="s">
        <v>77</v>
      </c>
      <c r="B4" s="90" t="s">
        <v>104</v>
      </c>
      <c r="C4" s="24" t="s">
        <v>403</v>
      </c>
      <c r="D4" s="275">
        <v>-28.213450999999999</v>
      </c>
      <c r="E4" s="275">
        <v>153.50648000000001</v>
      </c>
      <c r="F4" s="44" t="s">
        <v>83</v>
      </c>
      <c r="G4" s="29" t="s">
        <v>990</v>
      </c>
      <c r="H4" s="44" t="s">
        <v>203</v>
      </c>
      <c r="I4" s="44" t="s">
        <v>581</v>
      </c>
      <c r="J4" s="26">
        <v>4769.5</v>
      </c>
      <c r="K4" s="26">
        <v>4877</v>
      </c>
      <c r="L4" s="44" t="s">
        <v>518</v>
      </c>
      <c r="M4" s="26">
        <v>1184.8</v>
      </c>
      <c r="N4" s="27">
        <v>1123</v>
      </c>
      <c r="O4" s="24">
        <v>1468</v>
      </c>
      <c r="P4" t="s">
        <v>37</v>
      </c>
      <c r="Q4" s="38">
        <f t="shared" si="0"/>
        <v>4318.1906399999998</v>
      </c>
      <c r="R4" s="38">
        <f t="shared" si="1"/>
        <v>4242.2569599999997</v>
      </c>
      <c r="S4" s="38">
        <f t="shared" si="2"/>
        <v>4402.4370081155466</v>
      </c>
      <c r="T4" s="38">
        <f t="shared" si="3"/>
        <v>3690.0802175783492</v>
      </c>
      <c r="U4" s="38">
        <f t="shared" si="4"/>
        <v>4388.1481481481478</v>
      </c>
      <c r="V4" s="38">
        <f t="shared" si="5"/>
        <v>4767.8151718931749</v>
      </c>
      <c r="W4" s="38">
        <f t="shared" si="6"/>
        <v>4815.7324786039781</v>
      </c>
      <c r="X4" s="38">
        <f t="shared" si="7"/>
        <v>4356.05656</v>
      </c>
      <c r="Y4" s="38">
        <f t="shared" si="8"/>
        <v>4398.8578767251183</v>
      </c>
      <c r="Z4" s="34">
        <f t="shared" si="9"/>
        <v>4386.2510000000002</v>
      </c>
      <c r="AA4" s="34">
        <f t="shared" si="10"/>
        <v>-383.2489999999998</v>
      </c>
      <c r="AB4" s="34">
        <f t="shared" si="11"/>
        <v>383.2489999999998</v>
      </c>
      <c r="AC4" s="113">
        <f t="shared" si="12"/>
        <v>-8.0354125170353239</v>
      </c>
      <c r="AD4" s="113">
        <f t="shared" si="13"/>
        <v>8.0354125170353239</v>
      </c>
      <c r="AE4" s="113">
        <f t="shared" si="14"/>
        <v>2.5846127459309316</v>
      </c>
      <c r="AF4" s="34">
        <f t="shared" si="15"/>
        <v>4396.0418</v>
      </c>
      <c r="AG4" s="34">
        <f t="shared" si="16"/>
        <v>-373.45820000000003</v>
      </c>
      <c r="AH4" s="34">
        <f t="shared" si="17"/>
        <v>373.45820000000003</v>
      </c>
      <c r="AI4" s="113">
        <f t="shared" si="18"/>
        <v>-7.8301331376454559</v>
      </c>
      <c r="AJ4" s="113">
        <f t="shared" si="19"/>
        <v>7.8301331376454559</v>
      </c>
      <c r="AK4" s="113">
        <f t="shared" si="20"/>
        <v>2.5734033453398237</v>
      </c>
      <c r="AL4" s="34">
        <f t="shared" si="21"/>
        <v>4583.0588573712121</v>
      </c>
      <c r="AM4" s="34">
        <f t="shared" si="22"/>
        <v>-186.44114262878793</v>
      </c>
      <c r="AN4" s="34">
        <f t="shared" si="23"/>
        <v>186.44114262878793</v>
      </c>
      <c r="AO4" s="113">
        <f t="shared" si="24"/>
        <v>-3.9090290937999357</v>
      </c>
      <c r="AP4" s="113">
        <f t="shared" si="25"/>
        <v>3.9090290937999357</v>
      </c>
      <c r="AQ4" s="113">
        <f t="shared" si="26"/>
        <v>2.2728649230273663</v>
      </c>
      <c r="AR4" s="34">
        <f t="shared" si="27"/>
        <v>3821.0128701527428</v>
      </c>
      <c r="AS4" s="34">
        <f t="shared" si="28"/>
        <v>-948.48712984725717</v>
      </c>
      <c r="AT4" s="34">
        <f t="shared" si="29"/>
        <v>948.48712984725717</v>
      </c>
      <c r="AU4" s="113">
        <f t="shared" si="30"/>
        <v>-19.886510742158659</v>
      </c>
      <c r="AV4" s="113">
        <f t="shared" si="31"/>
        <v>19.886510742158659</v>
      </c>
      <c r="AW4" s="113">
        <f t="shared" si="32"/>
        <v>2.977489082317692</v>
      </c>
      <c r="AX4" s="34">
        <f t="shared" si="33"/>
        <v>4679.166666666667</v>
      </c>
      <c r="AY4" s="34">
        <f t="shared" si="34"/>
        <v>-90.33333333333303</v>
      </c>
      <c r="AZ4" s="34">
        <f t="shared" si="35"/>
        <v>90.33333333333303</v>
      </c>
      <c r="BA4" s="113">
        <f t="shared" si="36"/>
        <v>-1.893979103330182</v>
      </c>
      <c r="BB4" s="113">
        <f t="shared" si="37"/>
        <v>1.893979103330182</v>
      </c>
      <c r="BC4" s="113">
        <f t="shared" si="38"/>
        <v>1.960629308100724</v>
      </c>
      <c r="BD4" s="34">
        <f t="shared" si="39"/>
        <v>4331.2232000000004</v>
      </c>
      <c r="BE4" s="34">
        <f t="shared" si="40"/>
        <v>-438.27679999999964</v>
      </c>
      <c r="BF4" s="34">
        <f t="shared" si="41"/>
        <v>438.27679999999964</v>
      </c>
      <c r="BG4" s="34">
        <f t="shared" si="42"/>
        <v>4467.4507234364801</v>
      </c>
      <c r="BH4" s="34">
        <f t="shared" si="43"/>
        <v>-302.04927656351992</v>
      </c>
      <c r="BI4" s="34">
        <f t="shared" si="44"/>
        <v>302.04927656351992</v>
      </c>
      <c r="BJ4" s="33">
        <f t="shared" si="45"/>
        <v>4694.882886691752</v>
      </c>
      <c r="BK4" s="34">
        <f t="shared" si="46"/>
        <v>-74.617113308248008</v>
      </c>
      <c r="BL4" s="34">
        <f t="shared" si="47"/>
        <v>74.617113308248008</v>
      </c>
      <c r="BM4" s="113">
        <f t="shared" si="48"/>
        <v>-1.564464059298627</v>
      </c>
      <c r="BN4" s="113">
        <f t="shared" si="49"/>
        <v>1.564464059298627</v>
      </c>
      <c r="BO4" s="113">
        <f t="shared" si="50"/>
        <v>1.8786200941025797</v>
      </c>
      <c r="BP4" s="33">
        <f t="shared" si="51"/>
        <v>4698.2537495513498</v>
      </c>
      <c r="BQ4" s="34">
        <f t="shared" si="52"/>
        <v>-71.246250448650244</v>
      </c>
      <c r="BR4" s="34">
        <f t="shared" si="53"/>
        <v>71.246250448650244</v>
      </c>
      <c r="BS4" s="113">
        <f t="shared" si="54"/>
        <v>-1.49378866649859</v>
      </c>
      <c r="BT4" s="113">
        <f t="shared" si="55"/>
        <v>1.49378866649859</v>
      </c>
      <c r="BU4" s="113">
        <f t="shared" si="56"/>
        <v>1.8588153123044751</v>
      </c>
    </row>
    <row r="5" spans="1:73" x14ac:dyDescent="0.15">
      <c r="A5" s="24" t="s">
        <v>77</v>
      </c>
      <c r="B5" s="90" t="s">
        <v>115</v>
      </c>
      <c r="C5" s="24" t="s">
        <v>403</v>
      </c>
      <c r="D5" s="275">
        <v>-28.196010999999999</v>
      </c>
      <c r="E5" s="275">
        <v>153.55726899999999</v>
      </c>
      <c r="F5" s="44" t="s">
        <v>83</v>
      </c>
      <c r="G5" s="29" t="s">
        <v>990</v>
      </c>
      <c r="H5" s="44" t="s">
        <v>203</v>
      </c>
      <c r="I5" s="44" t="s">
        <v>581</v>
      </c>
      <c r="J5" s="27">
        <f>1586.3+3352.01</f>
        <v>4938.3100000000004</v>
      </c>
      <c r="K5" s="26">
        <v>4700</v>
      </c>
      <c r="L5" s="44" t="s">
        <v>518</v>
      </c>
      <c r="M5" s="27">
        <v>1301.8</v>
      </c>
      <c r="N5" s="27">
        <v>1200.2</v>
      </c>
      <c r="O5" s="27">
        <v>1586.3</v>
      </c>
      <c r="P5" t="s">
        <v>37</v>
      </c>
      <c r="Q5" s="38">
        <f t="shared" si="0"/>
        <v>4722.3437400000003</v>
      </c>
      <c r="R5" s="38">
        <f t="shared" si="1"/>
        <v>4643.0053599999992</v>
      </c>
      <c r="S5" s="38">
        <f t="shared" si="2"/>
        <v>4817.2699769193605</v>
      </c>
      <c r="T5" s="38">
        <f t="shared" si="3"/>
        <v>3999.8292419235368</v>
      </c>
      <c r="U5" s="38">
        <f t="shared" si="4"/>
        <v>4821.4814814814808</v>
      </c>
      <c r="V5" s="38">
        <f t="shared" si="5"/>
        <v>5253.4618316977894</v>
      </c>
      <c r="W5" s="38">
        <f t="shared" si="6"/>
        <v>5306.25996518395</v>
      </c>
      <c r="X5" s="38">
        <f t="shared" si="7"/>
        <v>4771.6639599999999</v>
      </c>
      <c r="Y5" s="38">
        <f t="shared" si="8"/>
        <v>4823.1546733303539</v>
      </c>
      <c r="Z5" s="34">
        <f t="shared" si="9"/>
        <v>4672.277</v>
      </c>
      <c r="AA5" s="34">
        <f t="shared" si="10"/>
        <v>-266.03300000000036</v>
      </c>
      <c r="AB5" s="34">
        <f t="shared" si="11"/>
        <v>266.03300000000036</v>
      </c>
      <c r="AC5" s="113">
        <f t="shared" si="12"/>
        <v>-5.3871263650925183</v>
      </c>
      <c r="AD5" s="113">
        <f t="shared" si="13"/>
        <v>5.3871263650925183</v>
      </c>
      <c r="AE5" s="113">
        <f t="shared" si="14"/>
        <v>2.4265649348938187</v>
      </c>
      <c r="AF5" s="34">
        <f t="shared" si="15"/>
        <v>4686.8233199999995</v>
      </c>
      <c r="AG5" s="34">
        <f t="shared" si="16"/>
        <v>-251.48668000000089</v>
      </c>
      <c r="AH5" s="34">
        <f t="shared" si="17"/>
        <v>251.48668000000089</v>
      </c>
      <c r="AI5" s="113">
        <f t="shared" si="18"/>
        <v>-5.0925656753018922</v>
      </c>
      <c r="AJ5" s="113">
        <f t="shared" si="19"/>
        <v>5.0925656753018922</v>
      </c>
      <c r="AK5" s="113">
        <f t="shared" si="20"/>
        <v>2.4022384717414713</v>
      </c>
      <c r="AL5" s="34">
        <f t="shared" si="21"/>
        <v>4888.4889111307457</v>
      </c>
      <c r="AM5" s="34">
        <f t="shared" si="22"/>
        <v>-49.821088869254709</v>
      </c>
      <c r="AN5" s="34">
        <f t="shared" si="23"/>
        <v>49.821088869254709</v>
      </c>
      <c r="AO5" s="113">
        <f t="shared" si="24"/>
        <v>-1.008869205644334</v>
      </c>
      <c r="AP5" s="113">
        <f t="shared" si="25"/>
        <v>1.008869205644334</v>
      </c>
      <c r="AQ5" s="113">
        <f t="shared" si="26"/>
        <v>1.7060439658076767</v>
      </c>
      <c r="AR5" s="34">
        <f t="shared" si="27"/>
        <v>4044.7496170346449</v>
      </c>
      <c r="AS5" s="34">
        <f t="shared" si="28"/>
        <v>-893.56038296535553</v>
      </c>
      <c r="AT5" s="34">
        <f t="shared" si="29"/>
        <v>893.56038296535553</v>
      </c>
      <c r="AU5" s="113">
        <f t="shared" si="30"/>
        <v>-18.094457070644722</v>
      </c>
      <c r="AV5" s="113">
        <f t="shared" si="31"/>
        <v>18.094457070644722</v>
      </c>
      <c r="AW5" s="113">
        <f t="shared" si="32"/>
        <v>2.951609660838074</v>
      </c>
      <c r="AX5" s="34">
        <f t="shared" si="33"/>
        <v>5000.8333333333339</v>
      </c>
      <c r="AY5" s="34">
        <f t="shared" si="34"/>
        <v>62.523333333333539</v>
      </c>
      <c r="AZ5" s="34">
        <f t="shared" si="35"/>
        <v>62.523333333333539</v>
      </c>
      <c r="BA5" s="113">
        <f t="shared" si="36"/>
        <v>1.2660876561684773</v>
      </c>
      <c r="BB5" s="113">
        <f t="shared" si="37"/>
        <v>1.2660876561684773</v>
      </c>
      <c r="BC5" s="113">
        <f t="shared" si="38"/>
        <v>1.8029332792535862</v>
      </c>
      <c r="BD5" s="34">
        <f t="shared" si="39"/>
        <v>4621.3716800000002</v>
      </c>
      <c r="BE5" s="34">
        <f t="shared" si="40"/>
        <v>-316.9383200000002</v>
      </c>
      <c r="BF5" s="34">
        <f t="shared" si="41"/>
        <v>316.9383200000002</v>
      </c>
      <c r="BG5" s="34">
        <f t="shared" si="42"/>
        <v>4768.5990548208156</v>
      </c>
      <c r="BH5" s="34">
        <f t="shared" si="43"/>
        <v>-169.71094517918482</v>
      </c>
      <c r="BI5" s="34">
        <f t="shared" si="44"/>
        <v>169.71094517918482</v>
      </c>
      <c r="BJ5" s="33">
        <f t="shared" si="45"/>
        <v>5024.3060603468275</v>
      </c>
      <c r="BK5" s="34">
        <f t="shared" si="46"/>
        <v>85.996060346827107</v>
      </c>
      <c r="BL5" s="34">
        <f t="shared" si="47"/>
        <v>85.996060346827107</v>
      </c>
      <c r="BM5" s="113">
        <f t="shared" si="48"/>
        <v>1.7414066825862915</v>
      </c>
      <c r="BN5" s="113">
        <f t="shared" si="49"/>
        <v>1.7414066825862915</v>
      </c>
      <c r="BO5" s="113">
        <f t="shared" si="50"/>
        <v>1.9394995858556989</v>
      </c>
      <c r="BP5" s="33">
        <f t="shared" si="51"/>
        <v>5037.9520364817927</v>
      </c>
      <c r="BQ5" s="34">
        <f t="shared" si="52"/>
        <v>99.642036481792275</v>
      </c>
      <c r="BR5" s="34">
        <f t="shared" si="53"/>
        <v>99.642036481792275</v>
      </c>
      <c r="BS5" s="113">
        <f t="shared" si="54"/>
        <v>2.0177355508623855</v>
      </c>
      <c r="BT5" s="113">
        <f t="shared" si="55"/>
        <v>2.0177355508623855</v>
      </c>
      <c r="BU5" s="113">
        <f t="shared" si="56"/>
        <v>2.0027794160965895</v>
      </c>
    </row>
    <row r="6" spans="1:73" ht="14" customHeight="1" x14ac:dyDescent="0.15">
      <c r="A6" s="24" t="s">
        <v>77</v>
      </c>
      <c r="B6" s="90" t="s">
        <v>618</v>
      </c>
      <c r="C6" s="24" t="s">
        <v>403</v>
      </c>
      <c r="D6" s="275">
        <v>-12.336288</v>
      </c>
      <c r="E6" s="275">
        <v>130.90824799999999</v>
      </c>
      <c r="F6" s="29" t="s">
        <v>96</v>
      </c>
      <c r="G6" s="29" t="s">
        <v>986</v>
      </c>
      <c r="H6" s="44" t="s">
        <v>374</v>
      </c>
      <c r="I6" s="29" t="s">
        <v>580</v>
      </c>
      <c r="J6" s="24">
        <v>1814.51</v>
      </c>
      <c r="K6" s="26">
        <v>2000</v>
      </c>
      <c r="L6" s="44" t="s">
        <v>582</v>
      </c>
      <c r="M6" s="27">
        <v>451.5</v>
      </c>
      <c r="N6" s="27">
        <v>434.4</v>
      </c>
      <c r="O6" s="27">
        <v>576.01</v>
      </c>
      <c r="P6" t="s">
        <v>37</v>
      </c>
      <c r="Q6" s="38">
        <f t="shared" si="0"/>
        <v>1785.15245</v>
      </c>
      <c r="R6" s="38">
        <f t="shared" si="1"/>
        <v>1730.5577999999998</v>
      </c>
      <c r="S6" s="38">
        <f t="shared" si="2"/>
        <v>1750.0783937625381</v>
      </c>
      <c r="T6" s="38">
        <f t="shared" si="3"/>
        <v>1615.9375951063755</v>
      </c>
      <c r="U6" s="38">
        <f t="shared" si="4"/>
        <v>1672.2222222222222</v>
      </c>
      <c r="V6" s="38">
        <f t="shared" si="5"/>
        <v>1765.0734889913315</v>
      </c>
      <c r="W6" s="38">
        <f t="shared" si="6"/>
        <v>1782.8127604793915</v>
      </c>
      <c r="X6" s="38">
        <f t="shared" si="7"/>
        <v>1751.2283</v>
      </c>
      <c r="Y6" s="38">
        <f t="shared" si="8"/>
        <v>1712.5929722083545</v>
      </c>
      <c r="Z6" s="34">
        <f t="shared" si="9"/>
        <v>1834.9880000000001</v>
      </c>
      <c r="AA6" s="34">
        <f t="shared" si="10"/>
        <v>20.478000000000065</v>
      </c>
      <c r="AB6" s="34">
        <f t="shared" si="11"/>
        <v>20.478000000000065</v>
      </c>
      <c r="AC6" s="113">
        <f t="shared" si="12"/>
        <v>1.1285691453891169</v>
      </c>
      <c r="AD6" s="113">
        <f t="shared" si="13"/>
        <v>1.1285691453891169</v>
      </c>
      <c r="AE6" s="113">
        <f t="shared" si="14"/>
        <v>1.3319938380422578</v>
      </c>
      <c r="AF6" s="34">
        <f t="shared" si="15"/>
        <v>1802.36104</v>
      </c>
      <c r="AG6" s="34">
        <f t="shared" si="16"/>
        <v>-12.148959999999988</v>
      </c>
      <c r="AH6" s="34">
        <f t="shared" si="17"/>
        <v>12.148959999999988</v>
      </c>
      <c r="AI6" s="113">
        <f t="shared" si="18"/>
        <v>-0.66954494601848369</v>
      </c>
      <c r="AJ6" s="113">
        <f t="shared" si="19"/>
        <v>0.66954494601848369</v>
      </c>
      <c r="AK6" s="113">
        <f t="shared" si="20"/>
        <v>1.1188914042232905</v>
      </c>
      <c r="AL6" s="34">
        <f t="shared" si="21"/>
        <v>1823.3716463659869</v>
      </c>
      <c r="AM6" s="34">
        <f t="shared" si="22"/>
        <v>8.8616463659868714</v>
      </c>
      <c r="AN6" s="34">
        <f t="shared" si="23"/>
        <v>8.8616463659868714</v>
      </c>
      <c r="AO6" s="113">
        <f t="shared" si="24"/>
        <v>0.48837682713167035</v>
      </c>
      <c r="AP6" s="113">
        <f t="shared" si="25"/>
        <v>0.48837682713167035</v>
      </c>
      <c r="AQ6" s="113">
        <f t="shared" si="26"/>
        <v>0.99394942487792581</v>
      </c>
      <c r="AR6" s="34">
        <f t="shared" si="27"/>
        <v>1694.8386570628811</v>
      </c>
      <c r="AS6" s="34">
        <f t="shared" si="28"/>
        <v>-119.67134293711888</v>
      </c>
      <c r="AT6" s="34">
        <f t="shared" si="29"/>
        <v>119.67134293711888</v>
      </c>
      <c r="AU6" s="113">
        <f t="shared" si="30"/>
        <v>-6.5952429546885325</v>
      </c>
      <c r="AV6" s="113">
        <f t="shared" si="31"/>
        <v>6.5952429546885325</v>
      </c>
      <c r="AW6" s="113">
        <f t="shared" si="32"/>
        <v>2.0816041459718102</v>
      </c>
      <c r="AX6" s="34">
        <f t="shared" si="33"/>
        <v>1810</v>
      </c>
      <c r="AY6" s="34">
        <f t="shared" si="34"/>
        <v>-4.5099999999999909</v>
      </c>
      <c r="AZ6" s="34">
        <f t="shared" si="35"/>
        <v>4.5099999999999909</v>
      </c>
      <c r="BA6" s="113">
        <f t="shared" si="36"/>
        <v>-0.24855195066436617</v>
      </c>
      <c r="BB6" s="113">
        <f t="shared" si="37"/>
        <v>0.24855195066436617</v>
      </c>
      <c r="BC6" s="113">
        <f t="shared" si="38"/>
        <v>0.74115159885178428</v>
      </c>
      <c r="BD6" s="34">
        <f t="shared" si="39"/>
        <v>1743.18896</v>
      </c>
      <c r="BE6" s="34">
        <f t="shared" si="40"/>
        <v>-71.321040000000039</v>
      </c>
      <c r="BF6" s="34">
        <f t="shared" si="41"/>
        <v>71.321040000000039</v>
      </c>
      <c r="BG6" s="34">
        <f t="shared" si="42"/>
        <v>1759.2381812183792</v>
      </c>
      <c r="BH6" s="34">
        <f t="shared" si="43"/>
        <v>-55.271818781620823</v>
      </c>
      <c r="BI6" s="34">
        <f t="shared" si="44"/>
        <v>55.271818781620823</v>
      </c>
      <c r="BJ6" s="33">
        <f t="shared" si="45"/>
        <v>1781.9081239746224</v>
      </c>
      <c r="BK6" s="34">
        <f t="shared" si="46"/>
        <v>-32.601876025377578</v>
      </c>
      <c r="BL6" s="34">
        <f t="shared" si="47"/>
        <v>32.601876025377578</v>
      </c>
      <c r="BM6" s="113">
        <f t="shared" si="48"/>
        <v>-1.796731681025598</v>
      </c>
      <c r="BN6" s="113">
        <f t="shared" si="49"/>
        <v>1.796731681025598</v>
      </c>
      <c r="BO6" s="113">
        <f t="shared" si="50"/>
        <v>1.5263635251495136</v>
      </c>
      <c r="BP6" s="33">
        <f t="shared" si="51"/>
        <v>1733.0936553585914</v>
      </c>
      <c r="BQ6" s="34">
        <f t="shared" si="52"/>
        <v>-81.416344641408614</v>
      </c>
      <c r="BR6" s="34">
        <f t="shared" si="53"/>
        <v>81.416344641408614</v>
      </c>
      <c r="BS6" s="113">
        <f t="shared" si="54"/>
        <v>-4.4869603717482196</v>
      </c>
      <c r="BT6" s="113">
        <f t="shared" si="55"/>
        <v>4.4869603717482196</v>
      </c>
      <c r="BU6" s="113">
        <f t="shared" si="56"/>
        <v>1.9160133486347013</v>
      </c>
    </row>
    <row r="7" spans="1:73" x14ac:dyDescent="0.15">
      <c r="A7" s="24" t="s">
        <v>77</v>
      </c>
      <c r="B7" s="90" t="s">
        <v>127</v>
      </c>
      <c r="C7" s="24" t="s">
        <v>403</v>
      </c>
      <c r="D7" s="275">
        <v>-28.178412000000002</v>
      </c>
      <c r="E7" s="275">
        <v>153.542192</v>
      </c>
      <c r="F7" s="44" t="s">
        <v>82</v>
      </c>
      <c r="G7" s="44" t="s">
        <v>989</v>
      </c>
      <c r="H7" s="44" t="s">
        <v>203</v>
      </c>
      <c r="I7" s="44" t="s">
        <v>581</v>
      </c>
      <c r="J7" s="27">
        <v>4745.58</v>
      </c>
      <c r="K7" s="26">
        <v>4724</v>
      </c>
      <c r="L7" s="44" t="s">
        <v>518</v>
      </c>
      <c r="M7" s="27">
        <v>1330.47</v>
      </c>
      <c r="N7" s="27">
        <v>1229.3699999999999</v>
      </c>
      <c r="O7" s="27">
        <v>1615.8</v>
      </c>
      <c r="P7" t="s">
        <v>37</v>
      </c>
      <c r="Q7" s="38">
        <f t="shared" si="0"/>
        <v>4821.3785209999996</v>
      </c>
      <c r="R7" s="38">
        <f t="shared" si="1"/>
        <v>4741.2058440000001</v>
      </c>
      <c r="S7" s="38">
        <f t="shared" si="2"/>
        <v>4918.6670044527127</v>
      </c>
      <c r="T7" s="38">
        <f t="shared" si="3"/>
        <v>4075.1065282232057</v>
      </c>
      <c r="U7" s="38">
        <f t="shared" si="4"/>
        <v>4927.6666666666661</v>
      </c>
      <c r="V7" s="38">
        <f t="shared" si="5"/>
        <v>5372.6706468910697</v>
      </c>
      <c r="W7" s="38">
        <f t="shared" si="6"/>
        <v>5426.6668480779081</v>
      </c>
      <c r="X7" s="38">
        <f t="shared" si="7"/>
        <v>4873.5055339999999</v>
      </c>
      <c r="Y7" s="38">
        <f t="shared" si="8"/>
        <v>4926.993376594336</v>
      </c>
      <c r="Z7" s="34">
        <f t="shared" si="9"/>
        <v>4780.35185</v>
      </c>
      <c r="AA7" s="34">
        <f t="shared" si="10"/>
        <v>34.771850000000086</v>
      </c>
      <c r="AB7" s="34">
        <f t="shared" si="11"/>
        <v>34.771850000000086</v>
      </c>
      <c r="AC7" s="113">
        <f t="shared" si="12"/>
        <v>0.73272076332081826</v>
      </c>
      <c r="AD7" s="113">
        <f t="shared" si="13"/>
        <v>0.73272076332081826</v>
      </c>
      <c r="AE7" s="113">
        <f t="shared" si="14"/>
        <v>1.5535414009825024</v>
      </c>
      <c r="AF7" s="34">
        <f t="shared" si="15"/>
        <v>4796.6950419999994</v>
      </c>
      <c r="AG7" s="34">
        <f t="shared" si="16"/>
        <v>51.115041999999448</v>
      </c>
      <c r="AH7" s="34">
        <f t="shared" si="17"/>
        <v>51.115041999999448</v>
      </c>
      <c r="AI7" s="113">
        <f t="shared" si="18"/>
        <v>1.0771084251029264</v>
      </c>
      <c r="AJ7" s="113">
        <f t="shared" si="19"/>
        <v>1.0771084251029264</v>
      </c>
      <c r="AK7" s="113">
        <f t="shared" si="20"/>
        <v>1.7169630921045749</v>
      </c>
      <c r="AL7" s="34">
        <f t="shared" si="21"/>
        <v>5003.7421851479448</v>
      </c>
      <c r="AM7" s="34">
        <f t="shared" si="22"/>
        <v>258.16218514794491</v>
      </c>
      <c r="AN7" s="34">
        <f t="shared" si="23"/>
        <v>258.16218514794491</v>
      </c>
      <c r="AO7" s="113">
        <f t="shared" si="24"/>
        <v>5.440055486325063</v>
      </c>
      <c r="AP7" s="113">
        <f t="shared" si="25"/>
        <v>5.440055486325063</v>
      </c>
      <c r="AQ7" s="113">
        <f t="shared" si="26"/>
        <v>2.4135716330794854</v>
      </c>
      <c r="AR7" s="34">
        <f t="shared" si="27"/>
        <v>4128.742652430853</v>
      </c>
      <c r="AS7" s="34">
        <f t="shared" si="28"/>
        <v>-616.83734756914691</v>
      </c>
      <c r="AT7" s="34">
        <f t="shared" si="29"/>
        <v>616.83734756914691</v>
      </c>
      <c r="AU7" s="113">
        <f t="shared" si="30"/>
        <v>-12.998144538057455</v>
      </c>
      <c r="AV7" s="113">
        <f t="shared" si="31"/>
        <v>12.998144538057455</v>
      </c>
      <c r="AW7" s="113">
        <f t="shared" si="32"/>
        <v>2.7908741573693612</v>
      </c>
      <c r="AX7" s="34">
        <f t="shared" si="33"/>
        <v>5122.375</v>
      </c>
      <c r="AY7" s="34">
        <f t="shared" si="34"/>
        <v>376.79500000000007</v>
      </c>
      <c r="AZ7" s="34">
        <f t="shared" si="35"/>
        <v>376.79500000000007</v>
      </c>
      <c r="BA7" s="113">
        <f t="shared" si="36"/>
        <v>7.9399146152841187</v>
      </c>
      <c r="BB7" s="113">
        <f t="shared" si="37"/>
        <v>7.9399146152841187</v>
      </c>
      <c r="BC7" s="113">
        <f t="shared" si="38"/>
        <v>2.5772562058706776</v>
      </c>
      <c r="BD7" s="34">
        <f t="shared" si="39"/>
        <v>4731.0042079999994</v>
      </c>
      <c r="BE7" s="34">
        <f t="shared" si="40"/>
        <v>-14.575792000000547</v>
      </c>
      <c r="BF7" s="34">
        <f t="shared" si="41"/>
        <v>14.575792000000547</v>
      </c>
      <c r="BG7" s="34">
        <f t="shared" si="42"/>
        <v>4882.2917949023449</v>
      </c>
      <c r="BH7" s="34">
        <f t="shared" si="43"/>
        <v>136.71179490234499</v>
      </c>
      <c r="BI7" s="34">
        <f t="shared" si="44"/>
        <v>136.71179490234499</v>
      </c>
      <c r="BJ7" s="33">
        <f t="shared" si="45"/>
        <v>5148.8904076224107</v>
      </c>
      <c r="BK7" s="34">
        <f t="shared" si="46"/>
        <v>403.31040762241082</v>
      </c>
      <c r="BL7" s="34">
        <f t="shared" si="47"/>
        <v>403.31040762241082</v>
      </c>
      <c r="BM7" s="113">
        <f t="shared" si="48"/>
        <v>8.4986536444946843</v>
      </c>
      <c r="BN7" s="113">
        <f t="shared" si="49"/>
        <v>8.4986536444946843</v>
      </c>
      <c r="BO7" s="113">
        <f t="shared" si="50"/>
        <v>2.6067149209399232</v>
      </c>
      <c r="BP7" s="33">
        <f t="shared" si="51"/>
        <v>5166.5955605185136</v>
      </c>
      <c r="BQ7" s="34">
        <f t="shared" si="52"/>
        <v>421.01556051851367</v>
      </c>
      <c r="BR7" s="34">
        <f t="shared" si="53"/>
        <v>421.01556051851367</v>
      </c>
      <c r="BS7" s="113">
        <f t="shared" si="54"/>
        <v>8.8717408729494327</v>
      </c>
      <c r="BT7" s="113">
        <f t="shared" si="55"/>
        <v>8.8717408729494327</v>
      </c>
      <c r="BU7" s="113">
        <f t="shared" si="56"/>
        <v>2.6253284645226622</v>
      </c>
    </row>
    <row r="8" spans="1:73" ht="15" customHeight="1" x14ac:dyDescent="0.15">
      <c r="A8" s="24" t="s">
        <v>77</v>
      </c>
      <c r="B8" s="90" t="s">
        <v>139</v>
      </c>
      <c r="C8" s="24" t="s">
        <v>403</v>
      </c>
      <c r="D8" s="275">
        <v>-27.986695000000001</v>
      </c>
      <c r="E8" s="275">
        <v>153.41852499999999</v>
      </c>
      <c r="F8" s="44" t="s">
        <v>82</v>
      </c>
      <c r="G8" s="44" t="s">
        <v>989</v>
      </c>
      <c r="H8" s="44" t="s">
        <v>203</v>
      </c>
      <c r="I8" s="44" t="s">
        <v>581</v>
      </c>
      <c r="J8" s="26">
        <v>4870</v>
      </c>
      <c r="K8" s="26">
        <v>4870</v>
      </c>
      <c r="L8" s="44" t="s">
        <v>518</v>
      </c>
      <c r="M8" s="26">
        <v>1243.5999999999999</v>
      </c>
      <c r="N8" s="26">
        <v>1122.4000000000001</v>
      </c>
      <c r="O8" s="26">
        <v>1526.2</v>
      </c>
      <c r="P8" t="s">
        <v>37</v>
      </c>
      <c r="Q8" s="38">
        <f t="shared" si="0"/>
        <v>4521.3034799999996</v>
      </c>
      <c r="R8" s="38">
        <f t="shared" si="1"/>
        <v>4443.6587199999994</v>
      </c>
      <c r="S8" s="38">
        <f t="shared" si="2"/>
        <v>4611.130954708995</v>
      </c>
      <c r="T8" s="38">
        <f t="shared" si="3"/>
        <v>3846.2741435230969</v>
      </c>
      <c r="U8" s="38">
        <f t="shared" si="4"/>
        <v>4605.9259259259252</v>
      </c>
      <c r="V8" s="38">
        <f t="shared" si="5"/>
        <v>5011.7123285946136</v>
      </c>
      <c r="W8" s="38">
        <f t="shared" si="6"/>
        <v>5062.0808408245503</v>
      </c>
      <c r="X8" s="38">
        <f t="shared" si="7"/>
        <v>4564.9259199999997</v>
      </c>
      <c r="Y8" s="38">
        <f t="shared" si="8"/>
        <v>4612.2050456089028</v>
      </c>
      <c r="Z8" s="34">
        <f t="shared" si="9"/>
        <v>4384.0280000000002</v>
      </c>
      <c r="AA8" s="34">
        <f t="shared" si="10"/>
        <v>-485.97199999999975</v>
      </c>
      <c r="AB8" s="34">
        <f t="shared" si="11"/>
        <v>485.97199999999975</v>
      </c>
      <c r="AC8" s="113">
        <f t="shared" si="12"/>
        <v>-9.978891170431206</v>
      </c>
      <c r="AD8" s="113">
        <f t="shared" si="13"/>
        <v>9.978891170431206</v>
      </c>
      <c r="AE8" s="113">
        <f t="shared" si="14"/>
        <v>2.6875039907935201</v>
      </c>
      <c r="AF8" s="34">
        <f t="shared" si="15"/>
        <v>4393.7818399999996</v>
      </c>
      <c r="AG8" s="34">
        <f t="shared" si="16"/>
        <v>-476.21816000000035</v>
      </c>
      <c r="AH8" s="34">
        <f t="shared" si="17"/>
        <v>476.21816000000035</v>
      </c>
      <c r="AI8" s="113">
        <f t="shared" si="18"/>
        <v>-9.7786069815195145</v>
      </c>
      <c r="AJ8" s="113">
        <f t="shared" si="19"/>
        <v>9.7786069815195145</v>
      </c>
      <c r="AK8" s="113">
        <f t="shared" si="20"/>
        <v>2.6787169619005007</v>
      </c>
      <c r="AL8" s="34">
        <f t="shared" si="21"/>
        <v>4580.682667439437</v>
      </c>
      <c r="AM8" s="34">
        <f t="shared" si="22"/>
        <v>-289.31733256056305</v>
      </c>
      <c r="AN8" s="34">
        <f t="shared" si="23"/>
        <v>289.31733256056305</v>
      </c>
      <c r="AO8" s="113">
        <f t="shared" si="24"/>
        <v>-5.9408076501142313</v>
      </c>
      <c r="AP8" s="113">
        <f t="shared" si="25"/>
        <v>5.9408076501142313</v>
      </c>
      <c r="AQ8" s="113">
        <f t="shared" si="26"/>
        <v>2.462872964907469</v>
      </c>
      <c r="AR8" s="34">
        <f t="shared" si="27"/>
        <v>3819.2654805699549</v>
      </c>
      <c r="AS8" s="34">
        <f t="shared" si="28"/>
        <v>-1050.7345194300451</v>
      </c>
      <c r="AT8" s="34">
        <f t="shared" si="29"/>
        <v>1050.7345194300451</v>
      </c>
      <c r="AU8" s="113">
        <f t="shared" si="30"/>
        <v>-21.575657483163145</v>
      </c>
      <c r="AV8" s="113">
        <f t="shared" si="31"/>
        <v>21.575657483163145</v>
      </c>
      <c r="AW8" s="113">
        <f t="shared" si="32"/>
        <v>3.0219061283186162</v>
      </c>
      <c r="AX8" s="34">
        <f t="shared" si="33"/>
        <v>4676.666666666667</v>
      </c>
      <c r="AY8" s="34">
        <f t="shared" si="34"/>
        <v>-193.33333333333303</v>
      </c>
      <c r="AZ8" s="34">
        <f t="shared" si="35"/>
        <v>193.33333333333303</v>
      </c>
      <c r="BA8" s="113">
        <f t="shared" si="36"/>
        <v>-3.9698836413415406</v>
      </c>
      <c r="BB8" s="113">
        <f t="shared" si="37"/>
        <v>3.9698836413415406</v>
      </c>
      <c r="BC8" s="113">
        <f t="shared" si="38"/>
        <v>2.288547300039351</v>
      </c>
      <c r="BD8" s="34">
        <f t="shared" si="39"/>
        <v>4328.9681600000004</v>
      </c>
      <c r="BE8" s="34">
        <f t="shared" si="40"/>
        <v>-541.03183999999965</v>
      </c>
      <c r="BF8" s="34">
        <f t="shared" si="41"/>
        <v>541.03183999999965</v>
      </c>
      <c r="BG8" s="34">
        <f t="shared" si="42"/>
        <v>4465.1087013516735</v>
      </c>
      <c r="BH8" s="34">
        <f t="shared" si="43"/>
        <v>-404.89129864832648</v>
      </c>
      <c r="BI8" s="34">
        <f t="shared" si="44"/>
        <v>404.89129864832648</v>
      </c>
      <c r="BJ8" s="33">
        <f t="shared" si="45"/>
        <v>4692.3243372345787</v>
      </c>
      <c r="BK8" s="34">
        <f t="shared" si="46"/>
        <v>-177.67566276542129</v>
      </c>
      <c r="BL8" s="34">
        <f t="shared" si="47"/>
        <v>177.67566276542129</v>
      </c>
      <c r="BM8" s="113">
        <f t="shared" si="48"/>
        <v>-3.6483708986739485</v>
      </c>
      <c r="BN8" s="113">
        <f t="shared" si="49"/>
        <v>3.6483708986739485</v>
      </c>
      <c r="BO8" s="113">
        <f t="shared" si="50"/>
        <v>2.252065401713915</v>
      </c>
      <c r="BP8" s="33">
        <f t="shared" si="51"/>
        <v>4695.6180769601615</v>
      </c>
      <c r="BQ8" s="34">
        <f t="shared" si="52"/>
        <v>-174.38192303983851</v>
      </c>
      <c r="BR8" s="34">
        <f t="shared" si="53"/>
        <v>174.38192303983851</v>
      </c>
      <c r="BS8" s="113">
        <f t="shared" si="54"/>
        <v>-3.5807376394217356</v>
      </c>
      <c r="BT8" s="113">
        <f t="shared" si="55"/>
        <v>3.5807376394217356</v>
      </c>
      <c r="BU8" s="113">
        <f t="shared" si="56"/>
        <v>2.2439848277493568</v>
      </c>
    </row>
    <row r="9" spans="1:73" x14ac:dyDescent="0.15">
      <c r="A9" s="24" t="s">
        <v>77</v>
      </c>
      <c r="B9" s="90" t="s">
        <v>90</v>
      </c>
      <c r="C9" s="24" t="s">
        <v>403</v>
      </c>
      <c r="D9" s="275">
        <v>-27.067025000000001</v>
      </c>
      <c r="E9" s="275">
        <v>153.13537099999999</v>
      </c>
      <c r="F9" s="44" t="s">
        <v>82</v>
      </c>
      <c r="G9" s="44" t="s">
        <v>989</v>
      </c>
      <c r="H9" s="44" t="s">
        <v>203</v>
      </c>
      <c r="I9" s="44" t="s">
        <v>581</v>
      </c>
      <c r="J9" s="26">
        <v>5080</v>
      </c>
      <c r="K9" s="26">
        <v>5080</v>
      </c>
      <c r="L9" s="44" t="s">
        <v>518</v>
      </c>
      <c r="M9" s="27">
        <v>1379.78</v>
      </c>
      <c r="N9" s="27">
        <v>1275.5</v>
      </c>
      <c r="O9" s="27">
        <f>319.75+1439.2</f>
        <v>1758.95</v>
      </c>
      <c r="P9" t="s">
        <v>37</v>
      </c>
      <c r="Q9" s="38">
        <f t="shared" si="0"/>
        <v>4991.7100540000001</v>
      </c>
      <c r="R9" s="38">
        <f t="shared" si="1"/>
        <v>4910.1024559999996</v>
      </c>
      <c r="S9" s="38">
        <f t="shared" si="2"/>
        <v>5092.838828323288</v>
      </c>
      <c r="T9" s="38">
        <f t="shared" si="3"/>
        <v>4204.0343860722151</v>
      </c>
      <c r="U9" s="38">
        <f t="shared" si="4"/>
        <v>5110.2962962962956</v>
      </c>
      <c r="V9" s="38">
        <f t="shared" si="5"/>
        <v>5577.8792634562806</v>
      </c>
      <c r="W9" s="38">
        <f t="shared" si="6"/>
        <v>5633.9378441324961</v>
      </c>
      <c r="X9" s="38">
        <f t="shared" si="7"/>
        <v>5048.6645159999998</v>
      </c>
      <c r="Y9" s="38">
        <f t="shared" si="8"/>
        <v>5105.4716855799707</v>
      </c>
      <c r="Z9" s="34">
        <f t="shared" si="9"/>
        <v>4951.2635</v>
      </c>
      <c r="AA9" s="34">
        <f t="shared" si="10"/>
        <v>-128.73649999999998</v>
      </c>
      <c r="AB9" s="34">
        <f t="shared" si="11"/>
        <v>128.73649999999998</v>
      </c>
      <c r="AC9" s="113">
        <f t="shared" si="12"/>
        <v>-2.5341830708661415</v>
      </c>
      <c r="AD9" s="113">
        <f t="shared" si="13"/>
        <v>2.5341830708661415</v>
      </c>
      <c r="AE9" s="113">
        <f t="shared" si="14"/>
        <v>2.113062177460479</v>
      </c>
      <c r="AF9" s="34">
        <f t="shared" si="15"/>
        <v>4970.4483</v>
      </c>
      <c r="AG9" s="34">
        <f t="shared" si="16"/>
        <v>-109.55169999999998</v>
      </c>
      <c r="AH9" s="34">
        <f t="shared" si="17"/>
        <v>109.55169999999998</v>
      </c>
      <c r="AI9" s="113">
        <f t="shared" si="18"/>
        <v>-2.156529527559055</v>
      </c>
      <c r="AJ9" s="113">
        <f t="shared" si="19"/>
        <v>2.156529527559055</v>
      </c>
      <c r="AK9" s="113">
        <f t="shared" si="20"/>
        <v>2.043565425295037</v>
      </c>
      <c r="AL9" s="34">
        <f t="shared" si="21"/>
        <v>5185.841518580929</v>
      </c>
      <c r="AM9" s="34">
        <f t="shared" si="22"/>
        <v>105.84151858092901</v>
      </c>
      <c r="AN9" s="34">
        <f t="shared" si="23"/>
        <v>105.84151858092901</v>
      </c>
      <c r="AO9" s="113">
        <f t="shared" si="24"/>
        <v>2.0834944602545082</v>
      </c>
      <c r="AP9" s="113">
        <f t="shared" si="25"/>
        <v>2.0834944602545082</v>
      </c>
      <c r="AQ9" s="113">
        <f t="shared" si="26"/>
        <v>2.028740052193128</v>
      </c>
      <c r="AR9" s="34">
        <f t="shared" si="27"/>
        <v>4260.9886302405375</v>
      </c>
      <c r="AS9" s="34">
        <f t="shared" si="28"/>
        <v>-819.01136975946247</v>
      </c>
      <c r="AT9" s="34">
        <f t="shared" si="29"/>
        <v>819.01136975946247</v>
      </c>
      <c r="AU9" s="113">
        <f t="shared" si="30"/>
        <v>-16.122271058257134</v>
      </c>
      <c r="AV9" s="113">
        <f t="shared" si="31"/>
        <v>16.122271058257134</v>
      </c>
      <c r="AW9" s="113">
        <f t="shared" si="32"/>
        <v>2.913819874078305</v>
      </c>
      <c r="AX9" s="34">
        <f t="shared" si="33"/>
        <v>5314.5833333333339</v>
      </c>
      <c r="AY9" s="34">
        <f t="shared" si="34"/>
        <v>234.58333333333394</v>
      </c>
      <c r="AZ9" s="34">
        <f t="shared" si="35"/>
        <v>234.58333333333394</v>
      </c>
      <c r="BA9" s="113">
        <f t="shared" si="36"/>
        <v>4.6177821522309825</v>
      </c>
      <c r="BB9" s="113">
        <f t="shared" si="37"/>
        <v>4.6177821522309825</v>
      </c>
      <c r="BC9" s="113">
        <f t="shared" si="38"/>
        <v>2.3721445624418958</v>
      </c>
      <c r="BD9" s="34">
        <f t="shared" si="39"/>
        <v>4904.3792000000003</v>
      </c>
      <c r="BE9" s="34">
        <f t="shared" si="40"/>
        <v>-175.62079999999969</v>
      </c>
      <c r="BF9" s="34">
        <f t="shared" si="41"/>
        <v>175.62079999999969</v>
      </c>
      <c r="BG9" s="34">
        <f t="shared" si="42"/>
        <v>5061.984654798187</v>
      </c>
      <c r="BH9" s="34">
        <f t="shared" si="43"/>
        <v>-18.015345201813034</v>
      </c>
      <c r="BI9" s="34">
        <f t="shared" si="44"/>
        <v>18.015345201813034</v>
      </c>
      <c r="BJ9" s="33">
        <f t="shared" si="45"/>
        <v>5346.0306727954867</v>
      </c>
      <c r="BK9" s="34">
        <f t="shared" si="46"/>
        <v>266.03067279548668</v>
      </c>
      <c r="BL9" s="34">
        <f t="shared" si="47"/>
        <v>266.03067279548668</v>
      </c>
      <c r="BM9" s="113">
        <f t="shared" si="48"/>
        <v>5.2368242676276902</v>
      </c>
      <c r="BN9" s="113">
        <f t="shared" si="49"/>
        <v>5.2368242676276902</v>
      </c>
      <c r="BO9" s="113">
        <f t="shared" si="50"/>
        <v>2.4265611499815316</v>
      </c>
      <c r="BP9" s="33">
        <f t="shared" si="51"/>
        <v>5370.3453047495386</v>
      </c>
      <c r="BQ9" s="34">
        <f t="shared" si="52"/>
        <v>290.34530474953863</v>
      </c>
      <c r="BR9" s="34">
        <f t="shared" si="53"/>
        <v>290.34530474953863</v>
      </c>
      <c r="BS9" s="113">
        <f t="shared" si="54"/>
        <v>5.7154587549121771</v>
      </c>
      <c r="BT9" s="113">
        <f t="shared" si="55"/>
        <v>5.7154587549121771</v>
      </c>
      <c r="BU9" s="113">
        <f t="shared" si="56"/>
        <v>2.4644080234977412</v>
      </c>
    </row>
    <row r="10" spans="1:73" ht="14" customHeight="1" x14ac:dyDescent="0.15">
      <c r="A10" s="24" t="s">
        <v>77</v>
      </c>
      <c r="B10" s="90" t="s">
        <v>598</v>
      </c>
      <c r="C10" s="24" t="s">
        <v>403</v>
      </c>
      <c r="D10" s="275">
        <v>-26.632071</v>
      </c>
      <c r="E10" s="275">
        <v>153.17810600000001</v>
      </c>
      <c r="F10" s="29" t="s">
        <v>82</v>
      </c>
      <c r="G10" s="44" t="s">
        <v>989</v>
      </c>
      <c r="H10" s="44" t="s">
        <v>494</v>
      </c>
      <c r="I10" s="29" t="s">
        <v>580</v>
      </c>
      <c r="J10" s="24">
        <v>1217</v>
      </c>
      <c r="K10" s="29"/>
      <c r="L10" s="44" t="s">
        <v>582</v>
      </c>
      <c r="M10" s="27">
        <v>323</v>
      </c>
      <c r="N10" s="27">
        <v>295</v>
      </c>
      <c r="O10" s="27">
        <v>395</v>
      </c>
      <c r="P10" t="s">
        <v>37</v>
      </c>
      <c r="Q10" s="38">
        <f t="shared" si="0"/>
        <v>1341.2749000000001</v>
      </c>
      <c r="R10" s="38">
        <f t="shared" si="1"/>
        <v>1290.4195999999999</v>
      </c>
      <c r="S10" s="38">
        <f t="shared" si="2"/>
        <v>1270.4957305292112</v>
      </c>
      <c r="T10" s="38">
        <f t="shared" si="3"/>
        <v>1213.1917593054482</v>
      </c>
      <c r="U10" s="38">
        <f t="shared" si="4"/>
        <v>1196.2962962962963</v>
      </c>
      <c r="V10" s="38">
        <f t="shared" si="5"/>
        <v>1250.0978362643707</v>
      </c>
      <c r="W10" s="38">
        <f t="shared" si="6"/>
        <v>1262.6615198970587</v>
      </c>
      <c r="X10" s="38">
        <f t="shared" si="7"/>
        <v>1294.7706000000001</v>
      </c>
      <c r="Y10" s="38">
        <f t="shared" si="8"/>
        <v>1234.3207540908616</v>
      </c>
      <c r="Z10" s="34">
        <f t="shared" si="9"/>
        <v>1318.511</v>
      </c>
      <c r="AA10" s="34">
        <f t="shared" si="10"/>
        <v>101.51099999999997</v>
      </c>
      <c r="AB10" s="34">
        <f t="shared" si="11"/>
        <v>101.51099999999997</v>
      </c>
      <c r="AC10" s="113">
        <f t="shared" si="12"/>
        <v>8.3410846343467515</v>
      </c>
      <c r="AD10" s="113">
        <f t="shared" si="13"/>
        <v>8.3410846343467515</v>
      </c>
      <c r="AE10" s="113">
        <f t="shared" si="14"/>
        <v>2.0107704701037692</v>
      </c>
      <c r="AF10" s="34">
        <f t="shared" si="15"/>
        <v>1277.297</v>
      </c>
      <c r="AG10" s="34">
        <f t="shared" si="16"/>
        <v>60.297000000000025</v>
      </c>
      <c r="AH10" s="34">
        <f t="shared" si="17"/>
        <v>60.297000000000025</v>
      </c>
      <c r="AI10" s="113">
        <f t="shared" si="18"/>
        <v>4.9545603944124919</v>
      </c>
      <c r="AJ10" s="113">
        <f t="shared" si="19"/>
        <v>4.9545603944124919</v>
      </c>
      <c r="AK10" s="113">
        <f t="shared" si="20"/>
        <v>1.7874392197822313</v>
      </c>
      <c r="AL10" s="34">
        <f t="shared" si="21"/>
        <v>1252.5128884464755</v>
      </c>
      <c r="AM10" s="34">
        <f t="shared" si="22"/>
        <v>35.512888446475472</v>
      </c>
      <c r="AN10" s="34">
        <f t="shared" si="23"/>
        <v>35.512888446475472</v>
      </c>
      <c r="AO10" s="113">
        <f t="shared" si="24"/>
        <v>2.9180680728410411</v>
      </c>
      <c r="AP10" s="113">
        <f t="shared" si="25"/>
        <v>2.9180680728410411</v>
      </c>
      <c r="AQ10" s="113">
        <f t="shared" si="26"/>
        <v>1.5624461902969349</v>
      </c>
      <c r="AR10" s="34">
        <f t="shared" si="27"/>
        <v>1216.9679213402842</v>
      </c>
      <c r="AS10" s="34">
        <f t="shared" si="28"/>
        <v>-3.2078659715807589E-2</v>
      </c>
      <c r="AT10" s="34">
        <f t="shared" si="29"/>
        <v>3.2078659715807589E-2</v>
      </c>
      <c r="AU10" s="113">
        <f t="shared" si="30"/>
        <v>-2.6358800095158249E-3</v>
      </c>
      <c r="AV10" s="113">
        <f t="shared" si="31"/>
        <v>2.6358800095158249E-3</v>
      </c>
      <c r="AW10" s="113">
        <f t="shared" si="32"/>
        <v>1.3712798239530007E-2</v>
      </c>
      <c r="AX10" s="34">
        <f t="shared" si="33"/>
        <v>1229.1666666666667</v>
      </c>
      <c r="AY10" s="34">
        <f t="shared" si="34"/>
        <v>12.166666666666742</v>
      </c>
      <c r="AZ10" s="34">
        <f t="shared" si="35"/>
        <v>12.166666666666742</v>
      </c>
      <c r="BA10" s="113">
        <f t="shared" si="36"/>
        <v>0.99972610243769455</v>
      </c>
      <c r="BB10" s="113">
        <f t="shared" si="37"/>
        <v>0.99972610243769455</v>
      </c>
      <c r="BC10" s="113">
        <f t="shared" si="38"/>
        <v>1.1194758409068002</v>
      </c>
      <c r="BD10" s="34">
        <f t="shared" si="39"/>
        <v>1219.268</v>
      </c>
      <c r="BE10" s="34">
        <f t="shared" si="40"/>
        <v>2.2680000000000291</v>
      </c>
      <c r="BF10" s="34">
        <f t="shared" si="41"/>
        <v>2.2680000000000291</v>
      </c>
      <c r="BG10" s="34">
        <f t="shared" si="42"/>
        <v>1203.4180360073951</v>
      </c>
      <c r="BH10" s="34">
        <f t="shared" si="43"/>
        <v>-13.581963992604869</v>
      </c>
      <c r="BI10" s="34">
        <f t="shared" si="44"/>
        <v>13.581963992604869</v>
      </c>
      <c r="BJ10" s="33">
        <f t="shared" si="45"/>
        <v>1200.7601503825711</v>
      </c>
      <c r="BK10" s="34">
        <f t="shared" si="46"/>
        <v>-16.239849617428945</v>
      </c>
      <c r="BL10" s="34">
        <f t="shared" si="47"/>
        <v>16.239849617428945</v>
      </c>
      <c r="BM10" s="113">
        <f t="shared" si="48"/>
        <v>-1.3344165667566923</v>
      </c>
      <c r="BN10" s="113">
        <f t="shared" si="49"/>
        <v>1.3344165667566923</v>
      </c>
      <c r="BO10" s="113">
        <f t="shared" si="50"/>
        <v>1.2365334731705018</v>
      </c>
      <c r="BP10" s="33">
        <f t="shared" si="51"/>
        <v>1154.3854433758468</v>
      </c>
      <c r="BQ10" s="34">
        <f t="shared" si="52"/>
        <v>-62.614556624153238</v>
      </c>
      <c r="BR10" s="34">
        <f t="shared" si="53"/>
        <v>62.614556624153238</v>
      </c>
      <c r="BS10" s="113">
        <f t="shared" si="54"/>
        <v>-5.1449923273749576</v>
      </c>
      <c r="BT10" s="113">
        <f t="shared" si="55"/>
        <v>5.1449923273749576</v>
      </c>
      <c r="BU10" s="113">
        <f t="shared" si="56"/>
        <v>1.803556504613643</v>
      </c>
    </row>
    <row r="11" spans="1:73" x14ac:dyDescent="0.15">
      <c r="A11" s="24" t="s">
        <v>77</v>
      </c>
      <c r="B11" s="90" t="s">
        <v>88</v>
      </c>
      <c r="C11" s="24" t="s">
        <v>403</v>
      </c>
      <c r="D11" s="275">
        <v>-25.246537</v>
      </c>
      <c r="E11" s="275">
        <v>152.66764499999999</v>
      </c>
      <c r="F11" s="44" t="s">
        <v>82</v>
      </c>
      <c r="G11" s="44" t="s">
        <v>989</v>
      </c>
      <c r="H11" s="44" t="s">
        <v>293</v>
      </c>
      <c r="I11" s="44" t="s">
        <v>580</v>
      </c>
      <c r="J11" s="27">
        <v>3045.75</v>
      </c>
      <c r="K11" s="26">
        <v>3400</v>
      </c>
      <c r="L11" s="44" t="s">
        <v>518</v>
      </c>
      <c r="M11" s="27">
        <v>838.11</v>
      </c>
      <c r="N11" s="27">
        <v>786.67</v>
      </c>
      <c r="O11" s="27">
        <v>1043.6500000000001</v>
      </c>
      <c r="P11" t="s">
        <v>37</v>
      </c>
      <c r="Q11" s="38">
        <f t="shared" si="0"/>
        <v>3120.619373</v>
      </c>
      <c r="R11" s="38">
        <f t="shared" si="1"/>
        <v>3054.7743719999999</v>
      </c>
      <c r="S11" s="38">
        <f t="shared" si="2"/>
        <v>3161.7985491100699</v>
      </c>
      <c r="T11" s="38">
        <f t="shared" si="3"/>
        <v>2743.8246789370523</v>
      </c>
      <c r="U11" s="38">
        <f t="shared" si="4"/>
        <v>3104.1111111111109</v>
      </c>
      <c r="V11" s="38">
        <f t="shared" si="5"/>
        <v>3337.8373631764671</v>
      </c>
      <c r="W11" s="38">
        <f t="shared" si="6"/>
        <v>3371.3831636984692</v>
      </c>
      <c r="X11" s="38">
        <f t="shared" si="7"/>
        <v>3124.5443420000001</v>
      </c>
      <c r="Y11" s="38">
        <f t="shared" si="8"/>
        <v>3135.6930602590396</v>
      </c>
      <c r="Z11" s="34">
        <f t="shared" si="9"/>
        <v>3140.1483499999999</v>
      </c>
      <c r="AA11" s="34">
        <f t="shared" si="10"/>
        <v>94.398349999999937</v>
      </c>
      <c r="AB11" s="34">
        <f t="shared" si="11"/>
        <v>94.398349999999937</v>
      </c>
      <c r="AC11" s="113">
        <f t="shared" si="12"/>
        <v>3.0993466305507655</v>
      </c>
      <c r="AD11" s="113">
        <f t="shared" si="13"/>
        <v>3.0993466305507655</v>
      </c>
      <c r="AE11" s="113">
        <f t="shared" si="14"/>
        <v>1.9795408632565885</v>
      </c>
      <c r="AF11" s="34">
        <f t="shared" si="15"/>
        <v>3129.2212219999997</v>
      </c>
      <c r="AG11" s="34">
        <f t="shared" si="16"/>
        <v>83.471221999999671</v>
      </c>
      <c r="AH11" s="34">
        <f t="shared" si="17"/>
        <v>83.471221999999671</v>
      </c>
      <c r="AI11" s="113">
        <f t="shared" si="18"/>
        <v>2.7405802183370165</v>
      </c>
      <c r="AJ11" s="113">
        <f t="shared" si="19"/>
        <v>2.7405802183370165</v>
      </c>
      <c r="AK11" s="113">
        <f t="shared" si="20"/>
        <v>1.9267087769341307</v>
      </c>
      <c r="AL11" s="34">
        <f t="shared" si="21"/>
        <v>3244.4721233756086</v>
      </c>
      <c r="AM11" s="34">
        <f t="shared" si="22"/>
        <v>198.72212337560859</v>
      </c>
      <c r="AN11" s="34">
        <f t="shared" si="23"/>
        <v>198.72212337560859</v>
      </c>
      <c r="AO11" s="113">
        <f t="shared" si="24"/>
        <v>6.524571070363903</v>
      </c>
      <c r="AP11" s="113">
        <f t="shared" si="25"/>
        <v>6.524571070363903</v>
      </c>
      <c r="AQ11" s="113">
        <f t="shared" si="26"/>
        <v>2.3004261746743184</v>
      </c>
      <c r="AR11" s="34">
        <f t="shared" si="27"/>
        <v>2817.5221801969574</v>
      </c>
      <c r="AS11" s="34">
        <f t="shared" si="28"/>
        <v>-228.22781980304262</v>
      </c>
      <c r="AT11" s="34">
        <f t="shared" si="29"/>
        <v>228.22781980304262</v>
      </c>
      <c r="AU11" s="113">
        <f t="shared" si="30"/>
        <v>-7.4933208504651603</v>
      </c>
      <c r="AV11" s="113">
        <f t="shared" si="31"/>
        <v>7.4933208504651603</v>
      </c>
      <c r="AW11" s="113">
        <f t="shared" si="32"/>
        <v>2.3602673238266156</v>
      </c>
      <c r="AX11" s="34">
        <f t="shared" si="33"/>
        <v>3277.7916666666665</v>
      </c>
      <c r="AY11" s="34">
        <f t="shared" si="34"/>
        <v>232.04166666666652</v>
      </c>
      <c r="AZ11" s="34">
        <f t="shared" si="35"/>
        <v>232.04166666666652</v>
      </c>
      <c r="BA11" s="113">
        <f t="shared" si="36"/>
        <v>7.618539494924617</v>
      </c>
      <c r="BB11" s="113">
        <f t="shared" si="37"/>
        <v>7.618539494924617</v>
      </c>
      <c r="BC11" s="113">
        <f t="shared" si="38"/>
        <v>2.3674335776166417</v>
      </c>
      <c r="BD11" s="34">
        <f t="shared" si="39"/>
        <v>3067.1605279999999</v>
      </c>
      <c r="BE11" s="34">
        <f t="shared" si="40"/>
        <v>21.410527999999886</v>
      </c>
      <c r="BF11" s="34">
        <f t="shared" si="41"/>
        <v>21.410527999999886</v>
      </c>
      <c r="BG11" s="34">
        <f t="shared" si="42"/>
        <v>3150.4953420103207</v>
      </c>
      <c r="BH11" s="34">
        <f t="shared" si="43"/>
        <v>104.74534201032066</v>
      </c>
      <c r="BI11" s="34">
        <f t="shared" si="44"/>
        <v>104.74534201032066</v>
      </c>
      <c r="BJ11" s="33">
        <f t="shared" si="45"/>
        <v>3265.4719549499155</v>
      </c>
      <c r="BK11" s="34">
        <f t="shared" si="46"/>
        <v>219.72195494991547</v>
      </c>
      <c r="BL11" s="34">
        <f t="shared" si="47"/>
        <v>219.72195494991547</v>
      </c>
      <c r="BM11" s="113">
        <f t="shared" si="48"/>
        <v>7.2140508889408341</v>
      </c>
      <c r="BN11" s="113">
        <f t="shared" si="49"/>
        <v>7.2140508889408341</v>
      </c>
      <c r="BO11" s="113">
        <f t="shared" si="50"/>
        <v>2.3438455340650068</v>
      </c>
      <c r="BP11" s="33">
        <f t="shared" si="51"/>
        <v>3233.10599490496</v>
      </c>
      <c r="BQ11" s="34">
        <f t="shared" si="52"/>
        <v>187.35599490495997</v>
      </c>
      <c r="BR11" s="34">
        <f t="shared" si="53"/>
        <v>187.35599490495997</v>
      </c>
      <c r="BS11" s="113">
        <f t="shared" si="54"/>
        <v>6.151391115651645</v>
      </c>
      <c r="BT11" s="113">
        <f t="shared" si="55"/>
        <v>6.151391115651645</v>
      </c>
      <c r="BU11" s="113">
        <f t="shared" si="56"/>
        <v>2.2749794472773321</v>
      </c>
    </row>
    <row r="12" spans="1:73" ht="14" customHeight="1" x14ac:dyDescent="0.15">
      <c r="A12" s="24" t="s">
        <v>77</v>
      </c>
      <c r="B12" s="90" t="s">
        <v>668</v>
      </c>
      <c r="C12" s="24" t="s">
        <v>403</v>
      </c>
      <c r="D12" s="275">
        <v>-24.609337</v>
      </c>
      <c r="E12" s="275">
        <v>152.273923</v>
      </c>
      <c r="F12" s="44" t="s">
        <v>82</v>
      </c>
      <c r="G12" s="44" t="s">
        <v>989</v>
      </c>
      <c r="H12" s="44" t="s">
        <v>203</v>
      </c>
      <c r="I12" s="44" t="s">
        <v>581</v>
      </c>
      <c r="J12" s="27">
        <v>5410</v>
      </c>
      <c r="K12" s="27">
        <v>5410</v>
      </c>
      <c r="L12" s="44" t="s">
        <v>518</v>
      </c>
      <c r="M12" s="27">
        <v>1551.3</v>
      </c>
      <c r="N12" s="27">
        <v>1448.5</v>
      </c>
      <c r="O12" s="27"/>
      <c r="P12" t="s">
        <v>37</v>
      </c>
      <c r="Q12" s="38">
        <f t="shared" si="0"/>
        <v>5584.1915899999995</v>
      </c>
      <c r="R12" s="38">
        <f t="shared" si="1"/>
        <v>5497.5927599999995</v>
      </c>
      <c r="S12" s="38">
        <f t="shared" si="2"/>
        <v>5696.6176993065455</v>
      </c>
      <c r="T12" s="38">
        <f t="shared" si="3"/>
        <v>4647.501531970488</v>
      </c>
      <c r="U12" s="38">
        <f t="shared" si="4"/>
        <v>5745.5555555555547</v>
      </c>
      <c r="V12" s="38">
        <f t="shared" si="5"/>
        <v>6293.3458584436366</v>
      </c>
      <c r="W12" s="38">
        <f t="shared" si="6"/>
        <v>6356.5949930816323</v>
      </c>
      <c r="X12" s="38">
        <f t="shared" si="7"/>
        <v>5657.93786</v>
      </c>
      <c r="Y12" s="38">
        <f t="shared" si="8"/>
        <v>5725.2196201383358</v>
      </c>
      <c r="Z12" s="34">
        <f t="shared" si="9"/>
        <v>5592.2285000000002</v>
      </c>
      <c r="AA12" s="34">
        <f t="shared" si="10"/>
        <v>182.22850000000017</v>
      </c>
      <c r="AB12" s="34">
        <f t="shared" si="11"/>
        <v>182.22850000000017</v>
      </c>
      <c r="AC12" s="113">
        <f t="shared" si="12"/>
        <v>3.3683641404805944</v>
      </c>
      <c r="AD12" s="113">
        <f t="shared" si="13"/>
        <v>3.3683641404805944</v>
      </c>
      <c r="AE12" s="113">
        <f t="shared" si="14"/>
        <v>2.2629930262645446</v>
      </c>
      <c r="AF12" s="34">
        <f t="shared" si="15"/>
        <v>5622.0700999999999</v>
      </c>
      <c r="AG12" s="34">
        <f t="shared" si="16"/>
        <v>212.07009999999991</v>
      </c>
      <c r="AH12" s="34">
        <f t="shared" si="17"/>
        <v>212.07009999999991</v>
      </c>
      <c r="AI12" s="113">
        <f t="shared" si="18"/>
        <v>3.9199648798521238</v>
      </c>
      <c r="AJ12" s="113">
        <f t="shared" si="19"/>
        <v>3.9199648798521238</v>
      </c>
      <c r="AK12" s="113">
        <f t="shared" si="20"/>
        <v>2.3285225097044253</v>
      </c>
      <c r="AL12" s="34">
        <f t="shared" si="21"/>
        <v>5867.082986866445</v>
      </c>
      <c r="AM12" s="34">
        <f t="shared" si="22"/>
        <v>457.08298686644503</v>
      </c>
      <c r="AN12" s="34">
        <f t="shared" si="23"/>
        <v>457.08298686644503</v>
      </c>
      <c r="AO12" s="113">
        <f t="shared" si="24"/>
        <v>8.4488537313575787</v>
      </c>
      <c r="AP12" s="113">
        <f t="shared" si="25"/>
        <v>8.4488537313575787</v>
      </c>
      <c r="AQ12" s="113">
        <f t="shared" si="26"/>
        <v>2.6609441624435606</v>
      </c>
      <c r="AR12" s="34">
        <f t="shared" si="27"/>
        <v>4751.0391688848704</v>
      </c>
      <c r="AS12" s="34">
        <f t="shared" si="28"/>
        <v>-658.96083111512962</v>
      </c>
      <c r="AT12" s="34">
        <f t="shared" si="29"/>
        <v>658.96083111512962</v>
      </c>
      <c r="AU12" s="113">
        <f t="shared" si="30"/>
        <v>-12.18042201691552</v>
      </c>
      <c r="AV12" s="113">
        <f t="shared" si="31"/>
        <v>12.18042201691552</v>
      </c>
      <c r="AW12" s="113">
        <f t="shared" si="32"/>
        <v>2.8195181607913375</v>
      </c>
      <c r="AX12" s="34">
        <f t="shared" si="33"/>
        <v>6035.416666666667</v>
      </c>
      <c r="AY12" s="34">
        <f t="shared" si="34"/>
        <v>625.41666666666697</v>
      </c>
      <c r="AZ12" s="34">
        <f t="shared" si="35"/>
        <v>625.41666666666697</v>
      </c>
      <c r="BA12" s="113">
        <f t="shared" si="36"/>
        <v>11.560382008626007</v>
      </c>
      <c r="BB12" s="113">
        <f t="shared" si="37"/>
        <v>11.560382008626007</v>
      </c>
      <c r="BC12" s="113">
        <f t="shared" si="38"/>
        <v>2.7968633041984705</v>
      </c>
      <c r="BD12" s="34">
        <f t="shared" si="39"/>
        <v>5554.5824000000002</v>
      </c>
      <c r="BE12" s="34">
        <f t="shared" si="40"/>
        <v>144.58240000000023</v>
      </c>
      <c r="BF12" s="34">
        <f t="shared" si="41"/>
        <v>144.58240000000023</v>
      </c>
      <c r="BG12" s="34">
        <f t="shared" si="42"/>
        <v>5734.8278519755931</v>
      </c>
      <c r="BH12" s="34">
        <f t="shared" si="43"/>
        <v>324.82785197559315</v>
      </c>
      <c r="BI12" s="34">
        <f t="shared" si="44"/>
        <v>324.82785197559315</v>
      </c>
      <c r="BJ12" s="33">
        <f t="shared" si="45"/>
        <v>6086.5922069700655</v>
      </c>
      <c r="BK12" s="34">
        <f t="shared" si="46"/>
        <v>676.59220697006549</v>
      </c>
      <c r="BL12" s="34">
        <f t="shared" si="47"/>
        <v>676.59220697006549</v>
      </c>
      <c r="BM12" s="113">
        <f t="shared" si="48"/>
        <v>12.506325452311748</v>
      </c>
      <c r="BN12" s="113">
        <f t="shared" si="49"/>
        <v>12.506325452311748</v>
      </c>
      <c r="BO12" s="113">
        <f t="shared" si="50"/>
        <v>2.8309684025036419</v>
      </c>
      <c r="BP12" s="33">
        <f t="shared" si="51"/>
        <v>6137.6504289129971</v>
      </c>
      <c r="BQ12" s="34">
        <f t="shared" si="52"/>
        <v>727.65042891299709</v>
      </c>
      <c r="BR12" s="34">
        <f t="shared" si="53"/>
        <v>727.65042891299709</v>
      </c>
      <c r="BS12" s="113">
        <f t="shared" si="54"/>
        <v>13.450100349593292</v>
      </c>
      <c r="BT12" s="113">
        <f t="shared" si="55"/>
        <v>13.450100349593292</v>
      </c>
      <c r="BU12" s="113">
        <f t="shared" si="56"/>
        <v>2.8625192248811322</v>
      </c>
    </row>
    <row r="13" spans="1:73" x14ac:dyDescent="0.15">
      <c r="A13" s="24" t="s">
        <v>77</v>
      </c>
      <c r="B13" s="90" t="s">
        <v>121</v>
      </c>
      <c r="C13" s="24" t="s">
        <v>403</v>
      </c>
      <c r="D13" s="275">
        <v>-24.531511999999999</v>
      </c>
      <c r="E13" s="275">
        <v>152.04044999999999</v>
      </c>
      <c r="F13" s="44" t="s">
        <v>82</v>
      </c>
      <c r="G13" s="44" t="s">
        <v>989</v>
      </c>
      <c r="H13" s="44" t="s">
        <v>203</v>
      </c>
      <c r="I13" s="44" t="s">
        <v>581</v>
      </c>
      <c r="J13" s="26">
        <v>4470</v>
      </c>
      <c r="K13" s="26">
        <v>4470</v>
      </c>
      <c r="L13" s="44" t="s">
        <v>518</v>
      </c>
      <c r="M13" s="27">
        <v>1096</v>
      </c>
      <c r="N13" s="27">
        <v>1036</v>
      </c>
      <c r="O13" s="27"/>
      <c r="P13" t="s">
        <v>37</v>
      </c>
      <c r="Q13" s="38">
        <f t="shared" si="0"/>
        <v>4011.4488000000001</v>
      </c>
      <c r="R13" s="38">
        <f t="shared" si="1"/>
        <v>3938.0991999999997</v>
      </c>
      <c r="S13" s="38">
        <f t="shared" si="2"/>
        <v>4086.3975008278112</v>
      </c>
      <c r="T13" s="38">
        <f t="shared" si="3"/>
        <v>3452.0483198951865</v>
      </c>
      <c r="U13" s="38">
        <f t="shared" si="4"/>
        <v>4059.2592592592591</v>
      </c>
      <c r="V13" s="38">
        <f t="shared" si="5"/>
        <v>4400.1745887346706</v>
      </c>
      <c r="W13" s="38">
        <f t="shared" si="6"/>
        <v>4444.3970486555991</v>
      </c>
      <c r="X13" s="38">
        <f t="shared" si="7"/>
        <v>4040.6212</v>
      </c>
      <c r="Y13" s="38">
        <f t="shared" si="8"/>
        <v>4076.2101387479252</v>
      </c>
      <c r="Z13" s="34">
        <f t="shared" si="9"/>
        <v>4063.9160000000002</v>
      </c>
      <c r="AA13" s="34">
        <f t="shared" si="10"/>
        <v>-406.08399999999983</v>
      </c>
      <c r="AB13" s="34">
        <f t="shared" si="11"/>
        <v>406.08399999999983</v>
      </c>
      <c r="AC13" s="113">
        <f t="shared" si="12"/>
        <v>-9.0846532438478711</v>
      </c>
      <c r="AD13" s="113">
        <f t="shared" si="13"/>
        <v>9.0846532438478711</v>
      </c>
      <c r="AE13" s="113">
        <f t="shared" si="14"/>
        <v>2.6096840332360327</v>
      </c>
      <c r="AF13" s="34">
        <f t="shared" si="15"/>
        <v>4068.3476000000001</v>
      </c>
      <c r="AG13" s="34">
        <f t="shared" si="16"/>
        <v>-401.65239999999994</v>
      </c>
      <c r="AH13" s="34">
        <f t="shared" si="17"/>
        <v>401.65239999999994</v>
      </c>
      <c r="AI13" s="113">
        <f t="shared" si="18"/>
        <v>-8.9855123042505571</v>
      </c>
      <c r="AJ13" s="113">
        <f t="shared" si="19"/>
        <v>8.9855123042505571</v>
      </c>
      <c r="AK13" s="113">
        <f t="shared" si="20"/>
        <v>2.6049302920380328</v>
      </c>
      <c r="AL13" s="34">
        <f t="shared" si="21"/>
        <v>4238.1080600643281</v>
      </c>
      <c r="AM13" s="34">
        <f t="shared" si="22"/>
        <v>-231.89193993567187</v>
      </c>
      <c r="AN13" s="34">
        <f t="shared" si="23"/>
        <v>231.89193993567187</v>
      </c>
      <c r="AO13" s="113">
        <f t="shared" si="24"/>
        <v>-5.1877391484490349</v>
      </c>
      <c r="AP13" s="113">
        <f t="shared" si="25"/>
        <v>5.1877391484490349</v>
      </c>
      <c r="AQ13" s="113">
        <f t="shared" si="26"/>
        <v>2.3671544584701314</v>
      </c>
      <c r="AR13" s="34">
        <f t="shared" si="27"/>
        <v>3566.1933167334319</v>
      </c>
      <c r="AS13" s="34">
        <f t="shared" si="28"/>
        <v>-903.80668326656814</v>
      </c>
      <c r="AT13" s="34">
        <f t="shared" si="29"/>
        <v>903.80668326656814</v>
      </c>
      <c r="AU13" s="113">
        <f t="shared" si="30"/>
        <v>-20.219388887395258</v>
      </c>
      <c r="AV13" s="113">
        <f t="shared" si="31"/>
        <v>20.219388887395258</v>
      </c>
      <c r="AW13" s="113">
        <f t="shared" si="32"/>
        <v>2.956555799803199</v>
      </c>
      <c r="AX13" s="34">
        <f t="shared" si="33"/>
        <v>4316.666666666667</v>
      </c>
      <c r="AY13" s="34">
        <f t="shared" si="34"/>
        <v>-153.33333333333303</v>
      </c>
      <c r="AZ13" s="34">
        <f t="shared" si="35"/>
        <v>153.33333333333303</v>
      </c>
      <c r="BA13" s="113">
        <f t="shared" si="36"/>
        <v>-3.4302759134973835</v>
      </c>
      <c r="BB13" s="113">
        <f t="shared" si="37"/>
        <v>3.4302759134973835</v>
      </c>
      <c r="BC13" s="113">
        <f t="shared" si="38"/>
        <v>2.1884597362982898</v>
      </c>
      <c r="BD13" s="34">
        <f t="shared" si="39"/>
        <v>4004.2424000000001</v>
      </c>
      <c r="BE13" s="34">
        <f t="shared" si="40"/>
        <v>-465.75759999999991</v>
      </c>
      <c r="BF13" s="34">
        <f t="shared" si="41"/>
        <v>465.75759999999991</v>
      </c>
      <c r="BG13" s="34">
        <f t="shared" si="42"/>
        <v>4127.6051537395715</v>
      </c>
      <c r="BH13" s="34">
        <f t="shared" si="43"/>
        <v>-342.39484626042849</v>
      </c>
      <c r="BI13" s="34">
        <f t="shared" si="44"/>
        <v>342.39484626042849</v>
      </c>
      <c r="BJ13" s="33">
        <f t="shared" si="45"/>
        <v>4324.1862001116997</v>
      </c>
      <c r="BK13" s="34">
        <f t="shared" si="46"/>
        <v>-145.81379988830031</v>
      </c>
      <c r="BL13" s="34">
        <f t="shared" si="47"/>
        <v>145.81379988830031</v>
      </c>
      <c r="BM13" s="113">
        <f t="shared" si="48"/>
        <v>-3.2620536887762932</v>
      </c>
      <c r="BN13" s="113">
        <f t="shared" si="49"/>
        <v>3.2620536887762932</v>
      </c>
      <c r="BO13" s="113">
        <f t="shared" si="50"/>
        <v>2.1667668793788404</v>
      </c>
      <c r="BP13" s="33">
        <f t="shared" si="51"/>
        <v>4316.8351884610374</v>
      </c>
      <c r="BQ13" s="34">
        <f t="shared" si="52"/>
        <v>-153.16481153896257</v>
      </c>
      <c r="BR13" s="34">
        <f t="shared" si="53"/>
        <v>153.16481153896257</v>
      </c>
      <c r="BS13" s="113">
        <f t="shared" si="54"/>
        <v>-3.4265058509835029</v>
      </c>
      <c r="BT13" s="113">
        <f t="shared" si="55"/>
        <v>3.4265058509835029</v>
      </c>
      <c r="BU13" s="113">
        <f t="shared" si="56"/>
        <v>2.1879852563451885</v>
      </c>
    </row>
    <row r="14" spans="1:73" x14ac:dyDescent="0.15">
      <c r="A14" s="24" t="s">
        <v>77</v>
      </c>
      <c r="B14" s="90" t="s">
        <v>120</v>
      </c>
      <c r="C14" s="24" t="s">
        <v>403</v>
      </c>
      <c r="D14" s="275">
        <v>-24.531511999999999</v>
      </c>
      <c r="E14" s="275">
        <v>152.04044999999999</v>
      </c>
      <c r="F14" s="44" t="s">
        <v>82</v>
      </c>
      <c r="G14" s="44" t="s">
        <v>989</v>
      </c>
      <c r="H14" s="44" t="s">
        <v>203</v>
      </c>
      <c r="I14" s="44" t="s">
        <v>581</v>
      </c>
      <c r="J14" s="26">
        <v>4978</v>
      </c>
      <c r="K14" s="26">
        <v>4978</v>
      </c>
      <c r="L14" s="44" t="s">
        <v>518</v>
      </c>
      <c r="M14" s="27">
        <v>1315</v>
      </c>
      <c r="N14" s="27">
        <v>1250</v>
      </c>
      <c r="O14" s="27"/>
      <c r="P14" t="s">
        <v>37</v>
      </c>
      <c r="Q14" s="38">
        <f t="shared" si="0"/>
        <v>4767.9404999999997</v>
      </c>
      <c r="R14" s="38">
        <f t="shared" si="1"/>
        <v>4688.2179999999998</v>
      </c>
      <c r="S14" s="38">
        <f t="shared" si="2"/>
        <v>4863.9663636881687</v>
      </c>
      <c r="T14" s="38">
        <f t="shared" si="3"/>
        <v>4034.5171382783651</v>
      </c>
      <c r="U14" s="38">
        <f t="shared" si="4"/>
        <v>4870.3703703703704</v>
      </c>
      <c r="V14" s="38">
        <f t="shared" si="5"/>
        <v>5308.3372711037018</v>
      </c>
      <c r="W14" s="38">
        <f t="shared" si="6"/>
        <v>5361.6869115518784</v>
      </c>
      <c r="X14" s="38">
        <f t="shared" si="7"/>
        <v>4818.5529999999999</v>
      </c>
      <c r="Y14" s="38">
        <f t="shared" si="8"/>
        <v>4870.9694543406213</v>
      </c>
      <c r="Z14" s="34">
        <f t="shared" si="9"/>
        <v>4856.7860000000001</v>
      </c>
      <c r="AA14" s="34">
        <f t="shared" si="10"/>
        <v>-121.21399999999994</v>
      </c>
      <c r="AB14" s="34">
        <f t="shared" si="11"/>
        <v>121.21399999999994</v>
      </c>
      <c r="AC14" s="113">
        <f t="shared" si="12"/>
        <v>-2.4349939734833255</v>
      </c>
      <c r="AD14" s="113">
        <f t="shared" si="13"/>
        <v>2.4349939734833255</v>
      </c>
      <c r="AE14" s="113">
        <f t="shared" si="14"/>
        <v>2.0871209585618931</v>
      </c>
      <c r="AF14" s="34">
        <f t="shared" si="15"/>
        <v>4874.3999999999996</v>
      </c>
      <c r="AG14" s="34">
        <f t="shared" si="16"/>
        <v>-103.60000000000036</v>
      </c>
      <c r="AH14" s="34">
        <f t="shared" si="17"/>
        <v>103.60000000000036</v>
      </c>
      <c r="AI14" s="113">
        <f t="shared" si="18"/>
        <v>-2.0811570912012929</v>
      </c>
      <c r="AJ14" s="113">
        <f t="shared" si="19"/>
        <v>2.0811570912012929</v>
      </c>
      <c r="AK14" s="113">
        <f t="shared" si="20"/>
        <v>2.0195316845312568</v>
      </c>
      <c r="AL14" s="34">
        <f t="shared" si="21"/>
        <v>5085.2041858045113</v>
      </c>
      <c r="AM14" s="34">
        <f t="shared" si="22"/>
        <v>107.20418580451133</v>
      </c>
      <c r="AN14" s="34">
        <f t="shared" si="23"/>
        <v>107.20418580451133</v>
      </c>
      <c r="AO14" s="113">
        <f t="shared" si="24"/>
        <v>2.153559377350569</v>
      </c>
      <c r="AP14" s="113">
        <f t="shared" si="25"/>
        <v>2.153559377350569</v>
      </c>
      <c r="AQ14" s="113">
        <f t="shared" si="26"/>
        <v>2.0342440614788648</v>
      </c>
      <c r="AR14" s="34">
        <f t="shared" si="27"/>
        <v>4187.971786414314</v>
      </c>
      <c r="AS14" s="34">
        <f t="shared" si="28"/>
        <v>-790.02821358568599</v>
      </c>
      <c r="AT14" s="34">
        <f t="shared" si="29"/>
        <v>790.02821358568599</v>
      </c>
      <c r="AU14" s="113">
        <f t="shared" si="30"/>
        <v>-15.870394005337204</v>
      </c>
      <c r="AV14" s="113">
        <f t="shared" si="31"/>
        <v>15.870394005337204</v>
      </c>
      <c r="AW14" s="113">
        <f t="shared" si="32"/>
        <v>2.8981919737455422</v>
      </c>
      <c r="AX14" s="34">
        <f t="shared" si="33"/>
        <v>5208.3333333333339</v>
      </c>
      <c r="AY14" s="34">
        <f t="shared" si="34"/>
        <v>230.33333333333394</v>
      </c>
      <c r="AZ14" s="34">
        <f t="shared" si="35"/>
        <v>230.33333333333394</v>
      </c>
      <c r="BA14" s="113">
        <f t="shared" si="36"/>
        <v>4.6270255792152257</v>
      </c>
      <c r="BB14" s="113">
        <f t="shared" si="37"/>
        <v>4.6270255792152257</v>
      </c>
      <c r="BC14" s="113">
        <f t="shared" si="38"/>
        <v>2.3642382157351935</v>
      </c>
      <c r="BD14" s="34">
        <f t="shared" si="39"/>
        <v>4808.54</v>
      </c>
      <c r="BE14" s="34">
        <f t="shared" si="40"/>
        <v>-169.46000000000004</v>
      </c>
      <c r="BF14" s="34">
        <f t="shared" si="41"/>
        <v>169.46000000000004</v>
      </c>
      <c r="BG14" s="34">
        <f t="shared" si="42"/>
        <v>4962.6684195183989</v>
      </c>
      <c r="BH14" s="34">
        <f t="shared" si="43"/>
        <v>-15.331580481601122</v>
      </c>
      <c r="BI14" s="34">
        <f t="shared" si="44"/>
        <v>15.331580481601122</v>
      </c>
      <c r="BJ14" s="33">
        <f t="shared" si="45"/>
        <v>5237.0364095831546</v>
      </c>
      <c r="BK14" s="34">
        <f t="shared" si="46"/>
        <v>259.03640958315464</v>
      </c>
      <c r="BL14" s="34">
        <f t="shared" si="47"/>
        <v>259.03640958315464</v>
      </c>
      <c r="BM14" s="113">
        <f t="shared" si="48"/>
        <v>5.2036241378697197</v>
      </c>
      <c r="BN14" s="113">
        <f t="shared" si="49"/>
        <v>5.2036241378697197</v>
      </c>
      <c r="BO14" s="113">
        <f t="shared" si="50"/>
        <v>2.4150341609477053</v>
      </c>
      <c r="BP14" s="33">
        <f t="shared" si="51"/>
        <v>5257.6689670375808</v>
      </c>
      <c r="BQ14" s="34">
        <f t="shared" si="52"/>
        <v>279.66896703758084</v>
      </c>
      <c r="BR14" s="34">
        <f t="shared" si="53"/>
        <v>279.66896703758084</v>
      </c>
      <c r="BS14" s="113">
        <f t="shared" si="54"/>
        <v>5.6180989762471034</v>
      </c>
      <c r="BT14" s="113">
        <f t="shared" si="55"/>
        <v>5.6180989762471034</v>
      </c>
      <c r="BU14" s="113">
        <f t="shared" si="56"/>
        <v>2.4481943962846198</v>
      </c>
    </row>
    <row r="15" spans="1:73" x14ac:dyDescent="0.15">
      <c r="A15" s="24" t="s">
        <v>77</v>
      </c>
      <c r="B15" s="24" t="s">
        <v>100</v>
      </c>
      <c r="C15" s="24" t="s">
        <v>403</v>
      </c>
      <c r="D15" s="275">
        <v>-19.197866000000001</v>
      </c>
      <c r="E15" s="275">
        <v>146.77482800000001</v>
      </c>
      <c r="F15" s="29" t="s">
        <v>82</v>
      </c>
      <c r="G15" s="29" t="s">
        <v>988</v>
      </c>
      <c r="H15" s="44" t="s">
        <v>374</v>
      </c>
      <c r="I15" s="44" t="s">
        <v>580</v>
      </c>
      <c r="J15" s="24">
        <v>1299.96</v>
      </c>
      <c r="K15" s="44"/>
      <c r="L15" s="44" t="s">
        <v>582</v>
      </c>
      <c r="M15" s="24">
        <v>303.32</v>
      </c>
      <c r="N15" s="24">
        <v>291.94</v>
      </c>
      <c r="O15" s="24">
        <v>400.16</v>
      </c>
      <c r="P15" t="s">
        <v>37</v>
      </c>
      <c r="Q15" s="38">
        <f t="shared" si="0"/>
        <v>1273.2942760000001</v>
      </c>
      <c r="R15" s="38">
        <f t="shared" si="1"/>
        <v>1223.0116639999999</v>
      </c>
      <c r="S15" s="38">
        <f t="shared" si="2"/>
        <v>1196.3755793361854</v>
      </c>
      <c r="T15" s="38">
        <f t="shared" si="3"/>
        <v>1149.6406702313127</v>
      </c>
      <c r="U15" s="38">
        <f t="shared" si="4"/>
        <v>1123.4074074074074</v>
      </c>
      <c r="V15" s="38">
        <f t="shared" si="5"/>
        <v>1171.7190832272408</v>
      </c>
      <c r="W15" s="38">
        <f t="shared" si="6"/>
        <v>1183.4950478285714</v>
      </c>
      <c r="X15" s="38">
        <f t="shared" si="7"/>
        <v>1224.863304</v>
      </c>
      <c r="Y15" s="38">
        <f t="shared" si="8"/>
        <v>1160.7338481616325</v>
      </c>
      <c r="Z15" s="34">
        <f t="shared" si="9"/>
        <v>1307.1737000000001</v>
      </c>
      <c r="AA15" s="34">
        <f t="shared" si="10"/>
        <v>7.2137000000000171</v>
      </c>
      <c r="AB15" s="34">
        <f t="shared" si="11"/>
        <v>7.2137000000000171</v>
      </c>
      <c r="AC15" s="113">
        <f t="shared" si="12"/>
        <v>0.55491707437152038</v>
      </c>
      <c r="AD15" s="113">
        <f t="shared" si="13"/>
        <v>0.55491707437152038</v>
      </c>
      <c r="AE15" s="113">
        <f t="shared" si="14"/>
        <v>0.9145388364864816</v>
      </c>
      <c r="AF15" s="34">
        <f t="shared" si="15"/>
        <v>1265.7712040000001</v>
      </c>
      <c r="AG15" s="34">
        <f t="shared" si="16"/>
        <v>-34.188795999999911</v>
      </c>
      <c r="AH15" s="34">
        <f t="shared" si="17"/>
        <v>34.188795999999911</v>
      </c>
      <c r="AI15" s="113">
        <f t="shared" si="18"/>
        <v>-2.6299883073325265</v>
      </c>
      <c r="AJ15" s="113">
        <f t="shared" si="19"/>
        <v>2.6299883073325265</v>
      </c>
      <c r="AK15" s="113">
        <f t="shared" si="20"/>
        <v>1.5464044075143162</v>
      </c>
      <c r="AL15" s="34">
        <f t="shared" si="21"/>
        <v>1239.90334659007</v>
      </c>
      <c r="AM15" s="34">
        <f t="shared" si="22"/>
        <v>-60.05665340993005</v>
      </c>
      <c r="AN15" s="34">
        <f t="shared" si="23"/>
        <v>60.05665340993005</v>
      </c>
      <c r="AO15" s="113">
        <f t="shared" si="24"/>
        <v>-4.6198847202937054</v>
      </c>
      <c r="AP15" s="113">
        <f t="shared" si="25"/>
        <v>4.6198847202937054</v>
      </c>
      <c r="AQ15" s="113">
        <f t="shared" si="26"/>
        <v>1.7857329964016977</v>
      </c>
      <c r="AR15" s="34">
        <f t="shared" si="27"/>
        <v>1206.1553916395981</v>
      </c>
      <c r="AS15" s="34">
        <f t="shared" si="28"/>
        <v>-93.804608360401971</v>
      </c>
      <c r="AT15" s="34">
        <f t="shared" si="29"/>
        <v>93.804608360401971</v>
      </c>
      <c r="AU15" s="113">
        <f t="shared" si="30"/>
        <v>-7.2159611342196657</v>
      </c>
      <c r="AV15" s="113">
        <f t="shared" si="31"/>
        <v>7.2159611342196657</v>
      </c>
      <c r="AW15" s="113">
        <f t="shared" si="32"/>
        <v>1.9768294484862698</v>
      </c>
      <c r="AX15" s="34">
        <f t="shared" si="33"/>
        <v>1216.4166666666667</v>
      </c>
      <c r="AY15" s="34">
        <f t="shared" si="34"/>
        <v>-83.543333333333294</v>
      </c>
      <c r="AZ15" s="34">
        <f t="shared" si="35"/>
        <v>83.543333333333294</v>
      </c>
      <c r="BA15" s="113">
        <f t="shared" si="36"/>
        <v>-6.4266079981948128</v>
      </c>
      <c r="BB15" s="113">
        <f t="shared" si="37"/>
        <v>6.4266079981948128</v>
      </c>
      <c r="BC15" s="113">
        <f t="shared" si="38"/>
        <v>1.9270793669816921</v>
      </c>
      <c r="BD15" s="34">
        <f t="shared" si="39"/>
        <v>1207.767296</v>
      </c>
      <c r="BE15" s="34">
        <f t="shared" si="40"/>
        <v>-92.192704000000049</v>
      </c>
      <c r="BF15" s="34">
        <f t="shared" si="41"/>
        <v>92.192704000000049</v>
      </c>
      <c r="BG15" s="34">
        <f t="shared" si="42"/>
        <v>1191.1686037592847</v>
      </c>
      <c r="BH15" s="34">
        <f t="shared" si="43"/>
        <v>-108.79139624071536</v>
      </c>
      <c r="BI15" s="34">
        <f t="shared" si="44"/>
        <v>108.79139624071536</v>
      </c>
      <c r="BJ15" s="33">
        <f t="shared" si="45"/>
        <v>1188.0570317595464</v>
      </c>
      <c r="BK15" s="34">
        <f t="shared" si="46"/>
        <v>-111.90296824045367</v>
      </c>
      <c r="BL15" s="34">
        <f t="shared" si="47"/>
        <v>111.90296824045367</v>
      </c>
      <c r="BM15" s="113">
        <f t="shared" si="48"/>
        <v>-8.6081855011272399</v>
      </c>
      <c r="BN15" s="113">
        <f t="shared" si="49"/>
        <v>8.6081855011272399</v>
      </c>
      <c r="BO15" s="113">
        <f t="shared" si="50"/>
        <v>2.0527053597593756</v>
      </c>
      <c r="BP15" s="33">
        <f t="shared" si="51"/>
        <v>1141.8156961955162</v>
      </c>
      <c r="BQ15" s="34">
        <f t="shared" si="52"/>
        <v>-158.1443038044838</v>
      </c>
      <c r="BR15" s="34">
        <f t="shared" si="53"/>
        <v>158.1443038044838</v>
      </c>
      <c r="BS15" s="113">
        <f t="shared" si="54"/>
        <v>-12.165320764060725</v>
      </c>
      <c r="BT15" s="113">
        <f t="shared" si="55"/>
        <v>12.165320764060725</v>
      </c>
      <c r="BU15" s="113">
        <f t="shared" si="56"/>
        <v>2.2017910986871359</v>
      </c>
    </row>
    <row r="16" spans="1:73" x14ac:dyDescent="0.15">
      <c r="A16" s="24" t="s">
        <v>77</v>
      </c>
      <c r="B16" s="24" t="s">
        <v>806</v>
      </c>
      <c r="C16" s="24" t="s">
        <v>401</v>
      </c>
      <c r="D16" s="273">
        <v>-17.580392</v>
      </c>
      <c r="E16" s="273">
        <v>139.79329999999999</v>
      </c>
      <c r="F16" s="29" t="s">
        <v>82</v>
      </c>
      <c r="G16" s="29" t="s">
        <v>987</v>
      </c>
      <c r="H16" s="44" t="s">
        <v>374</v>
      </c>
      <c r="I16" s="44" t="s">
        <v>580</v>
      </c>
      <c r="J16" s="24">
        <v>2870</v>
      </c>
      <c r="K16" s="24">
        <v>2870</v>
      </c>
      <c r="L16" s="44" t="s">
        <v>582</v>
      </c>
      <c r="M16" s="24">
        <v>731</v>
      </c>
      <c r="N16" s="24">
        <v>671</v>
      </c>
      <c r="O16" s="24"/>
      <c r="P16" s="24" t="s">
        <v>488</v>
      </c>
      <c r="Q16" s="38">
        <f t="shared" si="0"/>
        <v>2750.6293000000001</v>
      </c>
      <c r="R16" s="38">
        <f t="shared" si="1"/>
        <v>2687.9011999999998</v>
      </c>
      <c r="S16" s="38">
        <f t="shared" si="2"/>
        <v>2774.2880675656875</v>
      </c>
      <c r="T16" s="38">
        <f t="shared" si="3"/>
        <v>2440.7870799396123</v>
      </c>
      <c r="U16" s="38">
        <f t="shared" si="4"/>
        <v>2707.4074074074074</v>
      </c>
      <c r="V16" s="38">
        <f t="shared" si="5"/>
        <v>2899.3460802802078</v>
      </c>
      <c r="W16" s="38">
        <f t="shared" si="6"/>
        <v>2928.4849731233153</v>
      </c>
      <c r="X16" s="38">
        <f t="shared" si="7"/>
        <v>2744.0681999999997</v>
      </c>
      <c r="Y16" s="38">
        <f t="shared" si="8"/>
        <v>2743.2678654632891</v>
      </c>
      <c r="Z16" s="34">
        <f t="shared" si="9"/>
        <v>2711.5909999999999</v>
      </c>
      <c r="AA16" s="34">
        <f t="shared" si="10"/>
        <v>-158.40900000000011</v>
      </c>
      <c r="AB16" s="34">
        <f t="shared" si="11"/>
        <v>158.40900000000011</v>
      </c>
      <c r="AC16" s="113">
        <f t="shared" si="12"/>
        <v>-5.5194773519163798</v>
      </c>
      <c r="AD16" s="113">
        <f t="shared" si="13"/>
        <v>5.5194773519163798</v>
      </c>
      <c r="AE16" s="113">
        <f t="shared" si="14"/>
        <v>2.2025128373862963</v>
      </c>
      <c r="AF16" s="34">
        <f t="shared" si="15"/>
        <v>2693.5385999999999</v>
      </c>
      <c r="AG16" s="34">
        <f t="shared" si="16"/>
        <v>-176.46140000000014</v>
      </c>
      <c r="AH16" s="34">
        <f t="shared" si="17"/>
        <v>176.46140000000014</v>
      </c>
      <c r="AI16" s="113">
        <f t="shared" si="18"/>
        <v>-6.1484808362369385</v>
      </c>
      <c r="AJ16" s="113">
        <f t="shared" si="19"/>
        <v>6.1484808362369385</v>
      </c>
      <c r="AK16" s="113">
        <f t="shared" si="20"/>
        <v>2.2491039033627738</v>
      </c>
      <c r="AL16" s="34">
        <f t="shared" si="21"/>
        <v>2780.4715311079658</v>
      </c>
      <c r="AM16" s="34">
        <f t="shared" si="22"/>
        <v>-89.528468892034198</v>
      </c>
      <c r="AN16" s="34">
        <f t="shared" si="23"/>
        <v>89.528468892034198</v>
      </c>
      <c r="AO16" s="113">
        <f t="shared" si="24"/>
        <v>-3.1194588464123414</v>
      </c>
      <c r="AP16" s="113">
        <f t="shared" si="25"/>
        <v>3.1194588464123414</v>
      </c>
      <c r="AQ16" s="113">
        <f t="shared" si="26"/>
        <v>1.9567851752101737</v>
      </c>
      <c r="AR16" s="34">
        <f t="shared" si="27"/>
        <v>2458.9532510838803</v>
      </c>
      <c r="AS16" s="34">
        <f t="shared" si="28"/>
        <v>-411.04674891611967</v>
      </c>
      <c r="AT16" s="34">
        <f t="shared" si="29"/>
        <v>411.04674891611967</v>
      </c>
      <c r="AU16" s="113">
        <f t="shared" si="30"/>
        <v>-14.322186373383961</v>
      </c>
      <c r="AV16" s="113">
        <f t="shared" si="31"/>
        <v>14.322186373383961</v>
      </c>
      <c r="AW16" s="113">
        <f t="shared" si="32"/>
        <v>2.6149464918693761</v>
      </c>
      <c r="AX16" s="34">
        <f t="shared" si="33"/>
        <v>2795.8333333333335</v>
      </c>
      <c r="AY16" s="34">
        <f t="shared" si="34"/>
        <v>-74.166666666666515</v>
      </c>
      <c r="AZ16" s="34">
        <f t="shared" si="35"/>
        <v>74.166666666666515</v>
      </c>
      <c r="BA16" s="113">
        <f t="shared" si="36"/>
        <v>-2.5842044134727007</v>
      </c>
      <c r="BB16" s="113">
        <f t="shared" si="37"/>
        <v>2.5842044134727007</v>
      </c>
      <c r="BC16" s="113">
        <f t="shared" si="38"/>
        <v>1.8760252914943161</v>
      </c>
      <c r="BD16" s="34">
        <f t="shared" si="39"/>
        <v>2632.4263999999998</v>
      </c>
      <c r="BE16" s="34">
        <f t="shared" si="40"/>
        <v>-237.57360000000017</v>
      </c>
      <c r="BF16" s="34">
        <f t="shared" si="41"/>
        <v>237.57360000000017</v>
      </c>
      <c r="BG16" s="34">
        <f t="shared" si="42"/>
        <v>2695.3011141548209</v>
      </c>
      <c r="BH16" s="34">
        <f t="shared" si="43"/>
        <v>-174.69888584517912</v>
      </c>
      <c r="BI16" s="34">
        <f t="shared" si="44"/>
        <v>174.69888584517912</v>
      </c>
      <c r="BJ16" s="33">
        <f t="shared" si="45"/>
        <v>2776.4799137704167</v>
      </c>
      <c r="BK16" s="34">
        <f t="shared" si="46"/>
        <v>-93.520086229583285</v>
      </c>
      <c r="BL16" s="34">
        <f t="shared" si="47"/>
        <v>93.520086229583285</v>
      </c>
      <c r="BM16" s="113">
        <f t="shared" si="48"/>
        <v>-3.258539589880951</v>
      </c>
      <c r="BN16" s="113">
        <f t="shared" si="49"/>
        <v>3.258539589880951</v>
      </c>
      <c r="BO16" s="113">
        <f t="shared" si="50"/>
        <v>1.9755241091623534</v>
      </c>
      <c r="BP16" s="33">
        <f t="shared" si="51"/>
        <v>2735.8757572659047</v>
      </c>
      <c r="BQ16" s="34">
        <f t="shared" si="52"/>
        <v>-134.12424273409533</v>
      </c>
      <c r="BR16" s="34">
        <f t="shared" si="53"/>
        <v>134.12424273409533</v>
      </c>
      <c r="BS16" s="113">
        <f t="shared" si="54"/>
        <v>-4.6733185621636002</v>
      </c>
      <c r="BT16" s="113">
        <f t="shared" si="55"/>
        <v>4.6733185621636002</v>
      </c>
      <c r="BU16" s="113">
        <f t="shared" si="56"/>
        <v>2.1307332730866193</v>
      </c>
    </row>
    <row r="17" spans="1:73" x14ac:dyDescent="0.15">
      <c r="A17" s="24" t="s">
        <v>77</v>
      </c>
      <c r="B17" s="24" t="s">
        <v>486</v>
      </c>
      <c r="C17" s="24" t="s">
        <v>403</v>
      </c>
      <c r="D17" s="274">
        <v>-16.913665999999999</v>
      </c>
      <c r="E17" s="274">
        <v>145.77871400000001</v>
      </c>
      <c r="F17" s="29" t="s">
        <v>82</v>
      </c>
      <c r="G17" s="29" t="s">
        <v>988</v>
      </c>
      <c r="H17" s="44" t="s">
        <v>203</v>
      </c>
      <c r="I17" s="44" t="s">
        <v>581</v>
      </c>
      <c r="J17" s="24">
        <v>4927.5</v>
      </c>
      <c r="K17" s="24">
        <v>4927</v>
      </c>
      <c r="L17" s="44" t="s">
        <v>518</v>
      </c>
      <c r="M17" s="24">
        <v>1276</v>
      </c>
      <c r="N17" s="24">
        <v>1180</v>
      </c>
      <c r="O17" s="24">
        <v>1607</v>
      </c>
      <c r="P17" t="s">
        <v>37</v>
      </c>
      <c r="Q17" s="38">
        <f t="shared" si="0"/>
        <v>4633.2227999999996</v>
      </c>
      <c r="R17" s="38">
        <f t="shared" si="1"/>
        <v>4554.6351999999997</v>
      </c>
      <c r="S17" s="38">
        <f t="shared" si="2"/>
        <v>4725.9396666760695</v>
      </c>
      <c r="T17" s="38">
        <f t="shared" si="3"/>
        <v>3931.8831706381766</v>
      </c>
      <c r="U17" s="38">
        <f t="shared" si="4"/>
        <v>4725.9259259259252</v>
      </c>
      <c r="V17" s="38">
        <f t="shared" si="5"/>
        <v>5146.2536344242371</v>
      </c>
      <c r="W17" s="38">
        <f t="shared" si="6"/>
        <v>5197.9743083433923</v>
      </c>
      <c r="X17" s="38">
        <f t="shared" si="7"/>
        <v>4680.0172000000002</v>
      </c>
      <c r="Y17" s="38">
        <f t="shared" si="8"/>
        <v>4729.6673249918085</v>
      </c>
      <c r="Z17" s="34">
        <f t="shared" si="9"/>
        <v>4597.4359999999997</v>
      </c>
      <c r="AA17" s="34">
        <f t="shared" si="10"/>
        <v>-330.06400000000031</v>
      </c>
      <c r="AB17" s="34">
        <f t="shared" si="11"/>
        <v>330.06400000000031</v>
      </c>
      <c r="AC17" s="113">
        <f t="shared" si="12"/>
        <v>-6.6984069000507418</v>
      </c>
      <c r="AD17" s="113">
        <f t="shared" si="13"/>
        <v>6.6984069000507418</v>
      </c>
      <c r="AE17" s="113">
        <f t="shared" si="14"/>
        <v>2.5199119580055469</v>
      </c>
      <c r="AF17" s="34">
        <f t="shared" si="15"/>
        <v>4610.7379999999994</v>
      </c>
      <c r="AG17" s="34">
        <f t="shared" si="16"/>
        <v>-316.76200000000063</v>
      </c>
      <c r="AH17" s="34">
        <f t="shared" si="17"/>
        <v>316.76200000000063</v>
      </c>
      <c r="AI17" s="113">
        <f t="shared" si="18"/>
        <v>-6.4284525621512048</v>
      </c>
      <c r="AJ17" s="113">
        <f t="shared" si="19"/>
        <v>6.4284525621512048</v>
      </c>
      <c r="AK17" s="113">
        <f t="shared" si="20"/>
        <v>2.5021019602815215</v>
      </c>
      <c r="AL17" s="34">
        <f t="shared" si="21"/>
        <v>4808.6284221373598</v>
      </c>
      <c r="AM17" s="34">
        <f t="shared" si="22"/>
        <v>-118.87157786264015</v>
      </c>
      <c r="AN17" s="34">
        <f t="shared" si="23"/>
        <v>118.87157786264015</v>
      </c>
      <c r="AO17" s="113">
        <f t="shared" si="24"/>
        <v>-2.4124115243559645</v>
      </c>
      <c r="AP17" s="113">
        <f t="shared" si="25"/>
        <v>2.4124115243559645</v>
      </c>
      <c r="AQ17" s="113">
        <f t="shared" si="26"/>
        <v>2.0787162219590245</v>
      </c>
      <c r="AR17" s="34">
        <f t="shared" si="27"/>
        <v>3986.4128783066558</v>
      </c>
      <c r="AS17" s="34">
        <f t="shared" si="28"/>
        <v>-941.08712169334422</v>
      </c>
      <c r="AT17" s="34">
        <f t="shared" si="29"/>
        <v>941.08712169334422</v>
      </c>
      <c r="AU17" s="113">
        <f t="shared" si="30"/>
        <v>-19.098673195197243</v>
      </c>
      <c r="AV17" s="113">
        <f t="shared" si="31"/>
        <v>19.098673195197243</v>
      </c>
      <c r="AW17" s="113">
        <f t="shared" si="32"/>
        <v>2.9740910670403422</v>
      </c>
      <c r="AX17" s="34">
        <f t="shared" si="33"/>
        <v>4916.666666666667</v>
      </c>
      <c r="AY17" s="34">
        <f t="shared" si="34"/>
        <v>-10.83333333333303</v>
      </c>
      <c r="AZ17" s="34">
        <f t="shared" si="35"/>
        <v>10.83333333333303</v>
      </c>
      <c r="BA17" s="113">
        <f t="shared" si="36"/>
        <v>-0.21985455775409496</v>
      </c>
      <c r="BB17" s="113">
        <f t="shared" si="37"/>
        <v>0.21985455775409496</v>
      </c>
      <c r="BC17" s="113">
        <f t="shared" si="38"/>
        <v>1.0731070983354205</v>
      </c>
      <c r="BD17" s="34">
        <f>3.8297*N17+126.97</f>
        <v>4646.0160000000005</v>
      </c>
      <c r="BE17" s="34">
        <f t="shared" si="40"/>
        <v>-281.48399999999947</v>
      </c>
      <c r="BF17" s="34">
        <f t="shared" si="41"/>
        <v>281.48399999999947</v>
      </c>
      <c r="BG17" s="34">
        <f t="shared" si="42"/>
        <v>4689.8373344196989</v>
      </c>
      <c r="BH17" s="34">
        <f t="shared" si="43"/>
        <v>-237.66266558030111</v>
      </c>
      <c r="BI17" s="34">
        <f t="shared" si="44"/>
        <v>237.66266558030111</v>
      </c>
      <c r="BJ17" s="33">
        <f t="shared" si="45"/>
        <v>4938.067755605226</v>
      </c>
      <c r="BK17" s="34">
        <f t="shared" si="46"/>
        <v>10.567755605226012</v>
      </c>
      <c r="BL17" s="34">
        <f t="shared" si="47"/>
        <v>10.567755605226012</v>
      </c>
      <c r="BM17" s="113">
        <f t="shared" si="48"/>
        <v>0.21446485246526659</v>
      </c>
      <c r="BN17" s="113">
        <f t="shared" si="49"/>
        <v>0.21446485246526659</v>
      </c>
      <c r="BO17" s="113">
        <f t="shared" si="50"/>
        <v>1.0632491046026897</v>
      </c>
      <c r="BP17" s="33">
        <f t="shared" si="51"/>
        <v>4948.9587349936974</v>
      </c>
      <c r="BQ17" s="34">
        <f t="shared" si="52"/>
        <v>21.458734993697362</v>
      </c>
      <c r="BR17" s="34">
        <f t="shared" si="53"/>
        <v>21.458734993697362</v>
      </c>
      <c r="BS17" s="113">
        <f t="shared" si="54"/>
        <v>0.43548929464631891</v>
      </c>
      <c r="BT17" s="113">
        <f t="shared" si="55"/>
        <v>0.43548929464631891</v>
      </c>
      <c r="BU17" s="113">
        <f t="shared" si="56"/>
        <v>1.35138529062852</v>
      </c>
    </row>
    <row r="18" spans="1:73" ht="14" customHeight="1" x14ac:dyDescent="0.2">
      <c r="A18" s="24" t="s">
        <v>77</v>
      </c>
      <c r="B18" s="90" t="s">
        <v>665</v>
      </c>
      <c r="C18" s="24" t="s">
        <v>403</v>
      </c>
      <c r="D18" s="275">
        <v>-12.637719000000001</v>
      </c>
      <c r="E18" s="275">
        <v>141.859735</v>
      </c>
      <c r="F18" s="44" t="s">
        <v>82</v>
      </c>
      <c r="G18" s="29" t="s">
        <v>987</v>
      </c>
      <c r="H18" s="44" t="s">
        <v>374</v>
      </c>
      <c r="I18" s="44" t="s">
        <v>580</v>
      </c>
      <c r="J18" s="87">
        <v>1342.6</v>
      </c>
      <c r="K18" s="44"/>
      <c r="L18" s="44" t="s">
        <v>582</v>
      </c>
      <c r="M18" s="87">
        <v>354.79</v>
      </c>
      <c r="N18" s="87">
        <v>322.77</v>
      </c>
      <c r="O18" s="87">
        <v>441.39</v>
      </c>
      <c r="P18" t="s">
        <v>37</v>
      </c>
      <c r="Q18" s="38">
        <f t="shared" si="0"/>
        <v>1451.0870970000001</v>
      </c>
      <c r="R18" s="38">
        <f t="shared" si="1"/>
        <v>1399.3067079999998</v>
      </c>
      <c r="S18" s="38">
        <f t="shared" si="2"/>
        <v>1389.8130411602556</v>
      </c>
      <c r="T18" s="38">
        <f t="shared" si="3"/>
        <v>1314.690451727163</v>
      </c>
      <c r="U18" s="38">
        <f t="shared" si="4"/>
        <v>1314.037037037037</v>
      </c>
      <c r="V18" s="38">
        <f t="shared" si="5"/>
        <v>1377.0061781418121</v>
      </c>
      <c r="W18" s="38">
        <f t="shared" si="6"/>
        <v>1390.8453109525103</v>
      </c>
      <c r="X18" s="38">
        <f t="shared" si="7"/>
        <v>1407.6950380000001</v>
      </c>
      <c r="Y18" s="38">
        <f t="shared" si="8"/>
        <v>1352.9813527470319</v>
      </c>
      <c r="Z18" s="34">
        <f t="shared" si="9"/>
        <v>1421.39885</v>
      </c>
      <c r="AA18" s="34">
        <f t="shared" si="10"/>
        <v>78.79885000000013</v>
      </c>
      <c r="AB18" s="34">
        <f t="shared" si="11"/>
        <v>78.79885000000013</v>
      </c>
      <c r="AC18" s="113">
        <f t="shared" si="12"/>
        <v>5.8691233427677743</v>
      </c>
      <c r="AD18" s="113">
        <f t="shared" si="13"/>
        <v>5.8691233427677743</v>
      </c>
      <c r="AE18" s="113">
        <f t="shared" si="14"/>
        <v>1.9019966326758813</v>
      </c>
      <c r="AF18" s="34">
        <f t="shared" si="15"/>
        <v>1381.8954819999999</v>
      </c>
      <c r="AG18" s="34">
        <f t="shared" si="16"/>
        <v>39.295481999999993</v>
      </c>
      <c r="AH18" s="34">
        <f t="shared" si="17"/>
        <v>39.295481999999993</v>
      </c>
      <c r="AI18" s="113">
        <f t="shared" si="18"/>
        <v>2.9268197527186053</v>
      </c>
      <c r="AJ18" s="113">
        <f t="shared" si="19"/>
        <v>2.9268197527186053</v>
      </c>
      <c r="AK18" s="113">
        <f t="shared" si="20"/>
        <v>1.6052563550129566</v>
      </c>
      <c r="AL18" s="34">
        <f t="shared" si="21"/>
        <v>1366.77442531108</v>
      </c>
      <c r="AM18" s="34">
        <f t="shared" si="22"/>
        <v>24.174425311080086</v>
      </c>
      <c r="AN18" s="34">
        <f t="shared" si="23"/>
        <v>24.174425311080086</v>
      </c>
      <c r="AO18" s="113">
        <f t="shared" si="24"/>
        <v>1.8005679510710626</v>
      </c>
      <c r="AP18" s="113">
        <f t="shared" si="25"/>
        <v>1.8005679510710626</v>
      </c>
      <c r="AQ18" s="113">
        <f t="shared" si="26"/>
        <v>1.4009595651412268</v>
      </c>
      <c r="AR18" s="34">
        <f t="shared" si="27"/>
        <v>1314.3775260297766</v>
      </c>
      <c r="AS18" s="34">
        <f t="shared" si="28"/>
        <v>-28.222473970223291</v>
      </c>
      <c r="AT18" s="34">
        <f t="shared" si="29"/>
        <v>28.222473970223291</v>
      </c>
      <c r="AU18" s="113">
        <f t="shared" si="30"/>
        <v>-2.1020761187414938</v>
      </c>
      <c r="AV18" s="113">
        <f t="shared" si="31"/>
        <v>2.1020761187414938</v>
      </c>
      <c r="AW18" s="113">
        <f t="shared" si="32"/>
        <v>1.4657169804598273</v>
      </c>
      <c r="AX18" s="34">
        <f t="shared" si="33"/>
        <v>1344.875</v>
      </c>
      <c r="AY18" s="34">
        <f t="shared" si="34"/>
        <v>2.2750000000000909</v>
      </c>
      <c r="AZ18" s="34">
        <f t="shared" si="35"/>
        <v>2.2750000000000909</v>
      </c>
      <c r="BA18" s="113">
        <f t="shared" si="36"/>
        <v>0.16944734098019448</v>
      </c>
      <c r="BB18" s="113">
        <f t="shared" si="37"/>
        <v>0.16944734098019448</v>
      </c>
      <c r="BC18" s="113">
        <f t="shared" si="38"/>
        <v>0.51521130432781392</v>
      </c>
      <c r="BD18" s="34">
        <f t="shared" ref="BD18:BD30" si="57">3.7584*N18+110.54</f>
        <v>1323.6387679999998</v>
      </c>
      <c r="BE18" s="34">
        <f t="shared" si="40"/>
        <v>-18.961232000000109</v>
      </c>
      <c r="BF18" s="34">
        <f t="shared" si="41"/>
        <v>18.961232000000109</v>
      </c>
      <c r="BG18" s="34">
        <f t="shared" si="42"/>
        <v>1314.477403633744</v>
      </c>
      <c r="BH18" s="34">
        <f t="shared" si="43"/>
        <v>-28.122596366255948</v>
      </c>
      <c r="BI18" s="34">
        <f t="shared" si="44"/>
        <v>28.122596366255948</v>
      </c>
      <c r="BJ18" s="33">
        <f t="shared" si="45"/>
        <v>1316.1603669763415</v>
      </c>
      <c r="BK18" s="34">
        <f t="shared" si="46"/>
        <v>-26.439633023658416</v>
      </c>
      <c r="BL18" s="34">
        <f t="shared" si="47"/>
        <v>26.439633023658416</v>
      </c>
      <c r="BM18" s="113">
        <f t="shared" si="48"/>
        <v>-1.9692859394948918</v>
      </c>
      <c r="BN18" s="113">
        <f t="shared" si="49"/>
        <v>1.9692859394948918</v>
      </c>
      <c r="BO18" s="113">
        <f t="shared" si="50"/>
        <v>1.4383782988398934</v>
      </c>
      <c r="BP18" s="33">
        <f t="shared" si="51"/>
        <v>1268.7485102125374</v>
      </c>
      <c r="BQ18" s="34">
        <f t="shared" si="52"/>
        <v>-73.851489787462469</v>
      </c>
      <c r="BR18" s="34">
        <f t="shared" si="53"/>
        <v>73.851489787462469</v>
      </c>
      <c r="BS18" s="113">
        <f t="shared" si="54"/>
        <v>-5.5006323393015402</v>
      </c>
      <c r="BT18" s="113">
        <f t="shared" si="55"/>
        <v>5.5006323393015402</v>
      </c>
      <c r="BU18" s="113">
        <f t="shared" si="56"/>
        <v>1.8742004486341193</v>
      </c>
    </row>
    <row r="19" spans="1:73" x14ac:dyDescent="0.15">
      <c r="A19" s="24" t="s">
        <v>77</v>
      </c>
      <c r="B19" s="90" t="s">
        <v>386</v>
      </c>
      <c r="C19" s="24" t="s">
        <v>403</v>
      </c>
      <c r="D19" s="275">
        <v>-12.636647999999999</v>
      </c>
      <c r="E19" s="275">
        <v>141.861222</v>
      </c>
      <c r="F19" s="44" t="s">
        <v>82</v>
      </c>
      <c r="G19" s="29" t="s">
        <v>987</v>
      </c>
      <c r="H19" s="44" t="s">
        <v>374</v>
      </c>
      <c r="I19" s="44" t="s">
        <v>580</v>
      </c>
      <c r="J19" s="27">
        <v>1538.3</v>
      </c>
      <c r="K19" s="26">
        <v>1200</v>
      </c>
      <c r="L19" s="44" t="s">
        <v>582</v>
      </c>
      <c r="M19" s="27">
        <v>395.5</v>
      </c>
      <c r="N19" s="27">
        <v>372.7</v>
      </c>
      <c r="O19" s="27">
        <v>497</v>
      </c>
      <c r="P19" t="s">
        <v>37</v>
      </c>
      <c r="Q19" s="38">
        <f t="shared" si="0"/>
        <v>1591.71165</v>
      </c>
      <c r="R19" s="38">
        <f t="shared" si="1"/>
        <v>1538.7465999999999</v>
      </c>
      <c r="S19" s="38">
        <f t="shared" si="2"/>
        <v>1541.9320292573154</v>
      </c>
      <c r="T19" s="38">
        <f t="shared" si="3"/>
        <v>1442.7819211931703</v>
      </c>
      <c r="U19" s="38">
        <f t="shared" si="4"/>
        <v>1464.8148148148148</v>
      </c>
      <c r="V19" s="38">
        <f t="shared" si="5"/>
        <v>1540.0195249282044</v>
      </c>
      <c r="W19" s="38">
        <f t="shared" si="6"/>
        <v>1555.4969680035215</v>
      </c>
      <c r="X19" s="38">
        <f t="shared" si="7"/>
        <v>1552.3051</v>
      </c>
      <c r="Y19" s="38">
        <f t="shared" si="8"/>
        <v>1504.5950920469211</v>
      </c>
      <c r="Z19" s="34">
        <f t="shared" si="9"/>
        <v>1606.3895</v>
      </c>
      <c r="AA19" s="34">
        <f t="shared" si="10"/>
        <v>68.089500000000044</v>
      </c>
      <c r="AB19" s="34">
        <f t="shared" si="11"/>
        <v>68.089500000000044</v>
      </c>
      <c r="AC19" s="113">
        <f t="shared" si="12"/>
        <v>4.4262822596372642</v>
      </c>
      <c r="AD19" s="113">
        <f t="shared" si="13"/>
        <v>4.4262822596372642</v>
      </c>
      <c r="AE19" s="113">
        <f t="shared" si="14"/>
        <v>1.8394120497105735</v>
      </c>
      <c r="AF19" s="34">
        <f t="shared" si="15"/>
        <v>1569.96182</v>
      </c>
      <c r="AG19" s="34">
        <f t="shared" si="16"/>
        <v>31.661820000000034</v>
      </c>
      <c r="AH19" s="34">
        <f t="shared" si="17"/>
        <v>31.661820000000034</v>
      </c>
      <c r="AI19" s="113">
        <f t="shared" si="18"/>
        <v>2.0582344146135365</v>
      </c>
      <c r="AJ19" s="113">
        <f t="shared" si="19"/>
        <v>2.0582344146135365</v>
      </c>
      <c r="AK19" s="113">
        <f t="shared" si="20"/>
        <v>1.514040381072256</v>
      </c>
      <c r="AL19" s="34">
        <f t="shared" si="21"/>
        <v>1571.4988730249033</v>
      </c>
      <c r="AM19" s="34">
        <f t="shared" si="22"/>
        <v>33.198873024903378</v>
      </c>
      <c r="AN19" s="34">
        <f t="shared" si="23"/>
        <v>33.198873024903378</v>
      </c>
      <c r="AO19" s="113">
        <f t="shared" si="24"/>
        <v>2.1581533527207553</v>
      </c>
      <c r="AP19" s="113">
        <f t="shared" si="25"/>
        <v>2.1581533527207553</v>
      </c>
      <c r="AQ19" s="113">
        <f t="shared" si="26"/>
        <v>1.5340117947365444</v>
      </c>
      <c r="AR19" s="34">
        <f t="shared" si="27"/>
        <v>1486.5686554114934</v>
      </c>
      <c r="AS19" s="34">
        <f t="shared" si="28"/>
        <v>-51.731344588506545</v>
      </c>
      <c r="AT19" s="34">
        <f t="shared" si="29"/>
        <v>51.731344588506545</v>
      </c>
      <c r="AU19" s="113">
        <f t="shared" si="30"/>
        <v>-3.3628905017556097</v>
      </c>
      <c r="AV19" s="113">
        <f t="shared" si="31"/>
        <v>3.3628905017556097</v>
      </c>
      <c r="AW19" s="113">
        <f t="shared" si="32"/>
        <v>1.7220688454813555</v>
      </c>
      <c r="AX19" s="34">
        <f t="shared" si="33"/>
        <v>1552.9166666666667</v>
      </c>
      <c r="AY19" s="34">
        <f t="shared" si="34"/>
        <v>14.616666666666788</v>
      </c>
      <c r="AZ19" s="34">
        <f t="shared" si="35"/>
        <v>14.616666666666788</v>
      </c>
      <c r="BA19" s="113">
        <f t="shared" si="36"/>
        <v>0.95018310255910987</v>
      </c>
      <c r="BB19" s="113">
        <f t="shared" si="37"/>
        <v>0.95018310255910987</v>
      </c>
      <c r="BC19" s="113">
        <f t="shared" si="38"/>
        <v>1.1935883405041381</v>
      </c>
      <c r="BD19" s="34">
        <f t="shared" si="57"/>
        <v>1511.2956799999999</v>
      </c>
      <c r="BE19" s="34">
        <f t="shared" si="40"/>
        <v>-27.004320000000007</v>
      </c>
      <c r="BF19" s="34">
        <f t="shared" si="41"/>
        <v>27.004320000000007</v>
      </c>
      <c r="BG19" s="34">
        <f t="shared" si="42"/>
        <v>1513.7180520844468</v>
      </c>
      <c r="BH19" s="34">
        <f t="shared" si="43"/>
        <v>-24.581947915553201</v>
      </c>
      <c r="BI19" s="34">
        <f t="shared" si="44"/>
        <v>24.581947915553201</v>
      </c>
      <c r="BJ19" s="33">
        <f t="shared" si="45"/>
        <v>1524.1381056039315</v>
      </c>
      <c r="BK19" s="34">
        <f t="shared" si="46"/>
        <v>-14.161894396068419</v>
      </c>
      <c r="BL19" s="34">
        <f t="shared" si="47"/>
        <v>14.161894396068419</v>
      </c>
      <c r="BM19" s="113">
        <f t="shared" si="48"/>
        <v>-0.92061980082353378</v>
      </c>
      <c r="BN19" s="113">
        <f t="shared" si="49"/>
        <v>0.92061980082353378</v>
      </c>
      <c r="BO19" s="113">
        <f t="shared" si="50"/>
        <v>1.1807534674147262</v>
      </c>
      <c r="BP19" s="33">
        <f t="shared" si="51"/>
        <v>1475.587906949803</v>
      </c>
      <c r="BQ19" s="34">
        <f t="shared" si="52"/>
        <v>-62.712093050196927</v>
      </c>
      <c r="BR19" s="34">
        <f t="shared" si="53"/>
        <v>62.712093050196927</v>
      </c>
      <c r="BS19" s="113">
        <f t="shared" si="54"/>
        <v>-4.0767141032436411</v>
      </c>
      <c r="BT19" s="113">
        <f t="shared" si="55"/>
        <v>4.0767141032436411</v>
      </c>
      <c r="BU19" s="113">
        <f t="shared" si="56"/>
        <v>1.8042218726259061</v>
      </c>
    </row>
    <row r="20" spans="1:73" x14ac:dyDescent="0.15">
      <c r="A20" s="24" t="s">
        <v>77</v>
      </c>
      <c r="B20" s="90" t="s">
        <v>389</v>
      </c>
      <c r="C20" s="24" t="s">
        <v>403</v>
      </c>
      <c r="D20" s="275">
        <v>-12.532382999999999</v>
      </c>
      <c r="E20" s="275">
        <v>141.69446669999999</v>
      </c>
      <c r="F20" s="44" t="s">
        <v>82</v>
      </c>
      <c r="G20" s="29" t="s">
        <v>987</v>
      </c>
      <c r="H20" s="44" t="s">
        <v>494</v>
      </c>
      <c r="I20" s="44" t="s">
        <v>580</v>
      </c>
      <c r="J20" s="27">
        <v>1095.26</v>
      </c>
      <c r="K20" s="26">
        <v>850</v>
      </c>
      <c r="L20" s="44" t="s">
        <v>582</v>
      </c>
      <c r="M20" s="27">
        <v>294.22000000000003</v>
      </c>
      <c r="N20" s="27">
        <v>275.68</v>
      </c>
      <c r="O20" s="27">
        <v>365.34</v>
      </c>
      <c r="P20" t="s">
        <v>37</v>
      </c>
      <c r="Q20" s="38">
        <f t="shared" si="0"/>
        <v>1241.860146</v>
      </c>
      <c r="R20" s="38">
        <f t="shared" si="1"/>
        <v>1191.8423439999999</v>
      </c>
      <c r="S20" s="38">
        <f t="shared" si="2"/>
        <v>1162.032052087291</v>
      </c>
      <c r="T20" s="38">
        <f t="shared" si="3"/>
        <v>1120.0554954364497</v>
      </c>
      <c r="U20" s="38">
        <f t="shared" si="4"/>
        <v>1089.7037037037037</v>
      </c>
      <c r="V20" s="38">
        <f t="shared" si="5"/>
        <v>1135.5278505967674</v>
      </c>
      <c r="W20" s="38">
        <f t="shared" si="6"/>
        <v>1146.9400875090676</v>
      </c>
      <c r="X20" s="38">
        <f t="shared" si="7"/>
        <v>1192.5382840000002</v>
      </c>
      <c r="Y20" s="38">
        <f t="shared" si="8"/>
        <v>1126.6719277271468</v>
      </c>
      <c r="Z20" s="34">
        <f t="shared" si="9"/>
        <v>1246.9304</v>
      </c>
      <c r="AA20" s="34">
        <f t="shared" si="10"/>
        <v>151.67039999999997</v>
      </c>
      <c r="AB20" s="34">
        <f t="shared" si="11"/>
        <v>151.67039999999997</v>
      </c>
      <c r="AC20" s="113">
        <f t="shared" si="12"/>
        <v>13.847889998721763</v>
      </c>
      <c r="AD20" s="113">
        <f t="shared" si="13"/>
        <v>13.847889998721763</v>
      </c>
      <c r="AE20" s="113">
        <f t="shared" si="14"/>
        <v>2.1837548434560943</v>
      </c>
      <c r="AF20" s="34">
        <f t="shared" si="15"/>
        <v>1204.526288</v>
      </c>
      <c r="AG20" s="34">
        <f t="shared" si="16"/>
        <v>109.26628800000003</v>
      </c>
      <c r="AH20" s="34">
        <f t="shared" si="17"/>
        <v>109.26628800000003</v>
      </c>
      <c r="AI20" s="113">
        <f t="shared" si="18"/>
        <v>9.976287639464605</v>
      </c>
      <c r="AJ20" s="113">
        <f t="shared" si="19"/>
        <v>9.976287639464605</v>
      </c>
      <c r="AK20" s="113">
        <f t="shared" si="20"/>
        <v>2.0424427547479733</v>
      </c>
      <c r="AL20" s="34">
        <f t="shared" si="21"/>
        <v>1172.8330172050526</v>
      </c>
      <c r="AM20" s="34">
        <f t="shared" si="22"/>
        <v>77.573017205052565</v>
      </c>
      <c r="AN20" s="34">
        <f t="shared" si="23"/>
        <v>77.573017205052565</v>
      </c>
      <c r="AO20" s="113">
        <f t="shared" si="24"/>
        <v>7.0826120925672962</v>
      </c>
      <c r="AP20" s="113">
        <f t="shared" si="25"/>
        <v>7.0826120925672962</v>
      </c>
      <c r="AQ20" s="113">
        <f t="shared" si="26"/>
        <v>1.8952734303797927</v>
      </c>
      <c r="AR20" s="34">
        <f t="shared" si="27"/>
        <v>1148.4215390456909</v>
      </c>
      <c r="AS20" s="34">
        <f t="shared" si="28"/>
        <v>53.161539045690915</v>
      </c>
      <c r="AT20" s="34">
        <f t="shared" si="29"/>
        <v>53.161539045690915</v>
      </c>
      <c r="AU20" s="113">
        <f t="shared" si="30"/>
        <v>4.8537825763463394</v>
      </c>
      <c r="AV20" s="113">
        <f t="shared" si="31"/>
        <v>4.8537825763463394</v>
      </c>
      <c r="AW20" s="113">
        <f t="shared" si="32"/>
        <v>1.7336909966954466</v>
      </c>
      <c r="AX20" s="34">
        <f t="shared" si="33"/>
        <v>1148.6666666666667</v>
      </c>
      <c r="AY20" s="34">
        <f t="shared" si="34"/>
        <v>53.406666666666752</v>
      </c>
      <c r="AZ20" s="34">
        <f t="shared" si="35"/>
        <v>53.406666666666752</v>
      </c>
      <c r="BA20" s="113">
        <f t="shared" si="36"/>
        <v>4.8761633462982994</v>
      </c>
      <c r="BB20" s="113">
        <f t="shared" si="37"/>
        <v>4.8761633462982994</v>
      </c>
      <c r="BC20" s="113">
        <f t="shared" si="38"/>
        <v>1.7356521188002512</v>
      </c>
      <c r="BD20" s="34">
        <f t="shared" si="57"/>
        <v>1146.655712</v>
      </c>
      <c r="BE20" s="34">
        <f t="shared" si="40"/>
        <v>51.395712000000003</v>
      </c>
      <c r="BF20" s="34">
        <f t="shared" si="41"/>
        <v>51.395712000000003</v>
      </c>
      <c r="BG20" s="34">
        <f t="shared" si="42"/>
        <v>1126.0373479298114</v>
      </c>
      <c r="BH20" s="34">
        <f t="shared" si="43"/>
        <v>30.777347929811413</v>
      </c>
      <c r="BI20" s="34">
        <f t="shared" si="44"/>
        <v>30.777347929811413</v>
      </c>
      <c r="BJ20" s="33">
        <f t="shared" si="45"/>
        <v>1120.6014903860939</v>
      </c>
      <c r="BK20" s="34">
        <f t="shared" si="46"/>
        <v>25.341490386093938</v>
      </c>
      <c r="BL20" s="34">
        <f t="shared" si="47"/>
        <v>25.341490386093938</v>
      </c>
      <c r="BM20" s="113">
        <f t="shared" si="48"/>
        <v>2.3137419778038035</v>
      </c>
      <c r="BN20" s="113">
        <f t="shared" si="49"/>
        <v>2.3137419778038035</v>
      </c>
      <c r="BO20" s="113">
        <f t="shared" si="50"/>
        <v>1.420640343448285</v>
      </c>
      <c r="BP20" s="33">
        <f t="shared" si="51"/>
        <v>1075.135613774574</v>
      </c>
      <c r="BQ20" s="34">
        <f t="shared" si="52"/>
        <v>-20.124386225425951</v>
      </c>
      <c r="BR20" s="34">
        <f t="shared" si="53"/>
        <v>20.124386225425951</v>
      </c>
      <c r="BS20" s="113">
        <f t="shared" si="54"/>
        <v>-1.8374072115685731</v>
      </c>
      <c r="BT20" s="113">
        <f t="shared" si="55"/>
        <v>1.8374072115685731</v>
      </c>
      <c r="BU20" s="113">
        <f t="shared" si="56"/>
        <v>1.3247840992651347</v>
      </c>
    </row>
    <row r="21" spans="1:73" x14ac:dyDescent="0.15">
      <c r="A21" s="24" t="s">
        <v>77</v>
      </c>
      <c r="B21" s="24" t="s">
        <v>431</v>
      </c>
      <c r="C21" s="24" t="s">
        <v>458</v>
      </c>
      <c r="D21" s="275">
        <v>-12.004949</v>
      </c>
      <c r="E21" s="275">
        <v>141.93264300000001</v>
      </c>
      <c r="F21" s="29" t="s">
        <v>82</v>
      </c>
      <c r="G21" s="29" t="s">
        <v>987</v>
      </c>
      <c r="H21" s="44" t="s">
        <v>203</v>
      </c>
      <c r="I21" s="44" t="s">
        <v>581</v>
      </c>
      <c r="J21" s="24">
        <v>4710</v>
      </c>
      <c r="K21" s="24">
        <v>4710</v>
      </c>
      <c r="L21" s="44" t="s">
        <v>518</v>
      </c>
      <c r="M21" s="24">
        <v>1420</v>
      </c>
      <c r="N21" s="24">
        <v>1341</v>
      </c>
      <c r="O21" s="24">
        <v>1707</v>
      </c>
      <c r="P21" t="s">
        <v>37</v>
      </c>
      <c r="Q21" s="38">
        <f t="shared" si="0"/>
        <v>5130.6419999999998</v>
      </c>
      <c r="R21" s="38">
        <f t="shared" si="1"/>
        <v>5047.8639999999996</v>
      </c>
      <c r="S21" s="38">
        <f t="shared" si="2"/>
        <v>5234.7009116283289</v>
      </c>
      <c r="T21" s="38">
        <f t="shared" si="3"/>
        <v>4308.7034729936895</v>
      </c>
      <c r="U21" s="38">
        <f t="shared" si="4"/>
        <v>5259.2592592592591</v>
      </c>
      <c r="V21" s="38">
        <f t="shared" si="5"/>
        <v>5745.4222858750072</v>
      </c>
      <c r="W21" s="38">
        <f t="shared" si="6"/>
        <v>5803.1647007819984</v>
      </c>
      <c r="X21" s="38">
        <f t="shared" si="7"/>
        <v>5191.5339999999997</v>
      </c>
      <c r="Y21" s="38">
        <f t="shared" si="8"/>
        <v>5250.9435343996074</v>
      </c>
      <c r="Z21" s="34">
        <f t="shared" si="9"/>
        <v>5193.9409999999998</v>
      </c>
      <c r="AA21" s="34">
        <f t="shared" si="10"/>
        <v>483.9409999999998</v>
      </c>
      <c r="AB21" s="34">
        <f t="shared" si="11"/>
        <v>483.9409999999998</v>
      </c>
      <c r="AC21" s="113">
        <f t="shared" si="12"/>
        <v>10.274755838641186</v>
      </c>
      <c r="AD21" s="113">
        <f t="shared" si="13"/>
        <v>10.274755838641186</v>
      </c>
      <c r="AE21" s="113">
        <f t="shared" si="14"/>
        <v>2.6856889036886678</v>
      </c>
      <c r="AF21" s="34">
        <f t="shared" si="15"/>
        <v>5217.1605999999992</v>
      </c>
      <c r="AG21" s="34">
        <f t="shared" si="16"/>
        <v>507.16059999999925</v>
      </c>
      <c r="AH21" s="34">
        <f t="shared" si="17"/>
        <v>507.16059999999925</v>
      </c>
      <c r="AI21" s="113">
        <f t="shared" si="18"/>
        <v>10.767740976645419</v>
      </c>
      <c r="AJ21" s="113">
        <f t="shared" si="19"/>
        <v>10.767740976645419</v>
      </c>
      <c r="AK21" s="113">
        <f t="shared" si="20"/>
        <v>2.7060009891954113</v>
      </c>
      <c r="AL21" s="34">
        <f t="shared" si="21"/>
        <v>5444.071309549885</v>
      </c>
      <c r="AM21" s="34">
        <f t="shared" si="22"/>
        <v>734.07130954988497</v>
      </c>
      <c r="AN21" s="34">
        <f t="shared" si="23"/>
        <v>734.07130954988497</v>
      </c>
      <c r="AO21" s="113">
        <f t="shared" si="24"/>
        <v>15.585378122078236</v>
      </c>
      <c r="AP21" s="113">
        <f t="shared" si="25"/>
        <v>15.585378122078236</v>
      </c>
      <c r="AQ21" s="113">
        <f t="shared" si="26"/>
        <v>2.8663294722022896</v>
      </c>
      <c r="AR21" s="34">
        <f t="shared" si="27"/>
        <v>4447.5901331014165</v>
      </c>
      <c r="AS21" s="34">
        <f t="shared" si="28"/>
        <v>-262.40986689858346</v>
      </c>
      <c r="AT21" s="34">
        <f t="shared" si="29"/>
        <v>262.40986689858346</v>
      </c>
      <c r="AU21" s="113">
        <f t="shared" si="30"/>
        <v>-5.5713347536854236</v>
      </c>
      <c r="AV21" s="113">
        <f t="shared" si="31"/>
        <v>5.5713347536854236</v>
      </c>
      <c r="AW21" s="113">
        <f t="shared" si="32"/>
        <v>2.4206320388844977</v>
      </c>
      <c r="AX21" s="34">
        <f t="shared" si="33"/>
        <v>5587.5</v>
      </c>
      <c r="AY21" s="34">
        <f t="shared" si="34"/>
        <v>877.5</v>
      </c>
      <c r="AZ21" s="34">
        <f t="shared" si="35"/>
        <v>877.5</v>
      </c>
      <c r="BA21" s="113">
        <f t="shared" si="36"/>
        <v>18.630573248407643</v>
      </c>
      <c r="BB21" s="113">
        <f t="shared" si="37"/>
        <v>18.630573248407643</v>
      </c>
      <c r="BC21" s="113">
        <f t="shared" si="38"/>
        <v>2.9437417658313136</v>
      </c>
      <c r="BD21" s="34">
        <f t="shared" si="57"/>
        <v>5150.5544</v>
      </c>
      <c r="BE21" s="34">
        <f t="shared" si="40"/>
        <v>440.55439999999999</v>
      </c>
      <c r="BF21" s="34">
        <f t="shared" si="41"/>
        <v>440.55439999999999</v>
      </c>
      <c r="BG21" s="34">
        <f t="shared" si="42"/>
        <v>5316.9217755231111</v>
      </c>
      <c r="BH21" s="34">
        <f t="shared" si="43"/>
        <v>606.92177552311114</v>
      </c>
      <c r="BI21" s="34">
        <f t="shared" si="44"/>
        <v>606.92177552311114</v>
      </c>
      <c r="BJ21" s="33">
        <f t="shared" si="45"/>
        <v>5626.1941195368718</v>
      </c>
      <c r="BK21" s="34">
        <f t="shared" si="46"/>
        <v>916.19411953687177</v>
      </c>
      <c r="BL21" s="34">
        <f t="shared" si="47"/>
        <v>916.19411953687177</v>
      </c>
      <c r="BM21" s="113">
        <f t="shared" si="48"/>
        <v>19.452104448765855</v>
      </c>
      <c r="BN21" s="113">
        <f t="shared" si="49"/>
        <v>19.452104448765855</v>
      </c>
      <c r="BO21" s="113">
        <f t="shared" si="50"/>
        <v>2.9624612616478769</v>
      </c>
      <c r="BP21" s="33">
        <f t="shared" si="51"/>
        <v>5660.2803455178364</v>
      </c>
      <c r="BQ21" s="34">
        <f t="shared" si="52"/>
        <v>950.28034551783639</v>
      </c>
      <c r="BR21" s="34">
        <f t="shared" si="53"/>
        <v>950.28034551783639</v>
      </c>
      <c r="BS21" s="113">
        <f t="shared" si="54"/>
        <v>20.175803514179115</v>
      </c>
      <c r="BT21" s="113">
        <f t="shared" si="55"/>
        <v>20.175803514179115</v>
      </c>
      <c r="BU21" s="113">
        <f t="shared" si="56"/>
        <v>2.9783085238451141</v>
      </c>
    </row>
    <row r="22" spans="1:73" x14ac:dyDescent="0.15">
      <c r="A22" s="24" t="s">
        <v>77</v>
      </c>
      <c r="B22" s="90" t="s">
        <v>733</v>
      </c>
      <c r="C22" s="24" t="s">
        <v>403</v>
      </c>
      <c r="D22" s="275">
        <v>-11.97181</v>
      </c>
      <c r="E22" s="275">
        <v>141.89124000000001</v>
      </c>
      <c r="F22" s="44" t="s">
        <v>82</v>
      </c>
      <c r="G22" s="29" t="s">
        <v>987</v>
      </c>
      <c r="H22" s="44" t="s">
        <v>293</v>
      </c>
      <c r="I22" s="44" t="s">
        <v>581</v>
      </c>
      <c r="J22" s="26">
        <v>3740</v>
      </c>
      <c r="K22" s="26">
        <v>3740</v>
      </c>
      <c r="L22" s="44" t="s">
        <v>518</v>
      </c>
      <c r="M22" s="26">
        <v>1016</v>
      </c>
      <c r="N22" s="26">
        <v>907</v>
      </c>
      <c r="O22" s="26">
        <v>1215</v>
      </c>
      <c r="P22" s="26" t="s">
        <v>37</v>
      </c>
      <c r="Q22" s="38">
        <f t="shared" si="0"/>
        <v>3735.1048000000001</v>
      </c>
      <c r="R22" s="38">
        <f t="shared" si="1"/>
        <v>3664.0831999999996</v>
      </c>
      <c r="S22" s="38">
        <f t="shared" si="2"/>
        <v>3800.7168970904618</v>
      </c>
      <c r="T22" s="38">
        <f t="shared" si="3"/>
        <v>3235.2164148477891</v>
      </c>
      <c r="U22" s="38">
        <f t="shared" si="4"/>
        <v>3762.9629629629626</v>
      </c>
      <c r="V22" s="38">
        <f t="shared" si="5"/>
        <v>4069.729833829108</v>
      </c>
      <c r="W22" s="38">
        <f t="shared" si="6"/>
        <v>4110.6312709962413</v>
      </c>
      <c r="X22" s="38">
        <f t="shared" si="7"/>
        <v>3756.4451999999997</v>
      </c>
      <c r="Y22" s="38">
        <f t="shared" si="8"/>
        <v>3785.0399930737049</v>
      </c>
      <c r="Z22" s="34">
        <f t="shared" si="9"/>
        <v>3585.971</v>
      </c>
      <c r="AA22" s="34">
        <f t="shared" si="10"/>
        <v>-154.029</v>
      </c>
      <c r="AB22" s="34">
        <f t="shared" si="11"/>
        <v>154.029</v>
      </c>
      <c r="AC22" s="113">
        <f t="shared" si="12"/>
        <v>-4.1184224598930479</v>
      </c>
      <c r="AD22" s="113">
        <f t="shared" si="13"/>
        <v>4.1184224598930479</v>
      </c>
      <c r="AE22" s="113">
        <f t="shared" si="14"/>
        <v>2.1904129456665702</v>
      </c>
      <c r="AF22" s="34">
        <f t="shared" si="15"/>
        <v>3582.4562000000001</v>
      </c>
      <c r="AG22" s="34">
        <f t="shared" si="16"/>
        <v>-157.54379999999992</v>
      </c>
      <c r="AH22" s="34">
        <f t="shared" si="17"/>
        <v>157.54379999999992</v>
      </c>
      <c r="AI22" s="113">
        <f t="shared" si="18"/>
        <v>-4.2124010695187151</v>
      </c>
      <c r="AJ22" s="113">
        <f t="shared" si="19"/>
        <v>4.2124010695187151</v>
      </c>
      <c r="AK22" s="113">
        <f t="shared" si="20"/>
        <v>2.2001492632130857</v>
      </c>
      <c r="AL22" s="34">
        <f t="shared" si="21"/>
        <v>3725.0236168311817</v>
      </c>
      <c r="AM22" s="34">
        <f t="shared" si="22"/>
        <v>-14.976383168818302</v>
      </c>
      <c r="AN22" s="34">
        <f t="shared" si="23"/>
        <v>14.976383168818302</v>
      </c>
      <c r="AO22" s="113">
        <f t="shared" si="24"/>
        <v>-0.40043805264220061</v>
      </c>
      <c r="AP22" s="113">
        <f t="shared" si="25"/>
        <v>0.40043805264220061</v>
      </c>
      <c r="AQ22" s="113">
        <f t="shared" si="26"/>
        <v>1.2034784678683978</v>
      </c>
      <c r="AR22" s="34">
        <f t="shared" si="27"/>
        <v>3182.544933941665</v>
      </c>
      <c r="AS22" s="34">
        <f t="shared" si="28"/>
        <v>-557.45506605833498</v>
      </c>
      <c r="AT22" s="34">
        <f t="shared" si="29"/>
        <v>557.45506605833498</v>
      </c>
      <c r="AU22" s="113">
        <f t="shared" si="30"/>
        <v>-14.905215670008957</v>
      </c>
      <c r="AV22" s="113">
        <f t="shared" si="31"/>
        <v>14.905215670008957</v>
      </c>
      <c r="AW22" s="113">
        <f t="shared" si="32"/>
        <v>2.7469882350201571</v>
      </c>
      <c r="AX22" s="34">
        <f t="shared" si="33"/>
        <v>3779.166666666667</v>
      </c>
      <c r="AY22" s="34">
        <f t="shared" si="34"/>
        <v>39.16666666666697</v>
      </c>
      <c r="AZ22" s="34">
        <f t="shared" si="35"/>
        <v>39.16666666666697</v>
      </c>
      <c r="BA22" s="113">
        <f t="shared" si="36"/>
        <v>1.0472370766488495</v>
      </c>
      <c r="BB22" s="113">
        <f t="shared" si="37"/>
        <v>1.0472370766488495</v>
      </c>
      <c r="BC22" s="113">
        <f t="shared" si="38"/>
        <v>1.603865792191228</v>
      </c>
      <c r="BD22" s="34">
        <f t="shared" si="57"/>
        <v>3519.4088000000002</v>
      </c>
      <c r="BE22" s="34">
        <f t="shared" si="40"/>
        <v>-220.59119999999984</v>
      </c>
      <c r="BF22" s="34">
        <f t="shared" si="41"/>
        <v>220.59119999999984</v>
      </c>
      <c r="BG22" s="34">
        <f t="shared" si="42"/>
        <v>3622.692100591546</v>
      </c>
      <c r="BH22" s="34">
        <f t="shared" si="43"/>
        <v>-117.30789940845398</v>
      </c>
      <c r="BI22" s="34">
        <f t="shared" si="44"/>
        <v>117.30789940845398</v>
      </c>
      <c r="BJ22" s="33">
        <f t="shared" si="45"/>
        <v>3775.6950310340203</v>
      </c>
      <c r="BK22" s="34">
        <f t="shared" si="46"/>
        <v>35.695031034020303</v>
      </c>
      <c r="BL22" s="34">
        <f t="shared" si="47"/>
        <v>35.695031034020303</v>
      </c>
      <c r="BM22" s="113">
        <f t="shared" si="48"/>
        <v>0.95441259449252147</v>
      </c>
      <c r="BN22" s="113">
        <f t="shared" si="49"/>
        <v>0.95441259449252147</v>
      </c>
      <c r="BO22" s="113">
        <f t="shared" si="50"/>
        <v>1.5646072593308666</v>
      </c>
      <c r="BP22" s="33">
        <f t="shared" si="51"/>
        <v>3754.2689049322598</v>
      </c>
      <c r="BQ22" s="34">
        <f t="shared" si="52"/>
        <v>14.268904932259829</v>
      </c>
      <c r="BR22" s="34">
        <f t="shared" si="53"/>
        <v>14.268904932259829</v>
      </c>
      <c r="BS22" s="113">
        <f t="shared" si="54"/>
        <v>0.38152152225293662</v>
      </c>
      <c r="BT22" s="113">
        <f t="shared" si="55"/>
        <v>0.38152152225293662</v>
      </c>
      <c r="BU22" s="113">
        <f t="shared" si="56"/>
        <v>1.1838078910884746</v>
      </c>
    </row>
    <row r="23" spans="1:73" x14ac:dyDescent="0.15">
      <c r="A23" s="24" t="s">
        <v>77</v>
      </c>
      <c r="B23" s="90" t="s">
        <v>381</v>
      </c>
      <c r="C23" s="24" t="s">
        <v>403</v>
      </c>
      <c r="D23" s="275">
        <v>-20.629133299999999</v>
      </c>
      <c r="E23" s="275">
        <v>116.79721670000001</v>
      </c>
      <c r="F23" s="44" t="s">
        <v>148</v>
      </c>
      <c r="G23" s="44" t="s">
        <v>385</v>
      </c>
      <c r="H23" s="44" t="s">
        <v>494</v>
      </c>
      <c r="I23" s="44" t="s">
        <v>580</v>
      </c>
      <c r="J23" s="27">
        <v>786.1</v>
      </c>
      <c r="K23" s="26">
        <v>800</v>
      </c>
      <c r="L23" s="44" t="s">
        <v>582</v>
      </c>
      <c r="M23" s="27">
        <v>199.02</v>
      </c>
      <c r="N23" s="27">
        <v>192.7</v>
      </c>
      <c r="O23" s="27">
        <v>253.1</v>
      </c>
      <c r="P23" t="s">
        <v>37</v>
      </c>
      <c r="Q23" s="38">
        <f t="shared" si="0"/>
        <v>913.01078600000005</v>
      </c>
      <c r="R23" s="38">
        <f t="shared" si="1"/>
        <v>865.76330400000006</v>
      </c>
      <c r="S23" s="38">
        <f t="shared" si="2"/>
        <v>799.61108035229688</v>
      </c>
      <c r="T23" s="38">
        <f t="shared" si="3"/>
        <v>801.54649077498243</v>
      </c>
      <c r="U23" s="38">
        <f t="shared" si="4"/>
        <v>737.11111111111109</v>
      </c>
      <c r="V23" s="38">
        <f t="shared" si="5"/>
        <v>759.15275902336612</v>
      </c>
      <c r="W23" s="38">
        <f t="shared" si="6"/>
        <v>766.78236593617646</v>
      </c>
      <c r="X23" s="38">
        <f t="shared" si="7"/>
        <v>854.36884399999997</v>
      </c>
      <c r="Y23" s="38">
        <f t="shared" si="8"/>
        <v>768.76042765516036</v>
      </c>
      <c r="Z23" s="34">
        <f t="shared" si="9"/>
        <v>939.48949999999991</v>
      </c>
      <c r="AA23" s="34">
        <f t="shared" si="10"/>
        <v>153.38949999999988</v>
      </c>
      <c r="AB23" s="34">
        <f t="shared" si="11"/>
        <v>153.38949999999988</v>
      </c>
      <c r="AC23" s="113">
        <f t="shared" si="12"/>
        <v>19.512721027859037</v>
      </c>
      <c r="AD23" s="113">
        <f t="shared" si="13"/>
        <v>19.512721027859037</v>
      </c>
      <c r="AE23" s="113">
        <f t="shared" si="14"/>
        <v>2.1886177607204296</v>
      </c>
      <c r="AF23" s="34">
        <f t="shared" si="15"/>
        <v>891.97381999999993</v>
      </c>
      <c r="AG23" s="34">
        <f t="shared" si="16"/>
        <v>105.87381999999991</v>
      </c>
      <c r="AH23" s="34">
        <f t="shared" si="17"/>
        <v>105.87381999999991</v>
      </c>
      <c r="AI23" s="113">
        <f t="shared" si="18"/>
        <v>13.468238137641508</v>
      </c>
      <c r="AJ23" s="113">
        <f t="shared" si="19"/>
        <v>13.468238137641508</v>
      </c>
      <c r="AK23" s="113">
        <f t="shared" si="20"/>
        <v>2.02887133269232</v>
      </c>
      <c r="AL23" s="34">
        <f t="shared" si="21"/>
        <v>828.54506533893959</v>
      </c>
      <c r="AM23" s="34">
        <f t="shared" si="22"/>
        <v>42.445065338939571</v>
      </c>
      <c r="AN23" s="34">
        <f t="shared" si="23"/>
        <v>42.445065338939571</v>
      </c>
      <c r="AO23" s="113">
        <f t="shared" si="24"/>
        <v>5.3994485865589077</v>
      </c>
      <c r="AP23" s="113">
        <f t="shared" si="25"/>
        <v>5.3994485865589077</v>
      </c>
      <c r="AQ23" s="113">
        <f t="shared" si="26"/>
        <v>1.6379404547139227</v>
      </c>
      <c r="AR23" s="34">
        <f t="shared" si="27"/>
        <v>845.25690391442788</v>
      </c>
      <c r="AS23" s="34">
        <f t="shared" si="28"/>
        <v>59.156903914427858</v>
      </c>
      <c r="AT23" s="34">
        <f t="shared" si="29"/>
        <v>59.156903914427858</v>
      </c>
      <c r="AU23" s="113">
        <f t="shared" si="30"/>
        <v>7.5253662275064057</v>
      </c>
      <c r="AV23" s="113">
        <f t="shared" si="31"/>
        <v>7.5253662275064057</v>
      </c>
      <c r="AW23" s="113">
        <f t="shared" si="32"/>
        <v>1.7792854763954147</v>
      </c>
      <c r="AX23" s="34">
        <f t="shared" si="33"/>
        <v>802.91666666666663</v>
      </c>
      <c r="AY23" s="34">
        <f t="shared" si="34"/>
        <v>16.816666666666606</v>
      </c>
      <c r="AZ23" s="34">
        <f t="shared" si="35"/>
        <v>16.816666666666606</v>
      </c>
      <c r="BA23" s="113">
        <f t="shared" si="36"/>
        <v>2.1392528516304039</v>
      </c>
      <c r="BB23" s="113">
        <f t="shared" si="37"/>
        <v>2.1392528516304039</v>
      </c>
      <c r="BC23" s="113">
        <f t="shared" si="38"/>
        <v>1.2508264548251329</v>
      </c>
      <c r="BD23" s="34">
        <f t="shared" si="57"/>
        <v>834.78367999999989</v>
      </c>
      <c r="BE23" s="34">
        <f t="shared" si="40"/>
        <v>48.683679999999868</v>
      </c>
      <c r="BF23" s="34">
        <f t="shared" si="41"/>
        <v>48.683679999999868</v>
      </c>
      <c r="BG23" s="34">
        <f t="shared" si="42"/>
        <v>792.41573813376101</v>
      </c>
      <c r="BH23" s="34">
        <f t="shared" si="43"/>
        <v>6.3157381337609877</v>
      </c>
      <c r="BI23" s="34">
        <f t="shared" si="44"/>
        <v>6.3157381337609877</v>
      </c>
      <c r="BJ23" s="33">
        <f t="shared" si="45"/>
        <v>777.70928875730351</v>
      </c>
      <c r="BK23" s="34">
        <f t="shared" si="46"/>
        <v>-8.3907112426965114</v>
      </c>
      <c r="BL23" s="34">
        <f t="shared" si="47"/>
        <v>8.3907112426965114</v>
      </c>
      <c r="BM23" s="113">
        <f t="shared" si="48"/>
        <v>-1.0673847147559485</v>
      </c>
      <c r="BN23" s="113">
        <f t="shared" si="49"/>
        <v>1.0673847147559485</v>
      </c>
      <c r="BO23" s="113">
        <f t="shared" si="50"/>
        <v>0.97269848652389967</v>
      </c>
      <c r="BP23" s="33">
        <f t="shared" si="51"/>
        <v>738.1821262761257</v>
      </c>
      <c r="BQ23" s="34">
        <f t="shared" si="52"/>
        <v>-47.917873723874322</v>
      </c>
      <c r="BR23" s="34">
        <f t="shared" si="53"/>
        <v>47.917873723874322</v>
      </c>
      <c r="BS23" s="113">
        <f t="shared" si="54"/>
        <v>-6.0956460658789364</v>
      </c>
      <c r="BT23" s="113">
        <f t="shared" si="55"/>
        <v>6.0956460658789364</v>
      </c>
      <c r="BU23" s="113">
        <f t="shared" si="56"/>
        <v>1.6894675716255498</v>
      </c>
    </row>
    <row r="24" spans="1:73" ht="14" customHeight="1" x14ac:dyDescent="0.15">
      <c r="A24" s="24" t="s">
        <v>77</v>
      </c>
      <c r="B24" s="90" t="s">
        <v>369</v>
      </c>
      <c r="C24" s="24" t="s">
        <v>403</v>
      </c>
      <c r="D24" s="275">
        <v>-20.627973000000001</v>
      </c>
      <c r="E24" s="275">
        <v>117.19825400000001</v>
      </c>
      <c r="F24" s="44" t="s">
        <v>148</v>
      </c>
      <c r="G24" s="44" t="s">
        <v>385</v>
      </c>
      <c r="H24" s="44" t="s">
        <v>374</v>
      </c>
      <c r="I24" s="44" t="s">
        <v>580</v>
      </c>
      <c r="J24" s="27">
        <v>2524.9700000000003</v>
      </c>
      <c r="K24" s="26">
        <v>2500</v>
      </c>
      <c r="L24" s="44" t="s">
        <v>582</v>
      </c>
      <c r="M24" s="27">
        <v>663.72</v>
      </c>
      <c r="N24" s="27">
        <v>609.66</v>
      </c>
      <c r="O24" s="27">
        <v>810.17</v>
      </c>
      <c r="P24" t="s">
        <v>37</v>
      </c>
      <c r="Q24" s="38">
        <f t="shared" si="0"/>
        <v>2518.2239960000002</v>
      </c>
      <c r="R24" s="38">
        <f t="shared" si="1"/>
        <v>2457.4537439999999</v>
      </c>
      <c r="S24" s="38">
        <f t="shared" si="2"/>
        <v>2529.6225484268161</v>
      </c>
      <c r="T24" s="38">
        <f t="shared" si="3"/>
        <v>2247.1905122476574</v>
      </c>
      <c r="U24" s="38">
        <f t="shared" si="4"/>
        <v>2458.2222222222222</v>
      </c>
      <c r="V24" s="38">
        <f t="shared" si="5"/>
        <v>2624.8811277946111</v>
      </c>
      <c r="W24" s="38">
        <f t="shared" si="6"/>
        <v>2651.2616038712436</v>
      </c>
      <c r="X24" s="38">
        <f t="shared" si="7"/>
        <v>2505.076184</v>
      </c>
      <c r="Y24" s="38">
        <f t="shared" si="8"/>
        <v>2496.1268085843362</v>
      </c>
      <c r="Z24" s="34">
        <f t="shared" si="9"/>
        <v>2484.3263000000002</v>
      </c>
      <c r="AA24" s="34">
        <f t="shared" si="10"/>
        <v>-40.643700000000081</v>
      </c>
      <c r="AB24" s="34">
        <f t="shared" si="11"/>
        <v>40.643700000000081</v>
      </c>
      <c r="AC24" s="113">
        <f t="shared" si="12"/>
        <v>-1.6096706099478442</v>
      </c>
      <c r="AD24" s="113">
        <f t="shared" si="13"/>
        <v>1.6096706099478442</v>
      </c>
      <c r="AE24" s="113">
        <f t="shared" si="14"/>
        <v>1.619549309171729</v>
      </c>
      <c r="AF24" s="34">
        <f t="shared" si="15"/>
        <v>2462.4953559999999</v>
      </c>
      <c r="AG24" s="34">
        <f t="shared" si="16"/>
        <v>-62.474644000000353</v>
      </c>
      <c r="AH24" s="34">
        <f t="shared" si="17"/>
        <v>62.474644000000353</v>
      </c>
      <c r="AI24" s="113">
        <f t="shared" si="18"/>
        <v>-2.4742727240323785</v>
      </c>
      <c r="AJ24" s="113">
        <f t="shared" si="19"/>
        <v>2.4742727240323785</v>
      </c>
      <c r="AK24" s="113">
        <f t="shared" si="20"/>
        <v>1.8026002737951656</v>
      </c>
      <c r="AL24" s="34">
        <f t="shared" si="21"/>
        <v>2533.4715107721372</v>
      </c>
      <c r="AM24" s="34">
        <f t="shared" si="22"/>
        <v>8.5015107721369532</v>
      </c>
      <c r="AN24" s="34">
        <f t="shared" si="23"/>
        <v>8.5015107721369532</v>
      </c>
      <c r="AO24" s="113">
        <f t="shared" si="24"/>
        <v>0.3366974962925085</v>
      </c>
      <c r="AP24" s="113">
        <f t="shared" si="25"/>
        <v>0.3366974962925085</v>
      </c>
      <c r="AQ24" s="113">
        <f t="shared" si="26"/>
        <v>0.97779266506117246</v>
      </c>
      <c r="AR24" s="34">
        <f t="shared" si="27"/>
        <v>2265.2442206058704</v>
      </c>
      <c r="AS24" s="34">
        <f t="shared" si="28"/>
        <v>-259.72577939412986</v>
      </c>
      <c r="AT24" s="34">
        <f t="shared" si="29"/>
        <v>259.72577939412986</v>
      </c>
      <c r="AU24" s="113">
        <f t="shared" si="30"/>
        <v>-10.286291694322303</v>
      </c>
      <c r="AV24" s="113">
        <f t="shared" si="31"/>
        <v>10.286291694322303</v>
      </c>
      <c r="AW24" s="113">
        <f t="shared" si="32"/>
        <v>2.4161839743793054</v>
      </c>
      <c r="AX24" s="34">
        <f t="shared" si="33"/>
        <v>2540.25</v>
      </c>
      <c r="AY24" s="34">
        <f t="shared" si="34"/>
        <v>15.279999999999745</v>
      </c>
      <c r="AZ24" s="34">
        <f t="shared" si="35"/>
        <v>15.279999999999745</v>
      </c>
      <c r="BA24" s="113">
        <f t="shared" si="36"/>
        <v>0.60515570482024517</v>
      </c>
      <c r="BB24" s="113">
        <f t="shared" si="37"/>
        <v>0.60515570482024517</v>
      </c>
      <c r="BC24" s="113">
        <f t="shared" si="38"/>
        <v>1.2116544005531755</v>
      </c>
      <c r="BD24" s="34">
        <f t="shared" si="57"/>
        <v>2401.8861439999996</v>
      </c>
      <c r="BE24" s="34">
        <f t="shared" si="40"/>
        <v>-123.08385600000065</v>
      </c>
      <c r="BF24" s="34">
        <f t="shared" si="41"/>
        <v>123.08385600000065</v>
      </c>
      <c r="BG24" s="34">
        <f t="shared" si="42"/>
        <v>2453.3256923427789</v>
      </c>
      <c r="BH24" s="34">
        <f t="shared" si="43"/>
        <v>-71.644307657221361</v>
      </c>
      <c r="BI24" s="34">
        <f t="shared" si="44"/>
        <v>71.644307657221361</v>
      </c>
      <c r="BJ24" s="33">
        <f t="shared" si="45"/>
        <v>2517.8337443797336</v>
      </c>
      <c r="BK24" s="34">
        <f t="shared" si="46"/>
        <v>-7.1362556202666383</v>
      </c>
      <c r="BL24" s="34">
        <f t="shared" si="47"/>
        <v>7.1362556202666383</v>
      </c>
      <c r="BM24" s="113">
        <f t="shared" si="48"/>
        <v>-0.28262734290968361</v>
      </c>
      <c r="BN24" s="113">
        <f t="shared" si="49"/>
        <v>0.28262734290968361</v>
      </c>
      <c r="BO24" s="113">
        <f t="shared" si="50"/>
        <v>0.91042458454686004</v>
      </c>
      <c r="BP24" s="33">
        <f t="shared" si="51"/>
        <v>2473.8867343246252</v>
      </c>
      <c r="BQ24" s="34">
        <f t="shared" si="52"/>
        <v>-51.08326567537506</v>
      </c>
      <c r="BR24" s="34">
        <f t="shared" si="53"/>
        <v>51.08326567537506</v>
      </c>
      <c r="BS24" s="113">
        <f t="shared" si="54"/>
        <v>-2.023123667820808</v>
      </c>
      <c r="BT24" s="113">
        <f t="shared" si="55"/>
        <v>2.023123667820808</v>
      </c>
      <c r="BU24" s="113">
        <f t="shared" si="56"/>
        <v>1.7166982071333077</v>
      </c>
    </row>
    <row r="25" spans="1:73" x14ac:dyDescent="0.15">
      <c r="A25" s="24" t="s">
        <v>77</v>
      </c>
      <c r="B25" s="90" t="s">
        <v>382</v>
      </c>
      <c r="C25" s="24" t="s">
        <v>403</v>
      </c>
      <c r="D25" s="275">
        <v>-20.325545000000002</v>
      </c>
      <c r="E25" s="275">
        <v>118.670141</v>
      </c>
      <c r="F25" s="44" t="s">
        <v>148</v>
      </c>
      <c r="G25" s="44" t="s">
        <v>385</v>
      </c>
      <c r="H25" s="44" t="s">
        <v>494</v>
      </c>
      <c r="I25" s="44" t="s">
        <v>580</v>
      </c>
      <c r="J25" s="27">
        <v>965.43</v>
      </c>
      <c r="K25" s="26">
        <v>1000</v>
      </c>
      <c r="L25" s="44" t="s">
        <v>582</v>
      </c>
      <c r="M25" s="27">
        <v>305.83</v>
      </c>
      <c r="N25" s="27">
        <v>282.45999999999998</v>
      </c>
      <c r="O25" s="27">
        <v>375.45</v>
      </c>
      <c r="P25" t="s">
        <v>37</v>
      </c>
      <c r="Q25" s="38">
        <f t="shared" si="0"/>
        <v>1281.964569</v>
      </c>
      <c r="R25" s="38">
        <f t="shared" si="1"/>
        <v>1231.6089159999999</v>
      </c>
      <c r="S25" s="38">
        <f t="shared" si="2"/>
        <v>1205.8403580983947</v>
      </c>
      <c r="T25" s="38">
        <f t="shared" si="3"/>
        <v>1157.7783317457022</v>
      </c>
      <c r="U25" s="38">
        <f t="shared" si="4"/>
        <v>1132.7037037037035</v>
      </c>
      <c r="V25" s="38">
        <f t="shared" si="5"/>
        <v>1181.7072749273341</v>
      </c>
      <c r="W25" s="38">
        <f t="shared" si="6"/>
        <v>1193.583622456257</v>
      </c>
      <c r="X25" s="38">
        <f t="shared" si="7"/>
        <v>1233.7793260000001</v>
      </c>
      <c r="Y25" s="38">
        <f t="shared" si="8"/>
        <v>1170.1249289121927</v>
      </c>
      <c r="Z25" s="34">
        <f t="shared" si="9"/>
        <v>1272.0503000000001</v>
      </c>
      <c r="AA25" s="34">
        <f t="shared" si="10"/>
        <v>306.62030000000016</v>
      </c>
      <c r="AB25" s="34">
        <f t="shared" si="11"/>
        <v>306.62030000000016</v>
      </c>
      <c r="AC25" s="113">
        <f t="shared" si="12"/>
        <v>31.759972240348876</v>
      </c>
      <c r="AD25" s="113">
        <f t="shared" si="13"/>
        <v>31.759972240348876</v>
      </c>
      <c r="AE25" s="113">
        <f t="shared" si="14"/>
        <v>2.4880149913604876</v>
      </c>
      <c r="AF25" s="34">
        <f t="shared" si="15"/>
        <v>1230.063836</v>
      </c>
      <c r="AG25" s="34">
        <f t="shared" si="16"/>
        <v>264.63383600000009</v>
      </c>
      <c r="AH25" s="34">
        <f t="shared" si="17"/>
        <v>264.63383600000009</v>
      </c>
      <c r="AI25" s="113">
        <f t="shared" si="18"/>
        <v>27.410981220803176</v>
      </c>
      <c r="AJ25" s="113">
        <f t="shared" si="19"/>
        <v>27.410981220803176</v>
      </c>
      <c r="AK25" s="113">
        <f t="shared" si="20"/>
        <v>2.4242833939345005</v>
      </c>
      <c r="AL25" s="34">
        <f t="shared" si="21"/>
        <v>1200.8134621989154</v>
      </c>
      <c r="AM25" s="34">
        <f t="shared" si="22"/>
        <v>235.38346219891548</v>
      </c>
      <c r="AN25" s="34">
        <f t="shared" si="23"/>
        <v>235.38346219891548</v>
      </c>
      <c r="AO25" s="113">
        <f t="shared" si="24"/>
        <v>24.381204458004774</v>
      </c>
      <c r="AP25" s="113">
        <f t="shared" si="25"/>
        <v>24.381204458004774</v>
      </c>
      <c r="AQ25" s="113">
        <f t="shared" si="26"/>
        <v>2.3736170892693265</v>
      </c>
      <c r="AR25" s="34">
        <f t="shared" si="27"/>
        <v>1172.55311488344</v>
      </c>
      <c r="AS25" s="34">
        <f t="shared" si="28"/>
        <v>207.12311488344005</v>
      </c>
      <c r="AT25" s="34">
        <f t="shared" si="29"/>
        <v>207.12311488344005</v>
      </c>
      <c r="AU25" s="113">
        <f t="shared" si="30"/>
        <v>21.453975418563758</v>
      </c>
      <c r="AV25" s="113">
        <f t="shared" si="31"/>
        <v>21.453975418563758</v>
      </c>
      <c r="AW25" s="113">
        <f t="shared" si="32"/>
        <v>2.3183203171594524</v>
      </c>
      <c r="AX25" s="34">
        <f t="shared" si="33"/>
        <v>1176.9166666666665</v>
      </c>
      <c r="AY25" s="34">
        <f t="shared" si="34"/>
        <v>211.48666666666657</v>
      </c>
      <c r="AZ25" s="34">
        <f t="shared" si="35"/>
        <v>211.48666666666657</v>
      </c>
      <c r="BA25" s="113">
        <f t="shared" si="36"/>
        <v>21.905955550031237</v>
      </c>
      <c r="BB25" s="113">
        <f t="shared" si="37"/>
        <v>21.905955550031237</v>
      </c>
      <c r="BC25" s="113">
        <f t="shared" si="38"/>
        <v>2.3273316836815523</v>
      </c>
      <c r="BD25" s="34">
        <f t="shared" si="57"/>
        <v>1172.1376639999999</v>
      </c>
      <c r="BE25" s="34">
        <f t="shared" si="40"/>
        <v>206.70766399999991</v>
      </c>
      <c r="BF25" s="34">
        <f t="shared" si="41"/>
        <v>206.70766399999991</v>
      </c>
      <c r="BG25" s="34">
        <f t="shared" si="42"/>
        <v>1153.2039414549699</v>
      </c>
      <c r="BH25" s="34">
        <f t="shared" si="43"/>
        <v>187.77394145496999</v>
      </c>
      <c r="BI25" s="34">
        <f t="shared" si="44"/>
        <v>187.77394145496999</v>
      </c>
      <c r="BJ25" s="33">
        <f t="shared" si="45"/>
        <v>1148.7192979282038</v>
      </c>
      <c r="BK25" s="34">
        <f t="shared" si="46"/>
        <v>183.28929792820384</v>
      </c>
      <c r="BL25" s="34">
        <f t="shared" si="47"/>
        <v>183.28929792820384</v>
      </c>
      <c r="BM25" s="113">
        <f t="shared" si="48"/>
        <v>18.985249881213949</v>
      </c>
      <c r="BN25" s="113">
        <f t="shared" si="49"/>
        <v>18.985249881213949</v>
      </c>
      <c r="BO25" s="113">
        <f t="shared" si="50"/>
        <v>2.2655001155463732</v>
      </c>
      <c r="BP25" s="33">
        <f t="shared" si="51"/>
        <v>1102.916229564144</v>
      </c>
      <c r="BQ25" s="34">
        <f t="shared" si="52"/>
        <v>137.48622956414408</v>
      </c>
      <c r="BR25" s="34">
        <f t="shared" si="53"/>
        <v>137.48622956414408</v>
      </c>
      <c r="BS25" s="113">
        <f t="shared" si="54"/>
        <v>14.240931974782644</v>
      </c>
      <c r="BT25" s="113">
        <f t="shared" si="55"/>
        <v>14.240931974782644</v>
      </c>
      <c r="BU25" s="113">
        <f t="shared" si="56"/>
        <v>2.1414065912948446</v>
      </c>
    </row>
    <row r="26" spans="1:73" x14ac:dyDescent="0.15">
      <c r="A26" s="24" t="s">
        <v>77</v>
      </c>
      <c r="B26" s="90" t="s">
        <v>368</v>
      </c>
      <c r="C26" s="24" t="s">
        <v>403</v>
      </c>
      <c r="D26" s="275">
        <v>-20.318066000000002</v>
      </c>
      <c r="E26" s="275">
        <v>118.65957400000001</v>
      </c>
      <c r="F26" s="44" t="s">
        <v>148</v>
      </c>
      <c r="G26" s="44" t="s">
        <v>385</v>
      </c>
      <c r="H26" s="44" t="s">
        <v>374</v>
      </c>
      <c r="I26" s="44" t="s">
        <v>580</v>
      </c>
      <c r="J26" s="27">
        <v>1933.19</v>
      </c>
      <c r="K26" s="26"/>
      <c r="L26" s="44" t="s">
        <v>582</v>
      </c>
      <c r="M26" s="27">
        <v>545.29999999999995</v>
      </c>
      <c r="N26" s="27">
        <v>517.5</v>
      </c>
      <c r="O26" s="27">
        <v>690.97</v>
      </c>
      <c r="P26" t="s">
        <v>37</v>
      </c>
      <c r="Q26" s="38">
        <f t="shared" si="0"/>
        <v>2109.1657899999996</v>
      </c>
      <c r="R26" s="38">
        <f t="shared" si="1"/>
        <v>2051.8415599999998</v>
      </c>
      <c r="S26" s="38">
        <f t="shared" si="2"/>
        <v>2096.257459212924</v>
      </c>
      <c r="T26" s="38">
        <f t="shared" si="3"/>
        <v>1899.281488074362</v>
      </c>
      <c r="U26" s="38">
        <f t="shared" si="4"/>
        <v>2019.6296296296293</v>
      </c>
      <c r="V26" s="38">
        <f t="shared" si="5"/>
        <v>2143.8767306188001</v>
      </c>
      <c r="W26" s="38">
        <f t="shared" si="6"/>
        <v>2165.4230354036026</v>
      </c>
      <c r="X26" s="38">
        <f t="shared" si="7"/>
        <v>2084.4246599999997</v>
      </c>
      <c r="Y26" s="38">
        <f t="shared" si="8"/>
        <v>2059.7380631595838</v>
      </c>
      <c r="Z26" s="34">
        <f t="shared" si="9"/>
        <v>2142.8735000000001</v>
      </c>
      <c r="AA26" s="34">
        <f t="shared" si="10"/>
        <v>209.68350000000009</v>
      </c>
      <c r="AB26" s="34">
        <f t="shared" si="11"/>
        <v>209.68350000000009</v>
      </c>
      <c r="AC26" s="113">
        <f t="shared" si="12"/>
        <v>10.846502413109942</v>
      </c>
      <c r="AD26" s="113">
        <f t="shared" si="13"/>
        <v>10.846502413109942</v>
      </c>
      <c r="AE26" s="113">
        <f t="shared" si="14"/>
        <v>2.3236305245044142</v>
      </c>
      <c r="AF26" s="34">
        <f t="shared" si="15"/>
        <v>2115.3654999999999</v>
      </c>
      <c r="AG26" s="34">
        <f t="shared" si="16"/>
        <v>182.17549999999983</v>
      </c>
      <c r="AH26" s="34">
        <f t="shared" si="17"/>
        <v>182.17549999999983</v>
      </c>
      <c r="AI26" s="113">
        <f t="shared" si="18"/>
        <v>9.4235693335885156</v>
      </c>
      <c r="AJ26" s="113">
        <f t="shared" si="19"/>
        <v>9.4235693335885156</v>
      </c>
      <c r="AK26" s="113">
        <f t="shared" si="20"/>
        <v>2.2628673856727302</v>
      </c>
      <c r="AL26" s="34">
        <f t="shared" si="21"/>
        <v>2160.9540230082639</v>
      </c>
      <c r="AM26" s="34">
        <f t="shared" si="22"/>
        <v>227.76402300826385</v>
      </c>
      <c r="AN26" s="34">
        <f t="shared" si="23"/>
        <v>227.76402300826385</v>
      </c>
      <c r="AO26" s="113">
        <f t="shared" si="24"/>
        <v>11.781771217948771</v>
      </c>
      <c r="AP26" s="113">
        <f t="shared" si="25"/>
        <v>11.781771217948771</v>
      </c>
      <c r="AQ26" s="113">
        <f t="shared" si="26"/>
        <v>2.3593877253765005</v>
      </c>
      <c r="AR26" s="34">
        <f t="shared" si="27"/>
        <v>1968.7670816219372</v>
      </c>
      <c r="AS26" s="34">
        <f t="shared" si="28"/>
        <v>35.577081621937168</v>
      </c>
      <c r="AT26" s="34">
        <f t="shared" si="29"/>
        <v>35.577081621937168</v>
      </c>
      <c r="AU26" s="113">
        <f t="shared" si="30"/>
        <v>1.8403303152787449</v>
      </c>
      <c r="AV26" s="113">
        <f t="shared" si="31"/>
        <v>1.8403303152787449</v>
      </c>
      <c r="AW26" s="113">
        <f t="shared" si="32"/>
        <v>1.5632090514397439</v>
      </c>
      <c r="AX26" s="34">
        <f t="shared" si="33"/>
        <v>2156.25</v>
      </c>
      <c r="AY26" s="34">
        <f t="shared" si="34"/>
        <v>223.05999999999995</v>
      </c>
      <c r="AZ26" s="34">
        <f t="shared" si="35"/>
        <v>223.05999999999995</v>
      </c>
      <c r="BA26" s="113">
        <f t="shared" si="36"/>
        <v>11.538441643087328</v>
      </c>
      <c r="BB26" s="113">
        <f t="shared" si="37"/>
        <v>11.538441643087328</v>
      </c>
      <c r="BC26" s="113">
        <f t="shared" si="38"/>
        <v>2.350364331636265</v>
      </c>
      <c r="BD26" s="34">
        <f t="shared" si="57"/>
        <v>2055.5120000000002</v>
      </c>
      <c r="BE26" s="34">
        <f t="shared" si="40"/>
        <v>122.32200000000012</v>
      </c>
      <c r="BF26" s="34">
        <f t="shared" si="41"/>
        <v>122.32200000000012</v>
      </c>
      <c r="BG26" s="34">
        <f t="shared" si="42"/>
        <v>2088.8920330029387</v>
      </c>
      <c r="BH26" s="34">
        <f t="shared" si="43"/>
        <v>155.70203300293861</v>
      </c>
      <c r="BI26" s="34">
        <f t="shared" si="44"/>
        <v>155.70203300293861</v>
      </c>
      <c r="BJ26" s="33">
        <f t="shared" si="45"/>
        <v>2130.2285649587429</v>
      </c>
      <c r="BK26" s="34">
        <f t="shared" si="46"/>
        <v>197.03856495874288</v>
      </c>
      <c r="BL26" s="34">
        <f t="shared" si="47"/>
        <v>197.03856495874288</v>
      </c>
      <c r="BM26" s="113">
        <f t="shared" si="48"/>
        <v>10.192405555519265</v>
      </c>
      <c r="BN26" s="113">
        <f t="shared" si="49"/>
        <v>10.192405555519265</v>
      </c>
      <c r="BO26" s="113">
        <f t="shared" si="50"/>
        <v>2.2967497706550164</v>
      </c>
      <c r="BP26" s="33">
        <f t="shared" si="51"/>
        <v>2082.7809500543863</v>
      </c>
      <c r="BQ26" s="34">
        <f t="shared" si="52"/>
        <v>149.59095005438621</v>
      </c>
      <c r="BR26" s="34">
        <f t="shared" si="53"/>
        <v>149.59095005438621</v>
      </c>
      <c r="BS26" s="113">
        <f t="shared" si="54"/>
        <v>7.7380366158725318</v>
      </c>
      <c r="BT26" s="113">
        <f t="shared" si="55"/>
        <v>7.7380366158725318</v>
      </c>
      <c r="BU26" s="113">
        <f t="shared" si="56"/>
        <v>2.1777988731957669</v>
      </c>
    </row>
    <row r="27" spans="1:73" x14ac:dyDescent="0.15">
      <c r="A27" s="24" t="s">
        <v>77</v>
      </c>
      <c r="B27" s="90" t="s">
        <v>588</v>
      </c>
      <c r="C27" s="24" t="s">
        <v>403</v>
      </c>
      <c r="D27" s="275">
        <v>-20.301735000000001</v>
      </c>
      <c r="E27" s="275">
        <v>118.640084</v>
      </c>
      <c r="F27" s="44" t="s">
        <v>148</v>
      </c>
      <c r="G27" s="44" t="s">
        <v>385</v>
      </c>
      <c r="H27" s="44" t="s">
        <v>374</v>
      </c>
      <c r="I27" s="30" t="s">
        <v>580</v>
      </c>
      <c r="J27" s="24">
        <v>2740.86</v>
      </c>
      <c r="K27" s="26">
        <v>3000</v>
      </c>
      <c r="L27" s="44" t="s">
        <v>582</v>
      </c>
      <c r="M27" s="27">
        <v>787.88</v>
      </c>
      <c r="N27" s="27">
        <v>728.36</v>
      </c>
      <c r="O27" s="27">
        <v>953.29</v>
      </c>
      <c r="P27" t="s">
        <v>37</v>
      </c>
      <c r="Q27" s="38">
        <f t="shared" si="0"/>
        <v>2947.109884</v>
      </c>
      <c r="R27" s="38">
        <f t="shared" si="1"/>
        <v>2882.7265759999996</v>
      </c>
      <c r="S27" s="38">
        <f t="shared" si="2"/>
        <v>2980.361077317692</v>
      </c>
      <c r="T27" s="38">
        <f t="shared" si="3"/>
        <v>2602.4547804218605</v>
      </c>
      <c r="U27" s="38">
        <f t="shared" si="4"/>
        <v>2918.0740740740739</v>
      </c>
      <c r="V27" s="38">
        <f t="shared" si="5"/>
        <v>3131.9802566806948</v>
      </c>
      <c r="W27" s="38">
        <f t="shared" si="6"/>
        <v>3163.4571602855708</v>
      </c>
      <c r="X27" s="38">
        <f t="shared" si="7"/>
        <v>2946.1173359999998</v>
      </c>
      <c r="Y27" s="38">
        <f t="shared" si="8"/>
        <v>2951.8104613359365</v>
      </c>
      <c r="Z27" s="34">
        <f t="shared" si="9"/>
        <v>2924.1098000000002</v>
      </c>
      <c r="AA27" s="34">
        <f t="shared" si="10"/>
        <v>183.24980000000005</v>
      </c>
      <c r="AB27" s="34">
        <f t="shared" si="11"/>
        <v>183.24980000000005</v>
      </c>
      <c r="AC27" s="113">
        <f t="shared" si="12"/>
        <v>6.6858504265084706</v>
      </c>
      <c r="AD27" s="113">
        <f t="shared" si="13"/>
        <v>6.6858504265084706</v>
      </c>
      <c r="AE27" s="113">
        <f t="shared" si="14"/>
        <v>2.2654070251121285</v>
      </c>
      <c r="AF27" s="34">
        <f t="shared" si="15"/>
        <v>2909.590776</v>
      </c>
      <c r="AG27" s="34">
        <f t="shared" si="16"/>
        <v>168.73077599999988</v>
      </c>
      <c r="AH27" s="34">
        <f t="shared" si="17"/>
        <v>168.73077599999988</v>
      </c>
      <c r="AI27" s="113">
        <f t="shared" si="18"/>
        <v>6.1561253037367782</v>
      </c>
      <c r="AJ27" s="113">
        <f t="shared" si="19"/>
        <v>6.1561253037367782</v>
      </c>
      <c r="AK27" s="113">
        <f t="shared" si="20"/>
        <v>2.2297605967969787</v>
      </c>
      <c r="AL27" s="34">
        <f t="shared" si="21"/>
        <v>3010.839203348165</v>
      </c>
      <c r="AM27" s="34">
        <f t="shared" si="22"/>
        <v>269.9792033481649</v>
      </c>
      <c r="AN27" s="34">
        <f t="shared" si="23"/>
        <v>269.9792033481649</v>
      </c>
      <c r="AO27" s="113">
        <f t="shared" si="24"/>
        <v>9.8501639393535214</v>
      </c>
      <c r="AP27" s="113">
        <f t="shared" si="25"/>
        <v>9.8501639393535214</v>
      </c>
      <c r="AQ27" s="113">
        <f t="shared" si="26"/>
        <v>2.4329359616577766</v>
      </c>
      <c r="AR27" s="34">
        <f t="shared" si="27"/>
        <v>2637.7916137790517</v>
      </c>
      <c r="AS27" s="34">
        <f t="shared" si="28"/>
        <v>-103.06838622094847</v>
      </c>
      <c r="AT27" s="34">
        <f t="shared" si="29"/>
        <v>103.06838622094847</v>
      </c>
      <c r="AU27" s="113">
        <f t="shared" si="30"/>
        <v>-3.7604396510930318</v>
      </c>
      <c r="AV27" s="113">
        <f t="shared" si="31"/>
        <v>3.7604396510930318</v>
      </c>
      <c r="AW27" s="113">
        <f t="shared" si="32"/>
        <v>2.0173188200486916</v>
      </c>
      <c r="AX27" s="34">
        <f t="shared" si="33"/>
        <v>3034.8333333333335</v>
      </c>
      <c r="AY27" s="34">
        <f t="shared" si="34"/>
        <v>293.97333333333336</v>
      </c>
      <c r="AZ27" s="34">
        <f t="shared" si="35"/>
        <v>293.97333333333336</v>
      </c>
      <c r="BA27" s="113">
        <f t="shared" si="36"/>
        <v>10.725587346064131</v>
      </c>
      <c r="BB27" s="113">
        <f t="shared" si="37"/>
        <v>10.725587346064131</v>
      </c>
      <c r="BC27" s="113">
        <f t="shared" si="38"/>
        <v>2.4697827559454204</v>
      </c>
      <c r="BD27" s="34">
        <f t="shared" si="57"/>
        <v>2848.0082240000002</v>
      </c>
      <c r="BE27" s="34">
        <f t="shared" si="40"/>
        <v>107.14822400000003</v>
      </c>
      <c r="BF27" s="34">
        <f t="shared" si="41"/>
        <v>107.14822400000003</v>
      </c>
      <c r="BG27" s="34">
        <f t="shared" si="42"/>
        <v>2921.1989430543549</v>
      </c>
      <c r="BH27" s="34">
        <f t="shared" si="43"/>
        <v>180.33894305435479</v>
      </c>
      <c r="BI27" s="34">
        <f t="shared" si="44"/>
        <v>180.33894305435479</v>
      </c>
      <c r="BJ27" s="33">
        <f t="shared" si="45"/>
        <v>3018.7736459228286</v>
      </c>
      <c r="BK27" s="34">
        <f t="shared" si="46"/>
        <v>277.91364592282844</v>
      </c>
      <c r="BL27" s="34">
        <f t="shared" si="47"/>
        <v>277.91364592282844</v>
      </c>
      <c r="BM27" s="113">
        <f t="shared" si="48"/>
        <v>10.139651274520714</v>
      </c>
      <c r="BN27" s="113">
        <f t="shared" si="49"/>
        <v>10.139651274520714</v>
      </c>
      <c r="BO27" s="113">
        <f t="shared" si="50"/>
        <v>2.4454697627565785</v>
      </c>
      <c r="BP27" s="33">
        <f t="shared" si="51"/>
        <v>2981.9552144154818</v>
      </c>
      <c r="BQ27" s="34">
        <f t="shared" si="52"/>
        <v>241.09521441548168</v>
      </c>
      <c r="BR27" s="34">
        <f t="shared" si="53"/>
        <v>241.09521441548168</v>
      </c>
      <c r="BS27" s="113">
        <f t="shared" si="54"/>
        <v>8.7963345233058856</v>
      </c>
      <c r="BT27" s="113">
        <f t="shared" si="55"/>
        <v>8.7963345233058856</v>
      </c>
      <c r="BU27" s="113">
        <f t="shared" si="56"/>
        <v>2.3839862046689504</v>
      </c>
    </row>
    <row r="28" spans="1:73" x14ac:dyDescent="0.15">
      <c r="A28" s="24" t="s">
        <v>77</v>
      </c>
      <c r="B28" s="90" t="s">
        <v>669</v>
      </c>
      <c r="C28" s="24" t="s">
        <v>403</v>
      </c>
      <c r="D28" s="275">
        <v>-17.964248999999999</v>
      </c>
      <c r="E28" s="275">
        <v>122.195415</v>
      </c>
      <c r="F28" s="29" t="s">
        <v>148</v>
      </c>
      <c r="G28" s="44" t="s">
        <v>985</v>
      </c>
      <c r="H28" s="44" t="s">
        <v>494</v>
      </c>
      <c r="I28" s="29" t="s">
        <v>580</v>
      </c>
      <c r="J28" s="24">
        <v>875</v>
      </c>
      <c r="K28" s="29"/>
      <c r="L28" s="44" t="s">
        <v>582</v>
      </c>
      <c r="M28" s="27">
        <v>236</v>
      </c>
      <c r="N28" s="27">
        <v>214</v>
      </c>
      <c r="O28" s="27">
        <v>294.2</v>
      </c>
      <c r="P28" t="s">
        <v>37</v>
      </c>
      <c r="Q28" s="38">
        <f t="shared" si="0"/>
        <v>1040.7508</v>
      </c>
      <c r="R28" s="38">
        <f t="shared" si="1"/>
        <v>992.42719999999997</v>
      </c>
      <c r="S28" s="38">
        <f t="shared" si="2"/>
        <v>941.1356297085855</v>
      </c>
      <c r="T28" s="38">
        <f t="shared" si="3"/>
        <v>927.42414033353452</v>
      </c>
      <c r="U28" s="38">
        <f t="shared" si="4"/>
        <v>874.07407407407402</v>
      </c>
      <c r="V28" s="38">
        <f t="shared" si="5"/>
        <v>904.82556559837451</v>
      </c>
      <c r="W28" s="38">
        <f t="shared" si="6"/>
        <v>913.91920756716263</v>
      </c>
      <c r="X28" s="38">
        <f t="shared" si="7"/>
        <v>985.72919999999999</v>
      </c>
      <c r="Y28" s="38">
        <f t="shared" si="8"/>
        <v>908.1616563456414</v>
      </c>
      <c r="Z28" s="34">
        <f t="shared" si="9"/>
        <v>1018.4059999999999</v>
      </c>
      <c r="AA28" s="34">
        <f t="shared" si="10"/>
        <v>143.40599999999995</v>
      </c>
      <c r="AB28" s="34">
        <f t="shared" si="11"/>
        <v>143.40599999999995</v>
      </c>
      <c r="AC28" s="113">
        <f t="shared" si="12"/>
        <v>16.389257142857137</v>
      </c>
      <c r="AD28" s="113">
        <f t="shared" si="13"/>
        <v>16.389257142857137</v>
      </c>
      <c r="AE28" s="113">
        <f t="shared" si="14"/>
        <v>2.1595852383358118</v>
      </c>
      <c r="AF28" s="34">
        <f t="shared" si="15"/>
        <v>972.20240000000001</v>
      </c>
      <c r="AG28" s="34">
        <f t="shared" si="16"/>
        <v>97.202400000000011</v>
      </c>
      <c r="AH28" s="34">
        <f t="shared" si="17"/>
        <v>97.202400000000011</v>
      </c>
      <c r="AI28" s="113">
        <f t="shared" si="18"/>
        <v>11.108845714285716</v>
      </c>
      <c r="AJ28" s="113">
        <f t="shared" si="19"/>
        <v>11.108845714285716</v>
      </c>
      <c r="AK28" s="113">
        <f t="shared" si="20"/>
        <v>1.992122101779005</v>
      </c>
      <c r="AL28" s="34">
        <f t="shared" si="21"/>
        <v>917.27687493131361</v>
      </c>
      <c r="AM28" s="34">
        <f t="shared" si="22"/>
        <v>42.276874931313614</v>
      </c>
      <c r="AN28" s="34">
        <f t="shared" si="23"/>
        <v>42.276874931313614</v>
      </c>
      <c r="AO28" s="113">
        <f t="shared" si="24"/>
        <v>4.8316428492929848</v>
      </c>
      <c r="AP28" s="113">
        <f t="shared" si="25"/>
        <v>4.8316428492929848</v>
      </c>
      <c r="AQ28" s="113">
        <f t="shared" si="26"/>
        <v>1.636255892369139</v>
      </c>
      <c r="AR28" s="34">
        <f t="shared" si="27"/>
        <v>924.61219190393035</v>
      </c>
      <c r="AS28" s="34">
        <f t="shared" si="28"/>
        <v>49.612191903930352</v>
      </c>
      <c r="AT28" s="34">
        <f t="shared" si="29"/>
        <v>49.612191903930352</v>
      </c>
      <c r="AU28" s="113">
        <f t="shared" si="30"/>
        <v>5.6699647890206117</v>
      </c>
      <c r="AV28" s="113">
        <f t="shared" si="31"/>
        <v>5.6699647890206117</v>
      </c>
      <c r="AW28" s="113">
        <f t="shared" si="32"/>
        <v>1.7042551460653272</v>
      </c>
      <c r="AX28" s="34">
        <f t="shared" si="33"/>
        <v>891.66666666666674</v>
      </c>
      <c r="AY28" s="34">
        <f t="shared" si="34"/>
        <v>16.666666666666742</v>
      </c>
      <c r="AZ28" s="34">
        <f t="shared" si="35"/>
        <v>16.666666666666742</v>
      </c>
      <c r="BA28" s="113">
        <f t="shared" si="36"/>
        <v>1.9047619047619133</v>
      </c>
      <c r="BB28" s="113">
        <f t="shared" si="37"/>
        <v>1.9047619047619133</v>
      </c>
      <c r="BC28" s="113">
        <f t="shared" si="38"/>
        <v>1.2471546148811286</v>
      </c>
      <c r="BD28" s="34">
        <f t="shared" si="57"/>
        <v>914.83759999999995</v>
      </c>
      <c r="BE28" s="34">
        <f t="shared" si="40"/>
        <v>39.837599999999952</v>
      </c>
      <c r="BF28" s="34">
        <f t="shared" si="41"/>
        <v>39.837599999999952</v>
      </c>
      <c r="BG28" s="34">
        <f t="shared" si="42"/>
        <v>878.27222472088715</v>
      </c>
      <c r="BH28" s="34">
        <f t="shared" si="43"/>
        <v>3.2722247208871522</v>
      </c>
      <c r="BI28" s="34">
        <f t="shared" si="44"/>
        <v>3.2722247208871522</v>
      </c>
      <c r="BJ28" s="33">
        <f t="shared" si="45"/>
        <v>865.48581574562763</v>
      </c>
      <c r="BK28" s="34">
        <f t="shared" si="46"/>
        <v>-9.5141842543723669</v>
      </c>
      <c r="BL28" s="34">
        <f t="shared" si="47"/>
        <v>9.5141842543723669</v>
      </c>
      <c r="BM28" s="113">
        <f t="shared" si="48"/>
        <v>-1.087335343356842</v>
      </c>
      <c r="BN28" s="113">
        <f t="shared" si="49"/>
        <v>1.087335343356842</v>
      </c>
      <c r="BO28" s="113">
        <f t="shared" si="50"/>
        <v>1.0217755834828655</v>
      </c>
      <c r="BP28" s="33">
        <f t="shared" si="51"/>
        <v>824.08533736306117</v>
      </c>
      <c r="BQ28" s="34">
        <f t="shared" si="52"/>
        <v>-50.914662636938829</v>
      </c>
      <c r="BR28" s="34">
        <f t="shared" si="53"/>
        <v>50.914662636938829</v>
      </c>
      <c r="BS28" s="113">
        <f t="shared" si="54"/>
        <v>-5.8188185870787228</v>
      </c>
      <c r="BT28" s="113">
        <f t="shared" si="55"/>
        <v>5.8188185870787228</v>
      </c>
      <c r="BU28" s="113">
        <f t="shared" si="56"/>
        <v>1.7152900361328789</v>
      </c>
    </row>
    <row r="29" spans="1:73" x14ac:dyDescent="0.15">
      <c r="A29" s="24" t="s">
        <v>77</v>
      </c>
      <c r="B29" s="90" t="s">
        <v>584</v>
      </c>
      <c r="C29" s="24" t="s">
        <v>403</v>
      </c>
      <c r="D29" s="275">
        <v>-16.947972</v>
      </c>
      <c r="E29" s="275">
        <v>122.51233329999999</v>
      </c>
      <c r="F29" s="44" t="s">
        <v>148</v>
      </c>
      <c r="G29" s="44" t="s">
        <v>985</v>
      </c>
      <c r="H29" s="44" t="s">
        <v>374</v>
      </c>
      <c r="I29" s="44" t="s">
        <v>580</v>
      </c>
      <c r="J29" s="26">
        <v>1687.51</v>
      </c>
      <c r="K29" s="26">
        <v>1700</v>
      </c>
      <c r="L29" s="44" t="s">
        <v>582</v>
      </c>
      <c r="M29" s="26">
        <v>453.15</v>
      </c>
      <c r="N29" s="26">
        <v>422.55</v>
      </c>
      <c r="O29" s="26">
        <v>598.86</v>
      </c>
      <c r="P29" t="s">
        <v>37</v>
      </c>
      <c r="Q29" s="38">
        <f t="shared" si="0"/>
        <v>1790.8520449999999</v>
      </c>
      <c r="R29" s="38">
        <f t="shared" si="1"/>
        <v>1736.2093799999998</v>
      </c>
      <c r="S29" s="38">
        <f t="shared" si="2"/>
        <v>1756.193411438783</v>
      </c>
      <c r="T29" s="38">
        <f t="shared" si="3"/>
        <v>1620.9907148847431</v>
      </c>
      <c r="U29" s="38">
        <f t="shared" si="4"/>
        <v>1678.333333333333</v>
      </c>
      <c r="V29" s="38">
        <f t="shared" si="5"/>
        <v>1771.7177960048514</v>
      </c>
      <c r="W29" s="38">
        <f t="shared" si="6"/>
        <v>1789.5238438434135</v>
      </c>
      <c r="X29" s="38">
        <f t="shared" si="7"/>
        <v>1757.08943</v>
      </c>
      <c r="Y29" s="38">
        <f t="shared" si="8"/>
        <v>1718.7124277576581</v>
      </c>
      <c r="Z29" s="34">
        <f t="shared" si="9"/>
        <v>1791.0837500000002</v>
      </c>
      <c r="AA29" s="34">
        <f t="shared" si="10"/>
        <v>103.57375000000025</v>
      </c>
      <c r="AB29" s="34">
        <f t="shared" si="11"/>
        <v>103.57375000000025</v>
      </c>
      <c r="AC29" s="113">
        <f t="shared" si="12"/>
        <v>6.1376673323417483</v>
      </c>
      <c r="AD29" s="113">
        <f t="shared" si="13"/>
        <v>6.1376673323417483</v>
      </c>
      <c r="AE29" s="113">
        <f t="shared" si="14"/>
        <v>2.0194226820373031</v>
      </c>
      <c r="AF29" s="34">
        <f t="shared" si="15"/>
        <v>1757.7268300000001</v>
      </c>
      <c r="AG29" s="34">
        <f t="shared" si="16"/>
        <v>70.216830000000073</v>
      </c>
      <c r="AH29" s="34">
        <f t="shared" si="17"/>
        <v>70.216830000000073</v>
      </c>
      <c r="AI29" s="113">
        <f t="shared" si="18"/>
        <v>4.1609726757174812</v>
      </c>
      <c r="AJ29" s="113">
        <f t="shared" si="19"/>
        <v>4.1609726757174812</v>
      </c>
      <c r="AK29" s="113">
        <f t="shared" si="20"/>
        <v>1.85258263847405</v>
      </c>
      <c r="AL29" s="34">
        <f t="shared" si="21"/>
        <v>1775.0845062030469</v>
      </c>
      <c r="AM29" s="34">
        <f t="shared" si="22"/>
        <v>87.574506203046894</v>
      </c>
      <c r="AN29" s="34">
        <f t="shared" si="23"/>
        <v>87.574506203046894</v>
      </c>
      <c r="AO29" s="113">
        <f t="shared" si="24"/>
        <v>5.1895696145828412</v>
      </c>
      <c r="AP29" s="113">
        <f t="shared" si="25"/>
        <v>5.1895696145828412</v>
      </c>
      <c r="AQ29" s="113">
        <f t="shared" si="26"/>
        <v>1.9473087398492488</v>
      </c>
      <c r="AR29" s="34">
        <f t="shared" si="27"/>
        <v>1655.1887966164529</v>
      </c>
      <c r="AS29" s="34">
        <f t="shared" si="28"/>
        <v>-32.321203383547072</v>
      </c>
      <c r="AT29" s="34">
        <f t="shared" si="29"/>
        <v>32.321203383547072</v>
      </c>
      <c r="AU29" s="113">
        <f t="shared" si="30"/>
        <v>-1.9153192208370362</v>
      </c>
      <c r="AV29" s="113">
        <f t="shared" si="31"/>
        <v>1.9153192208370362</v>
      </c>
      <c r="AW29" s="113">
        <f t="shared" si="32"/>
        <v>1.5227206774105251</v>
      </c>
      <c r="AX29" s="34">
        <f t="shared" si="33"/>
        <v>1760.625</v>
      </c>
      <c r="AY29" s="34">
        <f t="shared" si="34"/>
        <v>73.115000000000009</v>
      </c>
      <c r="AZ29" s="34">
        <f t="shared" si="35"/>
        <v>73.115000000000009</v>
      </c>
      <c r="BA29" s="113">
        <f t="shared" si="36"/>
        <v>4.3327150653922057</v>
      </c>
      <c r="BB29" s="113">
        <f t="shared" si="37"/>
        <v>4.3327150653922057</v>
      </c>
      <c r="BC29" s="113">
        <f t="shared" si="38"/>
        <v>1.869906112945098</v>
      </c>
      <c r="BD29" s="34">
        <f t="shared" si="57"/>
        <v>1698.65192</v>
      </c>
      <c r="BE29" s="34">
        <f t="shared" si="40"/>
        <v>11.141920000000027</v>
      </c>
      <c r="BF29" s="34">
        <f t="shared" si="41"/>
        <v>11.141920000000027</v>
      </c>
      <c r="BG29" s="34">
        <f t="shared" si="42"/>
        <v>1712.1379423271885</v>
      </c>
      <c r="BH29" s="34">
        <f t="shared" si="43"/>
        <v>24.627942327188521</v>
      </c>
      <c r="BI29" s="34">
        <f t="shared" si="44"/>
        <v>24.627942327188521</v>
      </c>
      <c r="BJ29" s="33">
        <f t="shared" si="45"/>
        <v>1732.3409490014649</v>
      </c>
      <c r="BK29" s="34">
        <f t="shared" si="46"/>
        <v>44.830949001464887</v>
      </c>
      <c r="BL29" s="34">
        <f t="shared" si="47"/>
        <v>44.830949001464887</v>
      </c>
      <c r="BM29" s="113">
        <f t="shared" si="48"/>
        <v>2.6566330867055536</v>
      </c>
      <c r="BN29" s="113">
        <f t="shared" si="49"/>
        <v>2.6566330867055536</v>
      </c>
      <c r="BO29" s="113">
        <f t="shared" si="50"/>
        <v>1.661158850084246</v>
      </c>
      <c r="BP29" s="33">
        <f t="shared" si="51"/>
        <v>1683.4868806601178</v>
      </c>
      <c r="BQ29" s="34">
        <f t="shared" si="52"/>
        <v>-4.0231193398822143</v>
      </c>
      <c r="BR29" s="34">
        <f t="shared" si="53"/>
        <v>4.0231193398822143</v>
      </c>
      <c r="BS29" s="113">
        <f t="shared" si="54"/>
        <v>-0.23840565921874327</v>
      </c>
      <c r="BT29" s="113">
        <f t="shared" si="55"/>
        <v>0.23840565921874327</v>
      </c>
      <c r="BU29" s="113">
        <f t="shared" si="56"/>
        <v>0.70097349630341477</v>
      </c>
    </row>
    <row r="30" spans="1:73" x14ac:dyDescent="0.15">
      <c r="A30" s="24" t="s">
        <v>77</v>
      </c>
      <c r="B30" s="90" t="s">
        <v>384</v>
      </c>
      <c r="C30" s="24" t="s">
        <v>403</v>
      </c>
      <c r="D30" s="275"/>
      <c r="E30" s="275"/>
      <c r="F30" s="44" t="s">
        <v>148</v>
      </c>
      <c r="G30" s="44" t="s">
        <v>385</v>
      </c>
      <c r="H30" s="44" t="s">
        <v>374</v>
      </c>
      <c r="I30" s="44" t="s">
        <v>580</v>
      </c>
      <c r="J30" s="27">
        <v>1545.5</v>
      </c>
      <c r="K30" s="26">
        <v>1500</v>
      </c>
      <c r="L30" s="30" t="s">
        <v>582</v>
      </c>
      <c r="M30" s="27">
        <v>408.8</v>
      </c>
      <c r="N30" s="27">
        <v>389</v>
      </c>
      <c r="O30" s="27">
        <v>511.5</v>
      </c>
      <c r="P30" t="s">
        <v>37</v>
      </c>
      <c r="Q30" s="38">
        <f t="shared" si="0"/>
        <v>1637.6538400000002</v>
      </c>
      <c r="R30" s="38">
        <f t="shared" si="1"/>
        <v>1584.3017599999998</v>
      </c>
      <c r="S30" s="38">
        <f t="shared" si="2"/>
        <v>1591.477372990583</v>
      </c>
      <c r="T30" s="38">
        <f t="shared" si="3"/>
        <v>1484.2094112929342</v>
      </c>
      <c r="U30" s="38">
        <f t="shared" si="4"/>
        <v>1514.0740740740739</v>
      </c>
      <c r="V30" s="38">
        <f t="shared" si="5"/>
        <v>1593.3880228117184</v>
      </c>
      <c r="W30" s="38">
        <f t="shared" si="6"/>
        <v>1609.4018278452047</v>
      </c>
      <c r="X30" s="38">
        <f t="shared" si="7"/>
        <v>1599.5493600000002</v>
      </c>
      <c r="Y30" s="38">
        <f t="shared" si="8"/>
        <v>1554.050582470061</v>
      </c>
      <c r="Z30" s="34">
        <f t="shared" si="9"/>
        <v>1666.7810000000002</v>
      </c>
      <c r="AA30" s="34">
        <f t="shared" si="10"/>
        <v>121.28100000000018</v>
      </c>
      <c r="AB30" s="34">
        <f t="shared" si="11"/>
        <v>121.28100000000018</v>
      </c>
      <c r="AC30" s="113">
        <f t="shared" si="12"/>
        <v>7.8473633128437514</v>
      </c>
      <c r="AD30" s="113">
        <f t="shared" si="13"/>
        <v>7.8473633128437514</v>
      </c>
      <c r="AE30" s="113">
        <f t="shared" si="14"/>
        <v>2.0873589816790608</v>
      </c>
      <c r="AF30" s="34">
        <f t="shared" si="15"/>
        <v>1631.3574000000001</v>
      </c>
      <c r="AG30" s="34">
        <f t="shared" si="16"/>
        <v>85.857400000000098</v>
      </c>
      <c r="AH30" s="34">
        <f t="shared" si="17"/>
        <v>85.857400000000098</v>
      </c>
      <c r="AI30" s="113">
        <f t="shared" si="18"/>
        <v>5.5553154318990678</v>
      </c>
      <c r="AJ30" s="113">
        <f t="shared" si="19"/>
        <v>5.5553154318990678</v>
      </c>
      <c r="AK30" s="113">
        <f t="shared" si="20"/>
        <v>1.9388068249968178</v>
      </c>
      <c r="AL30" s="34">
        <f t="shared" si="21"/>
        <v>1638.1513056490467</v>
      </c>
      <c r="AM30" s="34">
        <f t="shared" si="22"/>
        <v>92.651305649046662</v>
      </c>
      <c r="AN30" s="34">
        <f t="shared" si="23"/>
        <v>92.651305649046662</v>
      </c>
      <c r="AO30" s="113">
        <f t="shared" si="24"/>
        <v>5.9949081623453031</v>
      </c>
      <c r="AP30" s="113">
        <f t="shared" si="25"/>
        <v>5.9949081623453031</v>
      </c>
      <c r="AQ30" s="113">
        <f t="shared" si="26"/>
        <v>1.9715138365134297</v>
      </c>
      <c r="AR30" s="34">
        <f t="shared" si="27"/>
        <v>1542.0424555892498</v>
      </c>
      <c r="AS30" s="34">
        <f t="shared" si="28"/>
        <v>-3.457544410750188</v>
      </c>
      <c r="AT30" s="34">
        <f t="shared" si="29"/>
        <v>3.457544410750188</v>
      </c>
      <c r="AU30" s="113">
        <f t="shared" si="30"/>
        <v>-0.22371688196377795</v>
      </c>
      <c r="AV30" s="113">
        <f t="shared" si="31"/>
        <v>0.22371688196377795</v>
      </c>
      <c r="AW30" s="113">
        <f t="shared" si="32"/>
        <v>0.64909567876778773</v>
      </c>
      <c r="AX30" s="34">
        <f t="shared" si="33"/>
        <v>1620.8333333333335</v>
      </c>
      <c r="AY30" s="34">
        <f t="shared" si="34"/>
        <v>75.333333333333485</v>
      </c>
      <c r="AZ30" s="34">
        <f t="shared" si="35"/>
        <v>75.333333333333485</v>
      </c>
      <c r="BA30" s="113">
        <f t="shared" si="36"/>
        <v>4.8743664402027491</v>
      </c>
      <c r="BB30" s="113">
        <f t="shared" si="37"/>
        <v>4.8743664402027491</v>
      </c>
      <c r="BC30" s="113">
        <f t="shared" si="38"/>
        <v>1.8827142276202264</v>
      </c>
      <c r="BD30" s="34">
        <f t="shared" si="57"/>
        <v>1572.5575999999999</v>
      </c>
      <c r="BE30" s="34">
        <f t="shared" si="40"/>
        <v>27.057599999999866</v>
      </c>
      <c r="BF30" s="34">
        <f t="shared" si="41"/>
        <v>27.057599999999866</v>
      </c>
      <c r="BG30" s="34">
        <f t="shared" si="42"/>
        <v>1578.6494508282042</v>
      </c>
      <c r="BH30" s="34">
        <f t="shared" si="43"/>
        <v>33.149450828204181</v>
      </c>
      <c r="BI30" s="34">
        <f t="shared" si="44"/>
        <v>33.149450828204181</v>
      </c>
      <c r="BJ30" s="33">
        <f t="shared" si="45"/>
        <v>1592.158578608942</v>
      </c>
      <c r="BK30" s="34">
        <f t="shared" si="46"/>
        <v>46.65857860894198</v>
      </c>
      <c r="BL30" s="34">
        <f t="shared" si="47"/>
        <v>46.65857860894198</v>
      </c>
      <c r="BM30" s="113">
        <f t="shared" si="48"/>
        <v>3.0189957042343565</v>
      </c>
      <c r="BN30" s="113">
        <f t="shared" si="49"/>
        <v>3.0189957042343565</v>
      </c>
      <c r="BO30" s="113">
        <f t="shared" si="50"/>
        <v>1.6781410856080372</v>
      </c>
      <c r="BP30" s="33">
        <f t="shared" si="51"/>
        <v>1543.4224262448206</v>
      </c>
      <c r="BQ30" s="34">
        <f t="shared" si="52"/>
        <v>-2.0775737551794009</v>
      </c>
      <c r="BR30" s="34">
        <f t="shared" si="53"/>
        <v>2.0775737551794009</v>
      </c>
      <c r="BS30" s="113">
        <f t="shared" si="54"/>
        <v>-0.13442728923839539</v>
      </c>
      <c r="BT30" s="113">
        <f t="shared" si="55"/>
        <v>0.13442728923839539</v>
      </c>
      <c r="BU30" s="113">
        <f t="shared" si="56"/>
        <v>0.48820846975399557</v>
      </c>
    </row>
    <row r="31" spans="1:73" x14ac:dyDescent="0.15">
      <c r="A31" s="24"/>
      <c r="B31" s="7"/>
      <c r="C31" s="24"/>
      <c r="D31" s="24"/>
      <c r="E31" s="24"/>
      <c r="F31" s="10"/>
      <c r="G31" s="10"/>
      <c r="H31" s="44"/>
      <c r="I31" s="10"/>
      <c r="J31" s="10"/>
      <c r="K31" s="8"/>
      <c r="L31" s="8"/>
      <c r="M31" s="8"/>
      <c r="N31" s="8"/>
      <c r="O31" s="8"/>
      <c r="P31" s="27"/>
      <c r="Q31" s="38"/>
      <c r="R31" s="38"/>
      <c r="S31" s="38"/>
      <c r="T31" s="38"/>
      <c r="U31" s="38"/>
      <c r="V31" s="38"/>
      <c r="W31" s="38"/>
      <c r="X31" s="38"/>
      <c r="Y31" s="38"/>
      <c r="Z31" s="34"/>
      <c r="AA31" s="34"/>
      <c r="AB31" s="34"/>
      <c r="AF31" s="34"/>
      <c r="AG31" s="34"/>
      <c r="AH31" s="34"/>
      <c r="AL31" s="34"/>
      <c r="AM31" s="34"/>
      <c r="AN31" s="34"/>
      <c r="AR31" s="34"/>
      <c r="AS31" s="34"/>
      <c r="AT31" s="34"/>
      <c r="AX31" s="34"/>
      <c r="AY31" s="34"/>
      <c r="AZ31" s="34"/>
      <c r="BD31" s="38"/>
      <c r="BE31" s="38"/>
      <c r="BF31" s="38"/>
      <c r="BG31" s="38"/>
      <c r="BH31" s="38"/>
      <c r="BI31" s="38"/>
    </row>
    <row r="32" spans="1:73" x14ac:dyDescent="0.15">
      <c r="A32" s="24"/>
      <c r="B32" s="7"/>
      <c r="C32" s="24"/>
      <c r="D32" s="24"/>
      <c r="E32" s="24"/>
      <c r="F32" s="10"/>
      <c r="G32" s="10"/>
      <c r="H32" s="44"/>
      <c r="I32" s="10"/>
      <c r="J32" s="10"/>
      <c r="K32" s="27"/>
      <c r="L32" s="8"/>
      <c r="M32" s="27"/>
      <c r="N32" s="27"/>
      <c r="O32" s="27"/>
      <c r="P32" s="27"/>
      <c r="Q32" s="27"/>
      <c r="BD32" s="34"/>
    </row>
    <row r="33" spans="1:56" x14ac:dyDescent="0.15">
      <c r="A33" s="24"/>
      <c r="B33" s="7"/>
      <c r="C33" s="24"/>
      <c r="D33" s="24"/>
      <c r="E33" s="24"/>
      <c r="F33" s="10"/>
      <c r="G33" s="10"/>
      <c r="H33" s="44"/>
      <c r="I33" s="10"/>
      <c r="J33" s="10"/>
      <c r="K33" s="8"/>
      <c r="L33" s="8"/>
      <c r="M33" s="27"/>
      <c r="N33" s="27"/>
      <c r="O33" s="27"/>
      <c r="P33" s="27"/>
      <c r="Q33" s="27"/>
      <c r="BD33" s="34"/>
    </row>
    <row r="34" spans="1:56" x14ac:dyDescent="0.15">
      <c r="A34" s="24"/>
      <c r="B34" s="7"/>
      <c r="C34" s="24"/>
      <c r="D34" s="24"/>
      <c r="E34" s="24"/>
      <c r="F34" s="10"/>
      <c r="G34" s="10"/>
      <c r="H34" s="44"/>
      <c r="I34" s="10"/>
      <c r="J34" s="10"/>
      <c r="K34" s="27"/>
      <c r="L34" s="8"/>
      <c r="M34" s="27"/>
      <c r="O34" s="27"/>
      <c r="P34" s="27"/>
      <c r="Q34" s="27"/>
      <c r="BD34" s="34"/>
    </row>
    <row r="35" spans="1:56" x14ac:dyDescent="0.15">
      <c r="A35" s="24"/>
      <c r="B35" s="7"/>
      <c r="C35" s="24"/>
      <c r="D35" s="24"/>
      <c r="E35" s="24"/>
      <c r="F35" s="10"/>
      <c r="G35" s="10"/>
      <c r="H35" s="44"/>
      <c r="I35" s="10"/>
      <c r="J35" s="10"/>
      <c r="K35" s="8"/>
      <c r="L35" s="8"/>
      <c r="M35" s="27"/>
      <c r="N35" s="27"/>
      <c r="O35" s="27"/>
      <c r="P35" s="27"/>
      <c r="Q35" s="27"/>
    </row>
    <row r="36" spans="1:56" x14ac:dyDescent="0.15">
      <c r="A36" s="24"/>
      <c r="B36" s="7"/>
      <c r="C36" s="24"/>
      <c r="D36" s="24"/>
      <c r="E36" s="24"/>
      <c r="F36" s="10"/>
      <c r="G36" s="10"/>
      <c r="H36" s="44"/>
      <c r="I36" s="10"/>
      <c r="J36" s="10"/>
      <c r="K36" s="8"/>
      <c r="L36" s="8"/>
      <c r="M36" s="27"/>
      <c r="N36" s="27"/>
      <c r="O36" s="27"/>
      <c r="P36" s="27"/>
      <c r="Q36" s="27"/>
    </row>
    <row r="37" spans="1:56" x14ac:dyDescent="0.15">
      <c r="A37" s="24"/>
      <c r="B37" s="7"/>
      <c r="C37" s="24"/>
      <c r="D37" s="24"/>
      <c r="E37" s="24"/>
      <c r="F37" s="10"/>
      <c r="G37" s="10"/>
      <c r="H37" s="29"/>
      <c r="I37" s="10"/>
      <c r="J37" s="10"/>
      <c r="K37" s="8"/>
      <c r="L37" s="8"/>
      <c r="M37" s="8"/>
      <c r="N37" s="8"/>
      <c r="O37" s="26"/>
      <c r="P37" s="26"/>
      <c r="Q37" s="26"/>
    </row>
    <row r="38" spans="1:56" x14ac:dyDescent="0.15">
      <c r="A38" s="24"/>
      <c r="B38" s="7"/>
      <c r="C38" s="24"/>
      <c r="D38" s="24"/>
      <c r="E38" s="24"/>
      <c r="F38" s="10"/>
      <c r="G38" s="10"/>
      <c r="H38" s="10"/>
      <c r="I38" s="10"/>
      <c r="J38" s="10"/>
      <c r="K38" s="27"/>
      <c r="L38" s="8"/>
      <c r="M38" s="27"/>
      <c r="N38" s="27"/>
      <c r="O38" s="27"/>
      <c r="P38" s="27"/>
      <c r="Q38" s="27"/>
    </row>
    <row r="39" spans="1:56" x14ac:dyDescent="0.15">
      <c r="A39" s="24"/>
      <c r="B39" s="7"/>
      <c r="C39" s="24"/>
      <c r="D39" s="24"/>
      <c r="E39" s="24"/>
      <c r="F39" s="10"/>
      <c r="G39" s="10"/>
      <c r="H39" s="10"/>
      <c r="I39" s="10"/>
      <c r="J39" s="10"/>
      <c r="K39" s="27"/>
      <c r="L39" s="8"/>
      <c r="M39" s="27"/>
      <c r="N39" s="27"/>
      <c r="O39" s="27"/>
      <c r="P39" s="27"/>
      <c r="Q39" s="27"/>
    </row>
    <row r="40" spans="1:56" x14ac:dyDescent="0.15">
      <c r="A40" s="24"/>
      <c r="B40" s="7"/>
      <c r="C40" s="24"/>
      <c r="D40" s="24"/>
      <c r="E40" s="24"/>
      <c r="F40" s="10"/>
      <c r="G40" s="10"/>
      <c r="H40" s="10"/>
      <c r="I40" s="10"/>
      <c r="J40" s="10"/>
      <c r="K40" s="27"/>
      <c r="L40" s="8"/>
      <c r="M40" s="27"/>
      <c r="N40" s="27"/>
      <c r="O40" s="27"/>
      <c r="P40" s="27"/>
      <c r="Q40" s="27"/>
    </row>
    <row r="41" spans="1:56" x14ac:dyDescent="0.15">
      <c r="A41" s="24"/>
      <c r="B41" s="7"/>
      <c r="C41" s="24"/>
      <c r="D41" s="24"/>
      <c r="E41" s="24"/>
      <c r="F41" s="10"/>
      <c r="G41" s="10"/>
      <c r="H41" s="10"/>
      <c r="I41" s="10"/>
      <c r="J41" s="10"/>
      <c r="K41" s="27"/>
      <c r="L41" s="8"/>
      <c r="M41" s="27"/>
      <c r="N41" s="27"/>
      <c r="O41" s="27"/>
      <c r="P41" s="27"/>
      <c r="Q41" s="27"/>
    </row>
    <row r="42" spans="1:56" x14ac:dyDescent="0.15">
      <c r="A42" s="24"/>
      <c r="B42" s="7"/>
      <c r="C42" s="24"/>
      <c r="D42" s="24"/>
      <c r="E42" s="24"/>
      <c r="F42" s="10"/>
      <c r="G42" s="10"/>
      <c r="H42" s="10"/>
      <c r="I42" s="10"/>
      <c r="J42" s="10"/>
      <c r="K42" s="27"/>
      <c r="L42" s="8"/>
      <c r="M42" s="27"/>
      <c r="N42" s="27"/>
      <c r="O42" s="27"/>
      <c r="P42" s="27"/>
      <c r="Q42" s="27"/>
    </row>
    <row r="43" spans="1:56" x14ac:dyDescent="0.15">
      <c r="A43" s="24"/>
      <c r="B43" s="7"/>
      <c r="C43" s="24"/>
      <c r="D43" s="24"/>
      <c r="E43" s="24"/>
      <c r="F43" s="10"/>
      <c r="G43" s="10"/>
      <c r="H43" s="10"/>
      <c r="I43" s="10"/>
      <c r="J43" s="10"/>
      <c r="K43" s="27"/>
      <c r="L43" s="8"/>
      <c r="M43" s="27"/>
      <c r="N43" s="27"/>
      <c r="O43" s="27"/>
      <c r="P43" s="27"/>
      <c r="Q43" s="27"/>
    </row>
    <row r="44" spans="1:56" x14ac:dyDescent="0.15">
      <c r="A44" s="24"/>
      <c r="B44" s="7"/>
      <c r="C44" s="24"/>
      <c r="D44" s="24"/>
      <c r="E44" s="24"/>
      <c r="F44" s="10"/>
      <c r="G44" s="10"/>
      <c r="H44" s="10"/>
      <c r="I44" s="10"/>
      <c r="J44" s="10"/>
      <c r="K44" s="8"/>
      <c r="L44" s="8"/>
      <c r="M44" s="27"/>
      <c r="N44" s="27"/>
      <c r="O44" s="27"/>
      <c r="P44" s="27"/>
      <c r="Q44" s="27"/>
    </row>
    <row r="45" spans="1:56" x14ac:dyDescent="0.15">
      <c r="A45" s="24"/>
      <c r="B45" s="7"/>
      <c r="C45" s="24"/>
      <c r="D45" s="24"/>
      <c r="E45" s="24"/>
      <c r="F45" s="20"/>
      <c r="G45" s="20"/>
      <c r="H45" s="10"/>
      <c r="I45" s="10"/>
      <c r="J45" s="76"/>
      <c r="L45" s="20"/>
      <c r="O45" s="27"/>
      <c r="P45" s="27"/>
      <c r="Q45" s="27"/>
    </row>
    <row r="46" spans="1:56" x14ac:dyDescent="0.15">
      <c r="A46" s="24"/>
      <c r="B46" s="7"/>
      <c r="C46" s="24"/>
      <c r="D46" s="24"/>
      <c r="E46" s="24"/>
      <c r="F46" s="10"/>
      <c r="G46" s="10"/>
      <c r="I46" s="10"/>
      <c r="J46" s="76"/>
      <c r="L46" s="20"/>
      <c r="O46" s="27"/>
      <c r="P46" s="27"/>
      <c r="Q46" s="27"/>
    </row>
    <row r="47" spans="1:56" x14ac:dyDescent="0.15">
      <c r="A47" s="24"/>
      <c r="B47" s="7"/>
      <c r="C47" s="24"/>
      <c r="D47" s="24"/>
      <c r="E47" s="24"/>
      <c r="F47" s="29"/>
      <c r="G47" s="29"/>
      <c r="H47" s="10"/>
      <c r="I47" s="29"/>
      <c r="J47" s="29"/>
      <c r="L47" s="8"/>
      <c r="O47" s="27"/>
      <c r="P47" s="27"/>
      <c r="Q47" s="27"/>
    </row>
  </sheetData>
  <sortState xmlns:xlrd2="http://schemas.microsoft.com/office/spreadsheetml/2017/richdata2" ref="A2:BU47">
    <sortCondition ref="F1:F47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06C-E4B9-8844-9C0E-60B3CD6CDC60}">
  <dimension ref="A1:W220"/>
  <sheetViews>
    <sheetView tabSelected="1" workbookViewId="0">
      <selection activeCell="P1" sqref="P1"/>
    </sheetView>
  </sheetViews>
  <sheetFormatPr baseColWidth="10" defaultRowHeight="13" x14ac:dyDescent="0.15"/>
  <cols>
    <col min="2" max="2" width="12" customWidth="1"/>
    <col min="6" max="6" width="11.83203125" customWidth="1"/>
    <col min="8" max="8" width="12" customWidth="1"/>
    <col min="10" max="10" width="13.1640625" style="56" customWidth="1"/>
    <col min="11" max="11" width="15.33203125" customWidth="1"/>
    <col min="12" max="12" width="11.1640625" customWidth="1"/>
    <col min="13" max="13" width="11.33203125" customWidth="1"/>
    <col min="14" max="14" width="10.83203125" customWidth="1"/>
    <col min="15" max="15" width="10.6640625" customWidth="1"/>
    <col min="16" max="16" width="12" customWidth="1"/>
    <col min="17" max="17" width="13" style="34" customWidth="1"/>
    <col min="18" max="18" width="15.1640625" customWidth="1"/>
    <col min="19" max="19" width="11" bestFit="1" customWidth="1"/>
    <col min="20" max="20" width="12.1640625" bestFit="1" customWidth="1"/>
    <col min="21" max="21" width="12.6640625" bestFit="1" customWidth="1"/>
    <col min="22" max="22" width="11" bestFit="1" customWidth="1"/>
    <col min="23" max="23" width="12.1640625" bestFit="1" customWidth="1"/>
    <col min="24" max="25" width="11" bestFit="1" customWidth="1"/>
  </cols>
  <sheetData>
    <row r="1" spans="1:23" x14ac:dyDescent="0.15">
      <c r="A1" t="s">
        <v>402</v>
      </c>
      <c r="B1" s="24" t="s">
        <v>511</v>
      </c>
      <c r="C1" s="24" t="s">
        <v>905</v>
      </c>
      <c r="D1" s="24" t="s">
        <v>906</v>
      </c>
      <c r="E1" s="24" t="s">
        <v>660</v>
      </c>
      <c r="F1" s="29" t="s">
        <v>442</v>
      </c>
      <c r="G1" s="29" t="s">
        <v>583</v>
      </c>
      <c r="H1" s="29" t="s">
        <v>510</v>
      </c>
      <c r="I1" s="24" t="s">
        <v>517</v>
      </c>
      <c r="J1" s="129" t="s">
        <v>541</v>
      </c>
      <c r="K1" s="32" t="s">
        <v>542</v>
      </c>
      <c r="L1" s="3" t="s">
        <v>602</v>
      </c>
      <c r="M1" s="3" t="s">
        <v>641</v>
      </c>
      <c r="N1" s="3" t="s">
        <v>644</v>
      </c>
      <c r="O1" s="3" t="s">
        <v>682</v>
      </c>
      <c r="P1" s="3" t="s">
        <v>683</v>
      </c>
      <c r="Q1" s="130" t="s">
        <v>543</v>
      </c>
      <c r="R1" s="3" t="s">
        <v>544</v>
      </c>
      <c r="S1" s="3" t="s">
        <v>603</v>
      </c>
      <c r="T1" s="3" t="s">
        <v>642</v>
      </c>
      <c r="U1" s="3" t="s">
        <v>643</v>
      </c>
      <c r="V1" s="3" t="s">
        <v>684</v>
      </c>
      <c r="W1" s="3" t="s">
        <v>685</v>
      </c>
    </row>
    <row r="2" spans="1:23" x14ac:dyDescent="0.15">
      <c r="A2" s="24" t="s">
        <v>486</v>
      </c>
      <c r="B2" s="24" t="s">
        <v>513</v>
      </c>
      <c r="C2" s="24" t="s">
        <v>403</v>
      </c>
      <c r="D2" s="29" t="s">
        <v>82</v>
      </c>
      <c r="E2" s="24" t="s">
        <v>661</v>
      </c>
      <c r="F2" s="44" t="s">
        <v>203</v>
      </c>
      <c r="G2" s="44" t="s">
        <v>581</v>
      </c>
      <c r="H2" s="44" t="s">
        <v>518</v>
      </c>
      <c r="I2" s="24">
        <v>4927.5</v>
      </c>
      <c r="J2" s="56">
        <v>4610.7379999999994</v>
      </c>
      <c r="K2" s="34">
        <f t="shared" ref="K2:K65" si="0">J2-I2</f>
        <v>-316.76200000000063</v>
      </c>
      <c r="L2" s="56">
        <f t="shared" ref="L2:L65" si="1">K2^2</f>
        <v>100338.1646440004</v>
      </c>
      <c r="M2" s="56">
        <f t="shared" ref="M2:M65" si="2">SQRT(L2)</f>
        <v>316.76200000000063</v>
      </c>
      <c r="N2" s="56">
        <f t="shared" ref="N2:N65" si="3">LOG10(M2+1)</f>
        <v>2.5021019602815215</v>
      </c>
      <c r="O2" s="143">
        <f t="shared" ref="O2:O65" si="4">100*K2/I2</f>
        <v>-6.4284525621512048</v>
      </c>
      <c r="P2" s="143">
        <f t="shared" ref="P2:P65" si="5">ABS(O2)</f>
        <v>6.4284525621512048</v>
      </c>
      <c r="Q2" s="34">
        <v>4554.6351999999997</v>
      </c>
      <c r="R2" s="56">
        <f t="shared" ref="R2:R65" si="6">Q2-I2</f>
        <v>-372.86480000000029</v>
      </c>
      <c r="S2" s="56">
        <f t="shared" ref="S2:S65" si="7">R2^2</f>
        <v>139028.15907904023</v>
      </c>
      <c r="T2" s="56">
        <f t="shared" ref="T2:T65" si="8">SQRT(S2)</f>
        <v>372.86480000000029</v>
      </c>
      <c r="U2" s="56">
        <f t="shared" ref="U2:U65" si="9">LOG10(T2+1)</f>
        <v>2.5727145775227767</v>
      </c>
      <c r="V2" s="33">
        <f t="shared" ref="V2:V65" si="10">100*R2/I2</f>
        <v>-7.5670177574835158</v>
      </c>
      <c r="W2" s="143">
        <f t="shared" ref="W2:W65" si="11">ABS(V2)</f>
        <v>7.5670177574835158</v>
      </c>
    </row>
    <row r="3" spans="1:23" x14ac:dyDescent="0.15">
      <c r="A3" s="24" t="s">
        <v>431</v>
      </c>
      <c r="B3" s="24" t="s">
        <v>513</v>
      </c>
      <c r="C3" s="24" t="s">
        <v>458</v>
      </c>
      <c r="D3" s="29" t="s">
        <v>82</v>
      </c>
      <c r="E3" s="24" t="s">
        <v>661</v>
      </c>
      <c r="F3" s="44" t="s">
        <v>203</v>
      </c>
      <c r="G3" s="44" t="s">
        <v>581</v>
      </c>
      <c r="H3" s="44" t="s">
        <v>518</v>
      </c>
      <c r="I3" s="24">
        <v>4710</v>
      </c>
      <c r="J3" s="56">
        <v>5217.1605999999992</v>
      </c>
      <c r="K3" s="34">
        <f t="shared" si="0"/>
        <v>507.16059999999925</v>
      </c>
      <c r="L3" s="56">
        <f t="shared" si="1"/>
        <v>257211.87419235925</v>
      </c>
      <c r="M3" s="56">
        <f t="shared" si="2"/>
        <v>507.16059999999925</v>
      </c>
      <c r="N3" s="56">
        <f t="shared" si="3"/>
        <v>2.7060009891954113</v>
      </c>
      <c r="O3" s="143">
        <f t="shared" si="4"/>
        <v>10.767740976645419</v>
      </c>
      <c r="P3" s="143">
        <f t="shared" si="5"/>
        <v>10.767740976645419</v>
      </c>
      <c r="Q3" s="34">
        <v>5047.8639999999996</v>
      </c>
      <c r="R3" s="56">
        <f t="shared" si="6"/>
        <v>337.86399999999958</v>
      </c>
      <c r="S3" s="56">
        <f t="shared" si="7"/>
        <v>114152.08249599971</v>
      </c>
      <c r="T3" s="56">
        <f t="shared" si="8"/>
        <v>337.86399999999958</v>
      </c>
      <c r="U3" s="56">
        <f t="shared" si="9"/>
        <v>2.5300254330102661</v>
      </c>
      <c r="V3" s="33">
        <f t="shared" si="10"/>
        <v>7.173333333333324</v>
      </c>
      <c r="W3" s="143">
        <f t="shared" si="11"/>
        <v>7.173333333333324</v>
      </c>
    </row>
    <row r="4" spans="1:23" x14ac:dyDescent="0.15">
      <c r="A4" s="90" t="s">
        <v>902</v>
      </c>
      <c r="B4" s="24" t="s">
        <v>513</v>
      </c>
      <c r="C4" s="24" t="s">
        <v>401</v>
      </c>
      <c r="D4" s="29" t="s">
        <v>82</v>
      </c>
      <c r="E4" s="24" t="s">
        <v>661</v>
      </c>
      <c r="F4" s="29" t="s">
        <v>374</v>
      </c>
      <c r="G4" s="29" t="s">
        <v>580</v>
      </c>
      <c r="H4" s="29" t="s">
        <v>582</v>
      </c>
      <c r="I4" s="24">
        <v>2870</v>
      </c>
      <c r="J4" s="34">
        <v>2693.5385999999999</v>
      </c>
      <c r="K4" s="34">
        <f t="shared" si="0"/>
        <v>-176.46140000000014</v>
      </c>
      <c r="L4" s="56">
        <f t="shared" si="1"/>
        <v>31138.625689960048</v>
      </c>
      <c r="M4" s="56">
        <f t="shared" si="2"/>
        <v>176.46140000000014</v>
      </c>
      <c r="N4" s="56">
        <f t="shared" si="3"/>
        <v>2.2491039033627738</v>
      </c>
      <c r="O4" s="143">
        <f t="shared" si="4"/>
        <v>-6.1484808362369385</v>
      </c>
      <c r="P4" s="143">
        <f t="shared" si="5"/>
        <v>6.1484808362369385</v>
      </c>
      <c r="Q4" s="56">
        <v>2687.9011999999998</v>
      </c>
      <c r="R4" s="56">
        <f t="shared" si="6"/>
        <v>-182.09880000000021</v>
      </c>
      <c r="S4" s="56">
        <f t="shared" si="7"/>
        <v>33159.972961440079</v>
      </c>
      <c r="T4" s="56">
        <f t="shared" si="8"/>
        <v>182.09880000000021</v>
      </c>
      <c r="U4" s="56">
        <f t="shared" si="9"/>
        <v>2.2626854980150446</v>
      </c>
      <c r="V4" s="33">
        <f t="shared" si="10"/>
        <v>-6.3449059233449541</v>
      </c>
      <c r="W4" s="143">
        <f t="shared" si="11"/>
        <v>6.3449059233449541</v>
      </c>
    </row>
    <row r="5" spans="1:23" x14ac:dyDescent="0.15">
      <c r="A5" s="24" t="s">
        <v>100</v>
      </c>
      <c r="B5" s="24" t="s">
        <v>513</v>
      </c>
      <c r="C5" s="24" t="s">
        <v>403</v>
      </c>
      <c r="D5" s="29" t="s">
        <v>82</v>
      </c>
      <c r="E5" s="24" t="s">
        <v>661</v>
      </c>
      <c r="F5" s="44" t="s">
        <v>374</v>
      </c>
      <c r="G5" s="44" t="s">
        <v>580</v>
      </c>
      <c r="H5" s="44" t="s">
        <v>582</v>
      </c>
      <c r="I5" s="24">
        <v>1299.96</v>
      </c>
      <c r="J5" s="56">
        <v>1265.7712040000001</v>
      </c>
      <c r="K5" s="34">
        <f t="shared" si="0"/>
        <v>-34.188795999999911</v>
      </c>
      <c r="L5" s="56">
        <f t="shared" si="1"/>
        <v>1168.87377192961</v>
      </c>
      <c r="M5" s="56">
        <f t="shared" si="2"/>
        <v>34.188795999999911</v>
      </c>
      <c r="N5" s="56">
        <f t="shared" si="3"/>
        <v>1.5464044075143162</v>
      </c>
      <c r="O5" s="143">
        <f t="shared" si="4"/>
        <v>-2.6299883073325265</v>
      </c>
      <c r="P5" s="143">
        <f t="shared" si="5"/>
        <v>2.6299883073325265</v>
      </c>
      <c r="Q5" s="34">
        <v>1223.0116639999999</v>
      </c>
      <c r="R5" s="56">
        <f t="shared" si="6"/>
        <v>-76.948336000000154</v>
      </c>
      <c r="S5" s="56">
        <f t="shared" si="7"/>
        <v>5921.0464131689196</v>
      </c>
      <c r="T5" s="56">
        <f t="shared" si="8"/>
        <v>76.948336000000154</v>
      </c>
      <c r="U5" s="56">
        <f t="shared" si="9"/>
        <v>1.8918068485340804</v>
      </c>
      <c r="V5" s="33">
        <f t="shared" si="10"/>
        <v>-5.9192849010738913</v>
      </c>
      <c r="W5" s="143">
        <f t="shared" si="11"/>
        <v>5.9192849010738913</v>
      </c>
    </row>
    <row r="6" spans="1:23" x14ac:dyDescent="0.15">
      <c r="A6" s="90" t="s">
        <v>588</v>
      </c>
      <c r="B6" s="24" t="s">
        <v>513</v>
      </c>
      <c r="C6" s="24" t="s">
        <v>403</v>
      </c>
      <c r="D6" s="44" t="s">
        <v>148</v>
      </c>
      <c r="E6" s="24" t="s">
        <v>661</v>
      </c>
      <c r="F6" s="44" t="s">
        <v>374</v>
      </c>
      <c r="G6" s="30" t="s">
        <v>580</v>
      </c>
      <c r="H6" s="44" t="s">
        <v>582</v>
      </c>
      <c r="I6" s="24">
        <v>2740.86</v>
      </c>
      <c r="J6" s="56">
        <v>2909.590776</v>
      </c>
      <c r="K6" s="34">
        <f t="shared" si="0"/>
        <v>168.73077599999988</v>
      </c>
      <c r="L6" s="56">
        <f t="shared" si="1"/>
        <v>28470.074769562136</v>
      </c>
      <c r="M6" s="56">
        <f t="shared" si="2"/>
        <v>168.73077599999988</v>
      </c>
      <c r="N6" s="56">
        <f t="shared" si="3"/>
        <v>2.2297605967969787</v>
      </c>
      <c r="O6" s="143">
        <f t="shared" si="4"/>
        <v>6.1561253037367791</v>
      </c>
      <c r="P6" s="143">
        <f t="shared" si="5"/>
        <v>6.1561253037367791</v>
      </c>
      <c r="Q6" s="34">
        <v>2882.7265759999996</v>
      </c>
      <c r="R6" s="56">
        <f t="shared" si="6"/>
        <v>141.86657599999944</v>
      </c>
      <c r="S6" s="56">
        <f t="shared" si="7"/>
        <v>20126.125385963616</v>
      </c>
      <c r="T6" s="56">
        <f t="shared" si="8"/>
        <v>141.86657599999944</v>
      </c>
      <c r="U6" s="56">
        <f t="shared" si="9"/>
        <v>2.1549306363722014</v>
      </c>
      <c r="V6" s="33">
        <f t="shared" si="10"/>
        <v>5.1759876826981106</v>
      </c>
      <c r="W6" s="143">
        <f t="shared" si="11"/>
        <v>5.1759876826981106</v>
      </c>
    </row>
    <row r="7" spans="1:23" x14ac:dyDescent="0.15">
      <c r="A7" s="90" t="s">
        <v>584</v>
      </c>
      <c r="B7" s="24" t="s">
        <v>513</v>
      </c>
      <c r="C7" s="24" t="s">
        <v>403</v>
      </c>
      <c r="D7" s="44" t="s">
        <v>148</v>
      </c>
      <c r="E7" s="24" t="s">
        <v>661</v>
      </c>
      <c r="F7" s="44" t="s">
        <v>374</v>
      </c>
      <c r="G7" s="44" t="s">
        <v>580</v>
      </c>
      <c r="H7" s="44" t="s">
        <v>582</v>
      </c>
      <c r="I7" s="26">
        <v>1687.51</v>
      </c>
      <c r="J7" s="56">
        <v>1757.7268300000001</v>
      </c>
      <c r="K7" s="34">
        <f t="shared" si="0"/>
        <v>70.216830000000073</v>
      </c>
      <c r="L7" s="56">
        <f t="shared" si="1"/>
        <v>4930.4032152489099</v>
      </c>
      <c r="M7" s="56">
        <f t="shared" si="2"/>
        <v>70.216830000000073</v>
      </c>
      <c r="N7" s="56">
        <f t="shared" si="3"/>
        <v>1.85258263847405</v>
      </c>
      <c r="O7" s="143">
        <f t="shared" si="4"/>
        <v>4.1609726757174812</v>
      </c>
      <c r="P7" s="143">
        <f t="shared" si="5"/>
        <v>4.1609726757174812</v>
      </c>
      <c r="Q7" s="34">
        <v>1736.2093799999998</v>
      </c>
      <c r="R7" s="56">
        <f t="shared" si="6"/>
        <v>48.699379999999792</v>
      </c>
      <c r="S7" s="56">
        <f t="shared" si="7"/>
        <v>2371.6296123843799</v>
      </c>
      <c r="T7" s="56">
        <f t="shared" si="8"/>
        <v>48.699379999999792</v>
      </c>
      <c r="U7" s="56">
        <f t="shared" si="9"/>
        <v>1.6963509709414129</v>
      </c>
      <c r="V7" s="33">
        <f t="shared" si="10"/>
        <v>2.8858720837209733</v>
      </c>
      <c r="W7" s="143">
        <f t="shared" si="11"/>
        <v>2.8858720837209733</v>
      </c>
    </row>
    <row r="8" spans="1:23" ht="14" x14ac:dyDescent="0.2">
      <c r="A8" s="90" t="s">
        <v>665</v>
      </c>
      <c r="B8" s="24" t="s">
        <v>513</v>
      </c>
      <c r="C8" s="24" t="s">
        <v>403</v>
      </c>
      <c r="D8" s="44" t="s">
        <v>82</v>
      </c>
      <c r="E8" s="24" t="s">
        <v>661</v>
      </c>
      <c r="F8" s="44" t="s">
        <v>374</v>
      </c>
      <c r="G8" s="44" t="s">
        <v>580</v>
      </c>
      <c r="H8" s="44" t="s">
        <v>582</v>
      </c>
      <c r="I8" s="87">
        <v>1342.6</v>
      </c>
      <c r="J8" s="56">
        <v>1381.8954819999999</v>
      </c>
      <c r="K8" s="34">
        <f t="shared" si="0"/>
        <v>39.295481999999993</v>
      </c>
      <c r="L8" s="56">
        <f t="shared" si="1"/>
        <v>1544.1349056123233</v>
      </c>
      <c r="M8" s="56">
        <f t="shared" si="2"/>
        <v>39.295481999999993</v>
      </c>
      <c r="N8" s="56">
        <f t="shared" si="3"/>
        <v>1.6052563550129566</v>
      </c>
      <c r="O8" s="143">
        <f t="shared" si="4"/>
        <v>2.9268197527186053</v>
      </c>
      <c r="P8" s="143">
        <f t="shared" si="5"/>
        <v>2.9268197527186053</v>
      </c>
      <c r="Q8" s="34">
        <v>1399.3067079999998</v>
      </c>
      <c r="R8" s="56">
        <f t="shared" si="6"/>
        <v>56.706707999999935</v>
      </c>
      <c r="S8" s="56">
        <f t="shared" si="7"/>
        <v>3215.6507321972567</v>
      </c>
      <c r="T8" s="56">
        <f t="shared" si="8"/>
        <v>56.706707999999935</v>
      </c>
      <c r="U8" s="56">
        <f t="shared" si="9"/>
        <v>1.761226299777148</v>
      </c>
      <c r="V8" s="33">
        <f t="shared" si="10"/>
        <v>4.2236487412483195</v>
      </c>
      <c r="W8" s="143">
        <f t="shared" si="11"/>
        <v>4.2236487412483195</v>
      </c>
    </row>
    <row r="9" spans="1:23" x14ac:dyDescent="0.15">
      <c r="A9" s="90" t="s">
        <v>389</v>
      </c>
      <c r="B9" s="24" t="s">
        <v>513</v>
      </c>
      <c r="C9" s="24" t="s">
        <v>403</v>
      </c>
      <c r="D9" s="44" t="s">
        <v>82</v>
      </c>
      <c r="E9" s="24" t="s">
        <v>661</v>
      </c>
      <c r="F9" s="44" t="s">
        <v>494</v>
      </c>
      <c r="G9" s="44" t="s">
        <v>580</v>
      </c>
      <c r="H9" s="44" t="s">
        <v>582</v>
      </c>
      <c r="I9" s="27">
        <v>1095.26</v>
      </c>
      <c r="J9" s="56">
        <v>1204.526288</v>
      </c>
      <c r="K9" s="34">
        <f t="shared" si="0"/>
        <v>109.26628800000003</v>
      </c>
      <c r="L9" s="56">
        <f t="shared" si="1"/>
        <v>11939.12169329895</v>
      </c>
      <c r="M9" s="56">
        <f t="shared" si="2"/>
        <v>109.26628800000003</v>
      </c>
      <c r="N9" s="56">
        <f t="shared" si="3"/>
        <v>2.0424427547479733</v>
      </c>
      <c r="O9" s="143">
        <f t="shared" si="4"/>
        <v>9.976287639464605</v>
      </c>
      <c r="P9" s="143">
        <f t="shared" si="5"/>
        <v>9.976287639464605</v>
      </c>
      <c r="Q9" s="34">
        <v>1191.8423439999999</v>
      </c>
      <c r="R9" s="56">
        <f t="shared" si="6"/>
        <v>96.582343999999921</v>
      </c>
      <c r="S9" s="56">
        <f t="shared" si="7"/>
        <v>9328.1491725343203</v>
      </c>
      <c r="T9" s="56">
        <f t="shared" si="8"/>
        <v>96.582343999999921</v>
      </c>
      <c r="U9" s="56">
        <f t="shared" si="9"/>
        <v>1.9893712459758688</v>
      </c>
      <c r="V9" s="33">
        <f t="shared" si="10"/>
        <v>8.8182115662034519</v>
      </c>
      <c r="W9" s="143">
        <f t="shared" si="11"/>
        <v>8.8182115662034519</v>
      </c>
    </row>
    <row r="10" spans="1:23" x14ac:dyDescent="0.15">
      <c r="A10" s="90" t="s">
        <v>127</v>
      </c>
      <c r="B10" s="24" t="s">
        <v>513</v>
      </c>
      <c r="C10" s="24" t="s">
        <v>403</v>
      </c>
      <c r="D10" s="44" t="s">
        <v>82</v>
      </c>
      <c r="E10" s="24" t="s">
        <v>661</v>
      </c>
      <c r="F10" s="44" t="s">
        <v>203</v>
      </c>
      <c r="G10" s="44" t="s">
        <v>581</v>
      </c>
      <c r="H10" s="44" t="s">
        <v>518</v>
      </c>
      <c r="I10" s="27">
        <v>4745.58</v>
      </c>
      <c r="J10" s="56">
        <v>4796.6950419999994</v>
      </c>
      <c r="K10" s="34">
        <f t="shared" si="0"/>
        <v>51.115041999999448</v>
      </c>
      <c r="L10" s="56">
        <f t="shared" si="1"/>
        <v>2612.7475186617075</v>
      </c>
      <c r="M10" s="56">
        <f t="shared" si="2"/>
        <v>51.115041999999448</v>
      </c>
      <c r="N10" s="56">
        <f t="shared" si="3"/>
        <v>1.7169630921045749</v>
      </c>
      <c r="O10" s="143">
        <f t="shared" si="4"/>
        <v>1.0771084251029264</v>
      </c>
      <c r="P10" s="143">
        <f t="shared" si="5"/>
        <v>1.0771084251029264</v>
      </c>
      <c r="Q10" s="34">
        <v>4741.2058440000001</v>
      </c>
      <c r="R10" s="56">
        <f t="shared" si="6"/>
        <v>-4.3741559999998572</v>
      </c>
      <c r="S10" s="56">
        <f t="shared" si="7"/>
        <v>19.13324071233475</v>
      </c>
      <c r="T10" s="56">
        <f t="shared" si="8"/>
        <v>4.3741559999998572</v>
      </c>
      <c r="U10" s="56">
        <f t="shared" si="9"/>
        <v>0.73031026889949224</v>
      </c>
      <c r="V10" s="33">
        <f t="shared" si="10"/>
        <v>-9.2173264384961526E-2</v>
      </c>
      <c r="W10" s="143">
        <f t="shared" si="11"/>
        <v>9.2173264384961526E-2</v>
      </c>
    </row>
    <row r="11" spans="1:23" x14ac:dyDescent="0.15">
      <c r="A11" s="90" t="s">
        <v>104</v>
      </c>
      <c r="B11" s="24" t="s">
        <v>513</v>
      </c>
      <c r="C11" s="24" t="s">
        <v>403</v>
      </c>
      <c r="D11" s="44" t="s">
        <v>83</v>
      </c>
      <c r="E11" s="24" t="s">
        <v>661</v>
      </c>
      <c r="F11" s="44" t="s">
        <v>203</v>
      </c>
      <c r="G11" s="44" t="s">
        <v>581</v>
      </c>
      <c r="H11" s="44" t="s">
        <v>518</v>
      </c>
      <c r="I11" s="26">
        <v>4769.5</v>
      </c>
      <c r="J11" s="56">
        <v>4396.0418</v>
      </c>
      <c r="K11" s="34">
        <f t="shared" si="0"/>
        <v>-373.45820000000003</v>
      </c>
      <c r="L11" s="56">
        <f t="shared" si="1"/>
        <v>139471.02714724003</v>
      </c>
      <c r="M11" s="56">
        <f t="shared" si="2"/>
        <v>373.45820000000003</v>
      </c>
      <c r="N11" s="56">
        <f t="shared" si="3"/>
        <v>2.5734033453398237</v>
      </c>
      <c r="O11" s="143">
        <f t="shared" si="4"/>
        <v>-7.8301331376454568</v>
      </c>
      <c r="P11" s="143">
        <f t="shared" si="5"/>
        <v>7.8301331376454568</v>
      </c>
      <c r="Q11" s="34">
        <v>4242.2569599999997</v>
      </c>
      <c r="R11" s="56">
        <f t="shared" si="6"/>
        <v>-527.24304000000029</v>
      </c>
      <c r="S11" s="56">
        <f t="shared" si="7"/>
        <v>277985.2232284419</v>
      </c>
      <c r="T11" s="56">
        <f t="shared" si="8"/>
        <v>527.24304000000029</v>
      </c>
      <c r="U11" s="56">
        <f t="shared" si="9"/>
        <v>2.722833783605076</v>
      </c>
      <c r="V11" s="33">
        <f t="shared" si="10"/>
        <v>-11.054471957228229</v>
      </c>
      <c r="W11" s="143">
        <f t="shared" si="11"/>
        <v>11.054471957228229</v>
      </c>
    </row>
    <row r="12" spans="1:23" x14ac:dyDescent="0.15">
      <c r="A12" s="90" t="s">
        <v>733</v>
      </c>
      <c r="B12" s="24" t="s">
        <v>513</v>
      </c>
      <c r="C12" s="24" t="s">
        <v>403</v>
      </c>
      <c r="D12" s="44" t="s">
        <v>82</v>
      </c>
      <c r="E12" s="24" t="s">
        <v>661</v>
      </c>
      <c r="F12" s="44" t="s">
        <v>293</v>
      </c>
      <c r="G12" s="29" t="s">
        <v>580</v>
      </c>
      <c r="H12" s="29" t="s">
        <v>518</v>
      </c>
      <c r="I12" s="26">
        <v>3740</v>
      </c>
      <c r="J12" s="34">
        <v>3582.4562000000001</v>
      </c>
      <c r="K12" s="34">
        <f t="shared" si="0"/>
        <v>-157.54379999999992</v>
      </c>
      <c r="L12" s="56">
        <f t="shared" si="1"/>
        <v>24820.048918439974</v>
      </c>
      <c r="M12" s="56">
        <f t="shared" si="2"/>
        <v>157.54379999999992</v>
      </c>
      <c r="N12" s="56">
        <f t="shared" si="3"/>
        <v>2.2001492632130857</v>
      </c>
      <c r="O12" s="143">
        <f t="shared" si="4"/>
        <v>-4.2124010695187142</v>
      </c>
      <c r="P12" s="143">
        <f t="shared" si="5"/>
        <v>4.2124010695187142</v>
      </c>
      <c r="Q12" s="34">
        <v>3664.0831999999996</v>
      </c>
      <c r="R12" s="56">
        <f t="shared" si="6"/>
        <v>-75.916800000000421</v>
      </c>
      <c r="S12" s="56">
        <f t="shared" si="7"/>
        <v>5763.3605222400638</v>
      </c>
      <c r="T12" s="56">
        <f t="shared" si="8"/>
        <v>75.916800000000421</v>
      </c>
      <c r="U12" s="56">
        <f t="shared" si="9"/>
        <v>1.8860212078174756</v>
      </c>
      <c r="V12" s="33">
        <f t="shared" si="10"/>
        <v>-2.0298609625668562</v>
      </c>
      <c r="W12" s="143">
        <f t="shared" si="11"/>
        <v>2.0298609625668562</v>
      </c>
    </row>
    <row r="13" spans="1:23" x14ac:dyDescent="0.15">
      <c r="A13" s="90" t="s">
        <v>369</v>
      </c>
      <c r="B13" s="24" t="s">
        <v>513</v>
      </c>
      <c r="C13" s="24" t="s">
        <v>403</v>
      </c>
      <c r="D13" s="44" t="s">
        <v>148</v>
      </c>
      <c r="E13" s="24" t="s">
        <v>661</v>
      </c>
      <c r="F13" s="44" t="s">
        <v>374</v>
      </c>
      <c r="G13" s="44" t="s">
        <v>580</v>
      </c>
      <c r="H13" s="44" t="s">
        <v>582</v>
      </c>
      <c r="I13" s="27">
        <v>2524.9700000000003</v>
      </c>
      <c r="J13" s="56">
        <v>2462.4953559999999</v>
      </c>
      <c r="K13" s="34">
        <f t="shared" si="0"/>
        <v>-62.474644000000353</v>
      </c>
      <c r="L13" s="56">
        <f t="shared" si="1"/>
        <v>3903.0811429267801</v>
      </c>
      <c r="M13" s="56">
        <f t="shared" si="2"/>
        <v>62.474644000000353</v>
      </c>
      <c r="N13" s="56">
        <f t="shared" si="3"/>
        <v>1.8026002737951656</v>
      </c>
      <c r="O13" s="143">
        <f t="shared" si="4"/>
        <v>-2.4742727240323785</v>
      </c>
      <c r="P13" s="143">
        <f t="shared" si="5"/>
        <v>2.4742727240323785</v>
      </c>
      <c r="Q13" s="34">
        <v>2457.4537439999999</v>
      </c>
      <c r="R13" s="56">
        <f t="shared" si="6"/>
        <v>-67.51625600000034</v>
      </c>
      <c r="S13" s="56">
        <f t="shared" si="7"/>
        <v>4558.4448242575818</v>
      </c>
      <c r="T13" s="56">
        <f t="shared" si="8"/>
        <v>67.51625600000034</v>
      </c>
      <c r="U13" s="56">
        <f t="shared" si="9"/>
        <v>1.8357936233687093</v>
      </c>
      <c r="V13" s="33">
        <f t="shared" si="10"/>
        <v>-2.6739428983314784</v>
      </c>
      <c r="W13" s="143">
        <f t="shared" si="11"/>
        <v>2.6739428983314784</v>
      </c>
    </row>
    <row r="14" spans="1:23" x14ac:dyDescent="0.15">
      <c r="A14" s="90" t="s">
        <v>84</v>
      </c>
      <c r="B14" s="24" t="s">
        <v>513</v>
      </c>
      <c r="C14" s="24" t="s">
        <v>403</v>
      </c>
      <c r="D14" s="44" t="s">
        <v>83</v>
      </c>
      <c r="E14" s="24" t="s">
        <v>661</v>
      </c>
      <c r="F14" s="44" t="s">
        <v>203</v>
      </c>
      <c r="G14" s="44" t="s">
        <v>581</v>
      </c>
      <c r="H14" s="44" t="s">
        <v>518</v>
      </c>
      <c r="I14" s="26">
        <v>4572</v>
      </c>
      <c r="J14" s="56">
        <v>4777.2217199999996</v>
      </c>
      <c r="K14" s="34">
        <f t="shared" si="0"/>
        <v>205.22171999999955</v>
      </c>
      <c r="L14" s="56">
        <f t="shared" si="1"/>
        <v>42115.954359758216</v>
      </c>
      <c r="M14" s="56">
        <f t="shared" si="2"/>
        <v>205.22171999999955</v>
      </c>
      <c r="N14" s="56">
        <f t="shared" si="3"/>
        <v>2.3143344047854093</v>
      </c>
      <c r="O14" s="143">
        <f t="shared" si="4"/>
        <v>4.488664041994741</v>
      </c>
      <c r="P14" s="143">
        <f t="shared" si="5"/>
        <v>4.488664041994741</v>
      </c>
      <c r="Q14" s="34">
        <v>4619.7139999999999</v>
      </c>
      <c r="R14" s="56">
        <f t="shared" si="6"/>
        <v>47.713999999999942</v>
      </c>
      <c r="S14" s="56">
        <f t="shared" si="7"/>
        <v>2276.6257959999944</v>
      </c>
      <c r="T14" s="56">
        <f t="shared" si="8"/>
        <v>47.713999999999942</v>
      </c>
      <c r="U14" s="56">
        <f t="shared" si="9"/>
        <v>1.6876537917890586</v>
      </c>
      <c r="V14" s="33">
        <f t="shared" si="10"/>
        <v>1.0436132983377064</v>
      </c>
      <c r="W14" s="143">
        <f t="shared" si="11"/>
        <v>1.0436132983377064</v>
      </c>
    </row>
    <row r="15" spans="1:23" x14ac:dyDescent="0.15">
      <c r="A15" s="90" t="s">
        <v>120</v>
      </c>
      <c r="B15" s="24" t="s">
        <v>513</v>
      </c>
      <c r="C15" s="24" t="s">
        <v>403</v>
      </c>
      <c r="D15" s="44" t="s">
        <v>82</v>
      </c>
      <c r="E15" s="24" t="s">
        <v>661</v>
      </c>
      <c r="F15" s="44" t="s">
        <v>203</v>
      </c>
      <c r="G15" s="44" t="s">
        <v>581</v>
      </c>
      <c r="H15" s="44" t="s">
        <v>518</v>
      </c>
      <c r="I15" s="26">
        <v>4978</v>
      </c>
      <c r="J15" s="56">
        <v>4874.3999999999996</v>
      </c>
      <c r="K15" s="34">
        <f t="shared" si="0"/>
        <v>-103.60000000000036</v>
      </c>
      <c r="L15" s="56">
        <f t="shared" si="1"/>
        <v>10732.960000000076</v>
      </c>
      <c r="M15" s="56">
        <f t="shared" si="2"/>
        <v>103.60000000000036</v>
      </c>
      <c r="N15" s="56">
        <f t="shared" si="3"/>
        <v>2.0195316845312568</v>
      </c>
      <c r="O15" s="143">
        <f t="shared" si="4"/>
        <v>-2.0811570912012929</v>
      </c>
      <c r="P15" s="143">
        <f t="shared" si="5"/>
        <v>2.0811570912012929</v>
      </c>
      <c r="Q15" s="34">
        <v>4688.2179999999998</v>
      </c>
      <c r="R15" s="56">
        <f t="shared" si="6"/>
        <v>-289.78200000000015</v>
      </c>
      <c r="S15" s="56">
        <f t="shared" si="7"/>
        <v>83973.607524000094</v>
      </c>
      <c r="T15" s="56">
        <f t="shared" si="8"/>
        <v>289.78200000000015</v>
      </c>
      <c r="U15" s="56">
        <f t="shared" si="9"/>
        <v>2.4635675193031537</v>
      </c>
      <c r="V15" s="33">
        <f t="shared" si="10"/>
        <v>-5.8212535154680625</v>
      </c>
      <c r="W15" s="143">
        <f t="shared" si="11"/>
        <v>5.8212535154680625</v>
      </c>
    </row>
    <row r="16" spans="1:23" x14ac:dyDescent="0.15">
      <c r="A16" s="90" t="s">
        <v>121</v>
      </c>
      <c r="B16" s="24" t="s">
        <v>513</v>
      </c>
      <c r="C16" s="24" t="s">
        <v>403</v>
      </c>
      <c r="D16" s="44" t="s">
        <v>82</v>
      </c>
      <c r="E16" s="24" t="s">
        <v>661</v>
      </c>
      <c r="F16" s="44" t="s">
        <v>203</v>
      </c>
      <c r="G16" s="44" t="s">
        <v>581</v>
      </c>
      <c r="H16" s="44" t="s">
        <v>518</v>
      </c>
      <c r="I16" s="26">
        <v>4470</v>
      </c>
      <c r="J16" s="56">
        <v>4068.3476000000001</v>
      </c>
      <c r="K16" s="34">
        <f t="shared" si="0"/>
        <v>-401.65239999999994</v>
      </c>
      <c r="L16" s="56">
        <f t="shared" si="1"/>
        <v>161324.65042575996</v>
      </c>
      <c r="M16" s="56">
        <f t="shared" si="2"/>
        <v>401.65239999999994</v>
      </c>
      <c r="N16" s="56">
        <f t="shared" si="3"/>
        <v>2.6049302920380328</v>
      </c>
      <c r="O16" s="143">
        <f t="shared" si="4"/>
        <v>-8.9855123042505571</v>
      </c>
      <c r="P16" s="143">
        <f t="shared" si="5"/>
        <v>8.9855123042505571</v>
      </c>
      <c r="Q16" s="34">
        <v>3938.0991999999997</v>
      </c>
      <c r="R16" s="56">
        <f t="shared" si="6"/>
        <v>-531.90080000000034</v>
      </c>
      <c r="S16" s="56">
        <f t="shared" si="7"/>
        <v>282918.46104064037</v>
      </c>
      <c r="T16" s="56">
        <f t="shared" si="8"/>
        <v>531.90080000000034</v>
      </c>
      <c r="U16" s="56">
        <f t="shared" si="9"/>
        <v>2.7266463722118726</v>
      </c>
      <c r="V16" s="33">
        <f t="shared" si="10"/>
        <v>-11.899346756152132</v>
      </c>
      <c r="W16" s="143">
        <f t="shared" si="11"/>
        <v>11.899346756152132</v>
      </c>
    </row>
    <row r="17" spans="1:23" x14ac:dyDescent="0.15">
      <c r="A17" s="90" t="s">
        <v>139</v>
      </c>
      <c r="B17" s="24" t="s">
        <v>513</v>
      </c>
      <c r="C17" s="24" t="s">
        <v>403</v>
      </c>
      <c r="D17" s="44" t="s">
        <v>82</v>
      </c>
      <c r="E17" s="24" t="s">
        <v>661</v>
      </c>
      <c r="F17" s="44" t="s">
        <v>203</v>
      </c>
      <c r="G17" s="44" t="s">
        <v>581</v>
      </c>
      <c r="H17" s="44" t="s">
        <v>518</v>
      </c>
      <c r="I17" s="26">
        <v>4870</v>
      </c>
      <c r="J17" s="56">
        <v>4393.7818399999996</v>
      </c>
      <c r="K17" s="34">
        <f t="shared" si="0"/>
        <v>-476.21816000000035</v>
      </c>
      <c r="L17" s="56">
        <f t="shared" si="1"/>
        <v>226783.73591378593</v>
      </c>
      <c r="M17" s="56">
        <f t="shared" si="2"/>
        <v>476.21816000000035</v>
      </c>
      <c r="N17" s="56">
        <f t="shared" si="3"/>
        <v>2.6787169619005007</v>
      </c>
      <c r="O17" s="143">
        <f t="shared" si="4"/>
        <v>-9.7786069815195145</v>
      </c>
      <c r="P17" s="143">
        <f t="shared" si="5"/>
        <v>9.7786069815195145</v>
      </c>
      <c r="Q17" s="34">
        <v>4443.6587199999994</v>
      </c>
      <c r="R17" s="56">
        <f t="shared" si="6"/>
        <v>-426.34128000000055</v>
      </c>
      <c r="S17" s="56">
        <f t="shared" si="7"/>
        <v>181766.88703203888</v>
      </c>
      <c r="T17" s="56">
        <f t="shared" si="8"/>
        <v>426.34128000000055</v>
      </c>
      <c r="U17" s="56">
        <f t="shared" si="9"/>
        <v>2.6307748465038405</v>
      </c>
      <c r="V17" s="33">
        <f t="shared" si="10"/>
        <v>-8.7544410677618192</v>
      </c>
      <c r="W17" s="143">
        <f t="shared" si="11"/>
        <v>8.7544410677618192</v>
      </c>
    </row>
    <row r="18" spans="1:23" x14ac:dyDescent="0.15">
      <c r="A18" s="90" t="s">
        <v>386</v>
      </c>
      <c r="B18" s="24" t="s">
        <v>513</v>
      </c>
      <c r="C18" s="24" t="s">
        <v>403</v>
      </c>
      <c r="D18" s="44" t="s">
        <v>82</v>
      </c>
      <c r="E18" s="24" t="s">
        <v>661</v>
      </c>
      <c r="F18" s="44" t="s">
        <v>374</v>
      </c>
      <c r="G18" s="44" t="s">
        <v>580</v>
      </c>
      <c r="H18" s="44" t="s">
        <v>582</v>
      </c>
      <c r="I18" s="27">
        <v>1538.3</v>
      </c>
      <c r="J18" s="56">
        <v>1569.96182</v>
      </c>
      <c r="K18" s="34">
        <f t="shared" si="0"/>
        <v>31.661820000000034</v>
      </c>
      <c r="L18" s="56">
        <f t="shared" si="1"/>
        <v>1002.4708457124021</v>
      </c>
      <c r="M18" s="56">
        <f t="shared" si="2"/>
        <v>31.661820000000034</v>
      </c>
      <c r="N18" s="56">
        <f t="shared" si="3"/>
        <v>1.514040381072256</v>
      </c>
      <c r="O18" s="143">
        <f t="shared" si="4"/>
        <v>2.0582344146135365</v>
      </c>
      <c r="P18" s="143">
        <f t="shared" si="5"/>
        <v>2.0582344146135365</v>
      </c>
      <c r="Q18" s="34">
        <v>1538.7465999999999</v>
      </c>
      <c r="R18" s="56">
        <f t="shared" si="6"/>
        <v>0.44659999999998945</v>
      </c>
      <c r="S18" s="56">
        <f t="shared" si="7"/>
        <v>0.19945155999999056</v>
      </c>
      <c r="T18" s="56">
        <f t="shared" si="8"/>
        <v>0.44659999999998945</v>
      </c>
      <c r="U18" s="56">
        <f t="shared" si="9"/>
        <v>0.16034846076109413</v>
      </c>
      <c r="V18" s="33">
        <f t="shared" si="10"/>
        <v>2.903204836507765E-2</v>
      </c>
      <c r="W18" s="143">
        <f t="shared" si="11"/>
        <v>2.903204836507765E-2</v>
      </c>
    </row>
    <row r="19" spans="1:23" x14ac:dyDescent="0.15">
      <c r="A19" s="90" t="s">
        <v>381</v>
      </c>
      <c r="B19" s="24" t="s">
        <v>513</v>
      </c>
      <c r="C19" s="24" t="s">
        <v>403</v>
      </c>
      <c r="D19" s="44" t="s">
        <v>148</v>
      </c>
      <c r="E19" s="24" t="s">
        <v>661</v>
      </c>
      <c r="F19" s="44" t="s">
        <v>494</v>
      </c>
      <c r="G19" s="44" t="s">
        <v>580</v>
      </c>
      <c r="H19" s="44" t="s">
        <v>582</v>
      </c>
      <c r="I19" s="27">
        <v>786.1</v>
      </c>
      <c r="J19" s="56">
        <v>891.97381999999993</v>
      </c>
      <c r="K19" s="34">
        <f t="shared" si="0"/>
        <v>105.87381999999991</v>
      </c>
      <c r="L19" s="56">
        <f t="shared" si="1"/>
        <v>11209.26576139238</v>
      </c>
      <c r="M19" s="56">
        <f t="shared" si="2"/>
        <v>105.87381999999991</v>
      </c>
      <c r="N19" s="56">
        <f t="shared" si="3"/>
        <v>2.02887133269232</v>
      </c>
      <c r="O19" s="143">
        <f t="shared" si="4"/>
        <v>13.468238137641508</v>
      </c>
      <c r="P19" s="143">
        <f t="shared" si="5"/>
        <v>13.468238137641508</v>
      </c>
      <c r="Q19" s="34">
        <v>865.76330400000006</v>
      </c>
      <c r="R19" s="56">
        <f t="shared" si="6"/>
        <v>79.663304000000039</v>
      </c>
      <c r="S19" s="56">
        <f t="shared" si="7"/>
        <v>6346.2420041964224</v>
      </c>
      <c r="T19" s="56">
        <f t="shared" si="8"/>
        <v>79.663304000000039</v>
      </c>
      <c r="U19" s="56">
        <f t="shared" si="9"/>
        <v>1.9066760069051805</v>
      </c>
      <c r="V19" s="33">
        <f t="shared" si="10"/>
        <v>10.133991095280503</v>
      </c>
      <c r="W19" s="143">
        <f t="shared" si="11"/>
        <v>10.133991095280503</v>
      </c>
    </row>
    <row r="20" spans="1:23" x14ac:dyDescent="0.15">
      <c r="A20" s="90" t="s">
        <v>115</v>
      </c>
      <c r="B20" s="24" t="s">
        <v>513</v>
      </c>
      <c r="C20" s="24" t="s">
        <v>403</v>
      </c>
      <c r="D20" s="44" t="s">
        <v>83</v>
      </c>
      <c r="E20" s="24" t="s">
        <v>661</v>
      </c>
      <c r="F20" s="44" t="s">
        <v>203</v>
      </c>
      <c r="G20" s="44" t="s">
        <v>581</v>
      </c>
      <c r="H20" s="44" t="s">
        <v>518</v>
      </c>
      <c r="I20" s="27">
        <f>1586.3+3352.01</f>
        <v>4938.3100000000004</v>
      </c>
      <c r="J20" s="56">
        <v>4686.8233199999995</v>
      </c>
      <c r="K20" s="34">
        <f t="shared" si="0"/>
        <v>-251.48668000000089</v>
      </c>
      <c r="L20" s="56">
        <f t="shared" si="1"/>
        <v>63245.550217422846</v>
      </c>
      <c r="M20" s="56">
        <f t="shared" si="2"/>
        <v>251.48668000000089</v>
      </c>
      <c r="N20" s="56">
        <f t="shared" si="3"/>
        <v>2.4022384717414713</v>
      </c>
      <c r="O20" s="143">
        <f t="shared" si="4"/>
        <v>-5.0925656753018922</v>
      </c>
      <c r="P20" s="143">
        <f t="shared" si="5"/>
        <v>5.0925656753018922</v>
      </c>
      <c r="Q20" s="34">
        <v>4643.0053599999992</v>
      </c>
      <c r="R20" s="56">
        <f t="shared" si="6"/>
        <v>-295.3046400000012</v>
      </c>
      <c r="S20" s="56">
        <f t="shared" si="7"/>
        <v>87204.830405530302</v>
      </c>
      <c r="T20" s="56">
        <f t="shared" si="8"/>
        <v>295.3046400000012</v>
      </c>
      <c r="U20" s="56">
        <f t="shared" si="9"/>
        <v>2.4717384523933772</v>
      </c>
      <c r="V20" s="33">
        <f t="shared" si="10"/>
        <v>-5.9798724664915968</v>
      </c>
      <c r="W20" s="143">
        <f t="shared" si="11"/>
        <v>5.9798724664915968</v>
      </c>
    </row>
    <row r="21" spans="1:23" x14ac:dyDescent="0.15">
      <c r="A21" s="90" t="s">
        <v>88</v>
      </c>
      <c r="B21" s="24" t="s">
        <v>513</v>
      </c>
      <c r="C21" s="24" t="s">
        <v>403</v>
      </c>
      <c r="D21" s="44" t="s">
        <v>82</v>
      </c>
      <c r="E21" s="24" t="s">
        <v>661</v>
      </c>
      <c r="F21" s="44" t="s">
        <v>293</v>
      </c>
      <c r="G21" s="44" t="s">
        <v>580</v>
      </c>
      <c r="H21" s="44" t="s">
        <v>518</v>
      </c>
      <c r="I21" s="27">
        <v>3045.75</v>
      </c>
      <c r="J21" s="56">
        <v>3129.2212219999997</v>
      </c>
      <c r="K21" s="34">
        <f t="shared" si="0"/>
        <v>83.471221999999671</v>
      </c>
      <c r="L21" s="56">
        <f t="shared" si="1"/>
        <v>6967.4449021732289</v>
      </c>
      <c r="M21" s="56">
        <f t="shared" si="2"/>
        <v>83.471221999999671</v>
      </c>
      <c r="N21" s="56">
        <f t="shared" si="3"/>
        <v>1.9267087769341307</v>
      </c>
      <c r="O21" s="143">
        <f t="shared" si="4"/>
        <v>2.740580218337016</v>
      </c>
      <c r="P21" s="143">
        <f t="shared" si="5"/>
        <v>2.740580218337016</v>
      </c>
      <c r="Q21" s="34">
        <v>3054.7743719999999</v>
      </c>
      <c r="R21" s="56">
        <f t="shared" si="6"/>
        <v>9.0243719999998575</v>
      </c>
      <c r="S21" s="56">
        <f t="shared" si="7"/>
        <v>81.439289994381426</v>
      </c>
      <c r="T21" s="56">
        <f t="shared" si="8"/>
        <v>9.0243719999998575</v>
      </c>
      <c r="U21" s="56">
        <f t="shared" si="9"/>
        <v>1.0010571747607848</v>
      </c>
      <c r="V21" s="33">
        <f t="shared" si="10"/>
        <v>0.29629391775424302</v>
      </c>
      <c r="W21" s="143">
        <f t="shared" si="11"/>
        <v>0.29629391775424302</v>
      </c>
    </row>
    <row r="22" spans="1:23" x14ac:dyDescent="0.15">
      <c r="A22" s="90" t="s">
        <v>382</v>
      </c>
      <c r="B22" s="24" t="s">
        <v>513</v>
      </c>
      <c r="C22" s="24" t="s">
        <v>403</v>
      </c>
      <c r="D22" s="44" t="s">
        <v>148</v>
      </c>
      <c r="E22" s="24" t="s">
        <v>661</v>
      </c>
      <c r="F22" s="44" t="s">
        <v>494</v>
      </c>
      <c r="G22" s="44" t="s">
        <v>580</v>
      </c>
      <c r="H22" s="44" t="s">
        <v>582</v>
      </c>
      <c r="I22" s="27">
        <v>965.43</v>
      </c>
      <c r="J22" s="56">
        <v>1230.063836</v>
      </c>
      <c r="K22" s="34">
        <f t="shared" si="0"/>
        <v>264.63383600000009</v>
      </c>
      <c r="L22" s="56">
        <f t="shared" si="1"/>
        <v>70031.067156074947</v>
      </c>
      <c r="M22" s="56">
        <f t="shared" si="2"/>
        <v>264.63383600000009</v>
      </c>
      <c r="N22" s="56">
        <f t="shared" si="3"/>
        <v>2.4242833939345005</v>
      </c>
      <c r="O22" s="143">
        <f t="shared" si="4"/>
        <v>27.410981220803176</v>
      </c>
      <c r="P22" s="143">
        <f t="shared" si="5"/>
        <v>27.410981220803176</v>
      </c>
      <c r="Q22" s="34">
        <v>1231.6089159999999</v>
      </c>
      <c r="R22" s="56">
        <f t="shared" si="6"/>
        <v>266.17891599999996</v>
      </c>
      <c r="S22" s="56">
        <f t="shared" si="7"/>
        <v>70851.215322935037</v>
      </c>
      <c r="T22" s="56">
        <f t="shared" si="8"/>
        <v>266.17891599999996</v>
      </c>
      <c r="U22" s="56">
        <f t="shared" si="9"/>
        <v>2.4268021834961022</v>
      </c>
      <c r="V22" s="33">
        <f t="shared" si="10"/>
        <v>27.571021824471995</v>
      </c>
      <c r="W22" s="143">
        <f t="shared" si="11"/>
        <v>27.571021824471995</v>
      </c>
    </row>
    <row r="23" spans="1:23" x14ac:dyDescent="0.15">
      <c r="A23" s="90" t="s">
        <v>368</v>
      </c>
      <c r="B23" s="24" t="s">
        <v>513</v>
      </c>
      <c r="C23" s="24" t="s">
        <v>403</v>
      </c>
      <c r="D23" s="44" t="s">
        <v>148</v>
      </c>
      <c r="E23" s="24" t="s">
        <v>661</v>
      </c>
      <c r="F23" s="44" t="s">
        <v>374</v>
      </c>
      <c r="G23" s="44" t="s">
        <v>580</v>
      </c>
      <c r="H23" s="44" t="s">
        <v>582</v>
      </c>
      <c r="I23" s="27">
        <v>1933.19</v>
      </c>
      <c r="J23" s="56">
        <v>2115.3654999999999</v>
      </c>
      <c r="K23" s="34">
        <f t="shared" si="0"/>
        <v>182.17549999999983</v>
      </c>
      <c r="L23" s="56">
        <f t="shared" si="1"/>
        <v>33187.912800249935</v>
      </c>
      <c r="M23" s="56">
        <f t="shared" si="2"/>
        <v>182.17549999999983</v>
      </c>
      <c r="N23" s="56">
        <f t="shared" si="3"/>
        <v>2.2628673856727302</v>
      </c>
      <c r="O23" s="143">
        <f t="shared" si="4"/>
        <v>9.4235693335885138</v>
      </c>
      <c r="P23" s="143">
        <f t="shared" si="5"/>
        <v>9.4235693335885138</v>
      </c>
      <c r="Q23" s="34">
        <v>2051.8415599999998</v>
      </c>
      <c r="R23" s="56">
        <f t="shared" si="6"/>
        <v>118.65155999999979</v>
      </c>
      <c r="S23" s="56">
        <f t="shared" si="7"/>
        <v>14078.192690433551</v>
      </c>
      <c r="T23" s="56">
        <f t="shared" si="8"/>
        <v>118.65155999999979</v>
      </c>
      <c r="U23" s="56">
        <f t="shared" si="9"/>
        <v>2.0779183652559761</v>
      </c>
      <c r="V23" s="33">
        <f t="shared" si="10"/>
        <v>6.1376046844852183</v>
      </c>
      <c r="W23" s="143">
        <f t="shared" si="11"/>
        <v>6.1376046844852183</v>
      </c>
    </row>
    <row r="24" spans="1:23" x14ac:dyDescent="0.15">
      <c r="A24" s="90" t="s">
        <v>668</v>
      </c>
      <c r="B24" s="24" t="s">
        <v>513</v>
      </c>
      <c r="C24" s="24" t="s">
        <v>403</v>
      </c>
      <c r="D24" s="44" t="s">
        <v>82</v>
      </c>
      <c r="E24" s="24" t="s">
        <v>661</v>
      </c>
      <c r="F24" s="44" t="s">
        <v>203</v>
      </c>
      <c r="G24" s="44" t="s">
        <v>581</v>
      </c>
      <c r="H24" s="44" t="s">
        <v>518</v>
      </c>
      <c r="I24" s="27">
        <v>5410</v>
      </c>
      <c r="J24" s="56">
        <v>5622.0700999999999</v>
      </c>
      <c r="K24" s="34">
        <f t="shared" si="0"/>
        <v>212.07009999999991</v>
      </c>
      <c r="L24" s="56">
        <f t="shared" si="1"/>
        <v>44973.727314009964</v>
      </c>
      <c r="M24" s="56">
        <f t="shared" si="2"/>
        <v>212.07009999999991</v>
      </c>
      <c r="N24" s="56">
        <f t="shared" si="3"/>
        <v>2.3285225097044253</v>
      </c>
      <c r="O24" s="143">
        <f t="shared" si="4"/>
        <v>3.9199648798521243</v>
      </c>
      <c r="P24" s="143">
        <f t="shared" si="5"/>
        <v>3.9199648798521243</v>
      </c>
      <c r="Q24" s="34">
        <v>5497.5927599999995</v>
      </c>
      <c r="R24" s="56">
        <f t="shared" si="6"/>
        <v>87.592759999999544</v>
      </c>
      <c r="S24" s="56">
        <f t="shared" si="7"/>
        <v>7672.4916044175197</v>
      </c>
      <c r="T24" s="56">
        <f t="shared" si="8"/>
        <v>87.592759999999544</v>
      </c>
      <c r="U24" s="56">
        <f t="shared" si="9"/>
        <v>1.9473982318134053</v>
      </c>
      <c r="V24" s="33">
        <f t="shared" si="10"/>
        <v>1.6190898336413964</v>
      </c>
      <c r="W24" s="143">
        <f t="shared" si="11"/>
        <v>1.6190898336413964</v>
      </c>
    </row>
    <row r="25" spans="1:23" x14ac:dyDescent="0.15">
      <c r="A25" s="90" t="s">
        <v>90</v>
      </c>
      <c r="B25" s="24" t="s">
        <v>513</v>
      </c>
      <c r="C25" s="24" t="s">
        <v>403</v>
      </c>
      <c r="D25" s="44" t="s">
        <v>82</v>
      </c>
      <c r="E25" s="24" t="s">
        <v>661</v>
      </c>
      <c r="F25" s="44" t="s">
        <v>203</v>
      </c>
      <c r="G25" s="44" t="s">
        <v>581</v>
      </c>
      <c r="H25" s="44" t="s">
        <v>518</v>
      </c>
      <c r="I25" s="26">
        <v>5080</v>
      </c>
      <c r="J25" s="56">
        <v>4970.4483</v>
      </c>
      <c r="K25" s="34">
        <f t="shared" si="0"/>
        <v>-109.55169999999998</v>
      </c>
      <c r="L25" s="56">
        <f t="shared" si="1"/>
        <v>12001.574972889995</v>
      </c>
      <c r="M25" s="56">
        <f t="shared" si="2"/>
        <v>109.55169999999998</v>
      </c>
      <c r="N25" s="56">
        <f t="shared" si="3"/>
        <v>2.043565425295037</v>
      </c>
      <c r="O25" s="143">
        <f t="shared" si="4"/>
        <v>-2.1565295275590546</v>
      </c>
      <c r="P25" s="143">
        <f t="shared" si="5"/>
        <v>2.1565295275590546</v>
      </c>
      <c r="Q25" s="34">
        <v>4910.1024559999996</v>
      </c>
      <c r="R25" s="56">
        <f t="shared" si="6"/>
        <v>-169.89754400000038</v>
      </c>
      <c r="S25" s="56">
        <f t="shared" si="7"/>
        <v>28865.175457232064</v>
      </c>
      <c r="T25" s="56">
        <f t="shared" si="8"/>
        <v>169.89754400000038</v>
      </c>
      <c r="U25" s="56">
        <f t="shared" si="9"/>
        <v>2.2327358214398023</v>
      </c>
      <c r="V25" s="33">
        <f t="shared" si="10"/>
        <v>-3.3444398425196926</v>
      </c>
      <c r="W25" s="143">
        <f t="shared" si="11"/>
        <v>3.3444398425196926</v>
      </c>
    </row>
    <row r="26" spans="1:23" x14ac:dyDescent="0.15">
      <c r="A26" s="90" t="s">
        <v>384</v>
      </c>
      <c r="B26" s="24" t="s">
        <v>513</v>
      </c>
      <c r="C26" s="24" t="s">
        <v>403</v>
      </c>
      <c r="D26" s="44" t="s">
        <v>148</v>
      </c>
      <c r="E26" s="24" t="s">
        <v>661</v>
      </c>
      <c r="F26" s="44" t="s">
        <v>374</v>
      </c>
      <c r="G26" s="44" t="s">
        <v>580</v>
      </c>
      <c r="H26" s="30" t="s">
        <v>582</v>
      </c>
      <c r="I26" s="27">
        <v>1545.5</v>
      </c>
      <c r="J26" s="56">
        <v>1631.3574000000001</v>
      </c>
      <c r="K26" s="34">
        <f t="shared" si="0"/>
        <v>85.857400000000098</v>
      </c>
      <c r="L26" s="56">
        <f t="shared" si="1"/>
        <v>7371.4931347600168</v>
      </c>
      <c r="M26" s="56">
        <f t="shared" si="2"/>
        <v>85.857400000000098</v>
      </c>
      <c r="N26" s="56">
        <f t="shared" si="3"/>
        <v>1.9388068249968178</v>
      </c>
      <c r="O26" s="143">
        <f t="shared" si="4"/>
        <v>5.5553154318990678</v>
      </c>
      <c r="P26" s="143">
        <f t="shared" si="5"/>
        <v>5.5553154318990678</v>
      </c>
      <c r="Q26" s="34">
        <v>1584.3017599999998</v>
      </c>
      <c r="R26" s="56">
        <f t="shared" si="6"/>
        <v>38.801759999999831</v>
      </c>
      <c r="S26" s="56">
        <f t="shared" si="7"/>
        <v>1505.576579097587</v>
      </c>
      <c r="T26" s="56">
        <f t="shared" si="8"/>
        <v>38.801759999999831</v>
      </c>
      <c r="U26" s="56">
        <f t="shared" si="9"/>
        <v>1.5999022766311801</v>
      </c>
      <c r="V26" s="33">
        <f t="shared" si="10"/>
        <v>2.5106282756389406</v>
      </c>
      <c r="W26" s="143">
        <f t="shared" si="11"/>
        <v>2.5106282756389406</v>
      </c>
    </row>
    <row r="27" spans="1:23" x14ac:dyDescent="0.15">
      <c r="A27" s="90" t="s">
        <v>598</v>
      </c>
      <c r="B27" s="24" t="s">
        <v>513</v>
      </c>
      <c r="C27" s="24" t="s">
        <v>403</v>
      </c>
      <c r="D27" s="29" t="s">
        <v>82</v>
      </c>
      <c r="E27" s="24" t="s">
        <v>661</v>
      </c>
      <c r="F27" s="44" t="s">
        <v>494</v>
      </c>
      <c r="G27" s="29" t="s">
        <v>580</v>
      </c>
      <c r="H27" s="44" t="s">
        <v>582</v>
      </c>
      <c r="I27" s="24">
        <v>1217</v>
      </c>
      <c r="J27" s="56">
        <v>1277.297</v>
      </c>
      <c r="K27" s="34">
        <f t="shared" si="0"/>
        <v>60.297000000000025</v>
      </c>
      <c r="L27" s="56">
        <f t="shared" si="1"/>
        <v>3635.7282090000031</v>
      </c>
      <c r="M27" s="56">
        <f t="shared" si="2"/>
        <v>60.297000000000025</v>
      </c>
      <c r="N27" s="56">
        <f t="shared" si="3"/>
        <v>1.7874392197822313</v>
      </c>
      <c r="O27" s="143">
        <f t="shared" si="4"/>
        <v>4.9545603944124919</v>
      </c>
      <c r="P27" s="143">
        <f t="shared" si="5"/>
        <v>4.9545603944124919</v>
      </c>
      <c r="Q27" s="34">
        <v>1290.4195999999999</v>
      </c>
      <c r="R27" s="56">
        <f t="shared" si="6"/>
        <v>73.419599999999946</v>
      </c>
      <c r="S27" s="56">
        <f t="shared" si="7"/>
        <v>5390.437664159992</v>
      </c>
      <c r="T27" s="56">
        <f t="shared" si="8"/>
        <v>73.419599999999946</v>
      </c>
      <c r="U27" s="56">
        <f t="shared" si="9"/>
        <v>1.8716873313901694</v>
      </c>
      <c r="V27" s="33">
        <f t="shared" si="10"/>
        <v>6.0328348397699214</v>
      </c>
      <c r="W27" s="143">
        <f t="shared" si="11"/>
        <v>6.0328348397699214</v>
      </c>
    </row>
    <row r="28" spans="1:23" x14ac:dyDescent="0.15">
      <c r="A28" s="90" t="s">
        <v>618</v>
      </c>
      <c r="B28" s="24" t="s">
        <v>513</v>
      </c>
      <c r="C28" s="24" t="s">
        <v>403</v>
      </c>
      <c r="D28" s="29" t="s">
        <v>96</v>
      </c>
      <c r="E28" s="24" t="s">
        <v>661</v>
      </c>
      <c r="F28" s="44" t="s">
        <v>374</v>
      </c>
      <c r="G28" s="29" t="s">
        <v>580</v>
      </c>
      <c r="H28" s="44" t="s">
        <v>582</v>
      </c>
      <c r="I28" s="24">
        <v>1814.51</v>
      </c>
      <c r="J28" s="56">
        <v>1802.36104</v>
      </c>
      <c r="K28" s="34">
        <f t="shared" si="0"/>
        <v>-12.148959999999988</v>
      </c>
      <c r="L28" s="56">
        <f t="shared" si="1"/>
        <v>147.59722908159972</v>
      </c>
      <c r="M28" s="56">
        <f t="shared" si="2"/>
        <v>12.148959999999988</v>
      </c>
      <c r="N28" s="56">
        <f t="shared" si="3"/>
        <v>1.1188914042232905</v>
      </c>
      <c r="O28" s="143">
        <f t="shared" si="4"/>
        <v>-0.66954494601848369</v>
      </c>
      <c r="P28" s="143">
        <f t="shared" si="5"/>
        <v>0.66954494601848369</v>
      </c>
      <c r="Q28" s="34">
        <v>1730.5577999999998</v>
      </c>
      <c r="R28" s="56">
        <f t="shared" si="6"/>
        <v>-83.952200000000175</v>
      </c>
      <c r="S28" s="56">
        <f t="shared" si="7"/>
        <v>7047.9718848400298</v>
      </c>
      <c r="T28" s="56">
        <f t="shared" si="8"/>
        <v>83.952200000000175</v>
      </c>
      <c r="U28" s="56">
        <f t="shared" si="9"/>
        <v>1.9291746302384791</v>
      </c>
      <c r="V28" s="33">
        <f t="shared" si="10"/>
        <v>-4.6267146502361616</v>
      </c>
      <c r="W28" s="143">
        <f t="shared" si="11"/>
        <v>4.6267146502361616</v>
      </c>
    </row>
    <row r="29" spans="1:23" x14ac:dyDescent="0.15">
      <c r="A29" s="90" t="s">
        <v>669</v>
      </c>
      <c r="B29" s="24" t="s">
        <v>513</v>
      </c>
      <c r="C29" s="24" t="s">
        <v>403</v>
      </c>
      <c r="D29" s="29" t="s">
        <v>148</v>
      </c>
      <c r="E29" s="24" t="s">
        <v>661</v>
      </c>
      <c r="F29" s="44" t="s">
        <v>494</v>
      </c>
      <c r="G29" s="29" t="s">
        <v>580</v>
      </c>
      <c r="H29" s="44" t="s">
        <v>582</v>
      </c>
      <c r="I29" s="24">
        <v>875</v>
      </c>
      <c r="J29" s="56">
        <v>972.20240000000001</v>
      </c>
      <c r="K29" s="34">
        <f t="shared" si="0"/>
        <v>97.202400000000011</v>
      </c>
      <c r="L29" s="56">
        <f t="shared" si="1"/>
        <v>9448.3065657600018</v>
      </c>
      <c r="M29" s="56">
        <f t="shared" si="2"/>
        <v>97.202400000000011</v>
      </c>
      <c r="N29" s="56">
        <f t="shared" si="3"/>
        <v>1.992122101779005</v>
      </c>
      <c r="O29" s="143">
        <f t="shared" si="4"/>
        <v>11.108845714285716</v>
      </c>
      <c r="P29" s="143">
        <f t="shared" si="5"/>
        <v>11.108845714285716</v>
      </c>
      <c r="Q29" s="34">
        <v>992.42719999999997</v>
      </c>
      <c r="R29" s="56">
        <f t="shared" si="6"/>
        <v>117.42719999999997</v>
      </c>
      <c r="S29" s="56">
        <f t="shared" si="7"/>
        <v>13789.147299839993</v>
      </c>
      <c r="T29" s="56">
        <f t="shared" si="8"/>
        <v>117.42719999999997</v>
      </c>
      <c r="U29" s="56">
        <f t="shared" si="9"/>
        <v>2.0734514612824984</v>
      </c>
      <c r="V29" s="33">
        <f t="shared" si="10"/>
        <v>13.420251428571426</v>
      </c>
      <c r="W29" s="143">
        <f t="shared" si="11"/>
        <v>13.420251428571426</v>
      </c>
    </row>
    <row r="30" spans="1:23" x14ac:dyDescent="0.15">
      <c r="A30" s="90" t="s">
        <v>670</v>
      </c>
      <c r="B30" s="24" t="s">
        <v>513</v>
      </c>
      <c r="C30" s="24" t="s">
        <v>403</v>
      </c>
      <c r="D30" s="29" t="s">
        <v>83</v>
      </c>
      <c r="E30" s="24" t="s">
        <v>661</v>
      </c>
      <c r="F30" s="29" t="s">
        <v>203</v>
      </c>
      <c r="G30" s="29" t="s">
        <v>581</v>
      </c>
      <c r="H30" s="29" t="s">
        <v>518</v>
      </c>
      <c r="I30" s="24">
        <f>2213.6+2992.3</f>
        <v>5205.8999999999996</v>
      </c>
      <c r="J30" s="56">
        <v>5565.5710999999992</v>
      </c>
      <c r="K30" s="34">
        <f t="shared" si="0"/>
        <v>359.67109999999957</v>
      </c>
      <c r="L30" s="56">
        <f t="shared" si="1"/>
        <v>129363.30017520969</v>
      </c>
      <c r="M30" s="56">
        <f t="shared" si="2"/>
        <v>359.67109999999957</v>
      </c>
      <c r="N30" s="56">
        <f t="shared" si="3"/>
        <v>2.5571113443883271</v>
      </c>
      <c r="O30" s="143">
        <f t="shared" si="4"/>
        <v>6.908912964136837</v>
      </c>
      <c r="P30" s="143">
        <f t="shared" si="5"/>
        <v>6.908912964136837</v>
      </c>
      <c r="Q30" s="34">
        <v>5664.9822839999997</v>
      </c>
      <c r="R30" s="56">
        <f t="shared" si="6"/>
        <v>459.08228400000007</v>
      </c>
      <c r="S30" s="56">
        <f t="shared" si="7"/>
        <v>210756.54348265674</v>
      </c>
      <c r="T30" s="56">
        <f t="shared" si="8"/>
        <v>459.08228400000007</v>
      </c>
      <c r="U30" s="56">
        <f t="shared" si="9"/>
        <v>2.6628355105758765</v>
      </c>
      <c r="V30" s="33">
        <f t="shared" si="10"/>
        <v>8.8184998559326946</v>
      </c>
      <c r="W30" s="143">
        <f t="shared" si="11"/>
        <v>8.8184998559326946</v>
      </c>
    </row>
    <row r="31" spans="1:23" x14ac:dyDescent="0.15">
      <c r="A31" s="24" t="s">
        <v>486</v>
      </c>
      <c r="B31" s="24" t="s">
        <v>514</v>
      </c>
      <c r="C31" s="24" t="s">
        <v>403</v>
      </c>
      <c r="D31" s="29" t="s">
        <v>82</v>
      </c>
      <c r="E31" s="24" t="s">
        <v>662</v>
      </c>
      <c r="F31" s="44" t="s">
        <v>203</v>
      </c>
      <c r="G31" s="44" t="s">
        <v>581</v>
      </c>
      <c r="H31" s="44" t="s">
        <v>518</v>
      </c>
      <c r="I31" s="24">
        <v>4927.5</v>
      </c>
      <c r="J31" s="56">
        <v>4808.6284221373598</v>
      </c>
      <c r="K31" s="34">
        <f t="shared" si="0"/>
        <v>-118.87157786264015</v>
      </c>
      <c r="L31" s="56">
        <f t="shared" si="1"/>
        <v>14130.45202355372</v>
      </c>
      <c r="M31" s="56">
        <f t="shared" si="2"/>
        <v>118.87157786264015</v>
      </c>
      <c r="N31" s="56">
        <f t="shared" si="3"/>
        <v>2.0787162219590245</v>
      </c>
      <c r="O31" s="143">
        <f t="shared" si="4"/>
        <v>-2.4124115243559645</v>
      </c>
      <c r="P31" s="143">
        <f t="shared" si="5"/>
        <v>2.4124115243559645</v>
      </c>
      <c r="Q31" s="34">
        <v>4725.9396666760695</v>
      </c>
      <c r="R31" s="56">
        <f t="shared" si="6"/>
        <v>-201.56033332393054</v>
      </c>
      <c r="S31" s="56">
        <f t="shared" si="7"/>
        <v>40626.567969653981</v>
      </c>
      <c r="T31" s="56">
        <f t="shared" si="8"/>
        <v>201.56033332393054</v>
      </c>
      <c r="U31" s="56">
        <f t="shared" si="9"/>
        <v>2.3065544029927931</v>
      </c>
      <c r="V31" s="33">
        <f t="shared" si="10"/>
        <v>-4.0905191948032575</v>
      </c>
      <c r="W31" s="143">
        <f t="shared" si="11"/>
        <v>4.0905191948032575</v>
      </c>
    </row>
    <row r="32" spans="1:23" x14ac:dyDescent="0.15">
      <c r="A32" s="24" t="s">
        <v>431</v>
      </c>
      <c r="B32" s="24" t="s">
        <v>514</v>
      </c>
      <c r="C32" s="24" t="s">
        <v>458</v>
      </c>
      <c r="D32" s="29" t="s">
        <v>82</v>
      </c>
      <c r="E32" s="24" t="s">
        <v>662</v>
      </c>
      <c r="F32" s="44" t="s">
        <v>203</v>
      </c>
      <c r="G32" s="44" t="s">
        <v>581</v>
      </c>
      <c r="H32" s="44" t="s">
        <v>518</v>
      </c>
      <c r="I32" s="24">
        <v>4710</v>
      </c>
      <c r="J32" s="56">
        <v>5444.071309549885</v>
      </c>
      <c r="K32" s="34">
        <f t="shared" si="0"/>
        <v>734.07130954988497</v>
      </c>
      <c r="L32" s="56">
        <f t="shared" si="1"/>
        <v>538860.68750428304</v>
      </c>
      <c r="M32" s="56">
        <f t="shared" si="2"/>
        <v>734.07130954988497</v>
      </c>
      <c r="N32" s="56">
        <f t="shared" si="3"/>
        <v>2.8663294722022896</v>
      </c>
      <c r="O32" s="143">
        <f t="shared" si="4"/>
        <v>15.585378122078239</v>
      </c>
      <c r="P32" s="143">
        <f t="shared" si="5"/>
        <v>15.585378122078239</v>
      </c>
      <c r="Q32" s="34">
        <v>5234.7009116283289</v>
      </c>
      <c r="R32" s="56">
        <f t="shared" si="6"/>
        <v>524.70091162832887</v>
      </c>
      <c r="S32" s="56">
        <f t="shared" si="7"/>
        <v>275311.04666359938</v>
      </c>
      <c r="T32" s="56">
        <f t="shared" si="8"/>
        <v>524.70091162832887</v>
      </c>
      <c r="U32" s="56">
        <f t="shared" si="9"/>
        <v>2.7207387301377128</v>
      </c>
      <c r="V32" s="33">
        <f t="shared" si="10"/>
        <v>11.140146743701251</v>
      </c>
      <c r="W32" s="143">
        <f t="shared" si="11"/>
        <v>11.140146743701251</v>
      </c>
    </row>
    <row r="33" spans="1:23" x14ac:dyDescent="0.15">
      <c r="A33" s="90" t="s">
        <v>902</v>
      </c>
      <c r="B33" s="24" t="s">
        <v>514</v>
      </c>
      <c r="C33" s="24" t="s">
        <v>401</v>
      </c>
      <c r="D33" s="29" t="s">
        <v>82</v>
      </c>
      <c r="E33" s="24" t="s">
        <v>662</v>
      </c>
      <c r="F33" s="29" t="s">
        <v>374</v>
      </c>
      <c r="G33" s="29" t="s">
        <v>580</v>
      </c>
      <c r="H33" s="29" t="s">
        <v>582</v>
      </c>
      <c r="I33" s="24">
        <v>2870</v>
      </c>
      <c r="J33" s="34">
        <v>2780.4715311079658</v>
      </c>
      <c r="K33" s="34">
        <f t="shared" si="0"/>
        <v>-89.528468892034198</v>
      </c>
      <c r="L33" s="56">
        <f t="shared" si="1"/>
        <v>8015.3467421519354</v>
      </c>
      <c r="M33" s="56">
        <f t="shared" si="2"/>
        <v>89.528468892034198</v>
      </c>
      <c r="N33" s="56">
        <f t="shared" si="3"/>
        <v>1.9567851752101737</v>
      </c>
      <c r="O33" s="143">
        <f t="shared" si="4"/>
        <v>-3.1194588464123414</v>
      </c>
      <c r="P33" s="143">
        <f t="shared" si="5"/>
        <v>3.1194588464123414</v>
      </c>
      <c r="Q33" s="34">
        <v>2774.2880675656875</v>
      </c>
      <c r="R33" s="56">
        <f t="shared" si="6"/>
        <v>-95.71193243431253</v>
      </c>
      <c r="S33" s="56">
        <f t="shared" si="7"/>
        <v>9160.7740103104061</v>
      </c>
      <c r="T33" s="56">
        <f t="shared" si="8"/>
        <v>95.71193243431253</v>
      </c>
      <c r="U33" s="56">
        <f t="shared" si="9"/>
        <v>1.9854800611633743</v>
      </c>
      <c r="V33" s="33">
        <f t="shared" si="10"/>
        <v>-3.3349105377809245</v>
      </c>
      <c r="W33" s="143">
        <f t="shared" si="11"/>
        <v>3.3349105377809245</v>
      </c>
    </row>
    <row r="34" spans="1:23" x14ac:dyDescent="0.15">
      <c r="A34" s="24" t="s">
        <v>100</v>
      </c>
      <c r="B34" s="24" t="s">
        <v>514</v>
      </c>
      <c r="C34" s="24" t="s">
        <v>403</v>
      </c>
      <c r="D34" s="29" t="s">
        <v>82</v>
      </c>
      <c r="E34" s="24" t="s">
        <v>662</v>
      </c>
      <c r="F34" s="44" t="s">
        <v>374</v>
      </c>
      <c r="G34" s="44" t="s">
        <v>580</v>
      </c>
      <c r="H34" s="44" t="s">
        <v>582</v>
      </c>
      <c r="I34" s="24">
        <v>1299.96</v>
      </c>
      <c r="J34" s="56">
        <v>1239.90334659007</v>
      </c>
      <c r="K34" s="34">
        <f t="shared" si="0"/>
        <v>-60.05665340993005</v>
      </c>
      <c r="L34" s="56">
        <f t="shared" si="1"/>
        <v>3606.8016188004626</v>
      </c>
      <c r="M34" s="56">
        <f t="shared" si="2"/>
        <v>60.05665340993005</v>
      </c>
      <c r="N34" s="56">
        <f t="shared" si="3"/>
        <v>1.7857329964016977</v>
      </c>
      <c r="O34" s="143">
        <f t="shared" si="4"/>
        <v>-4.6198847202937054</v>
      </c>
      <c r="P34" s="143">
        <f t="shared" si="5"/>
        <v>4.6198847202937054</v>
      </c>
      <c r="Q34" s="34">
        <v>1196.3755793361854</v>
      </c>
      <c r="R34" s="56">
        <f t="shared" si="6"/>
        <v>-103.58442066381463</v>
      </c>
      <c r="S34" s="56">
        <f t="shared" si="7"/>
        <v>10729.732204258107</v>
      </c>
      <c r="T34" s="56">
        <f t="shared" si="8"/>
        <v>103.58442066381463</v>
      </c>
      <c r="U34" s="56">
        <f t="shared" si="9"/>
        <v>2.019466995012523</v>
      </c>
      <c r="V34" s="33">
        <f t="shared" si="10"/>
        <v>-7.968277536525326</v>
      </c>
      <c r="W34" s="143">
        <f t="shared" si="11"/>
        <v>7.968277536525326</v>
      </c>
    </row>
    <row r="35" spans="1:23" x14ac:dyDescent="0.15">
      <c r="A35" s="90" t="s">
        <v>588</v>
      </c>
      <c r="B35" s="24" t="s">
        <v>514</v>
      </c>
      <c r="C35" s="24" t="s">
        <v>403</v>
      </c>
      <c r="D35" s="44" t="s">
        <v>148</v>
      </c>
      <c r="E35" s="24" t="s">
        <v>662</v>
      </c>
      <c r="F35" s="44" t="s">
        <v>374</v>
      </c>
      <c r="G35" s="30" t="s">
        <v>580</v>
      </c>
      <c r="H35" s="44" t="s">
        <v>582</v>
      </c>
      <c r="I35" s="24">
        <v>2740.86</v>
      </c>
      <c r="J35" s="56">
        <v>3010.839203348165</v>
      </c>
      <c r="K35" s="34">
        <f t="shared" si="0"/>
        <v>269.9792033481649</v>
      </c>
      <c r="L35" s="56">
        <f t="shared" si="1"/>
        <v>72888.770240509781</v>
      </c>
      <c r="M35" s="56">
        <f t="shared" si="2"/>
        <v>269.9792033481649</v>
      </c>
      <c r="N35" s="56">
        <f t="shared" si="3"/>
        <v>2.4329359616577766</v>
      </c>
      <c r="O35" s="143">
        <f t="shared" si="4"/>
        <v>9.8501639393535196</v>
      </c>
      <c r="P35" s="143">
        <f t="shared" si="5"/>
        <v>9.8501639393535196</v>
      </c>
      <c r="Q35" s="34">
        <v>2980.361077317692</v>
      </c>
      <c r="R35" s="56">
        <f t="shared" si="6"/>
        <v>239.50107731769185</v>
      </c>
      <c r="S35" s="56">
        <f t="shared" si="7"/>
        <v>57360.766036335008</v>
      </c>
      <c r="T35" s="56">
        <f t="shared" si="8"/>
        <v>239.50107731769185</v>
      </c>
      <c r="U35" s="56">
        <f t="shared" si="9"/>
        <v>2.3811170261239085</v>
      </c>
      <c r="V35" s="33">
        <f t="shared" si="10"/>
        <v>8.7381725924597333</v>
      </c>
      <c r="W35" s="143">
        <f t="shared" si="11"/>
        <v>8.7381725924597333</v>
      </c>
    </row>
    <row r="36" spans="1:23" x14ac:dyDescent="0.15">
      <c r="A36" s="90" t="s">
        <v>584</v>
      </c>
      <c r="B36" s="24" t="s">
        <v>514</v>
      </c>
      <c r="C36" s="24" t="s">
        <v>403</v>
      </c>
      <c r="D36" s="44" t="s">
        <v>148</v>
      </c>
      <c r="E36" s="24" t="s">
        <v>662</v>
      </c>
      <c r="F36" s="44" t="s">
        <v>374</v>
      </c>
      <c r="G36" s="44" t="s">
        <v>580</v>
      </c>
      <c r="H36" s="44" t="s">
        <v>582</v>
      </c>
      <c r="I36" s="26">
        <v>1687.51</v>
      </c>
      <c r="J36" s="56">
        <v>1775.0845062030469</v>
      </c>
      <c r="K36" s="34">
        <f t="shared" si="0"/>
        <v>87.574506203046894</v>
      </c>
      <c r="L36" s="56">
        <f t="shared" si="1"/>
        <v>7669.2941367074991</v>
      </c>
      <c r="M36" s="56">
        <f t="shared" si="2"/>
        <v>87.574506203046894</v>
      </c>
      <c r="N36" s="56">
        <f t="shared" si="3"/>
        <v>1.9473087398492488</v>
      </c>
      <c r="O36" s="143">
        <f t="shared" si="4"/>
        <v>5.1895696145828403</v>
      </c>
      <c r="P36" s="143">
        <f t="shared" si="5"/>
        <v>5.1895696145828403</v>
      </c>
      <c r="Q36" s="34">
        <v>1756.193411438783</v>
      </c>
      <c r="R36" s="56">
        <f t="shared" si="6"/>
        <v>68.683411438782969</v>
      </c>
      <c r="S36" s="56">
        <f t="shared" si="7"/>
        <v>4717.4110068691434</v>
      </c>
      <c r="T36" s="56">
        <f t="shared" si="8"/>
        <v>68.683411438782969</v>
      </c>
      <c r="U36" s="56">
        <f t="shared" si="9"/>
        <v>1.8431294039509869</v>
      </c>
      <c r="V36" s="33">
        <f t="shared" si="10"/>
        <v>4.0701039661265987</v>
      </c>
      <c r="W36" s="143">
        <f t="shared" si="11"/>
        <v>4.0701039661265987</v>
      </c>
    </row>
    <row r="37" spans="1:23" ht="14" x14ac:dyDescent="0.2">
      <c r="A37" s="90" t="s">
        <v>665</v>
      </c>
      <c r="B37" s="24" t="s">
        <v>514</v>
      </c>
      <c r="C37" s="24" t="s">
        <v>403</v>
      </c>
      <c r="D37" s="44" t="s">
        <v>82</v>
      </c>
      <c r="E37" s="24" t="s">
        <v>662</v>
      </c>
      <c r="F37" s="44" t="s">
        <v>374</v>
      </c>
      <c r="G37" s="44" t="s">
        <v>580</v>
      </c>
      <c r="H37" s="44" t="s">
        <v>582</v>
      </c>
      <c r="I37" s="87">
        <v>1342.6</v>
      </c>
      <c r="J37" s="56">
        <v>1366.77442531108</v>
      </c>
      <c r="K37" s="34">
        <f t="shared" si="0"/>
        <v>24.174425311080086</v>
      </c>
      <c r="L37" s="56">
        <f t="shared" si="1"/>
        <v>584.40283912098948</v>
      </c>
      <c r="M37" s="56">
        <f t="shared" si="2"/>
        <v>24.174425311080086</v>
      </c>
      <c r="N37" s="56">
        <f t="shared" si="3"/>
        <v>1.4009595651412268</v>
      </c>
      <c r="O37" s="143">
        <f t="shared" si="4"/>
        <v>1.8005679510710626</v>
      </c>
      <c r="P37" s="143">
        <f t="shared" si="5"/>
        <v>1.8005679510710626</v>
      </c>
      <c r="Q37" s="34">
        <v>1389.8130411602556</v>
      </c>
      <c r="R37" s="56">
        <f t="shared" si="6"/>
        <v>47.213041160255671</v>
      </c>
      <c r="S37" s="56">
        <f t="shared" si="7"/>
        <v>2229.0712555999962</v>
      </c>
      <c r="T37" s="56">
        <f t="shared" si="8"/>
        <v>47.213041160255671</v>
      </c>
      <c r="U37" s="56">
        <f t="shared" si="9"/>
        <v>1.6831645265765898</v>
      </c>
      <c r="V37" s="33">
        <f t="shared" si="10"/>
        <v>3.5165381468982329</v>
      </c>
      <c r="W37" s="143">
        <f t="shared" si="11"/>
        <v>3.5165381468982329</v>
      </c>
    </row>
    <row r="38" spans="1:23" x14ac:dyDescent="0.15">
      <c r="A38" s="90" t="s">
        <v>389</v>
      </c>
      <c r="B38" s="24" t="s">
        <v>514</v>
      </c>
      <c r="C38" s="24" t="s">
        <v>403</v>
      </c>
      <c r="D38" s="44" t="s">
        <v>82</v>
      </c>
      <c r="E38" s="24" t="s">
        <v>662</v>
      </c>
      <c r="F38" s="44" t="s">
        <v>494</v>
      </c>
      <c r="G38" s="44" t="s">
        <v>580</v>
      </c>
      <c r="H38" s="44" t="s">
        <v>582</v>
      </c>
      <c r="I38" s="27">
        <v>1095.26</v>
      </c>
      <c r="J38" s="56">
        <v>1172.8330172050526</v>
      </c>
      <c r="K38" s="34">
        <f t="shared" si="0"/>
        <v>77.573017205052565</v>
      </c>
      <c r="L38" s="56">
        <f t="shared" si="1"/>
        <v>6017.5729982953817</v>
      </c>
      <c r="M38" s="56">
        <f t="shared" si="2"/>
        <v>77.573017205052565</v>
      </c>
      <c r="N38" s="56">
        <f t="shared" si="3"/>
        <v>1.8952734303797927</v>
      </c>
      <c r="O38" s="143">
        <f t="shared" si="4"/>
        <v>7.0826120925672962</v>
      </c>
      <c r="P38" s="143">
        <f t="shared" si="5"/>
        <v>7.0826120925672962</v>
      </c>
      <c r="Q38" s="34">
        <v>1162.032052087291</v>
      </c>
      <c r="R38" s="56">
        <f t="shared" si="6"/>
        <v>66.772052087291058</v>
      </c>
      <c r="S38" s="56">
        <f t="shared" si="7"/>
        <v>4458.5069399479098</v>
      </c>
      <c r="T38" s="56">
        <f t="shared" si="8"/>
        <v>66.772052087291058</v>
      </c>
      <c r="U38" s="56">
        <f t="shared" si="9"/>
        <v>1.8310506359527621</v>
      </c>
      <c r="V38" s="33">
        <f t="shared" si="10"/>
        <v>6.0964567397048244</v>
      </c>
      <c r="W38" s="143">
        <f t="shared" si="11"/>
        <v>6.0964567397048244</v>
      </c>
    </row>
    <row r="39" spans="1:23" x14ac:dyDescent="0.15">
      <c r="A39" s="90" t="s">
        <v>127</v>
      </c>
      <c r="B39" s="24" t="s">
        <v>514</v>
      </c>
      <c r="C39" s="24" t="s">
        <v>403</v>
      </c>
      <c r="D39" s="44" t="s">
        <v>82</v>
      </c>
      <c r="E39" s="24" t="s">
        <v>662</v>
      </c>
      <c r="F39" s="44" t="s">
        <v>203</v>
      </c>
      <c r="G39" s="44" t="s">
        <v>581</v>
      </c>
      <c r="H39" s="44" t="s">
        <v>518</v>
      </c>
      <c r="I39" s="27">
        <v>4745.58</v>
      </c>
      <c r="J39" s="56">
        <v>5003.7421851479448</v>
      </c>
      <c r="K39" s="34">
        <f t="shared" si="0"/>
        <v>258.16218514794491</v>
      </c>
      <c r="L39" s="56">
        <f t="shared" si="1"/>
        <v>66647.713840361786</v>
      </c>
      <c r="M39" s="56">
        <f t="shared" si="2"/>
        <v>258.16218514794491</v>
      </c>
      <c r="N39" s="56">
        <f t="shared" si="3"/>
        <v>2.4135716330794854</v>
      </c>
      <c r="O39" s="143">
        <f t="shared" si="4"/>
        <v>5.440055486325063</v>
      </c>
      <c r="P39" s="143">
        <f t="shared" si="5"/>
        <v>5.440055486325063</v>
      </c>
      <c r="Q39" s="34">
        <v>4918.6670044527127</v>
      </c>
      <c r="R39" s="56">
        <f t="shared" si="6"/>
        <v>173.08700445271279</v>
      </c>
      <c r="S39" s="56">
        <f t="shared" si="7"/>
        <v>29959.111110413418</v>
      </c>
      <c r="T39" s="56">
        <f t="shared" si="8"/>
        <v>173.08700445271279</v>
      </c>
      <c r="U39" s="56">
        <f t="shared" si="9"/>
        <v>2.240766352363003</v>
      </c>
      <c r="V39" s="33">
        <f t="shared" si="10"/>
        <v>3.6473308732064953</v>
      </c>
      <c r="W39" s="143">
        <f t="shared" si="11"/>
        <v>3.6473308732064953</v>
      </c>
    </row>
    <row r="40" spans="1:23" x14ac:dyDescent="0.15">
      <c r="A40" s="90" t="s">
        <v>104</v>
      </c>
      <c r="B40" s="24" t="s">
        <v>514</v>
      </c>
      <c r="C40" s="24" t="s">
        <v>403</v>
      </c>
      <c r="D40" s="44" t="s">
        <v>83</v>
      </c>
      <c r="E40" s="24" t="s">
        <v>662</v>
      </c>
      <c r="F40" s="44" t="s">
        <v>203</v>
      </c>
      <c r="G40" s="44" t="s">
        <v>581</v>
      </c>
      <c r="H40" s="44" t="s">
        <v>518</v>
      </c>
      <c r="I40" s="26">
        <v>4769.5</v>
      </c>
      <c r="J40" s="56">
        <v>4583.0588573712121</v>
      </c>
      <c r="K40" s="34">
        <f t="shared" si="0"/>
        <v>-186.44114262878793</v>
      </c>
      <c r="L40" s="56">
        <f t="shared" si="1"/>
        <v>34760.299664728045</v>
      </c>
      <c r="M40" s="56">
        <f t="shared" si="2"/>
        <v>186.44114262878793</v>
      </c>
      <c r="N40" s="56">
        <f t="shared" si="3"/>
        <v>2.2728649230273663</v>
      </c>
      <c r="O40" s="143">
        <f t="shared" si="4"/>
        <v>-3.9090290937999357</v>
      </c>
      <c r="P40" s="143">
        <f t="shared" si="5"/>
        <v>3.9090290937999357</v>
      </c>
      <c r="Q40" s="34">
        <v>4402.4370081155466</v>
      </c>
      <c r="R40" s="56">
        <f t="shared" si="6"/>
        <v>-367.06299188445337</v>
      </c>
      <c r="S40" s="56">
        <f t="shared" si="7"/>
        <v>134735.24001116629</v>
      </c>
      <c r="T40" s="56">
        <f t="shared" si="8"/>
        <v>367.06299188445337</v>
      </c>
      <c r="U40" s="56">
        <f t="shared" si="9"/>
        <v>2.565922152061261</v>
      </c>
      <c r="V40" s="33">
        <f t="shared" si="10"/>
        <v>-7.6960476335979324</v>
      </c>
      <c r="W40" s="143">
        <f t="shared" si="11"/>
        <v>7.6960476335979324</v>
      </c>
    </row>
    <row r="41" spans="1:23" x14ac:dyDescent="0.15">
      <c r="A41" s="90" t="s">
        <v>733</v>
      </c>
      <c r="B41" s="24" t="s">
        <v>514</v>
      </c>
      <c r="C41" s="24" t="s">
        <v>403</v>
      </c>
      <c r="D41" s="44" t="s">
        <v>82</v>
      </c>
      <c r="E41" s="24" t="s">
        <v>662</v>
      </c>
      <c r="F41" s="44" t="s">
        <v>293</v>
      </c>
      <c r="G41" s="29" t="s">
        <v>580</v>
      </c>
      <c r="H41" s="29" t="s">
        <v>518</v>
      </c>
      <c r="I41" s="26">
        <v>3740</v>
      </c>
      <c r="J41" s="34">
        <v>3725.0236168311817</v>
      </c>
      <c r="K41" s="34">
        <f t="shared" si="0"/>
        <v>-14.976383168818302</v>
      </c>
      <c r="L41" s="56">
        <f t="shared" si="1"/>
        <v>224.29205281926411</v>
      </c>
      <c r="M41" s="56">
        <f t="shared" si="2"/>
        <v>14.976383168818302</v>
      </c>
      <c r="N41" s="56">
        <f t="shared" si="3"/>
        <v>1.2034784678683978</v>
      </c>
      <c r="O41" s="143">
        <f t="shared" si="4"/>
        <v>-0.40043805264220056</v>
      </c>
      <c r="P41" s="143">
        <f t="shared" si="5"/>
        <v>0.40043805264220056</v>
      </c>
      <c r="Q41" s="34">
        <v>3800.7168970904618</v>
      </c>
      <c r="R41" s="56">
        <f t="shared" si="6"/>
        <v>60.716897090461771</v>
      </c>
      <c r="S41" s="56">
        <f t="shared" si="7"/>
        <v>3686.541592293725</v>
      </c>
      <c r="T41" s="56">
        <f t="shared" si="8"/>
        <v>60.716897090461771</v>
      </c>
      <c r="U41" s="56">
        <f t="shared" si="9"/>
        <v>1.7904040831337316</v>
      </c>
      <c r="V41" s="33">
        <f t="shared" si="10"/>
        <v>1.6234464462690312</v>
      </c>
      <c r="W41" s="143">
        <f t="shared" si="11"/>
        <v>1.6234464462690312</v>
      </c>
    </row>
    <row r="42" spans="1:23" x14ac:dyDescent="0.15">
      <c r="A42" s="90" t="s">
        <v>369</v>
      </c>
      <c r="B42" s="24" t="s">
        <v>514</v>
      </c>
      <c r="C42" s="24" t="s">
        <v>403</v>
      </c>
      <c r="D42" s="44" t="s">
        <v>148</v>
      </c>
      <c r="E42" s="24" t="s">
        <v>662</v>
      </c>
      <c r="F42" s="44" t="s">
        <v>374</v>
      </c>
      <c r="G42" s="44" t="s">
        <v>580</v>
      </c>
      <c r="H42" s="44" t="s">
        <v>582</v>
      </c>
      <c r="I42" s="27">
        <v>2524.9700000000003</v>
      </c>
      <c r="J42" s="56">
        <v>2533.4715107721372</v>
      </c>
      <c r="K42" s="34">
        <f t="shared" si="0"/>
        <v>8.5015107721369532</v>
      </c>
      <c r="L42" s="56">
        <f t="shared" si="1"/>
        <v>72.275685408760651</v>
      </c>
      <c r="M42" s="56">
        <f t="shared" si="2"/>
        <v>8.5015107721369532</v>
      </c>
      <c r="N42" s="56">
        <f t="shared" si="3"/>
        <v>0.97779266506117246</v>
      </c>
      <c r="O42" s="143">
        <f t="shared" si="4"/>
        <v>0.3366974962925085</v>
      </c>
      <c r="P42" s="143">
        <f t="shared" si="5"/>
        <v>0.3366974962925085</v>
      </c>
      <c r="Q42" s="34">
        <v>2529.6225484268161</v>
      </c>
      <c r="R42" s="56">
        <f t="shared" si="6"/>
        <v>4.6525484268158834</v>
      </c>
      <c r="S42" s="56">
        <f t="shared" si="7"/>
        <v>21.646206863866951</v>
      </c>
      <c r="T42" s="56">
        <f t="shared" si="8"/>
        <v>4.6525484268158834</v>
      </c>
      <c r="U42" s="56">
        <f t="shared" si="9"/>
        <v>0.75224429174430096</v>
      </c>
      <c r="V42" s="33">
        <f t="shared" si="10"/>
        <v>0.18426153288220784</v>
      </c>
      <c r="W42" s="143">
        <f t="shared" si="11"/>
        <v>0.18426153288220784</v>
      </c>
    </row>
    <row r="43" spans="1:23" x14ac:dyDescent="0.15">
      <c r="A43" s="90" t="s">
        <v>84</v>
      </c>
      <c r="B43" s="24" t="s">
        <v>514</v>
      </c>
      <c r="C43" s="24" t="s">
        <v>403</v>
      </c>
      <c r="D43" s="44" t="s">
        <v>83</v>
      </c>
      <c r="E43" s="24" t="s">
        <v>662</v>
      </c>
      <c r="F43" s="44" t="s">
        <v>203</v>
      </c>
      <c r="G43" s="44" t="s">
        <v>581</v>
      </c>
      <c r="H43" s="44" t="s">
        <v>518</v>
      </c>
      <c r="I43" s="26">
        <v>4572</v>
      </c>
      <c r="J43" s="56">
        <v>4983.3210107803998</v>
      </c>
      <c r="K43" s="34">
        <f t="shared" si="0"/>
        <v>411.32101078039977</v>
      </c>
      <c r="L43" s="56">
        <f t="shared" si="1"/>
        <v>169184.97390940975</v>
      </c>
      <c r="M43" s="56">
        <f t="shared" si="2"/>
        <v>411.32101078039977</v>
      </c>
      <c r="N43" s="56">
        <f t="shared" si="3"/>
        <v>2.6152354658551902</v>
      </c>
      <c r="O43" s="143">
        <f t="shared" si="4"/>
        <v>8.9965225455030584</v>
      </c>
      <c r="P43" s="143">
        <f t="shared" si="5"/>
        <v>8.9965225455030584</v>
      </c>
      <c r="Q43" s="34">
        <v>4793.2061807504788</v>
      </c>
      <c r="R43" s="56">
        <f t="shared" si="6"/>
        <v>221.20618075047878</v>
      </c>
      <c r="S43" s="56">
        <f t="shared" si="7"/>
        <v>48932.174402213488</v>
      </c>
      <c r="T43" s="56">
        <f t="shared" si="8"/>
        <v>221.20618075047878</v>
      </c>
      <c r="U43" s="56">
        <f t="shared" si="9"/>
        <v>2.3467561348410984</v>
      </c>
      <c r="V43" s="33">
        <f t="shared" si="10"/>
        <v>4.8382804188643656</v>
      </c>
      <c r="W43" s="143">
        <f t="shared" si="11"/>
        <v>4.8382804188643656</v>
      </c>
    </row>
    <row r="44" spans="1:23" x14ac:dyDescent="0.15">
      <c r="A44" s="90" t="s">
        <v>120</v>
      </c>
      <c r="B44" s="24" t="s">
        <v>514</v>
      </c>
      <c r="C44" s="24" t="s">
        <v>403</v>
      </c>
      <c r="D44" s="44" t="s">
        <v>82</v>
      </c>
      <c r="E44" s="24" t="s">
        <v>662</v>
      </c>
      <c r="F44" s="44" t="s">
        <v>203</v>
      </c>
      <c r="G44" s="44" t="s">
        <v>581</v>
      </c>
      <c r="H44" s="44" t="s">
        <v>518</v>
      </c>
      <c r="I44" s="26">
        <v>4978</v>
      </c>
      <c r="J44" s="56">
        <v>5085.2041858045113</v>
      </c>
      <c r="K44" s="34">
        <f t="shared" si="0"/>
        <v>107.20418580451133</v>
      </c>
      <c r="L44" s="56">
        <f t="shared" si="1"/>
        <v>11492.737454008187</v>
      </c>
      <c r="M44" s="56">
        <f t="shared" si="2"/>
        <v>107.20418580451133</v>
      </c>
      <c r="N44" s="56">
        <f t="shared" si="3"/>
        <v>2.0342440614788648</v>
      </c>
      <c r="O44" s="143">
        <f t="shared" si="4"/>
        <v>2.153559377350569</v>
      </c>
      <c r="P44" s="143">
        <f t="shared" si="5"/>
        <v>2.153559377350569</v>
      </c>
      <c r="Q44" s="34">
        <v>4863.9663636881687</v>
      </c>
      <c r="R44" s="56">
        <f t="shared" si="6"/>
        <v>-114.03363631183129</v>
      </c>
      <c r="S44" s="56">
        <f t="shared" si="7"/>
        <v>13003.670210499007</v>
      </c>
      <c r="T44" s="56">
        <f t="shared" si="8"/>
        <v>114.03363631183129</v>
      </c>
      <c r="U44" s="56">
        <f t="shared" si="9"/>
        <v>2.0608248484291107</v>
      </c>
      <c r="V44" s="33">
        <f t="shared" si="10"/>
        <v>-2.2907520351914683</v>
      </c>
      <c r="W44" s="143">
        <f t="shared" si="11"/>
        <v>2.2907520351914683</v>
      </c>
    </row>
    <row r="45" spans="1:23" x14ac:dyDescent="0.15">
      <c r="A45" s="90" t="s">
        <v>121</v>
      </c>
      <c r="B45" s="24" t="s">
        <v>514</v>
      </c>
      <c r="C45" s="24" t="s">
        <v>403</v>
      </c>
      <c r="D45" s="44" t="s">
        <v>82</v>
      </c>
      <c r="E45" s="24" t="s">
        <v>662</v>
      </c>
      <c r="F45" s="44" t="s">
        <v>203</v>
      </c>
      <c r="G45" s="44" t="s">
        <v>581</v>
      </c>
      <c r="H45" s="44" t="s">
        <v>518</v>
      </c>
      <c r="I45" s="26">
        <v>4470</v>
      </c>
      <c r="J45" s="56">
        <v>4238.1080600643281</v>
      </c>
      <c r="K45" s="34">
        <f t="shared" si="0"/>
        <v>-231.89193993567187</v>
      </c>
      <c r="L45" s="56">
        <f t="shared" si="1"/>
        <v>53773.871807129253</v>
      </c>
      <c r="M45" s="56">
        <f t="shared" si="2"/>
        <v>231.89193993567187</v>
      </c>
      <c r="N45" s="56">
        <f t="shared" si="3"/>
        <v>2.3671544584701314</v>
      </c>
      <c r="O45" s="143">
        <f t="shared" si="4"/>
        <v>-5.1877391484490349</v>
      </c>
      <c r="P45" s="143">
        <f t="shared" si="5"/>
        <v>5.1877391484490349</v>
      </c>
      <c r="Q45" s="34">
        <v>4086.3975008278112</v>
      </c>
      <c r="R45" s="56">
        <f t="shared" si="6"/>
        <v>-383.6024991721888</v>
      </c>
      <c r="S45" s="56">
        <f t="shared" si="7"/>
        <v>147150.87737114911</v>
      </c>
      <c r="T45" s="56">
        <f t="shared" si="8"/>
        <v>383.6024991721888</v>
      </c>
      <c r="U45" s="56">
        <f t="shared" si="9"/>
        <v>2.5850121019855719</v>
      </c>
      <c r="V45" s="33">
        <f t="shared" si="10"/>
        <v>-8.5817113908767073</v>
      </c>
      <c r="W45" s="143">
        <f t="shared" si="11"/>
        <v>8.5817113908767073</v>
      </c>
    </row>
    <row r="46" spans="1:23" x14ac:dyDescent="0.15">
      <c r="A46" s="90" t="s">
        <v>139</v>
      </c>
      <c r="B46" s="24" t="s">
        <v>514</v>
      </c>
      <c r="C46" s="24" t="s">
        <v>403</v>
      </c>
      <c r="D46" s="44" t="s">
        <v>82</v>
      </c>
      <c r="E46" s="24" t="s">
        <v>662</v>
      </c>
      <c r="F46" s="44" t="s">
        <v>203</v>
      </c>
      <c r="G46" s="44" t="s">
        <v>581</v>
      </c>
      <c r="H46" s="44" t="s">
        <v>518</v>
      </c>
      <c r="I46" s="26">
        <v>4870</v>
      </c>
      <c r="J46" s="56">
        <v>4580.682667439437</v>
      </c>
      <c r="K46" s="34">
        <f t="shared" si="0"/>
        <v>-289.31733256056305</v>
      </c>
      <c r="L46" s="56">
        <f t="shared" si="1"/>
        <v>83704.518919959432</v>
      </c>
      <c r="M46" s="56">
        <f t="shared" si="2"/>
        <v>289.31733256056305</v>
      </c>
      <c r="N46" s="56">
        <f t="shared" si="3"/>
        <v>2.462872964907469</v>
      </c>
      <c r="O46" s="143">
        <f t="shared" si="4"/>
        <v>-5.9408076501142313</v>
      </c>
      <c r="P46" s="143">
        <f t="shared" si="5"/>
        <v>5.9408076501142313</v>
      </c>
      <c r="Q46" s="34">
        <v>4611.130954708995</v>
      </c>
      <c r="R46" s="56">
        <f t="shared" si="6"/>
        <v>-258.86904529100502</v>
      </c>
      <c r="S46" s="56">
        <f t="shared" si="7"/>
        <v>67013.182609876414</v>
      </c>
      <c r="T46" s="56">
        <f t="shared" si="8"/>
        <v>258.86904529100502</v>
      </c>
      <c r="U46" s="56">
        <f t="shared" si="9"/>
        <v>2.4147545509133135</v>
      </c>
      <c r="V46" s="33">
        <f t="shared" si="10"/>
        <v>-5.3155861456058524</v>
      </c>
      <c r="W46" s="143">
        <f t="shared" si="11"/>
        <v>5.3155861456058524</v>
      </c>
    </row>
    <row r="47" spans="1:23" x14ac:dyDescent="0.15">
      <c r="A47" s="90" t="s">
        <v>386</v>
      </c>
      <c r="B47" s="24" t="s">
        <v>514</v>
      </c>
      <c r="C47" s="24" t="s">
        <v>403</v>
      </c>
      <c r="D47" s="44" t="s">
        <v>82</v>
      </c>
      <c r="E47" s="24" t="s">
        <v>662</v>
      </c>
      <c r="F47" s="44" t="s">
        <v>374</v>
      </c>
      <c r="G47" s="44" t="s">
        <v>580</v>
      </c>
      <c r="H47" s="44" t="s">
        <v>582</v>
      </c>
      <c r="I47" s="27">
        <v>1538.3</v>
      </c>
      <c r="J47" s="56">
        <v>1571.4988730249033</v>
      </c>
      <c r="K47" s="34">
        <f t="shared" si="0"/>
        <v>33.198873024903378</v>
      </c>
      <c r="L47" s="56">
        <f t="shared" si="1"/>
        <v>1102.1651701236572</v>
      </c>
      <c r="M47" s="56">
        <f t="shared" si="2"/>
        <v>33.198873024903378</v>
      </c>
      <c r="N47" s="56">
        <f t="shared" si="3"/>
        <v>1.5340117947365444</v>
      </c>
      <c r="O47" s="143">
        <f t="shared" si="4"/>
        <v>2.1581533527207553</v>
      </c>
      <c r="P47" s="143">
        <f t="shared" si="5"/>
        <v>2.1581533527207553</v>
      </c>
      <c r="Q47" s="34">
        <v>1541.9320292573154</v>
      </c>
      <c r="R47" s="56">
        <f t="shared" si="6"/>
        <v>3.6320292573154802</v>
      </c>
      <c r="S47" s="56">
        <f t="shared" si="7"/>
        <v>13.191636525995639</v>
      </c>
      <c r="T47" s="56">
        <f t="shared" si="8"/>
        <v>3.6320292573154802</v>
      </c>
      <c r="U47" s="56">
        <f t="shared" si="9"/>
        <v>0.66577129386500589</v>
      </c>
      <c r="V47" s="33">
        <f t="shared" si="10"/>
        <v>0.2361066929282637</v>
      </c>
      <c r="W47" s="143">
        <f t="shared" si="11"/>
        <v>0.2361066929282637</v>
      </c>
    </row>
    <row r="48" spans="1:23" x14ac:dyDescent="0.15">
      <c r="A48" s="90" t="s">
        <v>381</v>
      </c>
      <c r="B48" s="24" t="s">
        <v>514</v>
      </c>
      <c r="C48" s="24" t="s">
        <v>403</v>
      </c>
      <c r="D48" s="44" t="s">
        <v>148</v>
      </c>
      <c r="E48" s="24" t="s">
        <v>662</v>
      </c>
      <c r="F48" s="44" t="s">
        <v>494</v>
      </c>
      <c r="G48" s="44" t="s">
        <v>580</v>
      </c>
      <c r="H48" s="44" t="s">
        <v>582</v>
      </c>
      <c r="I48" s="27">
        <v>786.1</v>
      </c>
      <c r="J48" s="56">
        <v>828.54506533893959</v>
      </c>
      <c r="K48" s="34">
        <f t="shared" si="0"/>
        <v>42.445065338939571</v>
      </c>
      <c r="L48" s="56">
        <f t="shared" si="1"/>
        <v>1801.5835716268493</v>
      </c>
      <c r="M48" s="56">
        <f t="shared" si="2"/>
        <v>42.445065338939571</v>
      </c>
      <c r="N48" s="56">
        <f t="shared" si="3"/>
        <v>1.6379404547139227</v>
      </c>
      <c r="O48" s="143">
        <f t="shared" si="4"/>
        <v>5.3994485865589068</v>
      </c>
      <c r="P48" s="143">
        <f t="shared" si="5"/>
        <v>5.3994485865589068</v>
      </c>
      <c r="Q48" s="34">
        <v>799.61108035229688</v>
      </c>
      <c r="R48" s="56">
        <f t="shared" si="6"/>
        <v>13.511080352296858</v>
      </c>
      <c r="S48" s="56">
        <f t="shared" si="7"/>
        <v>182.5492922862222</v>
      </c>
      <c r="T48" s="56">
        <f t="shared" si="8"/>
        <v>13.511080352296858</v>
      </c>
      <c r="U48" s="56">
        <f t="shared" si="9"/>
        <v>1.1616997469363526</v>
      </c>
      <c r="V48" s="33">
        <f t="shared" si="10"/>
        <v>1.7187482956744509</v>
      </c>
      <c r="W48" s="143">
        <f t="shared" si="11"/>
        <v>1.7187482956744509</v>
      </c>
    </row>
    <row r="49" spans="1:23" x14ac:dyDescent="0.15">
      <c r="A49" s="90" t="s">
        <v>115</v>
      </c>
      <c r="B49" s="24" t="s">
        <v>514</v>
      </c>
      <c r="C49" s="24" t="s">
        <v>403</v>
      </c>
      <c r="D49" s="44" t="s">
        <v>83</v>
      </c>
      <c r="E49" s="24" t="s">
        <v>662</v>
      </c>
      <c r="F49" s="44" t="s">
        <v>203</v>
      </c>
      <c r="G49" s="44" t="s">
        <v>581</v>
      </c>
      <c r="H49" s="44" t="s">
        <v>518</v>
      </c>
      <c r="I49" s="27">
        <f>1586.3+3352.01</f>
        <v>4938.3100000000004</v>
      </c>
      <c r="J49" s="56">
        <v>4888.4889111307457</v>
      </c>
      <c r="K49" s="34">
        <f t="shared" si="0"/>
        <v>-49.821088869254709</v>
      </c>
      <c r="L49" s="56">
        <f t="shared" si="1"/>
        <v>2482.1408961181755</v>
      </c>
      <c r="M49" s="56">
        <f t="shared" si="2"/>
        <v>49.821088869254709</v>
      </c>
      <c r="N49" s="56">
        <f t="shared" si="3"/>
        <v>1.7060439658076767</v>
      </c>
      <c r="O49" s="143">
        <f t="shared" si="4"/>
        <v>-1.0088692056443338</v>
      </c>
      <c r="P49" s="143">
        <f t="shared" si="5"/>
        <v>1.0088692056443338</v>
      </c>
      <c r="Q49" s="34">
        <v>4817.2699769193605</v>
      </c>
      <c r="R49" s="56">
        <f t="shared" si="6"/>
        <v>-121.04002308063991</v>
      </c>
      <c r="S49" s="56">
        <f t="shared" si="7"/>
        <v>14650.687187361842</v>
      </c>
      <c r="T49" s="56">
        <f t="shared" si="8"/>
        <v>121.04002308063991</v>
      </c>
      <c r="U49" s="56">
        <f t="shared" si="9"/>
        <v>2.0865022811056826</v>
      </c>
      <c r="V49" s="33">
        <f t="shared" si="10"/>
        <v>-2.451041410535991</v>
      </c>
      <c r="W49" s="143">
        <f t="shared" si="11"/>
        <v>2.451041410535991</v>
      </c>
    </row>
    <row r="50" spans="1:23" x14ac:dyDescent="0.15">
      <c r="A50" s="90" t="s">
        <v>88</v>
      </c>
      <c r="B50" s="24" t="s">
        <v>514</v>
      </c>
      <c r="C50" s="24" t="s">
        <v>403</v>
      </c>
      <c r="D50" s="44" t="s">
        <v>82</v>
      </c>
      <c r="E50" s="24" t="s">
        <v>662</v>
      </c>
      <c r="F50" s="44" t="s">
        <v>293</v>
      </c>
      <c r="G50" s="44" t="s">
        <v>580</v>
      </c>
      <c r="H50" s="44" t="s">
        <v>518</v>
      </c>
      <c r="I50" s="27">
        <v>3045.75</v>
      </c>
      <c r="J50" s="56">
        <v>3244.4721233756086</v>
      </c>
      <c r="K50" s="34">
        <f t="shared" si="0"/>
        <v>198.72212337560859</v>
      </c>
      <c r="L50" s="56">
        <f t="shared" si="1"/>
        <v>39490.482318910603</v>
      </c>
      <c r="M50" s="56">
        <f t="shared" si="2"/>
        <v>198.72212337560859</v>
      </c>
      <c r="N50" s="56">
        <f t="shared" si="3"/>
        <v>2.3004261746743184</v>
      </c>
      <c r="O50" s="143">
        <f t="shared" si="4"/>
        <v>6.524571070363903</v>
      </c>
      <c r="P50" s="143">
        <f t="shared" si="5"/>
        <v>6.524571070363903</v>
      </c>
      <c r="Q50" s="34">
        <v>3161.7985491100699</v>
      </c>
      <c r="R50" s="56">
        <f t="shared" si="6"/>
        <v>116.04854911006987</v>
      </c>
      <c r="S50" s="56">
        <f t="shared" si="7"/>
        <v>13467.265750552298</v>
      </c>
      <c r="T50" s="56">
        <f t="shared" si="8"/>
        <v>116.04854911006987</v>
      </c>
      <c r="U50" s="56">
        <f t="shared" si="9"/>
        <v>2.068366034714439</v>
      </c>
      <c r="V50" s="33">
        <f t="shared" si="10"/>
        <v>3.8101797294613764</v>
      </c>
      <c r="W50" s="143">
        <f t="shared" si="11"/>
        <v>3.8101797294613764</v>
      </c>
    </row>
    <row r="51" spans="1:23" x14ac:dyDescent="0.15">
      <c r="A51" s="90" t="s">
        <v>382</v>
      </c>
      <c r="B51" s="24" t="s">
        <v>514</v>
      </c>
      <c r="C51" s="24" t="s">
        <v>403</v>
      </c>
      <c r="D51" s="44" t="s">
        <v>148</v>
      </c>
      <c r="E51" s="24" t="s">
        <v>662</v>
      </c>
      <c r="F51" s="44" t="s">
        <v>494</v>
      </c>
      <c r="G51" s="44" t="s">
        <v>580</v>
      </c>
      <c r="H51" s="44" t="s">
        <v>582</v>
      </c>
      <c r="I51" s="27">
        <v>965.43</v>
      </c>
      <c r="J51" s="56">
        <v>1200.8134621989154</v>
      </c>
      <c r="K51" s="34">
        <f t="shared" si="0"/>
        <v>235.38346219891548</v>
      </c>
      <c r="L51" s="56">
        <f t="shared" si="1"/>
        <v>55405.374276748276</v>
      </c>
      <c r="M51" s="56">
        <f t="shared" si="2"/>
        <v>235.38346219891548</v>
      </c>
      <c r="N51" s="56">
        <f t="shared" si="3"/>
        <v>2.3736170892693265</v>
      </c>
      <c r="O51" s="143">
        <f t="shared" si="4"/>
        <v>24.381204458004774</v>
      </c>
      <c r="P51" s="143">
        <f t="shared" si="5"/>
        <v>24.381204458004774</v>
      </c>
      <c r="Q51" s="34">
        <v>1205.8403580983947</v>
      </c>
      <c r="R51" s="56">
        <f t="shared" si="6"/>
        <v>240.41035809839479</v>
      </c>
      <c r="S51" s="56">
        <f t="shared" si="7"/>
        <v>57797.140280998421</v>
      </c>
      <c r="T51" s="56">
        <f t="shared" si="8"/>
        <v>240.41035809839479</v>
      </c>
      <c r="U51" s="56">
        <f t="shared" si="9"/>
        <v>2.3827559002620244</v>
      </c>
      <c r="V51" s="33">
        <f t="shared" si="10"/>
        <v>24.901894295639746</v>
      </c>
      <c r="W51" s="143">
        <f t="shared" si="11"/>
        <v>24.901894295639746</v>
      </c>
    </row>
    <row r="52" spans="1:23" x14ac:dyDescent="0.15">
      <c r="A52" s="90" t="s">
        <v>368</v>
      </c>
      <c r="B52" s="24" t="s">
        <v>514</v>
      </c>
      <c r="C52" s="24" t="s">
        <v>403</v>
      </c>
      <c r="D52" s="44" t="s">
        <v>148</v>
      </c>
      <c r="E52" s="24" t="s">
        <v>662</v>
      </c>
      <c r="F52" s="44" t="s">
        <v>374</v>
      </c>
      <c r="G52" s="44" t="s">
        <v>580</v>
      </c>
      <c r="H52" s="44" t="s">
        <v>582</v>
      </c>
      <c r="I52" s="27">
        <v>1933.19</v>
      </c>
      <c r="J52" s="56">
        <v>2160.9540230082639</v>
      </c>
      <c r="K52" s="34">
        <f t="shared" si="0"/>
        <v>227.76402300826385</v>
      </c>
      <c r="L52" s="56">
        <f t="shared" si="1"/>
        <v>51876.45017690894</v>
      </c>
      <c r="M52" s="56">
        <f t="shared" si="2"/>
        <v>227.76402300826385</v>
      </c>
      <c r="N52" s="56">
        <f t="shared" si="3"/>
        <v>2.3593877253765005</v>
      </c>
      <c r="O52" s="143">
        <f t="shared" si="4"/>
        <v>11.781771217948769</v>
      </c>
      <c r="P52" s="143">
        <f t="shared" si="5"/>
        <v>11.781771217948769</v>
      </c>
      <c r="Q52" s="34">
        <v>2096.257459212924</v>
      </c>
      <c r="R52" s="56">
        <f t="shared" si="6"/>
        <v>163.06745921292395</v>
      </c>
      <c r="S52" s="56">
        <f t="shared" si="7"/>
        <v>26590.996254158617</v>
      </c>
      <c r="T52" s="56">
        <f t="shared" si="8"/>
        <v>163.06745921292395</v>
      </c>
      <c r="U52" s="56">
        <f t="shared" si="9"/>
        <v>2.215022452560377</v>
      </c>
      <c r="V52" s="33">
        <f t="shared" si="10"/>
        <v>8.4351491168961115</v>
      </c>
      <c r="W52" s="143">
        <f t="shared" si="11"/>
        <v>8.4351491168961115</v>
      </c>
    </row>
    <row r="53" spans="1:23" x14ac:dyDescent="0.15">
      <c r="A53" s="90" t="s">
        <v>668</v>
      </c>
      <c r="B53" s="24" t="s">
        <v>514</v>
      </c>
      <c r="C53" s="24" t="s">
        <v>403</v>
      </c>
      <c r="D53" s="44" t="s">
        <v>82</v>
      </c>
      <c r="E53" s="24" t="s">
        <v>662</v>
      </c>
      <c r="F53" s="44" t="s">
        <v>203</v>
      </c>
      <c r="G53" s="44" t="s">
        <v>581</v>
      </c>
      <c r="H53" s="44" t="s">
        <v>518</v>
      </c>
      <c r="I53" s="27">
        <v>5410</v>
      </c>
      <c r="J53" s="56">
        <v>5867.082986866445</v>
      </c>
      <c r="K53" s="34">
        <f t="shared" si="0"/>
        <v>457.08298686644503</v>
      </c>
      <c r="L53" s="56">
        <f t="shared" si="1"/>
        <v>208924.85688275076</v>
      </c>
      <c r="M53" s="56">
        <f t="shared" si="2"/>
        <v>457.08298686644503</v>
      </c>
      <c r="N53" s="56">
        <f t="shared" si="3"/>
        <v>2.6609441624435606</v>
      </c>
      <c r="O53" s="143">
        <f t="shared" si="4"/>
        <v>8.4488537313575787</v>
      </c>
      <c r="P53" s="143">
        <f t="shared" si="5"/>
        <v>8.4488537313575787</v>
      </c>
      <c r="Q53" s="34">
        <v>5696.6176993065455</v>
      </c>
      <c r="R53" s="56">
        <f t="shared" si="6"/>
        <v>286.61769930654555</v>
      </c>
      <c r="S53" s="56">
        <f t="shared" si="7"/>
        <v>82149.705555777356</v>
      </c>
      <c r="T53" s="56">
        <f t="shared" si="8"/>
        <v>286.61769930654555</v>
      </c>
      <c r="U53" s="56">
        <f t="shared" si="9"/>
        <v>2.4588156079787535</v>
      </c>
      <c r="V53" s="33">
        <f t="shared" si="10"/>
        <v>5.2979242015997325</v>
      </c>
      <c r="W53" s="143">
        <f t="shared" si="11"/>
        <v>5.2979242015997325</v>
      </c>
    </row>
    <row r="54" spans="1:23" x14ac:dyDescent="0.15">
      <c r="A54" s="90" t="s">
        <v>90</v>
      </c>
      <c r="B54" s="24" t="s">
        <v>514</v>
      </c>
      <c r="C54" s="24" t="s">
        <v>403</v>
      </c>
      <c r="D54" s="44" t="s">
        <v>82</v>
      </c>
      <c r="E54" s="24" t="s">
        <v>662</v>
      </c>
      <c r="F54" s="44" t="s">
        <v>203</v>
      </c>
      <c r="G54" s="44" t="s">
        <v>581</v>
      </c>
      <c r="H54" s="44" t="s">
        <v>518</v>
      </c>
      <c r="I54" s="26">
        <v>5080</v>
      </c>
      <c r="J54" s="56">
        <v>5185.841518580929</v>
      </c>
      <c r="K54" s="34">
        <f t="shared" si="0"/>
        <v>105.84151858092901</v>
      </c>
      <c r="L54" s="56">
        <f t="shared" si="1"/>
        <v>11202.427055517141</v>
      </c>
      <c r="M54" s="56">
        <f t="shared" si="2"/>
        <v>105.84151858092901</v>
      </c>
      <c r="N54" s="56">
        <f t="shared" si="3"/>
        <v>2.028740052193128</v>
      </c>
      <c r="O54" s="143">
        <f t="shared" si="4"/>
        <v>2.0834944602545078</v>
      </c>
      <c r="P54" s="143">
        <f t="shared" si="5"/>
        <v>2.0834944602545078</v>
      </c>
      <c r="Q54" s="34">
        <v>5092.838828323288</v>
      </c>
      <c r="R54" s="56">
        <f t="shared" si="6"/>
        <v>12.838828323287999</v>
      </c>
      <c r="S54" s="56">
        <f t="shared" si="7"/>
        <v>164.83551271486212</v>
      </c>
      <c r="T54" s="56">
        <f t="shared" si="8"/>
        <v>12.838828323287999</v>
      </c>
      <c r="U54" s="56">
        <f t="shared" si="9"/>
        <v>1.1410993217485408</v>
      </c>
      <c r="V54" s="33">
        <f t="shared" si="10"/>
        <v>0.25273284100960625</v>
      </c>
      <c r="W54" s="143">
        <f t="shared" si="11"/>
        <v>0.25273284100960625</v>
      </c>
    </row>
    <row r="55" spans="1:23" x14ac:dyDescent="0.15">
      <c r="A55" s="90" t="s">
        <v>384</v>
      </c>
      <c r="B55" s="24" t="s">
        <v>514</v>
      </c>
      <c r="C55" s="24" t="s">
        <v>403</v>
      </c>
      <c r="D55" s="44" t="s">
        <v>148</v>
      </c>
      <c r="E55" s="24" t="s">
        <v>662</v>
      </c>
      <c r="F55" s="44" t="s">
        <v>374</v>
      </c>
      <c r="G55" s="44" t="s">
        <v>580</v>
      </c>
      <c r="H55" s="30" t="s">
        <v>582</v>
      </c>
      <c r="I55" s="27">
        <v>1545.5</v>
      </c>
      <c r="J55" s="56">
        <v>1638.1513056490467</v>
      </c>
      <c r="K55" s="34">
        <f t="shared" si="0"/>
        <v>92.651305649046662</v>
      </c>
      <c r="L55" s="56">
        <f t="shared" si="1"/>
        <v>8584.2644384730665</v>
      </c>
      <c r="M55" s="56">
        <f t="shared" si="2"/>
        <v>92.651305649046662</v>
      </c>
      <c r="N55" s="56">
        <f t="shared" si="3"/>
        <v>1.9715138365134297</v>
      </c>
      <c r="O55" s="143">
        <f t="shared" si="4"/>
        <v>5.9949081623453031</v>
      </c>
      <c r="P55" s="143">
        <f t="shared" si="5"/>
        <v>5.9949081623453031</v>
      </c>
      <c r="Q55" s="34">
        <v>1591.477372990583</v>
      </c>
      <c r="R55" s="56">
        <f t="shared" si="6"/>
        <v>45.977372990583035</v>
      </c>
      <c r="S55" s="56">
        <f t="shared" si="7"/>
        <v>2113.9188271151943</v>
      </c>
      <c r="T55" s="56">
        <f t="shared" si="8"/>
        <v>45.977372990583035</v>
      </c>
      <c r="U55" s="56">
        <f t="shared" si="9"/>
        <v>1.6718887270522094</v>
      </c>
      <c r="V55" s="33">
        <f t="shared" si="10"/>
        <v>2.9749189900086077</v>
      </c>
      <c r="W55" s="143">
        <f t="shared" si="11"/>
        <v>2.9749189900086077</v>
      </c>
    </row>
    <row r="56" spans="1:23" x14ac:dyDescent="0.15">
      <c r="A56" s="90" t="s">
        <v>598</v>
      </c>
      <c r="B56" s="24" t="s">
        <v>514</v>
      </c>
      <c r="C56" s="24" t="s">
        <v>403</v>
      </c>
      <c r="D56" s="29" t="s">
        <v>82</v>
      </c>
      <c r="E56" s="24" t="s">
        <v>662</v>
      </c>
      <c r="F56" s="44" t="s">
        <v>494</v>
      </c>
      <c r="G56" s="29" t="s">
        <v>580</v>
      </c>
      <c r="H56" s="44" t="s">
        <v>582</v>
      </c>
      <c r="I56" s="24">
        <v>1217</v>
      </c>
      <c r="J56" s="56">
        <v>1252.5128884464755</v>
      </c>
      <c r="K56" s="34">
        <f t="shared" si="0"/>
        <v>35.512888446475472</v>
      </c>
      <c r="L56" s="56">
        <f t="shared" si="1"/>
        <v>1261.165245811811</v>
      </c>
      <c r="M56" s="56">
        <f t="shared" si="2"/>
        <v>35.512888446475472</v>
      </c>
      <c r="N56" s="56">
        <f t="shared" si="3"/>
        <v>1.5624461902969349</v>
      </c>
      <c r="O56" s="143">
        <f t="shared" si="4"/>
        <v>2.9180680728410411</v>
      </c>
      <c r="P56" s="143">
        <f t="shared" si="5"/>
        <v>2.9180680728410411</v>
      </c>
      <c r="Q56" s="34">
        <v>1270.4957305292112</v>
      </c>
      <c r="R56" s="56">
        <f t="shared" si="6"/>
        <v>53.495730529211187</v>
      </c>
      <c r="S56" s="56">
        <f t="shared" si="7"/>
        <v>2861.7931848539779</v>
      </c>
      <c r="T56" s="56">
        <f t="shared" si="8"/>
        <v>53.495730529211187</v>
      </c>
      <c r="U56" s="56">
        <f t="shared" si="9"/>
        <v>1.7363624787860676</v>
      </c>
      <c r="V56" s="33">
        <f t="shared" si="10"/>
        <v>4.3957050558102866</v>
      </c>
      <c r="W56" s="143">
        <f t="shared" si="11"/>
        <v>4.3957050558102866</v>
      </c>
    </row>
    <row r="57" spans="1:23" x14ac:dyDescent="0.15">
      <c r="A57" s="90" t="s">
        <v>618</v>
      </c>
      <c r="B57" s="24" t="s">
        <v>514</v>
      </c>
      <c r="C57" s="24" t="s">
        <v>403</v>
      </c>
      <c r="D57" s="29" t="s">
        <v>96</v>
      </c>
      <c r="E57" s="24" t="s">
        <v>662</v>
      </c>
      <c r="F57" s="44" t="s">
        <v>374</v>
      </c>
      <c r="G57" s="29" t="s">
        <v>580</v>
      </c>
      <c r="H57" s="44" t="s">
        <v>582</v>
      </c>
      <c r="I57" s="24">
        <v>1814.51</v>
      </c>
      <c r="J57" s="56">
        <v>1823.3716463659869</v>
      </c>
      <c r="K57" s="34">
        <f t="shared" si="0"/>
        <v>8.8616463659868714</v>
      </c>
      <c r="L57" s="56">
        <f t="shared" si="1"/>
        <v>78.528776315808329</v>
      </c>
      <c r="M57" s="56">
        <f t="shared" si="2"/>
        <v>8.8616463659868714</v>
      </c>
      <c r="N57" s="56">
        <f t="shared" si="3"/>
        <v>0.99394942487792581</v>
      </c>
      <c r="O57" s="143">
        <f t="shared" si="4"/>
        <v>0.48837682713167035</v>
      </c>
      <c r="P57" s="143">
        <f t="shared" si="5"/>
        <v>0.48837682713167035</v>
      </c>
      <c r="Q57" s="34">
        <v>1750.0783937625381</v>
      </c>
      <c r="R57" s="56">
        <f t="shared" si="6"/>
        <v>-64.431606237461892</v>
      </c>
      <c r="S57" s="56">
        <f t="shared" si="7"/>
        <v>4151.4318823393378</v>
      </c>
      <c r="T57" s="56">
        <f t="shared" si="8"/>
        <v>64.431606237461892</v>
      </c>
      <c r="U57" s="56">
        <f t="shared" si="9"/>
        <v>1.8157875816387883</v>
      </c>
      <c r="V57" s="33">
        <f t="shared" si="10"/>
        <v>-3.5509094046029999</v>
      </c>
      <c r="W57" s="143">
        <f t="shared" si="11"/>
        <v>3.5509094046029999</v>
      </c>
    </row>
    <row r="58" spans="1:23" x14ac:dyDescent="0.15">
      <c r="A58" s="90" t="s">
        <v>669</v>
      </c>
      <c r="B58" s="24" t="s">
        <v>514</v>
      </c>
      <c r="C58" s="24" t="s">
        <v>403</v>
      </c>
      <c r="D58" s="29" t="s">
        <v>148</v>
      </c>
      <c r="E58" s="24" t="s">
        <v>662</v>
      </c>
      <c r="F58" s="44" t="s">
        <v>494</v>
      </c>
      <c r="G58" s="29" t="s">
        <v>580</v>
      </c>
      <c r="H58" s="44" t="s">
        <v>582</v>
      </c>
      <c r="I58" s="24">
        <v>875</v>
      </c>
      <c r="J58" s="56">
        <v>917.27687493131361</v>
      </c>
      <c r="K58" s="34">
        <f t="shared" si="0"/>
        <v>42.276874931313614</v>
      </c>
      <c r="L58" s="56">
        <f t="shared" si="1"/>
        <v>1787.3341539579335</v>
      </c>
      <c r="M58" s="56">
        <f t="shared" si="2"/>
        <v>42.276874931313614</v>
      </c>
      <c r="N58" s="56">
        <f t="shared" si="3"/>
        <v>1.636255892369139</v>
      </c>
      <c r="O58" s="143">
        <f t="shared" si="4"/>
        <v>4.8316428492929848</v>
      </c>
      <c r="P58" s="143">
        <f t="shared" si="5"/>
        <v>4.8316428492929848</v>
      </c>
      <c r="Q58" s="34">
        <v>941.1356297085855</v>
      </c>
      <c r="R58" s="56">
        <f t="shared" si="6"/>
        <v>66.135629708585498</v>
      </c>
      <c r="S58" s="56">
        <f t="shared" si="7"/>
        <v>4373.9215169511363</v>
      </c>
      <c r="T58" s="56">
        <f t="shared" si="8"/>
        <v>66.135629708585498</v>
      </c>
      <c r="U58" s="56">
        <f t="shared" si="9"/>
        <v>1.8269530668014693</v>
      </c>
      <c r="V58" s="33">
        <f t="shared" si="10"/>
        <v>7.5583576809811994</v>
      </c>
      <c r="W58" s="143">
        <f t="shared" si="11"/>
        <v>7.5583576809811994</v>
      </c>
    </row>
    <row r="59" spans="1:23" x14ac:dyDescent="0.15">
      <c r="A59" s="90" t="s">
        <v>670</v>
      </c>
      <c r="B59" s="24" t="s">
        <v>514</v>
      </c>
      <c r="C59" s="24" t="s">
        <v>403</v>
      </c>
      <c r="D59" s="29" t="s">
        <v>83</v>
      </c>
      <c r="E59" s="24" t="s">
        <v>662</v>
      </c>
      <c r="F59" s="29" t="s">
        <v>203</v>
      </c>
      <c r="G59" s="29" t="s">
        <v>581</v>
      </c>
      <c r="H59" s="29" t="s">
        <v>518</v>
      </c>
      <c r="I59" s="24">
        <f>2213.6+2992.3</f>
        <v>5205.8999999999996</v>
      </c>
      <c r="J59" s="56">
        <v>5808.1155063776323</v>
      </c>
      <c r="K59" s="34">
        <f t="shared" si="0"/>
        <v>602.21550637763266</v>
      </c>
      <c r="L59" s="56">
        <f t="shared" si="1"/>
        <v>362663.51612166851</v>
      </c>
      <c r="M59" s="56">
        <f t="shared" si="2"/>
        <v>602.21550637763266</v>
      </c>
      <c r="N59" s="56">
        <f t="shared" si="3"/>
        <v>2.7804724970654351</v>
      </c>
      <c r="O59" s="143">
        <f t="shared" si="4"/>
        <v>11.567942265076793</v>
      </c>
      <c r="P59" s="143">
        <f t="shared" si="5"/>
        <v>11.567942265076793</v>
      </c>
      <c r="Q59" s="34">
        <v>5868.0986446187635</v>
      </c>
      <c r="R59" s="56">
        <f t="shared" si="6"/>
        <v>662.19864461876386</v>
      </c>
      <c r="S59" s="56">
        <f t="shared" si="7"/>
        <v>438507.04493492789</v>
      </c>
      <c r="T59" s="56">
        <f t="shared" si="8"/>
        <v>662.19864461876386</v>
      </c>
      <c r="U59" s="56">
        <f t="shared" si="9"/>
        <v>2.8216436299740728</v>
      </c>
      <c r="V59" s="33">
        <f t="shared" si="10"/>
        <v>12.720156833953091</v>
      </c>
      <c r="W59" s="143">
        <f t="shared" si="11"/>
        <v>12.720156833953091</v>
      </c>
    </row>
    <row r="60" spans="1:23" x14ac:dyDescent="0.15">
      <c r="A60" s="24" t="s">
        <v>486</v>
      </c>
      <c r="B60" s="24" t="s">
        <v>730</v>
      </c>
      <c r="C60" s="24" t="s">
        <v>403</v>
      </c>
      <c r="D60" s="29" t="s">
        <v>82</v>
      </c>
      <c r="E60" s="24" t="s">
        <v>662</v>
      </c>
      <c r="F60" s="44" t="s">
        <v>203</v>
      </c>
      <c r="G60" s="44" t="s">
        <v>581</v>
      </c>
      <c r="H60" s="44" t="s">
        <v>518</v>
      </c>
      <c r="I60" s="24">
        <v>4927.5</v>
      </c>
      <c r="J60" s="56">
        <v>4938.067755605226</v>
      </c>
      <c r="K60" s="34">
        <f t="shared" si="0"/>
        <v>10.567755605226012</v>
      </c>
      <c r="L60" s="56">
        <f t="shared" si="1"/>
        <v>111.67745853178579</v>
      </c>
      <c r="M60" s="56">
        <f t="shared" si="2"/>
        <v>10.567755605226012</v>
      </c>
      <c r="N60" s="56">
        <f t="shared" si="3"/>
        <v>1.0632491046026897</v>
      </c>
      <c r="O60" s="143">
        <f t="shared" si="4"/>
        <v>0.21446485246526659</v>
      </c>
      <c r="P60" s="143">
        <f t="shared" si="5"/>
        <v>0.21446485246526659</v>
      </c>
      <c r="Q60" s="34">
        <v>5146.2536344242371</v>
      </c>
      <c r="R60" s="56">
        <f t="shared" si="6"/>
        <v>218.75363442423713</v>
      </c>
      <c r="S60" s="56">
        <f t="shared" si="7"/>
        <v>47853.152573812789</v>
      </c>
      <c r="T60" s="56">
        <f t="shared" si="8"/>
        <v>218.75363442423713</v>
      </c>
      <c r="U60" s="56">
        <f t="shared" si="9"/>
        <v>2.3419360664413209</v>
      </c>
      <c r="V60" s="33">
        <f t="shared" si="10"/>
        <v>4.4394446357024275</v>
      </c>
      <c r="W60" s="143">
        <f t="shared" si="11"/>
        <v>4.4394446357024275</v>
      </c>
    </row>
    <row r="61" spans="1:23" x14ac:dyDescent="0.15">
      <c r="A61" s="24" t="s">
        <v>431</v>
      </c>
      <c r="B61" s="24" t="s">
        <v>730</v>
      </c>
      <c r="C61" s="24" t="s">
        <v>458</v>
      </c>
      <c r="D61" s="29" t="s">
        <v>82</v>
      </c>
      <c r="E61" s="24" t="s">
        <v>662</v>
      </c>
      <c r="F61" s="44" t="s">
        <v>203</v>
      </c>
      <c r="G61" s="44" t="s">
        <v>581</v>
      </c>
      <c r="H61" s="44" t="s">
        <v>518</v>
      </c>
      <c r="I61" s="24">
        <v>4710</v>
      </c>
      <c r="J61" s="56">
        <v>5626.1941195368718</v>
      </c>
      <c r="K61" s="34">
        <f t="shared" si="0"/>
        <v>916.19411953687177</v>
      </c>
      <c r="L61" s="56">
        <f t="shared" si="1"/>
        <v>839411.66467394365</v>
      </c>
      <c r="M61" s="56">
        <f t="shared" si="2"/>
        <v>916.19411953687177</v>
      </c>
      <c r="N61" s="56">
        <f t="shared" si="3"/>
        <v>2.9624612616478769</v>
      </c>
      <c r="O61" s="143">
        <f t="shared" si="4"/>
        <v>19.452104448765855</v>
      </c>
      <c r="P61" s="143">
        <f t="shared" si="5"/>
        <v>19.452104448765855</v>
      </c>
      <c r="Q61" s="34">
        <v>5745.4222858750072</v>
      </c>
      <c r="R61" s="56">
        <f t="shared" si="6"/>
        <v>1035.4222858750072</v>
      </c>
      <c r="S61" s="56">
        <f t="shared" si="7"/>
        <v>1072099.3100866252</v>
      </c>
      <c r="T61" s="56">
        <f t="shared" si="8"/>
        <v>1035.4222858750072</v>
      </c>
      <c r="U61" s="56">
        <f t="shared" si="9"/>
        <v>3.0155367429171074</v>
      </c>
      <c r="V61" s="33">
        <f t="shared" si="10"/>
        <v>21.983488022823934</v>
      </c>
      <c r="W61" s="143">
        <f t="shared" si="11"/>
        <v>21.983488022823934</v>
      </c>
    </row>
    <row r="62" spans="1:23" x14ac:dyDescent="0.15">
      <c r="A62" s="90" t="s">
        <v>902</v>
      </c>
      <c r="B62" s="24" t="s">
        <v>730</v>
      </c>
      <c r="C62" s="24" t="s">
        <v>401</v>
      </c>
      <c r="D62" s="29" t="s">
        <v>82</v>
      </c>
      <c r="E62" s="24" t="s">
        <v>662</v>
      </c>
      <c r="F62" s="29" t="s">
        <v>374</v>
      </c>
      <c r="G62" s="29" t="s">
        <v>580</v>
      </c>
      <c r="H62" s="29" t="s">
        <v>582</v>
      </c>
      <c r="I62" s="24">
        <v>2870</v>
      </c>
      <c r="J62" s="34">
        <v>2776.4799137704167</v>
      </c>
      <c r="K62" s="34">
        <f t="shared" si="0"/>
        <v>-93.520086229583285</v>
      </c>
      <c r="L62" s="56">
        <f t="shared" si="1"/>
        <v>8746.0065283886925</v>
      </c>
      <c r="M62" s="56">
        <f t="shared" si="2"/>
        <v>93.520086229583285</v>
      </c>
      <c r="N62" s="56">
        <f t="shared" si="3"/>
        <v>1.9755241091623534</v>
      </c>
      <c r="O62" s="143">
        <f t="shared" si="4"/>
        <v>-3.2585395898809506</v>
      </c>
      <c r="P62" s="143">
        <f t="shared" si="5"/>
        <v>3.2585395898809506</v>
      </c>
      <c r="Q62" s="34">
        <v>2899.3460802802078</v>
      </c>
      <c r="R62" s="56">
        <f t="shared" si="6"/>
        <v>29.346080280207843</v>
      </c>
      <c r="S62" s="56">
        <f t="shared" si="7"/>
        <v>861.19242781240371</v>
      </c>
      <c r="T62" s="56">
        <f t="shared" si="8"/>
        <v>29.346080280207843</v>
      </c>
      <c r="U62" s="56">
        <f t="shared" si="9"/>
        <v>1.4821026024091963</v>
      </c>
      <c r="V62" s="33">
        <f t="shared" si="10"/>
        <v>1.0225115080211793</v>
      </c>
      <c r="W62" s="143">
        <f t="shared" si="11"/>
        <v>1.0225115080211793</v>
      </c>
    </row>
    <row r="63" spans="1:23" x14ac:dyDescent="0.15">
      <c r="A63" s="24" t="s">
        <v>100</v>
      </c>
      <c r="B63" s="24" t="s">
        <v>730</v>
      </c>
      <c r="C63" s="24" t="s">
        <v>403</v>
      </c>
      <c r="D63" s="29" t="s">
        <v>82</v>
      </c>
      <c r="E63" s="24" t="s">
        <v>662</v>
      </c>
      <c r="F63" s="44" t="s">
        <v>374</v>
      </c>
      <c r="G63" s="44" t="s">
        <v>580</v>
      </c>
      <c r="H63" s="44" t="s">
        <v>582</v>
      </c>
      <c r="I63" s="24">
        <v>1299.96</v>
      </c>
      <c r="J63" s="56">
        <v>1188.0570317595464</v>
      </c>
      <c r="K63" s="34">
        <f t="shared" si="0"/>
        <v>-111.90296824045367</v>
      </c>
      <c r="L63" s="56">
        <f t="shared" si="1"/>
        <v>12522.274301023983</v>
      </c>
      <c r="M63" s="56">
        <f t="shared" si="2"/>
        <v>111.90296824045367</v>
      </c>
      <c r="N63" s="56">
        <f t="shared" si="3"/>
        <v>2.0527053597593756</v>
      </c>
      <c r="O63" s="143">
        <f t="shared" si="4"/>
        <v>-8.6081855011272399</v>
      </c>
      <c r="P63" s="143">
        <f t="shared" si="5"/>
        <v>8.6081855011272399</v>
      </c>
      <c r="Q63" s="34">
        <v>1171.7190832272408</v>
      </c>
      <c r="R63" s="56">
        <f t="shared" si="6"/>
        <v>-128.24091677275919</v>
      </c>
      <c r="S63" s="56">
        <f t="shared" si="7"/>
        <v>16445.732734717749</v>
      </c>
      <c r="T63" s="56">
        <f t="shared" si="8"/>
        <v>128.24091677275919</v>
      </c>
      <c r="U63" s="56">
        <f t="shared" si="9"/>
        <v>2.1114000300322231</v>
      </c>
      <c r="V63" s="33">
        <f t="shared" si="10"/>
        <v>-9.8649894437335917</v>
      </c>
      <c r="W63" s="143">
        <f t="shared" si="11"/>
        <v>9.8649894437335917</v>
      </c>
    </row>
    <row r="64" spans="1:23" x14ac:dyDescent="0.15">
      <c r="A64" s="90" t="s">
        <v>588</v>
      </c>
      <c r="B64" s="24" t="s">
        <v>730</v>
      </c>
      <c r="C64" s="24" t="s">
        <v>403</v>
      </c>
      <c r="D64" s="44" t="s">
        <v>148</v>
      </c>
      <c r="E64" s="24" t="s">
        <v>662</v>
      </c>
      <c r="F64" s="44" t="s">
        <v>374</v>
      </c>
      <c r="G64" s="30" t="s">
        <v>580</v>
      </c>
      <c r="H64" s="44" t="s">
        <v>582</v>
      </c>
      <c r="I64" s="24">
        <v>2740.86</v>
      </c>
      <c r="J64" s="56">
        <v>3018.7736459228286</v>
      </c>
      <c r="K64" s="34">
        <f t="shared" si="0"/>
        <v>277.91364592282844</v>
      </c>
      <c r="L64" s="56">
        <f t="shared" si="1"/>
        <v>77235.994590119255</v>
      </c>
      <c r="M64" s="56">
        <f t="shared" si="2"/>
        <v>277.91364592282844</v>
      </c>
      <c r="N64" s="56">
        <f t="shared" si="3"/>
        <v>2.4454697627565785</v>
      </c>
      <c r="O64" s="143">
        <f t="shared" si="4"/>
        <v>10.139651274520713</v>
      </c>
      <c r="P64" s="143">
        <f t="shared" si="5"/>
        <v>10.139651274520713</v>
      </c>
      <c r="Q64" s="34">
        <v>3131.9802566806948</v>
      </c>
      <c r="R64" s="56">
        <f t="shared" si="6"/>
        <v>391.12025668069464</v>
      </c>
      <c r="S64" s="56">
        <f t="shared" si="7"/>
        <v>152975.05518597245</v>
      </c>
      <c r="T64" s="56">
        <f t="shared" si="8"/>
        <v>391.12025668069464</v>
      </c>
      <c r="U64" s="56">
        <f t="shared" si="9"/>
        <v>2.5934192782538164</v>
      </c>
      <c r="V64" s="33">
        <f t="shared" si="10"/>
        <v>14.269983022872188</v>
      </c>
      <c r="W64" s="143">
        <f t="shared" si="11"/>
        <v>14.269983022872188</v>
      </c>
    </row>
    <row r="65" spans="1:23" x14ac:dyDescent="0.15">
      <c r="A65" s="90" t="s">
        <v>584</v>
      </c>
      <c r="B65" s="24" t="s">
        <v>730</v>
      </c>
      <c r="C65" s="24" t="s">
        <v>403</v>
      </c>
      <c r="D65" s="44" t="s">
        <v>148</v>
      </c>
      <c r="E65" s="24" t="s">
        <v>662</v>
      </c>
      <c r="F65" s="44" t="s">
        <v>374</v>
      </c>
      <c r="G65" s="44" t="s">
        <v>580</v>
      </c>
      <c r="H65" s="44" t="s">
        <v>582</v>
      </c>
      <c r="I65" s="26">
        <v>1687.51</v>
      </c>
      <c r="J65" s="56">
        <v>1732.3409490014649</v>
      </c>
      <c r="K65" s="34">
        <f t="shared" si="0"/>
        <v>44.830949001464887</v>
      </c>
      <c r="L65" s="56">
        <f t="shared" si="1"/>
        <v>2009.8139883719455</v>
      </c>
      <c r="M65" s="56">
        <f t="shared" si="2"/>
        <v>44.830949001464887</v>
      </c>
      <c r="N65" s="56">
        <f t="shared" si="3"/>
        <v>1.661158850084246</v>
      </c>
      <c r="O65" s="143">
        <f t="shared" si="4"/>
        <v>2.6566330867055536</v>
      </c>
      <c r="P65" s="143">
        <f t="shared" si="5"/>
        <v>2.6566330867055536</v>
      </c>
      <c r="Q65" s="34">
        <v>1771.7177960048514</v>
      </c>
      <c r="R65" s="56">
        <f t="shared" si="6"/>
        <v>84.207796004851389</v>
      </c>
      <c r="S65" s="56">
        <f t="shared" si="7"/>
        <v>7090.9529079946651</v>
      </c>
      <c r="T65" s="56">
        <f t="shared" si="8"/>
        <v>84.207796004851389</v>
      </c>
      <c r="U65" s="56">
        <f t="shared" si="9"/>
        <v>1.9304793319379985</v>
      </c>
      <c r="V65" s="33">
        <f t="shared" si="10"/>
        <v>4.9900620443642643</v>
      </c>
      <c r="W65" s="143">
        <f t="shared" si="11"/>
        <v>4.9900620443642643</v>
      </c>
    </row>
    <row r="66" spans="1:23" ht="14" x14ac:dyDescent="0.2">
      <c r="A66" s="90" t="s">
        <v>665</v>
      </c>
      <c r="B66" s="24" t="s">
        <v>730</v>
      </c>
      <c r="C66" s="24" t="s">
        <v>403</v>
      </c>
      <c r="D66" s="44" t="s">
        <v>82</v>
      </c>
      <c r="E66" s="24" t="s">
        <v>662</v>
      </c>
      <c r="F66" s="44" t="s">
        <v>374</v>
      </c>
      <c r="G66" s="44" t="s">
        <v>580</v>
      </c>
      <c r="H66" s="44" t="s">
        <v>582</v>
      </c>
      <c r="I66" s="87">
        <v>1342.6</v>
      </c>
      <c r="J66" s="56">
        <v>1316.1603669763415</v>
      </c>
      <c r="K66" s="34">
        <f t="shared" ref="K66:K129" si="12">J66-I66</f>
        <v>-26.439633023658416</v>
      </c>
      <c r="L66" s="56">
        <f t="shared" ref="L66:L129" si="13">K66^2</f>
        <v>699.05419442572872</v>
      </c>
      <c r="M66" s="56">
        <f t="shared" ref="M66:M129" si="14">SQRT(L66)</f>
        <v>26.439633023658416</v>
      </c>
      <c r="N66" s="56">
        <f t="shared" ref="N66:N129" si="15">LOG10(M66+1)</f>
        <v>1.4383782988398934</v>
      </c>
      <c r="O66" s="143">
        <f t="shared" ref="O66:O129" si="16">100*K66/I66</f>
        <v>-1.9692859394948918</v>
      </c>
      <c r="P66" s="143">
        <f t="shared" ref="P66:P129" si="17">ABS(O66)</f>
        <v>1.9692859394948918</v>
      </c>
      <c r="Q66" s="34">
        <v>1377.0061781418121</v>
      </c>
      <c r="R66" s="56">
        <f t="shared" ref="R66:R129" si="18">Q66-I66</f>
        <v>34.406178141812234</v>
      </c>
      <c r="S66" s="56">
        <f t="shared" ref="S66:S129" si="19">R66^2</f>
        <v>1183.7850943261178</v>
      </c>
      <c r="T66" s="56">
        <f t="shared" ref="T66:T129" si="20">SQRT(S66)</f>
        <v>34.406178141812234</v>
      </c>
      <c r="U66" s="56">
        <f t="shared" ref="U66:U129" si="21">LOG10(T66+1)</f>
        <v>1.5490790501271849</v>
      </c>
      <c r="V66" s="33">
        <f t="shared" ref="V66:V129" si="22">100*R66/I66</f>
        <v>2.5626529228223025</v>
      </c>
      <c r="W66" s="143">
        <f t="shared" ref="W66:W129" si="23">ABS(V66)</f>
        <v>2.5626529228223025</v>
      </c>
    </row>
    <row r="67" spans="1:23" x14ac:dyDescent="0.15">
      <c r="A67" s="90" t="s">
        <v>389</v>
      </c>
      <c r="B67" s="24" t="s">
        <v>730</v>
      </c>
      <c r="C67" s="24" t="s">
        <v>403</v>
      </c>
      <c r="D67" s="44" t="s">
        <v>82</v>
      </c>
      <c r="E67" s="24" t="s">
        <v>662</v>
      </c>
      <c r="F67" s="44" t="s">
        <v>494</v>
      </c>
      <c r="G67" s="44" t="s">
        <v>580</v>
      </c>
      <c r="H67" s="44" t="s">
        <v>582</v>
      </c>
      <c r="I67" s="27">
        <v>1095.26</v>
      </c>
      <c r="J67" s="56">
        <v>1120.6014903860939</v>
      </c>
      <c r="K67" s="34">
        <f t="shared" si="12"/>
        <v>25.341490386093938</v>
      </c>
      <c r="L67" s="56">
        <f t="shared" si="13"/>
        <v>642.19113498849151</v>
      </c>
      <c r="M67" s="56">
        <f t="shared" si="14"/>
        <v>25.341490386093938</v>
      </c>
      <c r="N67" s="56">
        <f t="shared" si="15"/>
        <v>1.420640343448285</v>
      </c>
      <c r="O67" s="143">
        <f t="shared" si="16"/>
        <v>2.3137419778038035</v>
      </c>
      <c r="P67" s="143">
        <f t="shared" si="17"/>
        <v>2.3137419778038035</v>
      </c>
      <c r="Q67" s="34">
        <v>1135.5278505967674</v>
      </c>
      <c r="R67" s="56">
        <f t="shared" si="18"/>
        <v>40.267850596767403</v>
      </c>
      <c r="S67" s="56">
        <f t="shared" si="19"/>
        <v>1621.499791683581</v>
      </c>
      <c r="T67" s="56">
        <f t="shared" si="20"/>
        <v>40.267850596767403</v>
      </c>
      <c r="U67" s="56">
        <f t="shared" si="21"/>
        <v>1.6156118495831948</v>
      </c>
      <c r="V67" s="33">
        <f t="shared" si="22"/>
        <v>3.6765563059700348</v>
      </c>
      <c r="W67" s="143">
        <f t="shared" si="23"/>
        <v>3.6765563059700348</v>
      </c>
    </row>
    <row r="68" spans="1:23" x14ac:dyDescent="0.15">
      <c r="A68" s="90" t="s">
        <v>127</v>
      </c>
      <c r="B68" s="24" t="s">
        <v>730</v>
      </c>
      <c r="C68" s="24" t="s">
        <v>403</v>
      </c>
      <c r="D68" s="44" t="s">
        <v>82</v>
      </c>
      <c r="E68" s="24" t="s">
        <v>662</v>
      </c>
      <c r="F68" s="44" t="s">
        <v>203</v>
      </c>
      <c r="G68" s="44" t="s">
        <v>581</v>
      </c>
      <c r="H68" s="44" t="s">
        <v>518</v>
      </c>
      <c r="I68" s="27">
        <v>4745.58</v>
      </c>
      <c r="J68" s="56">
        <v>5148.8904076224107</v>
      </c>
      <c r="K68" s="34">
        <f t="shared" si="12"/>
        <v>403.31040762241082</v>
      </c>
      <c r="L68" s="56">
        <f t="shared" si="13"/>
        <v>162659.28489655518</v>
      </c>
      <c r="M68" s="56">
        <f t="shared" si="14"/>
        <v>403.31040762241082</v>
      </c>
      <c r="N68" s="56">
        <f t="shared" si="15"/>
        <v>2.6067149209399232</v>
      </c>
      <c r="O68" s="143">
        <f t="shared" si="16"/>
        <v>8.4986536444946843</v>
      </c>
      <c r="P68" s="143">
        <f t="shared" si="17"/>
        <v>8.4986536444946843</v>
      </c>
      <c r="Q68" s="34">
        <v>5372.6706468910697</v>
      </c>
      <c r="R68" s="56">
        <f t="shared" si="18"/>
        <v>627.09064689106981</v>
      </c>
      <c r="S68" s="56">
        <f t="shared" si="19"/>
        <v>393242.67941826041</v>
      </c>
      <c r="T68" s="56">
        <f t="shared" si="20"/>
        <v>627.09064689106981</v>
      </c>
      <c r="U68" s="56">
        <f t="shared" si="21"/>
        <v>2.7980223262271249</v>
      </c>
      <c r="V68" s="33">
        <f t="shared" si="22"/>
        <v>13.214204520650158</v>
      </c>
      <c r="W68" s="143">
        <f t="shared" si="23"/>
        <v>13.214204520650158</v>
      </c>
    </row>
    <row r="69" spans="1:23" x14ac:dyDescent="0.15">
      <c r="A69" s="90" t="s">
        <v>104</v>
      </c>
      <c r="B69" s="24" t="s">
        <v>730</v>
      </c>
      <c r="C69" s="24" t="s">
        <v>403</v>
      </c>
      <c r="D69" s="44" t="s">
        <v>83</v>
      </c>
      <c r="E69" s="24" t="s">
        <v>662</v>
      </c>
      <c r="F69" s="44" t="s">
        <v>203</v>
      </c>
      <c r="G69" s="44" t="s">
        <v>581</v>
      </c>
      <c r="H69" s="44" t="s">
        <v>518</v>
      </c>
      <c r="I69" s="26">
        <v>4769.5</v>
      </c>
      <c r="J69" s="56">
        <v>4694.882886691752</v>
      </c>
      <c r="K69" s="34">
        <f t="shared" si="12"/>
        <v>-74.617113308248008</v>
      </c>
      <c r="L69" s="56">
        <f t="shared" si="13"/>
        <v>5567.7135984559218</v>
      </c>
      <c r="M69" s="56">
        <f t="shared" si="14"/>
        <v>74.617113308248008</v>
      </c>
      <c r="N69" s="56">
        <f t="shared" si="15"/>
        <v>1.8786200941025797</v>
      </c>
      <c r="O69" s="143">
        <f t="shared" si="16"/>
        <v>-1.5644640592986268</v>
      </c>
      <c r="P69" s="143">
        <f t="shared" si="17"/>
        <v>1.5644640592986268</v>
      </c>
      <c r="Q69" s="34">
        <v>4767.8151718931749</v>
      </c>
      <c r="R69" s="56">
        <f t="shared" si="18"/>
        <v>-1.6848281068250799</v>
      </c>
      <c r="S69" s="56">
        <f t="shared" si="19"/>
        <v>2.8386457495477826</v>
      </c>
      <c r="T69" s="56">
        <f t="shared" si="20"/>
        <v>1.6848281068250799</v>
      </c>
      <c r="U69" s="56">
        <f t="shared" si="21"/>
        <v>0.42891648569775015</v>
      </c>
      <c r="V69" s="33">
        <f t="shared" si="22"/>
        <v>-3.5325046793690744E-2</v>
      </c>
      <c r="W69" s="143">
        <f t="shared" si="23"/>
        <v>3.5325046793690744E-2</v>
      </c>
    </row>
    <row r="70" spans="1:23" x14ac:dyDescent="0.15">
      <c r="A70" s="90" t="s">
        <v>733</v>
      </c>
      <c r="B70" s="24" t="s">
        <v>730</v>
      </c>
      <c r="C70" s="24" t="s">
        <v>403</v>
      </c>
      <c r="D70" s="44" t="s">
        <v>82</v>
      </c>
      <c r="E70" s="24" t="s">
        <v>662</v>
      </c>
      <c r="F70" s="44" t="s">
        <v>293</v>
      </c>
      <c r="G70" s="29" t="s">
        <v>580</v>
      </c>
      <c r="H70" s="29" t="s">
        <v>518</v>
      </c>
      <c r="I70" s="26">
        <v>3740</v>
      </c>
      <c r="J70" s="34">
        <v>3775.6950310340203</v>
      </c>
      <c r="K70" s="34">
        <f t="shared" si="12"/>
        <v>35.695031034020303</v>
      </c>
      <c r="L70" s="56">
        <f t="shared" si="13"/>
        <v>1274.1352405196726</v>
      </c>
      <c r="M70" s="56">
        <f t="shared" si="14"/>
        <v>35.695031034020303</v>
      </c>
      <c r="N70" s="56">
        <f t="shared" si="15"/>
        <v>1.5646072593308666</v>
      </c>
      <c r="O70" s="143">
        <f t="shared" si="16"/>
        <v>0.95441259449252147</v>
      </c>
      <c r="P70" s="143">
        <f t="shared" si="17"/>
        <v>0.95441259449252147</v>
      </c>
      <c r="Q70" s="34">
        <v>4069.729833829108</v>
      </c>
      <c r="R70" s="56">
        <f t="shared" si="18"/>
        <v>329.72983382910797</v>
      </c>
      <c r="S70" s="56">
        <f t="shared" si="19"/>
        <v>108721.76331697116</v>
      </c>
      <c r="T70" s="56">
        <f t="shared" si="20"/>
        <v>329.72983382910797</v>
      </c>
      <c r="U70" s="56">
        <f t="shared" si="21"/>
        <v>2.5194733726668121</v>
      </c>
      <c r="V70" s="33">
        <f t="shared" si="22"/>
        <v>8.8163057173558279</v>
      </c>
      <c r="W70" s="143">
        <f t="shared" si="23"/>
        <v>8.8163057173558279</v>
      </c>
    </row>
    <row r="71" spans="1:23" x14ac:dyDescent="0.15">
      <c r="A71" s="90" t="s">
        <v>369</v>
      </c>
      <c r="B71" s="24" t="s">
        <v>730</v>
      </c>
      <c r="C71" s="24" t="s">
        <v>403</v>
      </c>
      <c r="D71" s="44" t="s">
        <v>148</v>
      </c>
      <c r="E71" s="24" t="s">
        <v>662</v>
      </c>
      <c r="F71" s="44" t="s">
        <v>374</v>
      </c>
      <c r="G71" s="44" t="s">
        <v>580</v>
      </c>
      <c r="H71" s="44" t="s">
        <v>582</v>
      </c>
      <c r="I71" s="27">
        <v>2524.9700000000003</v>
      </c>
      <c r="J71" s="56">
        <v>2517.8337443797336</v>
      </c>
      <c r="K71" s="34">
        <f t="shared" si="12"/>
        <v>-7.1362556202666383</v>
      </c>
      <c r="L71" s="56">
        <f t="shared" si="13"/>
        <v>50.926144277787181</v>
      </c>
      <c r="M71" s="56">
        <f t="shared" si="14"/>
        <v>7.1362556202666383</v>
      </c>
      <c r="N71" s="56">
        <f t="shared" si="15"/>
        <v>0.91042458454686004</v>
      </c>
      <c r="O71" s="143">
        <f t="shared" si="16"/>
        <v>-0.28262734290968361</v>
      </c>
      <c r="P71" s="143">
        <f t="shared" si="17"/>
        <v>0.28262734290968361</v>
      </c>
      <c r="Q71" s="34">
        <v>2624.8811277946111</v>
      </c>
      <c r="R71" s="56">
        <f t="shared" si="18"/>
        <v>99.91112779461082</v>
      </c>
      <c r="S71" s="56">
        <f t="shared" si="19"/>
        <v>9982.2334571910542</v>
      </c>
      <c r="T71" s="56">
        <f t="shared" si="20"/>
        <v>99.91112779461082</v>
      </c>
      <c r="U71" s="56">
        <f t="shared" si="21"/>
        <v>2.003939059926946</v>
      </c>
      <c r="V71" s="33">
        <f t="shared" si="22"/>
        <v>3.9569233612522452</v>
      </c>
      <c r="W71" s="143">
        <f t="shared" si="23"/>
        <v>3.9569233612522452</v>
      </c>
    </row>
    <row r="72" spans="1:23" x14ac:dyDescent="0.15">
      <c r="A72" s="90" t="s">
        <v>84</v>
      </c>
      <c r="B72" s="24" t="s">
        <v>730</v>
      </c>
      <c r="C72" s="24" t="s">
        <v>403</v>
      </c>
      <c r="D72" s="44" t="s">
        <v>83</v>
      </c>
      <c r="E72" s="24" t="s">
        <v>662</v>
      </c>
      <c r="F72" s="44" t="s">
        <v>203</v>
      </c>
      <c r="G72" s="44" t="s">
        <v>581</v>
      </c>
      <c r="H72" s="44" t="s">
        <v>518</v>
      </c>
      <c r="I72" s="26">
        <v>4572</v>
      </c>
      <c r="J72" s="56">
        <v>5126.8051143249231</v>
      </c>
      <c r="K72" s="34">
        <f t="shared" si="12"/>
        <v>554.80511432492312</v>
      </c>
      <c r="L72" s="56">
        <f t="shared" si="13"/>
        <v>307808.71488109103</v>
      </c>
      <c r="M72" s="56">
        <f t="shared" si="14"/>
        <v>554.80511432492312</v>
      </c>
      <c r="N72" s="56">
        <f t="shared" si="15"/>
        <v>2.7449225386861782</v>
      </c>
      <c r="O72" s="143">
        <f t="shared" si="16"/>
        <v>12.134845020230165</v>
      </c>
      <c r="P72" s="143">
        <f t="shared" si="17"/>
        <v>12.134845020230165</v>
      </c>
      <c r="Q72" s="34">
        <v>5225.1991691645235</v>
      </c>
      <c r="R72" s="56">
        <f t="shared" si="18"/>
        <v>653.19916916452348</v>
      </c>
      <c r="S72" s="56">
        <f t="shared" si="19"/>
        <v>426669.15459722374</v>
      </c>
      <c r="T72" s="56">
        <f t="shared" si="20"/>
        <v>653.19916916452348</v>
      </c>
      <c r="U72" s="56">
        <f t="shared" si="21"/>
        <v>2.8157099882336403</v>
      </c>
      <c r="V72" s="33">
        <f t="shared" si="22"/>
        <v>14.286945957229298</v>
      </c>
      <c r="W72" s="143">
        <f t="shared" si="23"/>
        <v>14.286945957229298</v>
      </c>
    </row>
    <row r="73" spans="1:23" x14ac:dyDescent="0.15">
      <c r="A73" s="90" t="s">
        <v>120</v>
      </c>
      <c r="B73" s="24" t="s">
        <v>730</v>
      </c>
      <c r="C73" s="24" t="s">
        <v>403</v>
      </c>
      <c r="D73" s="44" t="s">
        <v>82</v>
      </c>
      <c r="E73" s="24" t="s">
        <v>662</v>
      </c>
      <c r="F73" s="44" t="s">
        <v>203</v>
      </c>
      <c r="G73" s="44" t="s">
        <v>581</v>
      </c>
      <c r="H73" s="44" t="s">
        <v>518</v>
      </c>
      <c r="I73" s="26">
        <v>4978</v>
      </c>
      <c r="J73" s="56">
        <v>5237.0364095831546</v>
      </c>
      <c r="K73" s="34">
        <f t="shared" si="12"/>
        <v>259.03640958315464</v>
      </c>
      <c r="L73" s="56">
        <f t="shared" si="13"/>
        <v>67099.861489731848</v>
      </c>
      <c r="M73" s="56">
        <f t="shared" si="14"/>
        <v>259.03640958315464</v>
      </c>
      <c r="N73" s="56">
        <f t="shared" si="15"/>
        <v>2.4150341609477053</v>
      </c>
      <c r="O73" s="143">
        <f t="shared" si="16"/>
        <v>5.2036241378697197</v>
      </c>
      <c r="P73" s="143">
        <f t="shared" si="17"/>
        <v>5.2036241378697197</v>
      </c>
      <c r="Q73" s="34">
        <v>5308.3372711037018</v>
      </c>
      <c r="R73" s="56">
        <f t="shared" si="18"/>
        <v>330.33727110370182</v>
      </c>
      <c r="S73" s="56">
        <f t="shared" si="19"/>
        <v>109122.7126802406</v>
      </c>
      <c r="T73" s="56">
        <f t="shared" si="20"/>
        <v>330.33727110370182</v>
      </c>
      <c r="U73" s="56">
        <f t="shared" si="21"/>
        <v>2.5202702910713528</v>
      </c>
      <c r="V73" s="33">
        <f t="shared" si="22"/>
        <v>6.63594357379875</v>
      </c>
      <c r="W73" s="143">
        <f t="shared" si="23"/>
        <v>6.63594357379875</v>
      </c>
    </row>
    <row r="74" spans="1:23" x14ac:dyDescent="0.15">
      <c r="A74" s="90" t="s">
        <v>121</v>
      </c>
      <c r="B74" s="24" t="s">
        <v>730</v>
      </c>
      <c r="C74" s="24" t="s">
        <v>403</v>
      </c>
      <c r="D74" s="44" t="s">
        <v>82</v>
      </c>
      <c r="E74" s="24" t="s">
        <v>662</v>
      </c>
      <c r="F74" s="44" t="s">
        <v>203</v>
      </c>
      <c r="G74" s="44" t="s">
        <v>581</v>
      </c>
      <c r="H74" s="44" t="s">
        <v>518</v>
      </c>
      <c r="I74" s="26">
        <v>4470</v>
      </c>
      <c r="J74" s="56">
        <v>4324.1862001116997</v>
      </c>
      <c r="K74" s="34">
        <f t="shared" si="12"/>
        <v>-145.81379988830031</v>
      </c>
      <c r="L74" s="56">
        <f t="shared" si="13"/>
        <v>21261.664237865287</v>
      </c>
      <c r="M74" s="56">
        <f t="shared" si="14"/>
        <v>145.81379988830031</v>
      </c>
      <c r="N74" s="56">
        <f t="shared" si="15"/>
        <v>2.1667668793788404</v>
      </c>
      <c r="O74" s="143">
        <f t="shared" si="16"/>
        <v>-3.2620536887762932</v>
      </c>
      <c r="P74" s="143">
        <f t="shared" si="17"/>
        <v>3.2620536887762932</v>
      </c>
      <c r="Q74" s="34">
        <v>4400.1745887346706</v>
      </c>
      <c r="R74" s="56">
        <f t="shared" si="18"/>
        <v>-69.825411265329421</v>
      </c>
      <c r="S74" s="56">
        <f t="shared" si="19"/>
        <v>4875.5880583723929</v>
      </c>
      <c r="T74" s="56">
        <f t="shared" si="20"/>
        <v>69.825411265329421</v>
      </c>
      <c r="U74" s="56">
        <f t="shared" si="21"/>
        <v>1.850189105038498</v>
      </c>
      <c r="V74" s="33">
        <f t="shared" si="22"/>
        <v>-1.5620897374794054</v>
      </c>
      <c r="W74" s="143">
        <f t="shared" si="23"/>
        <v>1.5620897374794054</v>
      </c>
    </row>
    <row r="75" spans="1:23" x14ac:dyDescent="0.15">
      <c r="A75" s="90" t="s">
        <v>139</v>
      </c>
      <c r="B75" s="24" t="s">
        <v>730</v>
      </c>
      <c r="C75" s="24" t="s">
        <v>403</v>
      </c>
      <c r="D75" s="44" t="s">
        <v>82</v>
      </c>
      <c r="E75" s="24" t="s">
        <v>662</v>
      </c>
      <c r="F75" s="44" t="s">
        <v>203</v>
      </c>
      <c r="G75" s="44" t="s">
        <v>581</v>
      </c>
      <c r="H75" s="44" t="s">
        <v>518</v>
      </c>
      <c r="I75" s="26">
        <v>4870</v>
      </c>
      <c r="J75" s="56">
        <v>4692.3243372345787</v>
      </c>
      <c r="K75" s="34">
        <f t="shared" si="12"/>
        <v>-177.67566276542129</v>
      </c>
      <c r="L75" s="56">
        <f t="shared" si="13"/>
        <v>31568.641139131716</v>
      </c>
      <c r="M75" s="56">
        <f t="shared" si="14"/>
        <v>177.67566276542129</v>
      </c>
      <c r="N75" s="56">
        <f t="shared" si="15"/>
        <v>2.252065401713915</v>
      </c>
      <c r="O75" s="143">
        <f t="shared" si="16"/>
        <v>-3.6483708986739485</v>
      </c>
      <c r="P75" s="143">
        <f t="shared" si="17"/>
        <v>3.6483708986739485</v>
      </c>
      <c r="Q75" s="34">
        <v>5011.7123285946136</v>
      </c>
      <c r="R75" s="56">
        <f t="shared" si="18"/>
        <v>141.71232859461361</v>
      </c>
      <c r="S75" s="56">
        <f t="shared" si="19"/>
        <v>20082.384075707741</v>
      </c>
      <c r="T75" s="56">
        <f t="shared" si="20"/>
        <v>141.71232859461361</v>
      </c>
      <c r="U75" s="56">
        <f t="shared" si="21"/>
        <v>2.1544614924512504</v>
      </c>
      <c r="V75" s="33">
        <f t="shared" si="22"/>
        <v>2.909904077918144</v>
      </c>
      <c r="W75" s="143">
        <f t="shared" si="23"/>
        <v>2.909904077918144</v>
      </c>
    </row>
    <row r="76" spans="1:23" x14ac:dyDescent="0.15">
      <c r="A76" s="90" t="s">
        <v>386</v>
      </c>
      <c r="B76" s="24" t="s">
        <v>730</v>
      </c>
      <c r="C76" s="24" t="s">
        <v>403</v>
      </c>
      <c r="D76" s="44" t="s">
        <v>82</v>
      </c>
      <c r="E76" s="24" t="s">
        <v>662</v>
      </c>
      <c r="F76" s="44" t="s">
        <v>374</v>
      </c>
      <c r="G76" s="44" t="s">
        <v>580</v>
      </c>
      <c r="H76" s="44" t="s">
        <v>582</v>
      </c>
      <c r="I76" s="27">
        <v>1538.3</v>
      </c>
      <c r="J76" s="56">
        <v>1524.1381056039315</v>
      </c>
      <c r="K76" s="34">
        <f t="shared" si="12"/>
        <v>-14.161894396068419</v>
      </c>
      <c r="L76" s="56">
        <f t="shared" si="13"/>
        <v>200.5592528853941</v>
      </c>
      <c r="M76" s="56">
        <f t="shared" si="14"/>
        <v>14.161894396068419</v>
      </c>
      <c r="N76" s="56">
        <f t="shared" si="15"/>
        <v>1.1807534674147262</v>
      </c>
      <c r="O76" s="143">
        <f t="shared" si="16"/>
        <v>-0.92061980082353378</v>
      </c>
      <c r="P76" s="143">
        <f t="shared" si="17"/>
        <v>0.92061980082353378</v>
      </c>
      <c r="Q76" s="34">
        <v>1540.0195249282044</v>
      </c>
      <c r="R76" s="56">
        <f t="shared" si="18"/>
        <v>1.7195249282044642</v>
      </c>
      <c r="S76" s="56">
        <f t="shared" si="19"/>
        <v>2.9567659787165677</v>
      </c>
      <c r="T76" s="56">
        <f t="shared" si="20"/>
        <v>1.7195249282044642</v>
      </c>
      <c r="U76" s="56">
        <f t="shared" si="21"/>
        <v>0.43449304407857509</v>
      </c>
      <c r="V76" s="33">
        <f t="shared" si="22"/>
        <v>0.11178085732330913</v>
      </c>
      <c r="W76" s="143">
        <f t="shared" si="23"/>
        <v>0.11178085732330913</v>
      </c>
    </row>
    <row r="77" spans="1:23" x14ac:dyDescent="0.15">
      <c r="A77" s="90" t="s">
        <v>381</v>
      </c>
      <c r="B77" s="24" t="s">
        <v>730</v>
      </c>
      <c r="C77" s="24" t="s">
        <v>403</v>
      </c>
      <c r="D77" s="44" t="s">
        <v>148</v>
      </c>
      <c r="E77" s="24" t="s">
        <v>662</v>
      </c>
      <c r="F77" s="44" t="s">
        <v>494</v>
      </c>
      <c r="G77" s="44" t="s">
        <v>580</v>
      </c>
      <c r="H77" s="44" t="s">
        <v>582</v>
      </c>
      <c r="I77" s="27">
        <v>786.1</v>
      </c>
      <c r="J77" s="56">
        <v>777.70928875730351</v>
      </c>
      <c r="K77" s="34">
        <f t="shared" si="12"/>
        <v>-8.3907112426965114</v>
      </c>
      <c r="L77" s="56">
        <f t="shared" si="13"/>
        <v>70.404035158313633</v>
      </c>
      <c r="M77" s="56">
        <f t="shared" si="14"/>
        <v>8.3907112426965114</v>
      </c>
      <c r="N77" s="56">
        <f t="shared" si="15"/>
        <v>0.97269848652389967</v>
      </c>
      <c r="O77" s="143">
        <f t="shared" si="16"/>
        <v>-1.0673847147559485</v>
      </c>
      <c r="P77" s="143">
        <f t="shared" si="17"/>
        <v>1.0673847147559485</v>
      </c>
      <c r="Q77" s="34">
        <v>759.15275902336612</v>
      </c>
      <c r="R77" s="56">
        <f t="shared" si="18"/>
        <v>-26.947240976633907</v>
      </c>
      <c r="S77" s="56">
        <f t="shared" si="19"/>
        <v>726.15379625277751</v>
      </c>
      <c r="T77" s="56">
        <f t="shared" si="20"/>
        <v>26.947240976633907</v>
      </c>
      <c r="U77" s="56">
        <f t="shared" si="21"/>
        <v>1.4463389396726212</v>
      </c>
      <c r="V77" s="33">
        <f t="shared" si="22"/>
        <v>-3.427966031883209</v>
      </c>
      <c r="W77" s="143">
        <f t="shared" si="23"/>
        <v>3.427966031883209</v>
      </c>
    </row>
    <row r="78" spans="1:23" x14ac:dyDescent="0.15">
      <c r="A78" s="90" t="s">
        <v>115</v>
      </c>
      <c r="B78" s="24" t="s">
        <v>730</v>
      </c>
      <c r="C78" s="24" t="s">
        <v>403</v>
      </c>
      <c r="D78" s="44" t="s">
        <v>83</v>
      </c>
      <c r="E78" s="24" t="s">
        <v>662</v>
      </c>
      <c r="F78" s="44" t="s">
        <v>203</v>
      </c>
      <c r="G78" s="44" t="s">
        <v>581</v>
      </c>
      <c r="H78" s="44" t="s">
        <v>518</v>
      </c>
      <c r="I78" s="27">
        <f>1586.3+3352.01</f>
        <v>4938.3100000000004</v>
      </c>
      <c r="J78" s="56">
        <v>5024.3060603468275</v>
      </c>
      <c r="K78" s="34">
        <f t="shared" si="12"/>
        <v>85.996060346827107</v>
      </c>
      <c r="L78" s="56">
        <f t="shared" si="13"/>
        <v>7395.3223951751297</v>
      </c>
      <c r="M78" s="56">
        <f t="shared" si="14"/>
        <v>85.996060346827107</v>
      </c>
      <c r="N78" s="56">
        <f t="shared" si="15"/>
        <v>1.9394995858556989</v>
      </c>
      <c r="O78" s="143">
        <f t="shared" si="16"/>
        <v>1.7414066825862917</v>
      </c>
      <c r="P78" s="143">
        <f t="shared" si="17"/>
        <v>1.7414066825862917</v>
      </c>
      <c r="Q78" s="34">
        <v>5253.4618316977894</v>
      </c>
      <c r="R78" s="56">
        <f t="shared" si="18"/>
        <v>315.15183169778902</v>
      </c>
      <c r="S78" s="56">
        <f t="shared" si="19"/>
        <v>99320.677022471544</v>
      </c>
      <c r="T78" s="56">
        <f t="shared" si="20"/>
        <v>315.15183169778902</v>
      </c>
      <c r="U78" s="56">
        <f t="shared" si="21"/>
        <v>2.4998957023407216</v>
      </c>
      <c r="V78" s="33">
        <f t="shared" si="22"/>
        <v>6.3817749735798079</v>
      </c>
      <c r="W78" s="143">
        <f t="shared" si="23"/>
        <v>6.3817749735798079</v>
      </c>
    </row>
    <row r="79" spans="1:23" x14ac:dyDescent="0.15">
      <c r="A79" s="90" t="s">
        <v>88</v>
      </c>
      <c r="B79" s="24" t="s">
        <v>730</v>
      </c>
      <c r="C79" s="24" t="s">
        <v>403</v>
      </c>
      <c r="D79" s="44" t="s">
        <v>82</v>
      </c>
      <c r="E79" s="24" t="s">
        <v>662</v>
      </c>
      <c r="F79" s="44" t="s">
        <v>293</v>
      </c>
      <c r="G79" s="44" t="s">
        <v>580</v>
      </c>
      <c r="H79" s="44" t="s">
        <v>518</v>
      </c>
      <c r="I79" s="27">
        <v>3045.75</v>
      </c>
      <c r="J79" s="56">
        <v>3265.4719549499155</v>
      </c>
      <c r="K79" s="34">
        <f t="shared" si="12"/>
        <v>219.72195494991547</v>
      </c>
      <c r="L79" s="56">
        <f t="shared" si="13"/>
        <v>48277.737487012681</v>
      </c>
      <c r="M79" s="56">
        <f t="shared" si="14"/>
        <v>219.72195494991547</v>
      </c>
      <c r="N79" s="56">
        <f t="shared" si="15"/>
        <v>2.3438455340650068</v>
      </c>
      <c r="O79" s="143">
        <f t="shared" si="16"/>
        <v>7.2140508889408341</v>
      </c>
      <c r="P79" s="143">
        <f t="shared" si="17"/>
        <v>7.2140508889408341</v>
      </c>
      <c r="Q79" s="34">
        <v>3337.8373631764671</v>
      </c>
      <c r="R79" s="56">
        <f t="shared" si="18"/>
        <v>292.08736317646708</v>
      </c>
      <c r="S79" s="56">
        <f t="shared" si="19"/>
        <v>85315.02772738137</v>
      </c>
      <c r="T79" s="56">
        <f t="shared" si="20"/>
        <v>292.08736317646708</v>
      </c>
      <c r="U79" s="56">
        <f t="shared" si="21"/>
        <v>2.4669970936993</v>
      </c>
      <c r="V79" s="33">
        <f t="shared" si="22"/>
        <v>9.5899979701704705</v>
      </c>
      <c r="W79" s="143">
        <f t="shared" si="23"/>
        <v>9.5899979701704705</v>
      </c>
    </row>
    <row r="80" spans="1:23" x14ac:dyDescent="0.15">
      <c r="A80" s="90" t="s">
        <v>382</v>
      </c>
      <c r="B80" s="24" t="s">
        <v>730</v>
      </c>
      <c r="C80" s="24" t="s">
        <v>403</v>
      </c>
      <c r="D80" s="44" t="s">
        <v>148</v>
      </c>
      <c r="E80" s="24" t="s">
        <v>662</v>
      </c>
      <c r="F80" s="44" t="s">
        <v>494</v>
      </c>
      <c r="G80" s="44" t="s">
        <v>580</v>
      </c>
      <c r="H80" s="44" t="s">
        <v>582</v>
      </c>
      <c r="I80" s="27">
        <v>965.43</v>
      </c>
      <c r="J80" s="56">
        <v>1148.7192979282038</v>
      </c>
      <c r="K80" s="34">
        <f t="shared" si="12"/>
        <v>183.28929792820384</v>
      </c>
      <c r="L80" s="56">
        <f t="shared" si="13"/>
        <v>33594.96673501387</v>
      </c>
      <c r="M80" s="56">
        <f t="shared" si="14"/>
        <v>183.28929792820384</v>
      </c>
      <c r="N80" s="56">
        <f t="shared" si="15"/>
        <v>2.2655001155463732</v>
      </c>
      <c r="O80" s="143">
        <f t="shared" si="16"/>
        <v>18.985249881213953</v>
      </c>
      <c r="P80" s="143">
        <f t="shared" si="17"/>
        <v>18.985249881213953</v>
      </c>
      <c r="Q80" s="34">
        <v>1181.7072749273341</v>
      </c>
      <c r="R80" s="56">
        <f t="shared" si="18"/>
        <v>216.27727492733413</v>
      </c>
      <c r="S80" s="56">
        <f t="shared" si="19"/>
        <v>46775.859649993676</v>
      </c>
      <c r="T80" s="56">
        <f t="shared" si="20"/>
        <v>216.27727492733413</v>
      </c>
      <c r="U80" s="56">
        <f t="shared" si="21"/>
        <v>2.3370143057509822</v>
      </c>
      <c r="V80" s="33">
        <f t="shared" si="22"/>
        <v>22.402170527882308</v>
      </c>
      <c r="W80" s="143">
        <f t="shared" si="23"/>
        <v>22.402170527882308</v>
      </c>
    </row>
    <row r="81" spans="1:23" x14ac:dyDescent="0.15">
      <c r="A81" s="90" t="s">
        <v>368</v>
      </c>
      <c r="B81" s="24" t="s">
        <v>730</v>
      </c>
      <c r="C81" s="24" t="s">
        <v>403</v>
      </c>
      <c r="D81" s="44" t="s">
        <v>148</v>
      </c>
      <c r="E81" s="24" t="s">
        <v>662</v>
      </c>
      <c r="F81" s="44" t="s">
        <v>374</v>
      </c>
      <c r="G81" s="44" t="s">
        <v>580</v>
      </c>
      <c r="H81" s="44" t="s">
        <v>582</v>
      </c>
      <c r="I81" s="27">
        <v>1933.19</v>
      </c>
      <c r="J81" s="56">
        <v>2130.2285649587429</v>
      </c>
      <c r="K81" s="34">
        <f t="shared" si="12"/>
        <v>197.03856495874288</v>
      </c>
      <c r="L81" s="56">
        <f t="shared" si="13"/>
        <v>38824.196081000737</v>
      </c>
      <c r="M81" s="56">
        <f t="shared" si="14"/>
        <v>197.03856495874288</v>
      </c>
      <c r="N81" s="56">
        <f t="shared" si="15"/>
        <v>2.2967497706550164</v>
      </c>
      <c r="O81" s="143">
        <f t="shared" si="16"/>
        <v>10.192405555519263</v>
      </c>
      <c r="P81" s="143">
        <f t="shared" si="17"/>
        <v>10.192405555519263</v>
      </c>
      <c r="Q81" s="34">
        <v>2143.8767306188001</v>
      </c>
      <c r="R81" s="56">
        <f t="shared" si="18"/>
        <v>210.68673061880008</v>
      </c>
      <c r="S81" s="56">
        <f t="shared" si="19"/>
        <v>44388.898458838834</v>
      </c>
      <c r="T81" s="56">
        <f t="shared" si="20"/>
        <v>210.68673061880008</v>
      </c>
      <c r="U81" s="56">
        <f t="shared" si="21"/>
        <v>2.3256936355364264</v>
      </c>
      <c r="V81" s="33">
        <f t="shared" si="22"/>
        <v>10.898397499407718</v>
      </c>
      <c r="W81" s="143">
        <f t="shared" si="23"/>
        <v>10.898397499407718</v>
      </c>
    </row>
    <row r="82" spans="1:23" x14ac:dyDescent="0.15">
      <c r="A82" s="90" t="s">
        <v>668</v>
      </c>
      <c r="B82" s="24" t="s">
        <v>730</v>
      </c>
      <c r="C82" s="24" t="s">
        <v>403</v>
      </c>
      <c r="D82" s="44" t="s">
        <v>82</v>
      </c>
      <c r="E82" s="24" t="s">
        <v>662</v>
      </c>
      <c r="F82" s="44" t="s">
        <v>203</v>
      </c>
      <c r="G82" s="44" t="s">
        <v>581</v>
      </c>
      <c r="H82" s="44" t="s">
        <v>518</v>
      </c>
      <c r="I82" s="27">
        <v>5410</v>
      </c>
      <c r="J82" s="56">
        <v>6086.5922069700655</v>
      </c>
      <c r="K82" s="34">
        <f t="shared" si="12"/>
        <v>676.59220697006549</v>
      </c>
      <c r="L82" s="56">
        <f t="shared" si="13"/>
        <v>457777.01453262393</v>
      </c>
      <c r="M82" s="56">
        <f t="shared" si="14"/>
        <v>676.59220697006549</v>
      </c>
      <c r="N82" s="56">
        <f t="shared" si="15"/>
        <v>2.8309684025036419</v>
      </c>
      <c r="O82" s="143">
        <f t="shared" si="16"/>
        <v>12.506325452311746</v>
      </c>
      <c r="P82" s="143">
        <f t="shared" si="17"/>
        <v>12.506325452311746</v>
      </c>
      <c r="Q82" s="34">
        <v>6293.3458584436366</v>
      </c>
      <c r="R82" s="56">
        <f t="shared" si="18"/>
        <v>883.34585844363664</v>
      </c>
      <c r="S82" s="56">
        <f t="shared" si="19"/>
        <v>780299.90562952531</v>
      </c>
      <c r="T82" s="56">
        <f t="shared" si="20"/>
        <v>883.34585844363664</v>
      </c>
      <c r="U82" s="56">
        <f t="shared" si="21"/>
        <v>2.9466221462778597</v>
      </c>
      <c r="V82" s="33">
        <f t="shared" si="22"/>
        <v>16.328019564577389</v>
      </c>
      <c r="W82" s="143">
        <f t="shared" si="23"/>
        <v>16.328019564577389</v>
      </c>
    </row>
    <row r="83" spans="1:23" x14ac:dyDescent="0.15">
      <c r="A83" s="90" t="s">
        <v>90</v>
      </c>
      <c r="B83" s="24" t="s">
        <v>730</v>
      </c>
      <c r="C83" s="24" t="s">
        <v>403</v>
      </c>
      <c r="D83" s="44" t="s">
        <v>82</v>
      </c>
      <c r="E83" s="24" t="s">
        <v>662</v>
      </c>
      <c r="F83" s="44" t="s">
        <v>203</v>
      </c>
      <c r="G83" s="44" t="s">
        <v>581</v>
      </c>
      <c r="H83" s="44" t="s">
        <v>518</v>
      </c>
      <c r="I83" s="26">
        <v>5080</v>
      </c>
      <c r="J83" s="56">
        <v>5346.0306727954867</v>
      </c>
      <c r="K83" s="34">
        <f t="shared" si="12"/>
        <v>266.03067279548668</v>
      </c>
      <c r="L83" s="56">
        <f t="shared" si="13"/>
        <v>70772.318868019298</v>
      </c>
      <c r="M83" s="56">
        <f t="shared" si="14"/>
        <v>266.03067279548668</v>
      </c>
      <c r="N83" s="56">
        <f t="shared" si="15"/>
        <v>2.4265611499815316</v>
      </c>
      <c r="O83" s="143">
        <f t="shared" si="16"/>
        <v>5.2368242676276902</v>
      </c>
      <c r="P83" s="143">
        <f t="shared" si="17"/>
        <v>5.2368242676276902</v>
      </c>
      <c r="Q83" s="34">
        <v>5577.8792634562806</v>
      </c>
      <c r="R83" s="56">
        <f t="shared" si="18"/>
        <v>497.87926345628057</v>
      </c>
      <c r="S83" s="56">
        <f t="shared" si="19"/>
        <v>247883.76097976844</v>
      </c>
      <c r="T83" s="56">
        <f t="shared" si="20"/>
        <v>497.87926345628057</v>
      </c>
      <c r="U83" s="56">
        <f t="shared" si="21"/>
        <v>2.6979954523182625</v>
      </c>
      <c r="V83" s="33">
        <f t="shared" si="22"/>
        <v>9.8007729026826897</v>
      </c>
      <c r="W83" s="143">
        <f t="shared" si="23"/>
        <v>9.8007729026826897</v>
      </c>
    </row>
    <row r="84" spans="1:23" x14ac:dyDescent="0.15">
      <c r="A84" s="90" t="s">
        <v>384</v>
      </c>
      <c r="B84" s="24" t="s">
        <v>730</v>
      </c>
      <c r="C84" s="24" t="s">
        <v>403</v>
      </c>
      <c r="D84" s="44" t="s">
        <v>148</v>
      </c>
      <c r="E84" s="24" t="s">
        <v>662</v>
      </c>
      <c r="F84" s="44" t="s">
        <v>374</v>
      </c>
      <c r="G84" s="44" t="s">
        <v>580</v>
      </c>
      <c r="H84" s="30" t="s">
        <v>582</v>
      </c>
      <c r="I84" s="27">
        <v>1545.5</v>
      </c>
      <c r="J84" s="56">
        <v>1592.158578608942</v>
      </c>
      <c r="K84" s="34">
        <f t="shared" si="12"/>
        <v>46.65857860894198</v>
      </c>
      <c r="L84" s="56">
        <f t="shared" si="13"/>
        <v>2177.0229578068179</v>
      </c>
      <c r="M84" s="56">
        <f t="shared" si="14"/>
        <v>46.65857860894198</v>
      </c>
      <c r="N84" s="56">
        <f t="shared" si="15"/>
        <v>1.6781410856080372</v>
      </c>
      <c r="O84" s="143">
        <f t="shared" si="16"/>
        <v>3.0189957042343565</v>
      </c>
      <c r="P84" s="143">
        <f t="shared" si="17"/>
        <v>3.0189957042343565</v>
      </c>
      <c r="Q84" s="34">
        <v>1593.3880228117184</v>
      </c>
      <c r="R84" s="56">
        <f t="shared" si="18"/>
        <v>47.888022811718429</v>
      </c>
      <c r="S84" s="56">
        <f t="shared" si="19"/>
        <v>2293.2627288156646</v>
      </c>
      <c r="T84" s="56">
        <f t="shared" si="20"/>
        <v>47.888022811718429</v>
      </c>
      <c r="U84" s="56">
        <f t="shared" si="21"/>
        <v>1.6892024733586595</v>
      </c>
      <c r="V84" s="33">
        <f t="shared" si="22"/>
        <v>3.0985456364748254</v>
      </c>
      <c r="W84" s="143">
        <f t="shared" si="23"/>
        <v>3.0985456364748254</v>
      </c>
    </row>
    <row r="85" spans="1:23" x14ac:dyDescent="0.15">
      <c r="A85" s="90" t="s">
        <v>598</v>
      </c>
      <c r="B85" s="24" t="s">
        <v>730</v>
      </c>
      <c r="C85" s="24" t="s">
        <v>403</v>
      </c>
      <c r="D85" s="29" t="s">
        <v>82</v>
      </c>
      <c r="E85" s="24" t="s">
        <v>662</v>
      </c>
      <c r="F85" s="44" t="s">
        <v>494</v>
      </c>
      <c r="G85" s="29" t="s">
        <v>580</v>
      </c>
      <c r="H85" s="44" t="s">
        <v>582</v>
      </c>
      <c r="I85" s="24">
        <v>1217</v>
      </c>
      <c r="J85" s="56">
        <v>1200.7601503825711</v>
      </c>
      <c r="K85" s="34">
        <f t="shared" si="12"/>
        <v>-16.239849617428945</v>
      </c>
      <c r="L85" s="56">
        <f t="shared" si="13"/>
        <v>263.73271559670707</v>
      </c>
      <c r="M85" s="56">
        <f t="shared" si="14"/>
        <v>16.239849617428945</v>
      </c>
      <c r="N85" s="56">
        <f t="shared" si="15"/>
        <v>1.2365334731705018</v>
      </c>
      <c r="O85" s="143">
        <f t="shared" si="16"/>
        <v>-1.3344165667566923</v>
      </c>
      <c r="P85" s="143">
        <f t="shared" si="17"/>
        <v>1.3344165667566923</v>
      </c>
      <c r="Q85" s="34">
        <v>1250.0978362643707</v>
      </c>
      <c r="R85" s="56">
        <f t="shared" si="18"/>
        <v>33.097836264370699</v>
      </c>
      <c r="S85" s="56">
        <f t="shared" si="19"/>
        <v>1095.466765383092</v>
      </c>
      <c r="T85" s="56">
        <f t="shared" si="20"/>
        <v>33.097836264370699</v>
      </c>
      <c r="U85" s="56">
        <f t="shared" si="21"/>
        <v>1.5327268209790506</v>
      </c>
      <c r="V85" s="33">
        <f t="shared" si="22"/>
        <v>2.7196250011808298</v>
      </c>
      <c r="W85" s="143">
        <f t="shared" si="23"/>
        <v>2.7196250011808298</v>
      </c>
    </row>
    <row r="86" spans="1:23" x14ac:dyDescent="0.15">
      <c r="A86" s="90" t="s">
        <v>618</v>
      </c>
      <c r="B86" s="24" t="s">
        <v>730</v>
      </c>
      <c r="C86" s="24" t="s">
        <v>403</v>
      </c>
      <c r="D86" s="29" t="s">
        <v>96</v>
      </c>
      <c r="E86" s="24" t="s">
        <v>662</v>
      </c>
      <c r="F86" s="44" t="s">
        <v>374</v>
      </c>
      <c r="G86" s="29" t="s">
        <v>580</v>
      </c>
      <c r="H86" s="44" t="s">
        <v>582</v>
      </c>
      <c r="I86" s="24">
        <v>1814.51</v>
      </c>
      <c r="J86" s="56">
        <v>1781.9081239746224</v>
      </c>
      <c r="K86" s="34">
        <f t="shared" si="12"/>
        <v>-32.601876025377578</v>
      </c>
      <c r="L86" s="56">
        <f t="shared" si="13"/>
        <v>1062.8823203740892</v>
      </c>
      <c r="M86" s="56">
        <f t="shared" si="14"/>
        <v>32.601876025377578</v>
      </c>
      <c r="N86" s="56">
        <f t="shared" si="15"/>
        <v>1.5263635251495136</v>
      </c>
      <c r="O86" s="143">
        <f t="shared" si="16"/>
        <v>-1.796731681025598</v>
      </c>
      <c r="P86" s="143">
        <f t="shared" si="17"/>
        <v>1.796731681025598</v>
      </c>
      <c r="Q86" s="34">
        <v>1765.0734889913315</v>
      </c>
      <c r="R86" s="56">
        <f t="shared" si="18"/>
        <v>-49.436511008668504</v>
      </c>
      <c r="S86" s="56">
        <f t="shared" si="19"/>
        <v>2443.9686207102022</v>
      </c>
      <c r="T86" s="56">
        <f t="shared" si="20"/>
        <v>49.436511008668504</v>
      </c>
      <c r="U86" s="56">
        <f t="shared" si="21"/>
        <v>1.7027450362259675</v>
      </c>
      <c r="V86" s="33">
        <f t="shared" si="22"/>
        <v>-2.7245102539345885</v>
      </c>
      <c r="W86" s="143">
        <f t="shared" si="23"/>
        <v>2.7245102539345885</v>
      </c>
    </row>
    <row r="87" spans="1:23" x14ac:dyDescent="0.15">
      <c r="A87" s="90" t="s">
        <v>669</v>
      </c>
      <c r="B87" s="24" t="s">
        <v>730</v>
      </c>
      <c r="C87" s="24" t="s">
        <v>403</v>
      </c>
      <c r="D87" s="29" t="s">
        <v>148</v>
      </c>
      <c r="E87" s="24" t="s">
        <v>662</v>
      </c>
      <c r="F87" s="44" t="s">
        <v>494</v>
      </c>
      <c r="G87" s="29" t="s">
        <v>580</v>
      </c>
      <c r="H87" s="44" t="s">
        <v>582</v>
      </c>
      <c r="I87" s="24">
        <v>875</v>
      </c>
      <c r="J87" s="56">
        <v>865.48581574562763</v>
      </c>
      <c r="K87" s="34">
        <f t="shared" si="12"/>
        <v>-9.5141842543723669</v>
      </c>
      <c r="L87" s="56">
        <f t="shared" si="13"/>
        <v>90.519702026147073</v>
      </c>
      <c r="M87" s="56">
        <f t="shared" si="14"/>
        <v>9.5141842543723669</v>
      </c>
      <c r="N87" s="56">
        <f t="shared" si="15"/>
        <v>1.0217755834828655</v>
      </c>
      <c r="O87" s="143">
        <f t="shared" si="16"/>
        <v>-1.087335343356842</v>
      </c>
      <c r="P87" s="143">
        <f t="shared" si="17"/>
        <v>1.087335343356842</v>
      </c>
      <c r="Q87" s="34">
        <v>904.82556559837451</v>
      </c>
      <c r="R87" s="56">
        <f t="shared" si="18"/>
        <v>29.82556559837451</v>
      </c>
      <c r="S87" s="56">
        <f t="shared" si="19"/>
        <v>889.56436326294101</v>
      </c>
      <c r="T87" s="56">
        <f t="shared" si="20"/>
        <v>29.82556559837451</v>
      </c>
      <c r="U87" s="56">
        <f t="shared" si="21"/>
        <v>1.4889110539295536</v>
      </c>
      <c r="V87" s="33">
        <f t="shared" si="22"/>
        <v>3.4086360683856585</v>
      </c>
      <c r="W87" s="143">
        <f t="shared" si="23"/>
        <v>3.4086360683856585</v>
      </c>
    </row>
    <row r="88" spans="1:23" x14ac:dyDescent="0.15">
      <c r="A88" s="90" t="s">
        <v>670</v>
      </c>
      <c r="B88" s="24" t="s">
        <v>730</v>
      </c>
      <c r="C88" s="24" t="s">
        <v>403</v>
      </c>
      <c r="D88" s="29" t="s">
        <v>83</v>
      </c>
      <c r="E88" s="24" t="s">
        <v>662</v>
      </c>
      <c r="F88" s="29" t="s">
        <v>203</v>
      </c>
      <c r="G88" s="29" t="s">
        <v>581</v>
      </c>
      <c r="H88" s="29" t="s">
        <v>518</v>
      </c>
      <c r="I88" s="24">
        <f>2213.6+2992.3</f>
        <v>5205.8999999999996</v>
      </c>
      <c r="J88" s="56">
        <v>6022.3083808801039</v>
      </c>
      <c r="K88" s="34">
        <f t="shared" si="12"/>
        <v>816.40838088010423</v>
      </c>
      <c r="L88" s="56">
        <f t="shared" si="13"/>
        <v>666522.64437127335</v>
      </c>
      <c r="M88" s="56">
        <f t="shared" si="14"/>
        <v>816.40838088010423</v>
      </c>
      <c r="N88" s="56">
        <f t="shared" si="15"/>
        <v>2.9124390862154614</v>
      </c>
      <c r="O88" s="143">
        <f t="shared" si="16"/>
        <v>15.682367715094495</v>
      </c>
      <c r="P88" s="143">
        <f t="shared" si="17"/>
        <v>15.682367715094495</v>
      </c>
      <c r="Q88" s="34">
        <v>6497.645774945815</v>
      </c>
      <c r="R88" s="56">
        <f t="shared" si="18"/>
        <v>1291.7457749458154</v>
      </c>
      <c r="S88" s="56">
        <f t="shared" si="19"/>
        <v>1668607.1470903649</v>
      </c>
      <c r="T88" s="56">
        <f t="shared" si="20"/>
        <v>1291.7457749458154</v>
      </c>
      <c r="U88" s="56">
        <f t="shared" si="21"/>
        <v>3.1115131270507859</v>
      </c>
      <c r="V88" s="33">
        <f t="shared" si="22"/>
        <v>24.813111564682675</v>
      </c>
      <c r="W88" s="143">
        <f t="shared" si="23"/>
        <v>24.813111564682675</v>
      </c>
    </row>
    <row r="89" spans="1:23" x14ac:dyDescent="0.15">
      <c r="A89" s="24" t="s">
        <v>486</v>
      </c>
      <c r="B89" s="24" t="s">
        <v>731</v>
      </c>
      <c r="C89" s="24" t="s">
        <v>403</v>
      </c>
      <c r="D89" s="29" t="s">
        <v>82</v>
      </c>
      <c r="E89" s="24" t="s">
        <v>662</v>
      </c>
      <c r="F89" s="44" t="s">
        <v>203</v>
      </c>
      <c r="G89" s="44" t="s">
        <v>581</v>
      </c>
      <c r="H89" s="44" t="s">
        <v>518</v>
      </c>
      <c r="I89" s="24">
        <v>4927.5</v>
      </c>
      <c r="J89" s="56">
        <v>4948.9340113106673</v>
      </c>
      <c r="K89" s="34">
        <f t="shared" si="12"/>
        <v>21.434011310667302</v>
      </c>
      <c r="L89" s="56">
        <f t="shared" si="13"/>
        <v>459.41684086581381</v>
      </c>
      <c r="M89" s="56">
        <f t="shared" si="14"/>
        <v>21.434011310667302</v>
      </c>
      <c r="N89" s="56">
        <f t="shared" si="15"/>
        <v>1.350906934498332</v>
      </c>
      <c r="O89" s="143">
        <f t="shared" si="16"/>
        <v>0.43498754562490721</v>
      </c>
      <c r="P89" s="143">
        <f t="shared" si="17"/>
        <v>0.43498754562490721</v>
      </c>
      <c r="Q89" s="34">
        <v>5197.9743083433923</v>
      </c>
      <c r="R89" s="56">
        <f t="shared" si="18"/>
        <v>270.47430834339229</v>
      </c>
      <c r="S89" s="56">
        <f t="shared" si="19"/>
        <v>73156.351473836447</v>
      </c>
      <c r="T89" s="56">
        <f t="shared" si="20"/>
        <v>270.47430834339229</v>
      </c>
      <c r="U89" s="56">
        <f t="shared" si="21"/>
        <v>2.4337287353147379</v>
      </c>
      <c r="V89" s="33">
        <f t="shared" si="22"/>
        <v>5.4890777948938059</v>
      </c>
      <c r="W89" s="143">
        <f t="shared" si="23"/>
        <v>5.4890777948938059</v>
      </c>
    </row>
    <row r="90" spans="1:23" x14ac:dyDescent="0.15">
      <c r="A90" s="24" t="s">
        <v>431</v>
      </c>
      <c r="B90" s="24" t="s">
        <v>731</v>
      </c>
      <c r="C90" s="24" t="s">
        <v>458</v>
      </c>
      <c r="D90" s="29" t="s">
        <v>82</v>
      </c>
      <c r="E90" s="24" t="s">
        <v>662</v>
      </c>
      <c r="F90" s="44" t="s">
        <v>203</v>
      </c>
      <c r="G90" s="44" t="s">
        <v>581</v>
      </c>
      <c r="H90" s="44" t="s">
        <v>518</v>
      </c>
      <c r="I90" s="24">
        <v>4710</v>
      </c>
      <c r="J90" s="56">
        <v>5660.251556943751</v>
      </c>
      <c r="K90" s="34">
        <f t="shared" si="12"/>
        <v>950.25155694375098</v>
      </c>
      <c r="L90" s="56">
        <f t="shared" si="13"/>
        <v>902978.02147402277</v>
      </c>
      <c r="M90" s="56">
        <f t="shared" si="14"/>
        <v>950.25155694375098</v>
      </c>
      <c r="N90" s="56">
        <f t="shared" si="15"/>
        <v>2.9782953806028356</v>
      </c>
      <c r="O90" s="143">
        <f t="shared" si="16"/>
        <v>20.175192291799384</v>
      </c>
      <c r="P90" s="143">
        <f t="shared" si="17"/>
        <v>20.175192291799384</v>
      </c>
      <c r="Q90" s="34">
        <v>5803.1647007819984</v>
      </c>
      <c r="R90" s="56">
        <f t="shared" si="18"/>
        <v>1093.1647007819984</v>
      </c>
      <c r="S90" s="56">
        <f t="shared" si="19"/>
        <v>1195009.0630357959</v>
      </c>
      <c r="T90" s="56">
        <f t="shared" si="20"/>
        <v>1093.1647007819984</v>
      </c>
      <c r="U90" s="56">
        <f t="shared" si="21"/>
        <v>3.0390826997460763</v>
      </c>
      <c r="V90" s="33">
        <f t="shared" si="22"/>
        <v>23.209441630191048</v>
      </c>
      <c r="W90" s="143">
        <f t="shared" si="23"/>
        <v>23.209441630191048</v>
      </c>
    </row>
    <row r="91" spans="1:23" x14ac:dyDescent="0.15">
      <c r="A91" s="90" t="s">
        <v>902</v>
      </c>
      <c r="B91" s="24" t="s">
        <v>731</v>
      </c>
      <c r="C91" s="24" t="s">
        <v>401</v>
      </c>
      <c r="D91" s="29" t="s">
        <v>82</v>
      </c>
      <c r="E91" s="24" t="s">
        <v>662</v>
      </c>
      <c r="F91" s="29" t="s">
        <v>374</v>
      </c>
      <c r="G91" s="29" t="s">
        <v>580</v>
      </c>
      <c r="H91" s="29" t="s">
        <v>582</v>
      </c>
      <c r="I91" s="24">
        <v>2870</v>
      </c>
      <c r="J91" s="34">
        <v>2735.8757572659047</v>
      </c>
      <c r="K91" s="34">
        <f t="shared" si="12"/>
        <v>-134.12424273409533</v>
      </c>
      <c r="L91" s="56">
        <f t="shared" si="13"/>
        <v>17989.312488994525</v>
      </c>
      <c r="M91" s="56">
        <f t="shared" si="14"/>
        <v>134.12424273409533</v>
      </c>
      <c r="N91" s="56">
        <f t="shared" si="15"/>
        <v>2.1307332730866193</v>
      </c>
      <c r="O91" s="143">
        <f t="shared" si="16"/>
        <v>-4.6733185621636002</v>
      </c>
      <c r="P91" s="143">
        <f t="shared" si="17"/>
        <v>4.6733185621636002</v>
      </c>
      <c r="Q91" s="56">
        <v>2928.4849731233153</v>
      </c>
      <c r="R91" s="56">
        <f t="shared" si="18"/>
        <v>58.484973123315285</v>
      </c>
      <c r="S91" s="56">
        <f t="shared" si="19"/>
        <v>3420.4920812349114</v>
      </c>
      <c r="T91" s="56">
        <f t="shared" si="20"/>
        <v>58.484973123315285</v>
      </c>
      <c r="U91" s="56">
        <f t="shared" si="21"/>
        <v>1.7744072696973987</v>
      </c>
      <c r="V91" s="33">
        <f t="shared" si="22"/>
        <v>2.0378039415789297</v>
      </c>
      <c r="W91" s="143">
        <f t="shared" si="23"/>
        <v>2.0378039415789297</v>
      </c>
    </row>
    <row r="92" spans="1:23" x14ac:dyDescent="0.15">
      <c r="A92" s="24" t="s">
        <v>100</v>
      </c>
      <c r="B92" s="24" t="s">
        <v>731</v>
      </c>
      <c r="C92" s="24" t="s">
        <v>403</v>
      </c>
      <c r="D92" s="29" t="s">
        <v>82</v>
      </c>
      <c r="E92" s="24" t="s">
        <v>662</v>
      </c>
      <c r="F92" s="44" t="s">
        <v>374</v>
      </c>
      <c r="G92" s="44" t="s">
        <v>580</v>
      </c>
      <c r="H92" s="44" t="s">
        <v>582</v>
      </c>
      <c r="I92" s="24">
        <v>1299.96</v>
      </c>
      <c r="J92" s="56">
        <v>1141.8111183653541</v>
      </c>
      <c r="K92" s="34">
        <f t="shared" si="12"/>
        <v>-158.14888163464593</v>
      </c>
      <c r="L92" s="56">
        <f t="shared" si="13"/>
        <v>25011.068762289251</v>
      </c>
      <c r="M92" s="56">
        <f t="shared" si="14"/>
        <v>158.14888163464593</v>
      </c>
      <c r="N92" s="56">
        <f t="shared" si="15"/>
        <v>2.2018035911090257</v>
      </c>
      <c r="O92" s="143">
        <f t="shared" si="16"/>
        <v>-12.165672915677861</v>
      </c>
      <c r="P92" s="143">
        <f t="shared" si="17"/>
        <v>12.165672915677861</v>
      </c>
      <c r="Q92" s="34">
        <v>1183.4950478285714</v>
      </c>
      <c r="R92" s="56">
        <f t="shared" si="18"/>
        <v>-116.46495217142865</v>
      </c>
      <c r="S92" s="56">
        <f t="shared" si="19"/>
        <v>13564.085084293163</v>
      </c>
      <c r="T92" s="56">
        <f t="shared" si="20"/>
        <v>116.46495217142865</v>
      </c>
      <c r="U92" s="56">
        <f t="shared" si="21"/>
        <v>2.0699083061901402</v>
      </c>
      <c r="V92" s="33">
        <f t="shared" si="22"/>
        <v>-8.9591181398988162</v>
      </c>
      <c r="W92" s="143">
        <f t="shared" si="23"/>
        <v>8.9591181398988162</v>
      </c>
    </row>
    <row r="93" spans="1:23" x14ac:dyDescent="0.15">
      <c r="A93" s="90" t="s">
        <v>588</v>
      </c>
      <c r="B93" s="24" t="s">
        <v>731</v>
      </c>
      <c r="C93" s="24" t="s">
        <v>403</v>
      </c>
      <c r="D93" s="44" t="s">
        <v>148</v>
      </c>
      <c r="E93" s="24" t="s">
        <v>662</v>
      </c>
      <c r="F93" s="44" t="s">
        <v>374</v>
      </c>
      <c r="G93" s="30" t="s">
        <v>580</v>
      </c>
      <c r="H93" s="44" t="s">
        <v>582</v>
      </c>
      <c r="I93" s="24">
        <v>2740.86</v>
      </c>
      <c r="J93" s="56">
        <v>2981.9413334991</v>
      </c>
      <c r="K93" s="34">
        <f t="shared" si="12"/>
        <v>241.08133349909986</v>
      </c>
      <c r="L93" s="56">
        <f t="shared" si="13"/>
        <v>58120.209361704205</v>
      </c>
      <c r="M93" s="56">
        <f t="shared" si="14"/>
        <v>241.08133349909986</v>
      </c>
      <c r="N93" s="56">
        <f t="shared" si="15"/>
        <v>2.3839613029862234</v>
      </c>
      <c r="O93" s="143">
        <f t="shared" si="16"/>
        <v>8.795828079475049</v>
      </c>
      <c r="P93" s="143">
        <f t="shared" si="17"/>
        <v>8.795828079475049</v>
      </c>
      <c r="Q93" s="34">
        <v>3163.4571602855708</v>
      </c>
      <c r="R93" s="56">
        <f t="shared" si="18"/>
        <v>422.59716028557068</v>
      </c>
      <c r="S93" s="56">
        <f t="shared" si="19"/>
        <v>178588.3598814283</v>
      </c>
      <c r="T93" s="56">
        <f t="shared" si="20"/>
        <v>422.59716028557068</v>
      </c>
      <c r="U93" s="56">
        <f t="shared" si="21"/>
        <v>2.6269530400179764</v>
      </c>
      <c r="V93" s="33">
        <f t="shared" si="22"/>
        <v>15.418414668592</v>
      </c>
      <c r="W93" s="143">
        <f t="shared" si="23"/>
        <v>15.418414668592</v>
      </c>
    </row>
    <row r="94" spans="1:23" x14ac:dyDescent="0.15">
      <c r="A94" s="90" t="s">
        <v>584</v>
      </c>
      <c r="B94" s="24" t="s">
        <v>731</v>
      </c>
      <c r="C94" s="24" t="s">
        <v>403</v>
      </c>
      <c r="D94" s="44" t="s">
        <v>148</v>
      </c>
      <c r="E94" s="24" t="s">
        <v>662</v>
      </c>
      <c r="F94" s="44" t="s">
        <v>374</v>
      </c>
      <c r="G94" s="44" t="s">
        <v>580</v>
      </c>
      <c r="H94" s="44" t="s">
        <v>582</v>
      </c>
      <c r="I94" s="26">
        <v>1687.51</v>
      </c>
      <c r="J94" s="56">
        <v>1683.4796914817264</v>
      </c>
      <c r="K94" s="34">
        <f t="shared" si="12"/>
        <v>-4.030308518273614</v>
      </c>
      <c r="L94" s="56">
        <f t="shared" si="13"/>
        <v>16.243386752468854</v>
      </c>
      <c r="M94" s="56">
        <f t="shared" si="14"/>
        <v>4.030308518273614</v>
      </c>
      <c r="N94" s="56">
        <f t="shared" si="15"/>
        <v>0.7015946219694168</v>
      </c>
      <c r="O94" s="143">
        <f t="shared" si="16"/>
        <v>-0.23883168208032035</v>
      </c>
      <c r="P94" s="143">
        <f t="shared" si="17"/>
        <v>0.23883168208032035</v>
      </c>
      <c r="Q94" s="34">
        <v>1789.5238438434135</v>
      </c>
      <c r="R94" s="56">
        <f t="shared" si="18"/>
        <v>102.0138438434135</v>
      </c>
      <c r="S94" s="56">
        <f t="shared" si="19"/>
        <v>10406.824335708354</v>
      </c>
      <c r="T94" s="56">
        <f t="shared" si="20"/>
        <v>102.0138438434135</v>
      </c>
      <c r="U94" s="56">
        <f t="shared" si="21"/>
        <v>2.0128955926740395</v>
      </c>
      <c r="V94" s="33">
        <f t="shared" si="22"/>
        <v>6.045228996771189</v>
      </c>
      <c r="W94" s="143">
        <f t="shared" si="23"/>
        <v>6.045228996771189</v>
      </c>
    </row>
    <row r="95" spans="1:23" ht="14" x14ac:dyDescent="0.2">
      <c r="A95" s="90" t="s">
        <v>665</v>
      </c>
      <c r="B95" s="24" t="s">
        <v>731</v>
      </c>
      <c r="C95" s="24" t="s">
        <v>403</v>
      </c>
      <c r="D95" s="44" t="s">
        <v>82</v>
      </c>
      <c r="E95" s="24" t="s">
        <v>662</v>
      </c>
      <c r="F95" s="44" t="s">
        <v>374</v>
      </c>
      <c r="G95" s="44" t="s">
        <v>580</v>
      </c>
      <c r="H95" s="44" t="s">
        <v>582</v>
      </c>
      <c r="I95" s="87">
        <v>1342.6</v>
      </c>
      <c r="J95" s="56">
        <v>1268.7433335158883</v>
      </c>
      <c r="K95" s="34">
        <f t="shared" si="12"/>
        <v>-73.856666484111656</v>
      </c>
      <c r="L95" s="56">
        <f t="shared" si="13"/>
        <v>5454.807184145302</v>
      </c>
      <c r="M95" s="56">
        <f t="shared" si="14"/>
        <v>73.856666484111656</v>
      </c>
      <c r="N95" s="56">
        <f t="shared" si="15"/>
        <v>1.8742304832140129</v>
      </c>
      <c r="O95" s="143">
        <f t="shared" si="16"/>
        <v>-5.5010179118212168</v>
      </c>
      <c r="P95" s="143">
        <f t="shared" si="17"/>
        <v>5.5010179118212168</v>
      </c>
      <c r="Q95" s="34">
        <v>1390.8453109525103</v>
      </c>
      <c r="R95" s="56">
        <f t="shared" si="18"/>
        <v>48.245310952510408</v>
      </c>
      <c r="S95" s="56">
        <f t="shared" si="19"/>
        <v>2327.6100289044207</v>
      </c>
      <c r="T95" s="56">
        <f t="shared" si="20"/>
        <v>48.245310952510408</v>
      </c>
      <c r="U95" s="56">
        <f t="shared" si="21"/>
        <v>1.6923648840844028</v>
      </c>
      <c r="V95" s="33">
        <f t="shared" si="22"/>
        <v>3.5934240244682267</v>
      </c>
      <c r="W95" s="143">
        <f t="shared" si="23"/>
        <v>3.5934240244682267</v>
      </c>
    </row>
    <row r="96" spans="1:23" x14ac:dyDescent="0.15">
      <c r="A96" s="90" t="s">
        <v>389</v>
      </c>
      <c r="B96" s="24" t="s">
        <v>731</v>
      </c>
      <c r="C96" s="24" t="s">
        <v>403</v>
      </c>
      <c r="D96" s="44" t="s">
        <v>82</v>
      </c>
      <c r="E96" s="24" t="s">
        <v>662</v>
      </c>
      <c r="F96" s="44" t="s">
        <v>494</v>
      </c>
      <c r="G96" s="44" t="s">
        <v>580</v>
      </c>
      <c r="H96" s="44" t="s">
        <v>582</v>
      </c>
      <c r="I96" s="27">
        <v>1095.26</v>
      </c>
      <c r="J96" s="56">
        <v>1075.1313467983018</v>
      </c>
      <c r="K96" s="34">
        <f t="shared" si="12"/>
        <v>-20.128653201698171</v>
      </c>
      <c r="L96" s="56">
        <f t="shared" si="13"/>
        <v>405.162679714234</v>
      </c>
      <c r="M96" s="56">
        <f t="shared" si="14"/>
        <v>20.128653201698171</v>
      </c>
      <c r="N96" s="56">
        <f t="shared" si="15"/>
        <v>1.3248718148132166</v>
      </c>
      <c r="O96" s="143">
        <f t="shared" si="16"/>
        <v>-1.8377967972625835</v>
      </c>
      <c r="P96" s="143">
        <f t="shared" si="17"/>
        <v>1.8377967972625835</v>
      </c>
      <c r="Q96" s="34">
        <v>1146.9400875090676</v>
      </c>
      <c r="R96" s="56">
        <f t="shared" si="18"/>
        <v>51.680087509067562</v>
      </c>
      <c r="S96" s="56">
        <f t="shared" si="19"/>
        <v>2670.8314449448812</v>
      </c>
      <c r="T96" s="56">
        <f t="shared" si="20"/>
        <v>51.680087509067562</v>
      </c>
      <c r="U96" s="56">
        <f t="shared" si="21"/>
        <v>1.7216464877148334</v>
      </c>
      <c r="V96" s="33">
        <f t="shared" si="22"/>
        <v>4.7185223151642131</v>
      </c>
      <c r="W96" s="143">
        <f t="shared" si="23"/>
        <v>4.7185223151642131</v>
      </c>
    </row>
    <row r="97" spans="1:23" x14ac:dyDescent="0.15">
      <c r="A97" s="90" t="s">
        <v>127</v>
      </c>
      <c r="B97" s="24" t="s">
        <v>731</v>
      </c>
      <c r="C97" s="24" t="s">
        <v>403</v>
      </c>
      <c r="D97" s="44" t="s">
        <v>82</v>
      </c>
      <c r="E97" s="24" t="s">
        <v>662</v>
      </c>
      <c r="F97" s="44" t="s">
        <v>203</v>
      </c>
      <c r="G97" s="44" t="s">
        <v>581</v>
      </c>
      <c r="H97" s="44" t="s">
        <v>518</v>
      </c>
      <c r="I97" s="27">
        <v>4745.58</v>
      </c>
      <c r="J97" s="56">
        <v>5166.5696000137104</v>
      </c>
      <c r="K97" s="34">
        <f t="shared" si="12"/>
        <v>420.98960001371051</v>
      </c>
      <c r="L97" s="56">
        <f t="shared" si="13"/>
        <v>177232.24331970396</v>
      </c>
      <c r="M97" s="56">
        <f t="shared" si="14"/>
        <v>420.98960001371051</v>
      </c>
      <c r="N97" s="56">
        <f t="shared" si="15"/>
        <v>2.6253017478519256</v>
      </c>
      <c r="O97" s="143">
        <f t="shared" si="16"/>
        <v>8.8711938269655235</v>
      </c>
      <c r="P97" s="143">
        <f t="shared" si="17"/>
        <v>8.8711938269655235</v>
      </c>
      <c r="Q97" s="34">
        <v>5426.6668480779081</v>
      </c>
      <c r="R97" s="56">
        <f t="shared" si="18"/>
        <v>681.08684807790814</v>
      </c>
      <c r="S97" s="56">
        <f t="shared" si="19"/>
        <v>463879.29462469951</v>
      </c>
      <c r="T97" s="56">
        <f t="shared" si="20"/>
        <v>681.08684807790814</v>
      </c>
      <c r="U97" s="56">
        <f t="shared" si="21"/>
        <v>2.8338396755943971</v>
      </c>
      <c r="V97" s="33">
        <f t="shared" si="22"/>
        <v>14.35202542319186</v>
      </c>
      <c r="W97" s="143">
        <f t="shared" si="23"/>
        <v>14.35202542319186</v>
      </c>
    </row>
    <row r="98" spans="1:23" x14ac:dyDescent="0.15">
      <c r="A98" s="90" t="s">
        <v>104</v>
      </c>
      <c r="B98" s="24" t="s">
        <v>731</v>
      </c>
      <c r="C98" s="24" t="s">
        <v>403</v>
      </c>
      <c r="D98" s="44" t="s">
        <v>83</v>
      </c>
      <c r="E98" s="24" t="s">
        <v>662</v>
      </c>
      <c r="F98" s="44" t="s">
        <v>203</v>
      </c>
      <c r="G98" s="44" t="s">
        <v>581</v>
      </c>
      <c r="H98" s="44" t="s">
        <v>518</v>
      </c>
      <c r="I98" s="26">
        <v>4769.5</v>
      </c>
      <c r="J98" s="56">
        <v>4698.2304426149494</v>
      </c>
      <c r="K98" s="34">
        <f t="shared" si="12"/>
        <v>-71.269557385050575</v>
      </c>
      <c r="L98" s="56">
        <f t="shared" si="13"/>
        <v>5079.3498098610171</v>
      </c>
      <c r="M98" s="56">
        <f t="shared" si="14"/>
        <v>71.269557385050575</v>
      </c>
      <c r="N98" s="56">
        <f t="shared" si="15"/>
        <v>1.8589553948893247</v>
      </c>
      <c r="O98" s="143">
        <f t="shared" si="16"/>
        <v>-1.4942773327403411</v>
      </c>
      <c r="P98" s="143">
        <f t="shared" si="17"/>
        <v>1.4942773327403411</v>
      </c>
      <c r="Q98" s="34">
        <v>4815.7324786039781</v>
      </c>
      <c r="R98" s="56">
        <f t="shared" si="18"/>
        <v>46.232478603978052</v>
      </c>
      <c r="S98" s="56">
        <f t="shared" si="19"/>
        <v>2137.4420778672884</v>
      </c>
      <c r="T98" s="56">
        <f t="shared" si="20"/>
        <v>46.232478603978052</v>
      </c>
      <c r="U98" s="56">
        <f t="shared" si="21"/>
        <v>1.6742407365101297</v>
      </c>
      <c r="V98" s="33">
        <f t="shared" si="22"/>
        <v>0.969335959827614</v>
      </c>
      <c r="W98" s="143">
        <f t="shared" si="23"/>
        <v>0.969335959827614</v>
      </c>
    </row>
    <row r="99" spans="1:23" x14ac:dyDescent="0.15">
      <c r="A99" s="90" t="s">
        <v>733</v>
      </c>
      <c r="B99" s="24" t="s">
        <v>731</v>
      </c>
      <c r="C99" s="24" t="s">
        <v>403</v>
      </c>
      <c r="D99" s="44" t="s">
        <v>82</v>
      </c>
      <c r="E99" s="24" t="s">
        <v>662</v>
      </c>
      <c r="F99" s="44" t="s">
        <v>293</v>
      </c>
      <c r="G99" s="29" t="s">
        <v>580</v>
      </c>
      <c r="H99" s="29" t="s">
        <v>518</v>
      </c>
      <c r="I99" s="26">
        <v>3740</v>
      </c>
      <c r="J99" s="34">
        <v>3754.2508473031567</v>
      </c>
      <c r="K99" s="34">
        <f t="shared" si="12"/>
        <v>14.250847303156661</v>
      </c>
      <c r="L99" s="56">
        <f t="shared" si="13"/>
        <v>203.08664885788747</v>
      </c>
      <c r="M99" s="56">
        <f t="shared" si="14"/>
        <v>14.250847303156661</v>
      </c>
      <c r="N99" s="56">
        <f t="shared" si="15"/>
        <v>1.1832939727885881</v>
      </c>
      <c r="O99" s="143">
        <f t="shared" si="16"/>
        <v>0.38103869794536527</v>
      </c>
      <c r="P99" s="143">
        <f t="shared" si="17"/>
        <v>0.38103869794536527</v>
      </c>
      <c r="Q99" s="34">
        <v>4110.6312709962413</v>
      </c>
      <c r="R99" s="56">
        <f t="shared" si="18"/>
        <v>370.63127099624126</v>
      </c>
      <c r="S99" s="56">
        <f t="shared" si="19"/>
        <v>137367.53904028924</v>
      </c>
      <c r="T99" s="56">
        <f t="shared" si="20"/>
        <v>370.63127099624126</v>
      </c>
      <c r="U99" s="56">
        <f t="shared" si="21"/>
        <v>2.5701122506652925</v>
      </c>
      <c r="V99" s="33">
        <f t="shared" si="22"/>
        <v>9.9099270319850596</v>
      </c>
      <c r="W99" s="143">
        <f t="shared" si="23"/>
        <v>9.9099270319850596</v>
      </c>
    </row>
    <row r="100" spans="1:23" x14ac:dyDescent="0.15">
      <c r="A100" s="90" t="s">
        <v>369</v>
      </c>
      <c r="B100" s="24" t="s">
        <v>731</v>
      </c>
      <c r="C100" s="24" t="s">
        <v>403</v>
      </c>
      <c r="D100" s="44" t="s">
        <v>148</v>
      </c>
      <c r="E100" s="24" t="s">
        <v>662</v>
      </c>
      <c r="F100" s="44" t="s">
        <v>374</v>
      </c>
      <c r="G100" s="44" t="s">
        <v>580</v>
      </c>
      <c r="H100" s="44" t="s">
        <v>582</v>
      </c>
      <c r="I100" s="27">
        <v>2524.9700000000003</v>
      </c>
      <c r="J100" s="56">
        <v>2473.875529279936</v>
      </c>
      <c r="K100" s="34">
        <f t="shared" si="12"/>
        <v>-51.094470720064237</v>
      </c>
      <c r="L100" s="56">
        <f t="shared" si="13"/>
        <v>2610.6449381635016</v>
      </c>
      <c r="M100" s="56">
        <f t="shared" si="14"/>
        <v>51.094470720064237</v>
      </c>
      <c r="N100" s="56">
        <f t="shared" si="15"/>
        <v>1.7167916299559782</v>
      </c>
      <c r="O100" s="143">
        <f t="shared" si="16"/>
        <v>-2.0235674372394219</v>
      </c>
      <c r="P100" s="143">
        <f t="shared" si="17"/>
        <v>2.0235674372394219</v>
      </c>
      <c r="Q100" s="34">
        <v>2651.2616038712436</v>
      </c>
      <c r="R100" s="56">
        <f t="shared" si="18"/>
        <v>126.2916038712433</v>
      </c>
      <c r="S100" s="56">
        <f t="shared" si="19"/>
        <v>15949.569208371035</v>
      </c>
      <c r="T100" s="56">
        <f t="shared" si="20"/>
        <v>126.2916038712433</v>
      </c>
      <c r="U100" s="56">
        <f t="shared" si="21"/>
        <v>2.1047997586211071</v>
      </c>
      <c r="V100" s="33">
        <f t="shared" si="22"/>
        <v>5.0017071042920627</v>
      </c>
      <c r="W100" s="143">
        <f t="shared" si="23"/>
        <v>5.0017071042920627</v>
      </c>
    </row>
    <row r="101" spans="1:23" x14ac:dyDescent="0.15">
      <c r="A101" s="90" t="s">
        <v>84</v>
      </c>
      <c r="B101" s="24" t="s">
        <v>731</v>
      </c>
      <c r="C101" s="24" t="s">
        <v>403</v>
      </c>
      <c r="D101" s="44" t="s">
        <v>83</v>
      </c>
      <c r="E101" s="24" t="s">
        <v>662</v>
      </c>
      <c r="F101" s="44" t="s">
        <v>203</v>
      </c>
      <c r="G101" s="44" t="s">
        <v>581</v>
      </c>
      <c r="H101" s="44" t="s">
        <v>518</v>
      </c>
      <c r="I101" s="26">
        <v>4572</v>
      </c>
      <c r="J101" s="56">
        <v>5143.758118018608</v>
      </c>
      <c r="K101" s="34">
        <f t="shared" si="12"/>
        <v>571.758118018608</v>
      </c>
      <c r="L101" s="56">
        <f t="shared" si="13"/>
        <v>326907.34552018048</v>
      </c>
      <c r="M101" s="56">
        <f t="shared" si="14"/>
        <v>571.758118018608</v>
      </c>
      <c r="N101" s="56">
        <f t="shared" si="15"/>
        <v>2.7579712534017236</v>
      </c>
      <c r="O101" s="143">
        <f t="shared" si="16"/>
        <v>12.505645625953806</v>
      </c>
      <c r="P101" s="143">
        <f t="shared" si="17"/>
        <v>12.505645625953806</v>
      </c>
      <c r="Q101" s="34">
        <v>5277.7132583619923</v>
      </c>
      <c r="R101" s="56">
        <f t="shared" si="18"/>
        <v>705.7132583619923</v>
      </c>
      <c r="S101" s="56">
        <f t="shared" si="19"/>
        <v>498031.20302790008</v>
      </c>
      <c r="T101" s="56">
        <f t="shared" si="20"/>
        <v>705.7132583619923</v>
      </c>
      <c r="U101" s="56">
        <f t="shared" si="21"/>
        <v>2.8492432390145104</v>
      </c>
      <c r="V101" s="33">
        <f t="shared" si="22"/>
        <v>15.435548083158187</v>
      </c>
      <c r="W101" s="143">
        <f t="shared" si="23"/>
        <v>15.435548083158187</v>
      </c>
    </row>
    <row r="102" spans="1:23" x14ac:dyDescent="0.15">
      <c r="A102" s="90" t="s">
        <v>120</v>
      </c>
      <c r="B102" s="24" t="s">
        <v>731</v>
      </c>
      <c r="C102" s="24" t="s">
        <v>403</v>
      </c>
      <c r="D102" s="44" t="s">
        <v>82</v>
      </c>
      <c r="E102" s="24" t="s">
        <v>662</v>
      </c>
      <c r="F102" s="44" t="s">
        <v>203</v>
      </c>
      <c r="G102" s="44" t="s">
        <v>581</v>
      </c>
      <c r="H102" s="44" t="s">
        <v>518</v>
      </c>
      <c r="I102" s="26">
        <v>4978</v>
      </c>
      <c r="J102" s="56">
        <v>5257.6424871205227</v>
      </c>
      <c r="K102" s="34">
        <f t="shared" si="12"/>
        <v>279.64248712052267</v>
      </c>
      <c r="L102" s="56">
        <f t="shared" si="13"/>
        <v>78199.920602951694</v>
      </c>
      <c r="M102" s="56">
        <f t="shared" si="14"/>
        <v>279.64248712052267</v>
      </c>
      <c r="N102" s="56">
        <f t="shared" si="15"/>
        <v>2.4481534205240756</v>
      </c>
      <c r="O102" s="143">
        <f t="shared" si="16"/>
        <v>5.6175670373749034</v>
      </c>
      <c r="P102" s="143">
        <f t="shared" si="17"/>
        <v>5.6175670373749034</v>
      </c>
      <c r="Q102" s="34">
        <v>5361.6869115518784</v>
      </c>
      <c r="R102" s="56">
        <f t="shared" si="18"/>
        <v>383.68691155187844</v>
      </c>
      <c r="S102" s="56">
        <f t="shared" si="19"/>
        <v>147215.64609621899</v>
      </c>
      <c r="T102" s="56">
        <f t="shared" si="20"/>
        <v>383.68691155187844</v>
      </c>
      <c r="U102" s="56">
        <f t="shared" si="21"/>
        <v>2.5851074102800569</v>
      </c>
      <c r="V102" s="33">
        <f t="shared" si="22"/>
        <v>7.7076518993949064</v>
      </c>
      <c r="W102" s="143">
        <f t="shared" si="23"/>
        <v>7.7076518993949064</v>
      </c>
    </row>
    <row r="103" spans="1:23" x14ac:dyDescent="0.15">
      <c r="A103" s="90" t="s">
        <v>121</v>
      </c>
      <c r="B103" s="24" t="s">
        <v>731</v>
      </c>
      <c r="C103" s="24" t="s">
        <v>403</v>
      </c>
      <c r="D103" s="44" t="s">
        <v>82</v>
      </c>
      <c r="E103" s="24" t="s">
        <v>662</v>
      </c>
      <c r="F103" s="44" t="s">
        <v>203</v>
      </c>
      <c r="G103" s="44" t="s">
        <v>581</v>
      </c>
      <c r="H103" s="44" t="s">
        <v>518</v>
      </c>
      <c r="I103" s="26">
        <v>4470</v>
      </c>
      <c r="J103" s="56">
        <v>4316.8140195056976</v>
      </c>
      <c r="K103" s="34">
        <f t="shared" si="12"/>
        <v>-153.18598049430238</v>
      </c>
      <c r="L103" s="56">
        <f t="shared" si="13"/>
        <v>23465.944620000791</v>
      </c>
      <c r="M103" s="56">
        <f t="shared" si="14"/>
        <v>153.18598049430238</v>
      </c>
      <c r="N103" s="56">
        <f t="shared" si="15"/>
        <v>2.1880448868747262</v>
      </c>
      <c r="O103" s="143">
        <f t="shared" si="16"/>
        <v>-3.426979429402738</v>
      </c>
      <c r="P103" s="143">
        <f t="shared" si="17"/>
        <v>3.426979429402738</v>
      </c>
      <c r="Q103" s="34">
        <v>4444.3970486555991</v>
      </c>
      <c r="R103" s="56">
        <f t="shared" si="18"/>
        <v>-25.602951344400935</v>
      </c>
      <c r="S103" s="56">
        <f t="shared" si="19"/>
        <v>655.51111754376166</v>
      </c>
      <c r="T103" s="56">
        <f t="shared" si="20"/>
        <v>25.602951344400935</v>
      </c>
      <c r="U103" s="56">
        <f t="shared" si="21"/>
        <v>1.4249298201455693</v>
      </c>
      <c r="V103" s="33">
        <f t="shared" si="22"/>
        <v>-0.57277296072485318</v>
      </c>
      <c r="W103" s="143">
        <f t="shared" si="23"/>
        <v>0.57277296072485318</v>
      </c>
    </row>
    <row r="104" spans="1:23" x14ac:dyDescent="0.15">
      <c r="A104" s="90" t="s">
        <v>139</v>
      </c>
      <c r="B104" s="24" t="s">
        <v>731</v>
      </c>
      <c r="C104" s="24" t="s">
        <v>403</v>
      </c>
      <c r="D104" s="44" t="s">
        <v>82</v>
      </c>
      <c r="E104" s="24" t="s">
        <v>662</v>
      </c>
      <c r="F104" s="44" t="s">
        <v>203</v>
      </c>
      <c r="G104" s="44" t="s">
        <v>581</v>
      </c>
      <c r="H104" s="44" t="s">
        <v>518</v>
      </c>
      <c r="I104" s="26">
        <v>4870</v>
      </c>
      <c r="J104" s="56">
        <v>4695.5947848711103</v>
      </c>
      <c r="K104" s="34">
        <f t="shared" si="12"/>
        <v>-174.40521512888972</v>
      </c>
      <c r="L104" s="56">
        <f t="shared" si="13"/>
        <v>30417.179064154305</v>
      </c>
      <c r="M104" s="56">
        <f t="shared" si="14"/>
        <v>174.40521512888972</v>
      </c>
      <c r="N104" s="56">
        <f t="shared" si="15"/>
        <v>2.2440425016185563</v>
      </c>
      <c r="O104" s="143">
        <f t="shared" si="16"/>
        <v>-3.5812159164043065</v>
      </c>
      <c r="P104" s="143">
        <f t="shared" si="17"/>
        <v>3.5812159164043065</v>
      </c>
      <c r="Q104" s="34">
        <v>5062.0808408245503</v>
      </c>
      <c r="R104" s="56">
        <f t="shared" si="18"/>
        <v>192.08084082455025</v>
      </c>
      <c r="S104" s="56">
        <f t="shared" si="19"/>
        <v>36895.04941186621</v>
      </c>
      <c r="T104" s="56">
        <f t="shared" si="20"/>
        <v>192.08084082455025</v>
      </c>
      <c r="U104" s="56">
        <f t="shared" si="21"/>
        <v>2.2857391814076204</v>
      </c>
      <c r="V104" s="33">
        <f t="shared" si="22"/>
        <v>3.9441651093336807</v>
      </c>
      <c r="W104" s="143">
        <f t="shared" si="23"/>
        <v>3.9441651093336807</v>
      </c>
    </row>
    <row r="105" spans="1:23" x14ac:dyDescent="0.15">
      <c r="A105" s="90" t="s">
        <v>386</v>
      </c>
      <c r="B105" s="24" t="s">
        <v>731</v>
      </c>
      <c r="C105" s="24" t="s">
        <v>403</v>
      </c>
      <c r="D105" s="44" t="s">
        <v>82</v>
      </c>
      <c r="E105" s="24" t="s">
        <v>662</v>
      </c>
      <c r="F105" s="44" t="s">
        <v>374</v>
      </c>
      <c r="G105" s="44" t="s">
        <v>580</v>
      </c>
      <c r="H105" s="44" t="s">
        <v>582</v>
      </c>
      <c r="I105" s="27">
        <v>1538.3</v>
      </c>
      <c r="J105" s="56">
        <v>1475.581736414382</v>
      </c>
      <c r="K105" s="34">
        <f t="shared" si="12"/>
        <v>-62.718263585617933</v>
      </c>
      <c r="L105" s="56">
        <f t="shared" si="13"/>
        <v>3933.5805871950483</v>
      </c>
      <c r="M105" s="56">
        <f t="shared" si="14"/>
        <v>62.718263585617933</v>
      </c>
      <c r="N105" s="56">
        <f t="shared" si="15"/>
        <v>1.8042639321407119</v>
      </c>
      <c r="O105" s="143">
        <f t="shared" si="16"/>
        <v>-4.077115230164333</v>
      </c>
      <c r="P105" s="143">
        <f t="shared" si="17"/>
        <v>4.077115230164333</v>
      </c>
      <c r="Q105" s="34">
        <v>1555.4969680035215</v>
      </c>
      <c r="R105" s="56">
        <f t="shared" si="18"/>
        <v>17.196968003521533</v>
      </c>
      <c r="S105" s="56">
        <f t="shared" si="19"/>
        <v>295.73570851414337</v>
      </c>
      <c r="T105" s="56">
        <f t="shared" si="20"/>
        <v>17.196968003521533</v>
      </c>
      <c r="U105" s="56">
        <f t="shared" si="21"/>
        <v>1.2599990314446803</v>
      </c>
      <c r="V105" s="33">
        <f t="shared" si="22"/>
        <v>1.117920301860595</v>
      </c>
      <c r="W105" s="143">
        <f t="shared" si="23"/>
        <v>1.117920301860595</v>
      </c>
    </row>
    <row r="106" spans="1:23" x14ac:dyDescent="0.15">
      <c r="A106" s="90" t="s">
        <v>381</v>
      </c>
      <c r="B106" s="24" t="s">
        <v>731</v>
      </c>
      <c r="C106" s="24" t="s">
        <v>403</v>
      </c>
      <c r="D106" s="44" t="s">
        <v>148</v>
      </c>
      <c r="E106" s="24" t="s">
        <v>662</v>
      </c>
      <c r="F106" s="44" t="s">
        <v>494</v>
      </c>
      <c r="G106" s="44" t="s">
        <v>580</v>
      </c>
      <c r="H106" s="44" t="s">
        <v>582</v>
      </c>
      <c r="I106" s="27">
        <v>786.1</v>
      </c>
      <c r="J106" s="56">
        <v>738.17938329809203</v>
      </c>
      <c r="K106" s="34">
        <f t="shared" si="12"/>
        <v>-47.920616701907988</v>
      </c>
      <c r="L106" s="56">
        <f t="shared" si="13"/>
        <v>2296.3855050911829</v>
      </c>
      <c r="M106" s="56">
        <f t="shared" si="14"/>
        <v>47.920616701907988</v>
      </c>
      <c r="N106" s="56">
        <f t="shared" si="15"/>
        <v>1.6894919231914649</v>
      </c>
      <c r="O106" s="143">
        <f t="shared" si="16"/>
        <v>-6.0959950008787667</v>
      </c>
      <c r="P106" s="143">
        <f t="shared" si="17"/>
        <v>6.0959950008787667</v>
      </c>
      <c r="Q106" s="34">
        <v>766.78236593617646</v>
      </c>
      <c r="R106" s="56">
        <f t="shared" si="18"/>
        <v>-19.317634063823562</v>
      </c>
      <c r="S106" s="56">
        <f t="shared" si="19"/>
        <v>373.1709858237964</v>
      </c>
      <c r="T106" s="56">
        <f t="shared" si="20"/>
        <v>19.317634063823562</v>
      </c>
      <c r="U106" s="56">
        <f t="shared" si="21"/>
        <v>1.3078731340818981</v>
      </c>
      <c r="V106" s="33">
        <f t="shared" si="22"/>
        <v>-2.4574016109685233</v>
      </c>
      <c r="W106" s="143">
        <f t="shared" si="23"/>
        <v>2.4574016109685233</v>
      </c>
    </row>
    <row r="107" spans="1:23" x14ac:dyDescent="0.15">
      <c r="A107" s="90" t="s">
        <v>115</v>
      </c>
      <c r="B107" s="24" t="s">
        <v>731</v>
      </c>
      <c r="C107" s="24" t="s">
        <v>403</v>
      </c>
      <c r="D107" s="44" t="s">
        <v>83</v>
      </c>
      <c r="E107" s="24" t="s">
        <v>662</v>
      </c>
      <c r="F107" s="44" t="s">
        <v>203</v>
      </c>
      <c r="G107" s="44" t="s">
        <v>581</v>
      </c>
      <c r="H107" s="44" t="s">
        <v>518</v>
      </c>
      <c r="I107" s="27">
        <f>1586.3+3352.01</f>
        <v>4938.3100000000004</v>
      </c>
      <c r="J107" s="56">
        <v>5037.9268078155583</v>
      </c>
      <c r="K107" s="34">
        <f t="shared" si="12"/>
        <v>99.616807815557877</v>
      </c>
      <c r="L107" s="56">
        <f t="shared" si="13"/>
        <v>9923.5083993617936</v>
      </c>
      <c r="M107" s="56">
        <f t="shared" si="14"/>
        <v>99.616807815557877</v>
      </c>
      <c r="N107" s="56">
        <f t="shared" si="15"/>
        <v>2.0026705347142379</v>
      </c>
      <c r="O107" s="143">
        <f t="shared" si="16"/>
        <v>2.0172246743432036</v>
      </c>
      <c r="P107" s="143">
        <f t="shared" si="17"/>
        <v>2.0172246743432036</v>
      </c>
      <c r="Q107" s="34">
        <v>5306.25996518395</v>
      </c>
      <c r="R107" s="56">
        <f t="shared" si="18"/>
        <v>367.94996518394964</v>
      </c>
      <c r="S107" s="56">
        <f t="shared" si="19"/>
        <v>135387.17687886977</v>
      </c>
      <c r="T107" s="56">
        <f t="shared" si="20"/>
        <v>367.94996518394964</v>
      </c>
      <c r="U107" s="56">
        <f t="shared" si="21"/>
        <v>2.566967473698671</v>
      </c>
      <c r="V107" s="33">
        <f t="shared" si="22"/>
        <v>7.4509288640030631</v>
      </c>
      <c r="W107" s="143">
        <f t="shared" si="23"/>
        <v>7.4509288640030631</v>
      </c>
    </row>
    <row r="108" spans="1:23" x14ac:dyDescent="0.15">
      <c r="A108" s="90" t="s">
        <v>88</v>
      </c>
      <c r="B108" s="24" t="s">
        <v>731</v>
      </c>
      <c r="C108" s="24" t="s">
        <v>403</v>
      </c>
      <c r="D108" s="44" t="s">
        <v>82</v>
      </c>
      <c r="E108" s="24" t="s">
        <v>662</v>
      </c>
      <c r="F108" s="44" t="s">
        <v>293</v>
      </c>
      <c r="G108" s="44" t="s">
        <v>580</v>
      </c>
      <c r="H108" s="44" t="s">
        <v>518</v>
      </c>
      <c r="I108" s="27">
        <v>3045.75</v>
      </c>
      <c r="J108" s="56">
        <v>3233.0907690299005</v>
      </c>
      <c r="K108" s="34">
        <f t="shared" si="12"/>
        <v>187.34076902990046</v>
      </c>
      <c r="L108" s="56">
        <f t="shared" si="13"/>
        <v>35096.563740714511</v>
      </c>
      <c r="M108" s="56">
        <f t="shared" si="14"/>
        <v>187.34076902990046</v>
      </c>
      <c r="N108" s="56">
        <f t="shared" si="15"/>
        <v>2.2749443393913231</v>
      </c>
      <c r="O108" s="143">
        <f t="shared" si="16"/>
        <v>6.1508912100435191</v>
      </c>
      <c r="P108" s="143">
        <f t="shared" si="17"/>
        <v>6.1508912100435191</v>
      </c>
      <c r="Q108" s="34">
        <v>3371.3831636984692</v>
      </c>
      <c r="R108" s="56">
        <f t="shared" si="18"/>
        <v>325.63316369846916</v>
      </c>
      <c r="S108" s="56">
        <f t="shared" si="19"/>
        <v>106036.95730027401</v>
      </c>
      <c r="T108" s="56">
        <f t="shared" si="20"/>
        <v>325.63316369846916</v>
      </c>
      <c r="U108" s="56">
        <f t="shared" si="21"/>
        <v>2.5140602774001817</v>
      </c>
      <c r="V108" s="33">
        <f t="shared" si="22"/>
        <v>10.691395015955647</v>
      </c>
      <c r="W108" s="143">
        <f t="shared" si="23"/>
        <v>10.691395015955647</v>
      </c>
    </row>
    <row r="109" spans="1:23" x14ac:dyDescent="0.15">
      <c r="A109" s="90" t="s">
        <v>382</v>
      </c>
      <c r="B109" s="24" t="s">
        <v>731</v>
      </c>
      <c r="C109" s="24" t="s">
        <v>403</v>
      </c>
      <c r="D109" s="44" t="s">
        <v>148</v>
      </c>
      <c r="E109" s="24" t="s">
        <v>662</v>
      </c>
      <c r="F109" s="44" t="s">
        <v>494</v>
      </c>
      <c r="G109" s="44" t="s">
        <v>580</v>
      </c>
      <c r="H109" s="44" t="s">
        <v>582</v>
      </c>
      <c r="I109" s="27">
        <v>965.43</v>
      </c>
      <c r="J109" s="56">
        <v>1102.9118334067282</v>
      </c>
      <c r="K109" s="34">
        <f t="shared" si="12"/>
        <v>137.48183340672824</v>
      </c>
      <c r="L109" s="56">
        <f t="shared" si="13"/>
        <v>18901.254516875379</v>
      </c>
      <c r="M109" s="56">
        <f t="shared" si="14"/>
        <v>137.48183340672824</v>
      </c>
      <c r="N109" s="56">
        <f t="shared" si="15"/>
        <v>2.1413928046734778</v>
      </c>
      <c r="O109" s="143">
        <f t="shared" si="16"/>
        <v>14.240476617334062</v>
      </c>
      <c r="P109" s="143">
        <f t="shared" si="17"/>
        <v>14.240476617334062</v>
      </c>
      <c r="Q109" s="34">
        <v>1193.583622456257</v>
      </c>
      <c r="R109" s="56">
        <f t="shared" si="18"/>
        <v>228.15362245625704</v>
      </c>
      <c r="S109" s="56">
        <f t="shared" si="19"/>
        <v>52054.075439912274</v>
      </c>
      <c r="T109" s="56">
        <f t="shared" si="20"/>
        <v>228.15362245625704</v>
      </c>
      <c r="U109" s="56">
        <f t="shared" si="21"/>
        <v>2.3601267269542667</v>
      </c>
      <c r="V109" s="33">
        <f t="shared" si="22"/>
        <v>23.632331961536003</v>
      </c>
      <c r="W109" s="143">
        <f t="shared" si="23"/>
        <v>23.632331961536003</v>
      </c>
    </row>
    <row r="110" spans="1:23" x14ac:dyDescent="0.15">
      <c r="A110" s="90" t="s">
        <v>368</v>
      </c>
      <c r="B110" s="24" t="s">
        <v>731</v>
      </c>
      <c r="C110" s="24" t="s">
        <v>403</v>
      </c>
      <c r="D110" s="44" t="s">
        <v>148</v>
      </c>
      <c r="E110" s="24" t="s">
        <v>662</v>
      </c>
      <c r="F110" s="44" t="s">
        <v>374</v>
      </c>
      <c r="G110" s="44" t="s">
        <v>580</v>
      </c>
      <c r="H110" s="44" t="s">
        <v>582</v>
      </c>
      <c r="I110" s="27">
        <v>1933.19</v>
      </c>
      <c r="J110" s="56">
        <v>2082.7717575461961</v>
      </c>
      <c r="K110" s="34">
        <f t="shared" si="12"/>
        <v>149.58175754619606</v>
      </c>
      <c r="L110" s="56">
        <f t="shared" si="13"/>
        <v>22374.702190608983</v>
      </c>
      <c r="M110" s="56">
        <f t="shared" si="14"/>
        <v>149.58175754619606</v>
      </c>
      <c r="N110" s="56">
        <f t="shared" si="15"/>
        <v>2.1777723617922944</v>
      </c>
      <c r="O110" s="143">
        <f t="shared" si="16"/>
        <v>7.737561106057659</v>
      </c>
      <c r="P110" s="143">
        <f t="shared" si="17"/>
        <v>7.737561106057659</v>
      </c>
      <c r="Q110" s="34">
        <v>2165.4230354036026</v>
      </c>
      <c r="R110" s="56">
        <f t="shared" si="18"/>
        <v>232.23303540360257</v>
      </c>
      <c r="S110" s="56">
        <f t="shared" si="19"/>
        <v>53932.182732770925</v>
      </c>
      <c r="T110" s="56">
        <f t="shared" si="20"/>
        <v>232.23303540360257</v>
      </c>
      <c r="U110" s="56">
        <f t="shared" si="21"/>
        <v>2.3677900644290624</v>
      </c>
      <c r="V110" s="33">
        <f t="shared" si="22"/>
        <v>12.012944170185163</v>
      </c>
      <c r="W110" s="143">
        <f t="shared" si="23"/>
        <v>12.012944170185163</v>
      </c>
    </row>
    <row r="111" spans="1:23" x14ac:dyDescent="0.15">
      <c r="A111" s="90" t="s">
        <v>668</v>
      </c>
      <c r="B111" s="24" t="s">
        <v>731</v>
      </c>
      <c r="C111" s="24" t="s">
        <v>403</v>
      </c>
      <c r="D111" s="44" t="s">
        <v>82</v>
      </c>
      <c r="E111" s="24" t="s">
        <v>662</v>
      </c>
      <c r="F111" s="44" t="s">
        <v>203</v>
      </c>
      <c r="G111" s="44" t="s">
        <v>581</v>
      </c>
      <c r="H111" s="44" t="s">
        <v>518</v>
      </c>
      <c r="I111" s="27">
        <v>5410</v>
      </c>
      <c r="J111" s="56">
        <v>6137.6188781242627</v>
      </c>
      <c r="K111" s="34">
        <f t="shared" si="12"/>
        <v>727.61887812426266</v>
      </c>
      <c r="L111" s="56">
        <f t="shared" si="13"/>
        <v>529429.23180281057</v>
      </c>
      <c r="M111" s="56">
        <f t="shared" si="14"/>
        <v>727.61887812426266</v>
      </c>
      <c r="N111" s="56">
        <f t="shared" si="15"/>
        <v>2.8625004193887182</v>
      </c>
      <c r="O111" s="143">
        <f t="shared" si="16"/>
        <v>13.449517155716501</v>
      </c>
      <c r="P111" s="143">
        <f t="shared" si="17"/>
        <v>13.449517155716501</v>
      </c>
      <c r="Q111" s="34">
        <v>6356.5949930816323</v>
      </c>
      <c r="R111" s="56">
        <f t="shared" si="18"/>
        <v>946.59499308163231</v>
      </c>
      <c r="S111" s="56">
        <f t="shared" si="19"/>
        <v>896042.08092721552</v>
      </c>
      <c r="T111" s="56">
        <f t="shared" si="20"/>
        <v>946.59499308163231</v>
      </c>
      <c r="U111" s="56">
        <f t="shared" si="21"/>
        <v>2.9766227573242996</v>
      </c>
      <c r="V111" s="33">
        <f t="shared" si="22"/>
        <v>17.497134807423887</v>
      </c>
      <c r="W111" s="143">
        <f t="shared" si="23"/>
        <v>17.497134807423887</v>
      </c>
    </row>
    <row r="112" spans="1:23" x14ac:dyDescent="0.15">
      <c r="A112" s="90" t="s">
        <v>90</v>
      </c>
      <c r="B112" s="24" t="s">
        <v>731</v>
      </c>
      <c r="C112" s="24" t="s">
        <v>403</v>
      </c>
      <c r="D112" s="44" t="s">
        <v>82</v>
      </c>
      <c r="E112" s="24" t="s">
        <v>662</v>
      </c>
      <c r="F112" s="44" t="s">
        <v>203</v>
      </c>
      <c r="G112" s="44" t="s">
        <v>581</v>
      </c>
      <c r="H112" s="44" t="s">
        <v>518</v>
      </c>
      <c r="I112" s="26">
        <v>5080</v>
      </c>
      <c r="J112" s="56">
        <v>5370.318180747181</v>
      </c>
      <c r="K112" s="34">
        <f t="shared" si="12"/>
        <v>290.31818074718103</v>
      </c>
      <c r="L112" s="56">
        <f t="shared" si="13"/>
        <v>84284.646072352873</v>
      </c>
      <c r="M112" s="56">
        <f t="shared" si="14"/>
        <v>290.31818074718103</v>
      </c>
      <c r="N112" s="56">
        <f t="shared" si="15"/>
        <v>2.4643675891652226</v>
      </c>
      <c r="O112" s="143">
        <f t="shared" si="16"/>
        <v>5.7149248178578942</v>
      </c>
      <c r="P112" s="143">
        <f t="shared" si="17"/>
        <v>5.7149248178578942</v>
      </c>
      <c r="Q112" s="34">
        <v>5633.9378441324961</v>
      </c>
      <c r="R112" s="56">
        <f t="shared" si="18"/>
        <v>553.93784413249614</v>
      </c>
      <c r="S112" s="56">
        <f t="shared" si="19"/>
        <v>306847.13516215759</v>
      </c>
      <c r="T112" s="56">
        <f t="shared" si="20"/>
        <v>553.93784413249614</v>
      </c>
      <c r="U112" s="56">
        <f t="shared" si="21"/>
        <v>2.7442443426506973</v>
      </c>
      <c r="V112" s="33">
        <f t="shared" si="22"/>
        <v>10.904288270324727</v>
      </c>
      <c r="W112" s="143">
        <f t="shared" si="23"/>
        <v>10.904288270324727</v>
      </c>
    </row>
    <row r="113" spans="1:23" x14ac:dyDescent="0.15">
      <c r="A113" s="90" t="s">
        <v>384</v>
      </c>
      <c r="B113" s="24" t="s">
        <v>731</v>
      </c>
      <c r="C113" s="24" t="s">
        <v>403</v>
      </c>
      <c r="D113" s="44" t="s">
        <v>148</v>
      </c>
      <c r="E113" s="24" t="s">
        <v>662</v>
      </c>
      <c r="F113" s="44" t="s">
        <v>374</v>
      </c>
      <c r="G113" s="44" t="s">
        <v>580</v>
      </c>
      <c r="H113" s="30" t="s">
        <v>582</v>
      </c>
      <c r="I113" s="27">
        <v>1545.5</v>
      </c>
      <c r="J113" s="56">
        <v>1543.4159253806199</v>
      </c>
      <c r="K113" s="34">
        <f t="shared" si="12"/>
        <v>-2.0840746193800896</v>
      </c>
      <c r="L113" s="56">
        <f t="shared" si="13"/>
        <v>4.3433670191442655</v>
      </c>
      <c r="M113" s="56">
        <f t="shared" si="14"/>
        <v>2.0840746193800896</v>
      </c>
      <c r="N113" s="56">
        <f t="shared" si="15"/>
        <v>0.48912487728844295</v>
      </c>
      <c r="O113" s="143">
        <f t="shared" si="16"/>
        <v>-0.1348479210210346</v>
      </c>
      <c r="P113" s="143">
        <f t="shared" si="17"/>
        <v>0.1348479210210346</v>
      </c>
      <c r="Q113" s="34">
        <v>1609.4018278452047</v>
      </c>
      <c r="R113" s="56">
        <f t="shared" si="18"/>
        <v>63.901827845204707</v>
      </c>
      <c r="S113" s="56">
        <f t="shared" si="19"/>
        <v>4083.4436019581794</v>
      </c>
      <c r="T113" s="56">
        <f t="shared" si="20"/>
        <v>63.901827845204707</v>
      </c>
      <c r="U113" s="56">
        <f t="shared" si="21"/>
        <v>1.8122569281086551</v>
      </c>
      <c r="V113" s="33">
        <f t="shared" si="22"/>
        <v>4.1347025457913107</v>
      </c>
      <c r="W113" s="143">
        <f t="shared" si="23"/>
        <v>4.1347025457913107</v>
      </c>
    </row>
    <row r="114" spans="1:23" x14ac:dyDescent="0.15">
      <c r="A114" s="90" t="s">
        <v>598</v>
      </c>
      <c r="B114" s="24" t="s">
        <v>731</v>
      </c>
      <c r="C114" s="24" t="s">
        <v>403</v>
      </c>
      <c r="D114" s="29" t="s">
        <v>82</v>
      </c>
      <c r="E114" s="24" t="s">
        <v>662</v>
      </c>
      <c r="F114" s="44" t="s">
        <v>494</v>
      </c>
      <c r="G114" s="29" t="s">
        <v>580</v>
      </c>
      <c r="H114" s="44" t="s">
        <v>582</v>
      </c>
      <c r="I114" s="24">
        <v>1217</v>
      </c>
      <c r="J114" s="56">
        <v>1154.3808066489541</v>
      </c>
      <c r="K114" s="34">
        <f t="shared" si="12"/>
        <v>-62.619193351045851</v>
      </c>
      <c r="L114" s="56">
        <f t="shared" si="13"/>
        <v>3921.163375935665</v>
      </c>
      <c r="M114" s="56">
        <f t="shared" si="14"/>
        <v>62.619193351045851</v>
      </c>
      <c r="N114" s="56">
        <f t="shared" si="15"/>
        <v>1.8035881582417856</v>
      </c>
      <c r="O114" s="143">
        <f t="shared" si="16"/>
        <v>-5.1453733238328558</v>
      </c>
      <c r="P114" s="143">
        <f t="shared" si="17"/>
        <v>5.1453733238328558</v>
      </c>
      <c r="Q114" s="34">
        <v>1262.6615198970587</v>
      </c>
      <c r="R114" s="56">
        <f t="shared" si="18"/>
        <v>45.661519897058724</v>
      </c>
      <c r="S114" s="56">
        <f t="shared" si="19"/>
        <v>2084.9743993094899</v>
      </c>
      <c r="T114" s="56">
        <f t="shared" si="20"/>
        <v>45.661519897058724</v>
      </c>
      <c r="U114" s="56">
        <f t="shared" si="21"/>
        <v>1.6689588808819766</v>
      </c>
      <c r="V114" s="33">
        <f t="shared" si="22"/>
        <v>3.7519736973754085</v>
      </c>
      <c r="W114" s="143">
        <f t="shared" si="23"/>
        <v>3.7519736973754085</v>
      </c>
    </row>
    <row r="115" spans="1:23" x14ac:dyDescent="0.15">
      <c r="A115" s="90" t="s">
        <v>618</v>
      </c>
      <c r="B115" s="24" t="s">
        <v>731</v>
      </c>
      <c r="C115" s="24" t="s">
        <v>403</v>
      </c>
      <c r="D115" s="29" t="s">
        <v>96</v>
      </c>
      <c r="E115" s="24" t="s">
        <v>662</v>
      </c>
      <c r="F115" s="44" t="s">
        <v>374</v>
      </c>
      <c r="G115" s="29" t="s">
        <v>580</v>
      </c>
      <c r="H115" s="44" t="s">
        <v>582</v>
      </c>
      <c r="I115" s="24">
        <v>1814.51</v>
      </c>
      <c r="J115" s="56">
        <v>1733.0862204841053</v>
      </c>
      <c r="K115" s="34">
        <f t="shared" si="12"/>
        <v>-81.423779515894694</v>
      </c>
      <c r="L115" s="56">
        <f t="shared" si="13"/>
        <v>6629.8318706530326</v>
      </c>
      <c r="M115" s="56">
        <f t="shared" si="14"/>
        <v>81.423779515894694</v>
      </c>
      <c r="N115" s="56">
        <f t="shared" si="15"/>
        <v>1.9160525250789273</v>
      </c>
      <c r="O115" s="143">
        <f t="shared" si="16"/>
        <v>-4.4873701173261482</v>
      </c>
      <c r="P115" s="143">
        <f t="shared" si="17"/>
        <v>4.4873701173261482</v>
      </c>
      <c r="Q115" s="34">
        <v>1782.8127604793915</v>
      </c>
      <c r="R115" s="56">
        <f t="shared" si="18"/>
        <v>-31.697239520608491</v>
      </c>
      <c r="S115" s="56">
        <f t="shared" si="19"/>
        <v>1004.7149932268248</v>
      </c>
      <c r="T115" s="56">
        <f t="shared" si="20"/>
        <v>31.697239520608491</v>
      </c>
      <c r="U115" s="56">
        <f t="shared" si="21"/>
        <v>1.5145110886978117</v>
      </c>
      <c r="V115" s="33">
        <f t="shared" si="22"/>
        <v>-1.7468759896946553</v>
      </c>
      <c r="W115" s="143">
        <f t="shared" si="23"/>
        <v>1.7468759896946553</v>
      </c>
    </row>
    <row r="116" spans="1:23" x14ac:dyDescent="0.15">
      <c r="A116" s="90" t="s">
        <v>669</v>
      </c>
      <c r="B116" s="24" t="s">
        <v>731</v>
      </c>
      <c r="C116" s="24" t="s">
        <v>403</v>
      </c>
      <c r="D116" s="29" t="s">
        <v>148</v>
      </c>
      <c r="E116" s="24" t="s">
        <v>662</v>
      </c>
      <c r="F116" s="44" t="s">
        <v>494</v>
      </c>
      <c r="G116" s="29" t="s">
        <v>580</v>
      </c>
      <c r="H116" s="44" t="s">
        <v>582</v>
      </c>
      <c r="I116" s="24">
        <v>875</v>
      </c>
      <c r="J116" s="56">
        <v>824.08221415949743</v>
      </c>
      <c r="K116" s="34">
        <f t="shared" si="12"/>
        <v>-50.917785840502575</v>
      </c>
      <c r="L116" s="56">
        <f t="shared" si="13"/>
        <v>2592.6209148992843</v>
      </c>
      <c r="M116" s="56">
        <f t="shared" si="14"/>
        <v>50.917785840502575</v>
      </c>
      <c r="N116" s="56">
        <f t="shared" si="15"/>
        <v>1.7153161626490865</v>
      </c>
      <c r="O116" s="143">
        <f t="shared" si="16"/>
        <v>-5.8191755246288652</v>
      </c>
      <c r="P116" s="143">
        <f t="shared" si="17"/>
        <v>5.8191755246288652</v>
      </c>
      <c r="Q116" s="34">
        <v>913.91920756716263</v>
      </c>
      <c r="R116" s="56">
        <f t="shared" si="18"/>
        <v>38.91920756716263</v>
      </c>
      <c r="S116" s="56">
        <f t="shared" si="19"/>
        <v>1514.704717655889</v>
      </c>
      <c r="T116" s="56">
        <f t="shared" si="20"/>
        <v>38.91920756716263</v>
      </c>
      <c r="U116" s="56">
        <f t="shared" si="21"/>
        <v>1.6011819115576089</v>
      </c>
      <c r="V116" s="33">
        <f t="shared" si="22"/>
        <v>4.4479094362471576</v>
      </c>
      <c r="W116" s="143">
        <f t="shared" si="23"/>
        <v>4.4479094362471576</v>
      </c>
    </row>
    <row r="117" spans="1:23" x14ac:dyDescent="0.15">
      <c r="A117" s="90" t="s">
        <v>670</v>
      </c>
      <c r="B117" s="24" t="s">
        <v>731</v>
      </c>
      <c r="C117" s="24" t="s">
        <v>403</v>
      </c>
      <c r="D117" s="29" t="s">
        <v>83</v>
      </c>
      <c r="E117" s="24" t="s">
        <v>662</v>
      </c>
      <c r="F117" s="29" t="s">
        <v>203</v>
      </c>
      <c r="G117" s="29" t="s">
        <v>581</v>
      </c>
      <c r="H117" s="29" t="s">
        <v>518</v>
      </c>
      <c r="I117" s="24">
        <f>2213.6+2992.3</f>
        <v>5205.8999999999996</v>
      </c>
      <c r="J117" s="56">
        <v>6070.8999798911927</v>
      </c>
      <c r="K117" s="34">
        <f t="shared" si="12"/>
        <v>864.99997989119311</v>
      </c>
      <c r="L117" s="56">
        <f t="shared" si="13"/>
        <v>748224.96521176444</v>
      </c>
      <c r="M117" s="56">
        <f t="shared" si="14"/>
        <v>864.99997989119311</v>
      </c>
      <c r="N117" s="56">
        <f t="shared" si="15"/>
        <v>2.9375178819328847</v>
      </c>
      <c r="O117" s="143">
        <f t="shared" si="16"/>
        <v>16.615762498150044</v>
      </c>
      <c r="P117" s="143">
        <f t="shared" si="17"/>
        <v>16.615762498150044</v>
      </c>
      <c r="Q117" s="34">
        <v>6562.9481564919106</v>
      </c>
      <c r="R117" s="56">
        <f t="shared" si="18"/>
        <v>1357.048156491911</v>
      </c>
      <c r="S117" s="56">
        <f t="shared" si="19"/>
        <v>1841579.6990380941</v>
      </c>
      <c r="T117" s="56">
        <f t="shared" si="20"/>
        <v>1357.048156491911</v>
      </c>
      <c r="U117" s="56">
        <f t="shared" si="21"/>
        <v>3.1329151703332108</v>
      </c>
      <c r="V117" s="33">
        <f t="shared" si="22"/>
        <v>26.067503342206169</v>
      </c>
      <c r="W117" s="143">
        <f t="shared" si="23"/>
        <v>26.067503342206169</v>
      </c>
    </row>
    <row r="118" spans="1:23" ht="14" x14ac:dyDescent="0.15">
      <c r="A118" s="24" t="s">
        <v>486</v>
      </c>
      <c r="B118" s="24" t="s">
        <v>512</v>
      </c>
      <c r="C118" s="24" t="s">
        <v>403</v>
      </c>
      <c r="D118" s="29" t="s">
        <v>82</v>
      </c>
      <c r="E118" s="24" t="s">
        <v>661</v>
      </c>
      <c r="F118" s="10" t="s">
        <v>203</v>
      </c>
      <c r="G118" s="10" t="s">
        <v>581</v>
      </c>
      <c r="H118" s="44" t="s">
        <v>518</v>
      </c>
      <c r="I118">
        <v>4927.5</v>
      </c>
      <c r="J118" s="56">
        <v>4597.4359999999997</v>
      </c>
      <c r="K118" s="34">
        <f t="shared" si="12"/>
        <v>-330.06400000000031</v>
      </c>
      <c r="L118" s="56">
        <f t="shared" si="13"/>
        <v>108942.2440960002</v>
      </c>
      <c r="M118" s="56">
        <f t="shared" si="14"/>
        <v>330.06400000000031</v>
      </c>
      <c r="N118" s="56">
        <f t="shared" si="15"/>
        <v>2.5199119580055469</v>
      </c>
      <c r="O118" s="143">
        <f t="shared" si="16"/>
        <v>-6.6984069000507418</v>
      </c>
      <c r="P118" s="143">
        <f t="shared" si="17"/>
        <v>6.6984069000507418</v>
      </c>
      <c r="Q118" s="48">
        <v>4633.2227999999996</v>
      </c>
      <c r="R118" s="56">
        <f t="shared" si="18"/>
        <v>-294.27720000000045</v>
      </c>
      <c r="S118" s="56">
        <f t="shared" si="19"/>
        <v>86599.070439840259</v>
      </c>
      <c r="T118" s="56">
        <f t="shared" si="20"/>
        <v>294.27720000000045</v>
      </c>
      <c r="U118" s="56">
        <f t="shared" si="21"/>
        <v>2.4702299139597672</v>
      </c>
      <c r="V118" s="33">
        <f t="shared" si="22"/>
        <v>-5.9721400304414098</v>
      </c>
      <c r="W118" s="143">
        <f t="shared" si="23"/>
        <v>5.9721400304414098</v>
      </c>
    </row>
    <row r="119" spans="1:23" ht="14" x14ac:dyDescent="0.15">
      <c r="A119" s="24" t="s">
        <v>431</v>
      </c>
      <c r="B119" s="24" t="s">
        <v>512</v>
      </c>
      <c r="C119" s="24" t="s">
        <v>458</v>
      </c>
      <c r="D119" s="29" t="s">
        <v>82</v>
      </c>
      <c r="E119" s="24" t="s">
        <v>661</v>
      </c>
      <c r="F119" s="10" t="s">
        <v>203</v>
      </c>
      <c r="G119" s="10" t="s">
        <v>581</v>
      </c>
      <c r="H119" s="44" t="s">
        <v>518</v>
      </c>
      <c r="I119">
        <v>4710</v>
      </c>
      <c r="J119" s="56">
        <v>5193.9409999999998</v>
      </c>
      <c r="K119" s="34">
        <f t="shared" si="12"/>
        <v>483.9409999999998</v>
      </c>
      <c r="L119" s="56">
        <f t="shared" si="13"/>
        <v>234198.89148099982</v>
      </c>
      <c r="M119" s="56">
        <f t="shared" si="14"/>
        <v>483.9409999999998</v>
      </c>
      <c r="N119" s="56">
        <f t="shared" si="15"/>
        <v>2.6856889036886678</v>
      </c>
      <c r="O119" s="143">
        <f t="shared" si="16"/>
        <v>10.274755838641184</v>
      </c>
      <c r="P119" s="143">
        <f t="shared" si="17"/>
        <v>10.274755838641184</v>
      </c>
      <c r="Q119" s="34">
        <v>5130.6419999999998</v>
      </c>
      <c r="R119" s="56">
        <f t="shared" si="18"/>
        <v>420.64199999999983</v>
      </c>
      <c r="S119" s="56">
        <f t="shared" si="19"/>
        <v>176939.69216399986</v>
      </c>
      <c r="T119" s="56">
        <f t="shared" si="20"/>
        <v>420.64199999999983</v>
      </c>
      <c r="U119" s="56">
        <f t="shared" si="21"/>
        <v>2.6249438646801613</v>
      </c>
      <c r="V119" s="33">
        <f t="shared" si="22"/>
        <v>8.9308280254777035</v>
      </c>
      <c r="W119" s="143">
        <f t="shared" si="23"/>
        <v>8.9308280254777035</v>
      </c>
    </row>
    <row r="120" spans="1:23" x14ac:dyDescent="0.15">
      <c r="A120" s="90" t="s">
        <v>902</v>
      </c>
      <c r="B120" s="24" t="s">
        <v>512</v>
      </c>
      <c r="C120" s="24" t="s">
        <v>401</v>
      </c>
      <c r="D120" s="29" t="s">
        <v>82</v>
      </c>
      <c r="E120" s="24" t="s">
        <v>661</v>
      </c>
      <c r="F120" s="29" t="s">
        <v>374</v>
      </c>
      <c r="G120" s="29" t="s">
        <v>580</v>
      </c>
      <c r="H120" s="29" t="s">
        <v>582</v>
      </c>
      <c r="I120" s="24">
        <v>2870</v>
      </c>
      <c r="J120" s="34">
        <v>2711.5909999999999</v>
      </c>
      <c r="K120" s="34">
        <f t="shared" si="12"/>
        <v>-158.40900000000011</v>
      </c>
      <c r="L120" s="56">
        <f t="shared" si="13"/>
        <v>25093.411281000033</v>
      </c>
      <c r="M120" s="56">
        <f t="shared" si="14"/>
        <v>158.40900000000011</v>
      </c>
      <c r="N120" s="56">
        <f t="shared" si="15"/>
        <v>2.2025128373862963</v>
      </c>
      <c r="O120" s="143">
        <f t="shared" si="16"/>
        <v>-5.5194773519163798</v>
      </c>
      <c r="P120" s="143">
        <f t="shared" si="17"/>
        <v>5.5194773519163798</v>
      </c>
      <c r="Q120" s="34">
        <v>2750.6293000000001</v>
      </c>
      <c r="R120" s="56">
        <f t="shared" si="18"/>
        <v>-119.37069999999994</v>
      </c>
      <c r="S120" s="56">
        <f t="shared" si="19"/>
        <v>14249.364018489987</v>
      </c>
      <c r="T120" s="56">
        <f t="shared" si="20"/>
        <v>119.37069999999994</v>
      </c>
      <c r="U120" s="56">
        <f t="shared" si="21"/>
        <v>2.0805207861169936</v>
      </c>
      <c r="V120" s="33">
        <f t="shared" si="22"/>
        <v>-4.1592578397212527</v>
      </c>
      <c r="W120" s="143">
        <f t="shared" si="23"/>
        <v>4.1592578397212527</v>
      </c>
    </row>
    <row r="121" spans="1:23" ht="14" x14ac:dyDescent="0.15">
      <c r="A121" s="24" t="s">
        <v>100</v>
      </c>
      <c r="B121" s="24" t="s">
        <v>512</v>
      </c>
      <c r="C121" s="24" t="s">
        <v>403</v>
      </c>
      <c r="D121" s="29" t="s">
        <v>82</v>
      </c>
      <c r="E121" s="24" t="s">
        <v>661</v>
      </c>
      <c r="F121" s="10" t="s">
        <v>374</v>
      </c>
      <c r="G121" s="22" t="s">
        <v>580</v>
      </c>
      <c r="H121" s="44" t="s">
        <v>582</v>
      </c>
      <c r="I121">
        <v>1299.96</v>
      </c>
      <c r="J121" s="56">
        <v>1307.1737000000001</v>
      </c>
      <c r="K121" s="34">
        <f t="shared" si="12"/>
        <v>7.2137000000000171</v>
      </c>
      <c r="L121" s="56">
        <f t="shared" si="13"/>
        <v>52.037467690000248</v>
      </c>
      <c r="M121" s="56">
        <f t="shared" si="14"/>
        <v>7.2137000000000171</v>
      </c>
      <c r="N121" s="56">
        <f t="shared" si="15"/>
        <v>0.9145388364864816</v>
      </c>
      <c r="O121" s="143">
        <f t="shared" si="16"/>
        <v>0.55491707437152038</v>
      </c>
      <c r="P121" s="143">
        <f t="shared" si="17"/>
        <v>0.55491707437152038</v>
      </c>
      <c r="Q121" s="34">
        <v>1273.2942760000001</v>
      </c>
      <c r="R121" s="56">
        <f t="shared" si="18"/>
        <v>-26.665723999999955</v>
      </c>
      <c r="S121" s="56">
        <f t="shared" si="19"/>
        <v>711.06083644417356</v>
      </c>
      <c r="T121" s="56">
        <f t="shared" si="20"/>
        <v>26.665723999999955</v>
      </c>
      <c r="U121" s="56">
        <f t="shared" si="21"/>
        <v>1.4419420399971477</v>
      </c>
      <c r="V121" s="33">
        <f t="shared" si="22"/>
        <v>-2.0512726545432134</v>
      </c>
      <c r="W121" s="143">
        <f t="shared" si="23"/>
        <v>2.0512726545432134</v>
      </c>
    </row>
    <row r="122" spans="1:23" ht="14" x14ac:dyDescent="0.15">
      <c r="A122" s="90" t="s">
        <v>588</v>
      </c>
      <c r="B122" s="24" t="s">
        <v>512</v>
      </c>
      <c r="C122" s="24" t="s">
        <v>403</v>
      </c>
      <c r="D122" s="44" t="s">
        <v>148</v>
      </c>
      <c r="E122" s="24" t="s">
        <v>661</v>
      </c>
      <c r="F122" s="10" t="s">
        <v>374</v>
      </c>
      <c r="G122" s="10" t="s">
        <v>580</v>
      </c>
      <c r="H122" s="44" t="s">
        <v>582</v>
      </c>
      <c r="I122" s="26">
        <v>2740.86</v>
      </c>
      <c r="J122" s="56">
        <v>2924.1098000000002</v>
      </c>
      <c r="K122" s="34">
        <f t="shared" si="12"/>
        <v>183.24980000000005</v>
      </c>
      <c r="L122" s="56">
        <f t="shared" si="13"/>
        <v>33580.489200040021</v>
      </c>
      <c r="M122" s="56">
        <f t="shared" si="14"/>
        <v>183.24980000000005</v>
      </c>
      <c r="N122" s="56">
        <f t="shared" si="15"/>
        <v>2.2654070251121285</v>
      </c>
      <c r="O122" s="143">
        <f t="shared" si="16"/>
        <v>6.6858504265084688</v>
      </c>
      <c r="P122" s="143">
        <f t="shared" si="17"/>
        <v>6.6858504265084688</v>
      </c>
      <c r="Q122" s="34">
        <v>2947.109884</v>
      </c>
      <c r="R122" s="56">
        <f t="shared" si="18"/>
        <v>206.24988399999984</v>
      </c>
      <c r="S122" s="56">
        <f t="shared" si="19"/>
        <v>42539.014650013392</v>
      </c>
      <c r="T122" s="56">
        <f t="shared" si="20"/>
        <v>206.24988399999984</v>
      </c>
      <c r="U122" s="56">
        <f t="shared" si="21"/>
        <v>2.3164942961430635</v>
      </c>
      <c r="V122" s="33">
        <f t="shared" si="22"/>
        <v>7.5250061659479082</v>
      </c>
      <c r="W122" s="143">
        <f t="shared" si="23"/>
        <v>7.5250061659479082</v>
      </c>
    </row>
    <row r="123" spans="1:23" ht="14" x14ac:dyDescent="0.15">
      <c r="A123" s="90" t="s">
        <v>584</v>
      </c>
      <c r="B123" s="24" t="s">
        <v>512</v>
      </c>
      <c r="C123" s="24" t="s">
        <v>403</v>
      </c>
      <c r="D123" s="44" t="s">
        <v>148</v>
      </c>
      <c r="E123" s="24" t="s">
        <v>661</v>
      </c>
      <c r="F123" s="10" t="s">
        <v>374</v>
      </c>
      <c r="G123" s="10" t="s">
        <v>580</v>
      </c>
      <c r="H123" s="44" t="s">
        <v>582</v>
      </c>
      <c r="I123" s="27">
        <v>1687.51</v>
      </c>
      <c r="J123" s="56">
        <v>1791.0837500000002</v>
      </c>
      <c r="K123" s="34">
        <f t="shared" si="12"/>
        <v>103.57375000000025</v>
      </c>
      <c r="L123" s="56">
        <f t="shared" si="13"/>
        <v>10727.521689062551</v>
      </c>
      <c r="M123" s="56">
        <f t="shared" si="14"/>
        <v>103.57375000000025</v>
      </c>
      <c r="N123" s="56">
        <f t="shared" si="15"/>
        <v>2.0194226820373031</v>
      </c>
      <c r="O123" s="143">
        <f t="shared" si="16"/>
        <v>6.1376673323417492</v>
      </c>
      <c r="P123" s="143">
        <f t="shared" si="17"/>
        <v>6.1376673323417492</v>
      </c>
      <c r="Q123" s="34">
        <v>1790.8520449999999</v>
      </c>
      <c r="R123" s="56">
        <f t="shared" si="18"/>
        <v>103.34204499999987</v>
      </c>
      <c r="S123" s="56">
        <f t="shared" si="19"/>
        <v>10679.578264781998</v>
      </c>
      <c r="T123" s="56">
        <f t="shared" si="20"/>
        <v>103.34204499999987</v>
      </c>
      <c r="U123" s="56">
        <f t="shared" si="21"/>
        <v>2.0184593442084005</v>
      </c>
      <c r="V123" s="33">
        <f t="shared" si="22"/>
        <v>6.1239367470414914</v>
      </c>
      <c r="W123" s="143">
        <f t="shared" si="23"/>
        <v>6.1239367470414914</v>
      </c>
    </row>
    <row r="124" spans="1:23" ht="14" x14ac:dyDescent="0.15">
      <c r="A124" s="90" t="s">
        <v>665</v>
      </c>
      <c r="B124" s="24" t="s">
        <v>512</v>
      </c>
      <c r="C124" s="24" t="s">
        <v>403</v>
      </c>
      <c r="D124" s="44" t="s">
        <v>82</v>
      </c>
      <c r="E124" s="24" t="s">
        <v>661</v>
      </c>
      <c r="F124" s="10" t="s">
        <v>374</v>
      </c>
      <c r="G124" s="10" t="s">
        <v>580</v>
      </c>
      <c r="H124" s="44" t="s">
        <v>582</v>
      </c>
      <c r="I124" s="27">
        <v>1342.6</v>
      </c>
      <c r="J124" s="56">
        <v>1421.39885</v>
      </c>
      <c r="K124" s="34">
        <f t="shared" si="12"/>
        <v>78.79885000000013</v>
      </c>
      <c r="L124" s="56">
        <f t="shared" si="13"/>
        <v>6209.2587613225205</v>
      </c>
      <c r="M124" s="56">
        <f t="shared" si="14"/>
        <v>78.79885000000013</v>
      </c>
      <c r="N124" s="56">
        <f t="shared" si="15"/>
        <v>1.9019966326758813</v>
      </c>
      <c r="O124" s="143">
        <f t="shared" si="16"/>
        <v>5.8691233427677743</v>
      </c>
      <c r="P124" s="143">
        <f t="shared" si="17"/>
        <v>5.8691233427677743</v>
      </c>
      <c r="Q124" s="34">
        <v>1451.0870970000001</v>
      </c>
      <c r="R124" s="56">
        <f t="shared" si="18"/>
        <v>108.48709700000018</v>
      </c>
      <c r="S124" s="56">
        <f t="shared" si="19"/>
        <v>11769.450215487448</v>
      </c>
      <c r="T124" s="56">
        <f t="shared" si="20"/>
        <v>108.48709700000018</v>
      </c>
      <c r="U124" s="56">
        <f t="shared" si="21"/>
        <v>2.03936294080277</v>
      </c>
      <c r="V124" s="33">
        <f t="shared" si="22"/>
        <v>8.0803736779383417</v>
      </c>
      <c r="W124" s="143">
        <f t="shared" si="23"/>
        <v>8.0803736779383417</v>
      </c>
    </row>
    <row r="125" spans="1:23" ht="14" x14ac:dyDescent="0.15">
      <c r="A125" s="90" t="s">
        <v>389</v>
      </c>
      <c r="B125" s="24" t="s">
        <v>512</v>
      </c>
      <c r="C125" s="24" t="s">
        <v>403</v>
      </c>
      <c r="D125" s="44" t="s">
        <v>82</v>
      </c>
      <c r="E125" s="24" t="s">
        <v>661</v>
      </c>
      <c r="F125" s="10" t="s">
        <v>494</v>
      </c>
      <c r="G125" s="10" t="s">
        <v>580</v>
      </c>
      <c r="H125" s="44" t="s">
        <v>582</v>
      </c>
      <c r="I125" s="8">
        <v>1095.26</v>
      </c>
      <c r="J125" s="56">
        <v>1246.9304</v>
      </c>
      <c r="K125" s="34">
        <f t="shared" si="12"/>
        <v>151.67039999999997</v>
      </c>
      <c r="L125" s="56">
        <f t="shared" si="13"/>
        <v>23003.910236159991</v>
      </c>
      <c r="M125" s="56">
        <f t="shared" si="14"/>
        <v>151.67039999999997</v>
      </c>
      <c r="N125" s="56">
        <f t="shared" si="15"/>
        <v>2.1837548434560943</v>
      </c>
      <c r="O125" s="143">
        <f t="shared" si="16"/>
        <v>13.847889998721762</v>
      </c>
      <c r="P125" s="143">
        <f t="shared" si="17"/>
        <v>13.847889998721762</v>
      </c>
      <c r="Q125" s="34">
        <v>1241.860146</v>
      </c>
      <c r="R125" s="56">
        <f t="shared" si="18"/>
        <v>146.600146</v>
      </c>
      <c r="S125" s="56">
        <f t="shared" si="19"/>
        <v>21491.602807221316</v>
      </c>
      <c r="T125" s="56">
        <f t="shared" si="20"/>
        <v>146.600146</v>
      </c>
      <c r="U125" s="56">
        <f t="shared" si="21"/>
        <v>2.1690867870734931</v>
      </c>
      <c r="V125" s="33">
        <f t="shared" si="22"/>
        <v>13.384963022478679</v>
      </c>
      <c r="W125" s="143">
        <f t="shared" si="23"/>
        <v>13.384963022478679</v>
      </c>
    </row>
    <row r="126" spans="1:23" ht="14" x14ac:dyDescent="0.15">
      <c r="A126" s="90" t="s">
        <v>127</v>
      </c>
      <c r="B126" s="24" t="s">
        <v>512</v>
      </c>
      <c r="C126" s="24" t="s">
        <v>403</v>
      </c>
      <c r="D126" s="44" t="s">
        <v>82</v>
      </c>
      <c r="E126" s="24" t="s">
        <v>661</v>
      </c>
      <c r="F126" s="10" t="s">
        <v>203</v>
      </c>
      <c r="G126" s="10" t="s">
        <v>581</v>
      </c>
      <c r="H126" s="44" t="s">
        <v>518</v>
      </c>
      <c r="I126" s="27">
        <v>4745.58</v>
      </c>
      <c r="J126" s="56">
        <v>4780.35185</v>
      </c>
      <c r="K126" s="34">
        <f t="shared" si="12"/>
        <v>34.771850000000086</v>
      </c>
      <c r="L126" s="56">
        <f t="shared" si="13"/>
        <v>1209.0815524225059</v>
      </c>
      <c r="M126" s="56">
        <f t="shared" si="14"/>
        <v>34.771850000000086</v>
      </c>
      <c r="N126" s="56">
        <f t="shared" si="15"/>
        <v>1.5535414009825024</v>
      </c>
      <c r="O126" s="143">
        <f t="shared" si="16"/>
        <v>0.73272076332081826</v>
      </c>
      <c r="P126" s="143">
        <f t="shared" si="17"/>
        <v>0.73272076332081826</v>
      </c>
      <c r="Q126" s="34">
        <v>4821.3785209999996</v>
      </c>
      <c r="R126" s="56">
        <f t="shared" si="18"/>
        <v>75.79852099999971</v>
      </c>
      <c r="S126" s="56">
        <f t="shared" si="19"/>
        <v>5745.415785787397</v>
      </c>
      <c r="T126" s="56">
        <f t="shared" si="20"/>
        <v>75.79852099999971</v>
      </c>
      <c r="U126" s="56">
        <f t="shared" si="21"/>
        <v>1.8853528563892752</v>
      </c>
      <c r="V126" s="33">
        <f t="shared" si="22"/>
        <v>1.5972446149890995</v>
      </c>
      <c r="W126" s="143">
        <f t="shared" si="23"/>
        <v>1.5972446149890995</v>
      </c>
    </row>
    <row r="127" spans="1:23" ht="14" x14ac:dyDescent="0.15">
      <c r="A127" s="90" t="s">
        <v>104</v>
      </c>
      <c r="B127" s="24" t="s">
        <v>512</v>
      </c>
      <c r="C127" s="24" t="s">
        <v>403</v>
      </c>
      <c r="D127" s="44" t="s">
        <v>83</v>
      </c>
      <c r="E127" s="24" t="s">
        <v>661</v>
      </c>
      <c r="F127" s="10" t="s">
        <v>203</v>
      </c>
      <c r="G127" s="10" t="s">
        <v>581</v>
      </c>
      <c r="H127" s="44" t="s">
        <v>518</v>
      </c>
      <c r="I127" s="8">
        <v>4769.5</v>
      </c>
      <c r="J127" s="56">
        <v>4386.2510000000002</v>
      </c>
      <c r="K127" s="34">
        <f t="shared" si="12"/>
        <v>-383.2489999999998</v>
      </c>
      <c r="L127" s="56">
        <f t="shared" si="13"/>
        <v>146879.79600099984</v>
      </c>
      <c r="M127" s="56">
        <f t="shared" si="14"/>
        <v>383.2489999999998</v>
      </c>
      <c r="N127" s="56">
        <f t="shared" si="15"/>
        <v>2.5846127459309316</v>
      </c>
      <c r="O127" s="143">
        <f t="shared" si="16"/>
        <v>-8.0354125170353239</v>
      </c>
      <c r="P127" s="143">
        <f t="shared" si="17"/>
        <v>8.0354125170353239</v>
      </c>
      <c r="Q127" s="34">
        <v>4318.1906399999998</v>
      </c>
      <c r="R127" s="56">
        <f t="shared" si="18"/>
        <v>-451.3093600000002</v>
      </c>
      <c r="S127" s="56">
        <f t="shared" si="19"/>
        <v>203680.13842360978</v>
      </c>
      <c r="T127" s="56">
        <f t="shared" si="20"/>
        <v>451.3093600000002</v>
      </c>
      <c r="U127" s="56">
        <f t="shared" si="21"/>
        <v>2.6554355750426031</v>
      </c>
      <c r="V127" s="33">
        <f t="shared" si="22"/>
        <v>-9.4624040255792039</v>
      </c>
      <c r="W127" s="143">
        <f t="shared" si="23"/>
        <v>9.4624040255792039</v>
      </c>
    </row>
    <row r="128" spans="1:23" x14ac:dyDescent="0.15">
      <c r="A128" s="90" t="s">
        <v>733</v>
      </c>
      <c r="B128" s="24" t="s">
        <v>512</v>
      </c>
      <c r="C128" s="24" t="s">
        <v>403</v>
      </c>
      <c r="D128" s="44" t="s">
        <v>82</v>
      </c>
      <c r="E128" s="24" t="s">
        <v>661</v>
      </c>
      <c r="F128" s="44" t="s">
        <v>293</v>
      </c>
      <c r="G128" s="29" t="s">
        <v>580</v>
      </c>
      <c r="H128" s="29" t="s">
        <v>518</v>
      </c>
      <c r="I128" s="26">
        <v>3740</v>
      </c>
      <c r="J128" s="34">
        <v>3585.971</v>
      </c>
      <c r="K128" s="34">
        <f t="shared" si="12"/>
        <v>-154.029</v>
      </c>
      <c r="L128" s="56">
        <f t="shared" si="13"/>
        <v>23724.932840999998</v>
      </c>
      <c r="M128" s="56">
        <f t="shared" si="14"/>
        <v>154.029</v>
      </c>
      <c r="N128" s="56">
        <f t="shared" si="15"/>
        <v>2.1904129456665702</v>
      </c>
      <c r="O128" s="143">
        <f t="shared" si="16"/>
        <v>-4.1184224598930479</v>
      </c>
      <c r="P128" s="143">
        <f t="shared" si="17"/>
        <v>4.1184224598930479</v>
      </c>
      <c r="Q128" s="34">
        <v>3735.1048000000001</v>
      </c>
      <c r="R128" s="56">
        <f t="shared" si="18"/>
        <v>-4.8951999999999316</v>
      </c>
      <c r="S128" s="56">
        <f t="shared" si="19"/>
        <v>23.96298303999933</v>
      </c>
      <c r="T128" s="56">
        <f t="shared" si="20"/>
        <v>4.8951999999999316</v>
      </c>
      <c r="U128" s="56">
        <f t="shared" si="21"/>
        <v>0.77049854351472979</v>
      </c>
      <c r="V128" s="33">
        <f t="shared" si="22"/>
        <v>-0.13088770053475754</v>
      </c>
      <c r="W128" s="143">
        <f t="shared" si="23"/>
        <v>0.13088770053475754</v>
      </c>
    </row>
    <row r="129" spans="1:23" ht="14" x14ac:dyDescent="0.15">
      <c r="A129" s="90" t="s">
        <v>369</v>
      </c>
      <c r="B129" s="24" t="s">
        <v>512</v>
      </c>
      <c r="C129" s="24" t="s">
        <v>403</v>
      </c>
      <c r="D129" s="44" t="s">
        <v>148</v>
      </c>
      <c r="E129" s="24" t="s">
        <v>661</v>
      </c>
      <c r="F129" s="10" t="s">
        <v>374</v>
      </c>
      <c r="G129" s="10" t="s">
        <v>580</v>
      </c>
      <c r="H129" s="44" t="s">
        <v>582</v>
      </c>
      <c r="I129" s="27">
        <v>2524.9700000000003</v>
      </c>
      <c r="J129" s="56">
        <v>2484.3263000000002</v>
      </c>
      <c r="K129" s="34">
        <f t="shared" si="12"/>
        <v>-40.643700000000081</v>
      </c>
      <c r="L129" s="56">
        <f t="shared" si="13"/>
        <v>1651.9103496900066</v>
      </c>
      <c r="M129" s="56">
        <f t="shared" si="14"/>
        <v>40.643700000000081</v>
      </c>
      <c r="N129" s="56">
        <f t="shared" si="15"/>
        <v>1.619549309171729</v>
      </c>
      <c r="O129" s="143">
        <f t="shared" si="16"/>
        <v>-1.6096706099478439</v>
      </c>
      <c r="P129" s="143">
        <f t="shared" si="17"/>
        <v>1.6096706099478439</v>
      </c>
      <c r="Q129" s="34">
        <v>2518.2239960000002</v>
      </c>
      <c r="R129" s="56">
        <f t="shared" si="18"/>
        <v>-6.7460040000000845</v>
      </c>
      <c r="S129" s="56">
        <f t="shared" si="19"/>
        <v>45.508569968017142</v>
      </c>
      <c r="T129" s="56">
        <f t="shared" si="20"/>
        <v>6.7460040000000845</v>
      </c>
      <c r="U129" s="56">
        <f t="shared" si="21"/>
        <v>0.8890777169177525</v>
      </c>
      <c r="V129" s="33">
        <f t="shared" si="22"/>
        <v>-0.26717164956415657</v>
      </c>
      <c r="W129" s="143">
        <f t="shared" si="23"/>
        <v>0.26717164956415657</v>
      </c>
    </row>
    <row r="130" spans="1:23" ht="14" x14ac:dyDescent="0.15">
      <c r="A130" s="90" t="s">
        <v>84</v>
      </c>
      <c r="B130" s="24" t="s">
        <v>512</v>
      </c>
      <c r="C130" s="24" t="s">
        <v>403</v>
      </c>
      <c r="D130" s="44" t="s">
        <v>83</v>
      </c>
      <c r="E130" s="24" t="s">
        <v>661</v>
      </c>
      <c r="F130" s="10" t="s">
        <v>203</v>
      </c>
      <c r="G130" s="10" t="s">
        <v>581</v>
      </c>
      <c r="H130" s="44" t="s">
        <v>518</v>
      </c>
      <c r="I130" s="8">
        <v>4572</v>
      </c>
      <c r="J130" s="56">
        <v>4761.1970000000001</v>
      </c>
      <c r="K130" s="34">
        <f t="shared" ref="K130:K193" si="24">J130-I130</f>
        <v>189.19700000000012</v>
      </c>
      <c r="L130" s="56">
        <f t="shared" ref="L130:L193" si="25">K130^2</f>
        <v>35795.504809000042</v>
      </c>
      <c r="M130" s="56">
        <f t="shared" ref="M130:M193" si="26">SQRT(L130)</f>
        <v>189.19700000000012</v>
      </c>
      <c r="N130" s="56">
        <f t="shared" ref="N130:N193" si="27">LOG10(M130+1)</f>
        <v>2.2792036624766796</v>
      </c>
      <c r="O130" s="143">
        <f t="shared" ref="O130:O193" si="28">100*K130/I130</f>
        <v>4.1381671041119885</v>
      </c>
      <c r="P130" s="143">
        <f t="shared" ref="P130:P193" si="29">ABS(O130)</f>
        <v>4.1381671041119885</v>
      </c>
      <c r="Q130" s="34">
        <v>4698.8545000000004</v>
      </c>
      <c r="R130" s="56">
        <f t="shared" ref="R130:R193" si="30">Q130-I130</f>
        <v>126.85450000000037</v>
      </c>
      <c r="S130" s="56">
        <f t="shared" ref="S130:S193" si="31">R130^2</f>
        <v>16092.064170250094</v>
      </c>
      <c r="T130" s="56">
        <f t="shared" ref="T130:T193" si="32">SQRT(S130)</f>
        <v>126.85450000000037</v>
      </c>
      <c r="U130" s="56">
        <f t="shared" ref="U130:U193" si="33">LOG10(T130+1)</f>
        <v>2.106716018172099</v>
      </c>
      <c r="V130" s="33">
        <f t="shared" ref="V130:V193" si="34">100*R130/I130</f>
        <v>2.774595363079623</v>
      </c>
      <c r="W130" s="143">
        <f t="shared" ref="W130:W193" si="35">ABS(V130)</f>
        <v>2.774595363079623</v>
      </c>
    </row>
    <row r="131" spans="1:23" ht="14" x14ac:dyDescent="0.15">
      <c r="A131" s="90" t="s">
        <v>120</v>
      </c>
      <c r="B131" s="24" t="s">
        <v>512</v>
      </c>
      <c r="C131" s="24" t="s">
        <v>403</v>
      </c>
      <c r="D131" s="44" t="s">
        <v>82</v>
      </c>
      <c r="E131" s="24" t="s">
        <v>661</v>
      </c>
      <c r="F131" s="10" t="s">
        <v>203</v>
      </c>
      <c r="G131" s="10" t="s">
        <v>581</v>
      </c>
      <c r="H131" s="44" t="s">
        <v>518</v>
      </c>
      <c r="I131" s="8">
        <v>4978</v>
      </c>
      <c r="J131" s="56">
        <v>4856.7860000000001</v>
      </c>
      <c r="K131" s="34">
        <f t="shared" si="24"/>
        <v>-121.21399999999994</v>
      </c>
      <c r="L131" s="56">
        <f t="shared" si="25"/>
        <v>14692.833795999986</v>
      </c>
      <c r="M131" s="56">
        <f t="shared" si="26"/>
        <v>121.21399999999994</v>
      </c>
      <c r="N131" s="56">
        <f t="shared" si="27"/>
        <v>2.0871209585618931</v>
      </c>
      <c r="O131" s="143">
        <f t="shared" si="28"/>
        <v>-2.4349939734833255</v>
      </c>
      <c r="P131" s="143">
        <f t="shared" si="29"/>
        <v>2.4349939734833255</v>
      </c>
      <c r="Q131" s="34">
        <v>4767.9404999999997</v>
      </c>
      <c r="R131" s="56">
        <f t="shared" si="30"/>
        <v>-210.0595000000003</v>
      </c>
      <c r="S131" s="56">
        <f t="shared" si="31"/>
        <v>44124.993540250129</v>
      </c>
      <c r="T131" s="56">
        <f t="shared" si="32"/>
        <v>210.0595000000003</v>
      </c>
      <c r="U131" s="56">
        <f t="shared" si="33"/>
        <v>2.3244049049610438</v>
      </c>
      <c r="V131" s="33">
        <f t="shared" si="34"/>
        <v>-4.2197569304941807</v>
      </c>
      <c r="W131" s="143">
        <f t="shared" si="35"/>
        <v>4.2197569304941807</v>
      </c>
    </row>
    <row r="132" spans="1:23" ht="14" x14ac:dyDescent="0.15">
      <c r="A132" s="90" t="s">
        <v>121</v>
      </c>
      <c r="B132" s="24" t="s">
        <v>512</v>
      </c>
      <c r="C132" s="24" t="s">
        <v>403</v>
      </c>
      <c r="D132" s="44" t="s">
        <v>82</v>
      </c>
      <c r="E132" s="24" t="s">
        <v>661</v>
      </c>
      <c r="F132" s="10" t="s">
        <v>203</v>
      </c>
      <c r="G132" s="10" t="s">
        <v>581</v>
      </c>
      <c r="H132" s="44" t="s">
        <v>518</v>
      </c>
      <c r="I132" s="27">
        <v>4470</v>
      </c>
      <c r="J132" s="56">
        <v>4063.9160000000002</v>
      </c>
      <c r="K132" s="34">
        <f t="shared" si="24"/>
        <v>-406.08399999999983</v>
      </c>
      <c r="L132" s="56">
        <f t="shared" si="25"/>
        <v>164904.21505599987</v>
      </c>
      <c r="M132" s="56">
        <f t="shared" si="26"/>
        <v>406.08399999999983</v>
      </c>
      <c r="N132" s="56">
        <f t="shared" si="27"/>
        <v>2.6096840332360327</v>
      </c>
      <c r="O132" s="143">
        <f t="shared" si="28"/>
        <v>-9.0846532438478693</v>
      </c>
      <c r="P132" s="143">
        <f t="shared" si="29"/>
        <v>9.0846532438478693</v>
      </c>
      <c r="Q132" s="34">
        <v>4011.4488000000001</v>
      </c>
      <c r="R132" s="56">
        <f t="shared" si="30"/>
        <v>-458.55119999999988</v>
      </c>
      <c r="S132" s="56">
        <f t="shared" si="31"/>
        <v>210269.2030214399</v>
      </c>
      <c r="T132" s="56">
        <f t="shared" si="32"/>
        <v>458.55119999999988</v>
      </c>
      <c r="U132" s="56">
        <f t="shared" si="33"/>
        <v>2.6623339044897993</v>
      </c>
      <c r="V132" s="33">
        <f t="shared" si="34"/>
        <v>-10.258416107382548</v>
      </c>
      <c r="W132" s="143">
        <f t="shared" si="35"/>
        <v>10.258416107382548</v>
      </c>
    </row>
    <row r="133" spans="1:23" ht="14" x14ac:dyDescent="0.15">
      <c r="A133" s="90" t="s">
        <v>139</v>
      </c>
      <c r="B133" s="24" t="s">
        <v>512</v>
      </c>
      <c r="C133" s="24" t="s">
        <v>403</v>
      </c>
      <c r="D133" s="44" t="s">
        <v>82</v>
      </c>
      <c r="E133" s="24" t="s">
        <v>661</v>
      </c>
      <c r="F133" s="10" t="s">
        <v>203</v>
      </c>
      <c r="G133" s="10" t="s">
        <v>581</v>
      </c>
      <c r="H133" s="44" t="s">
        <v>518</v>
      </c>
      <c r="I133" s="27">
        <v>4870</v>
      </c>
      <c r="J133" s="56">
        <v>4384.0280000000002</v>
      </c>
      <c r="K133" s="34">
        <f t="shared" si="24"/>
        <v>-485.97199999999975</v>
      </c>
      <c r="L133" s="56">
        <f t="shared" si="25"/>
        <v>236168.78478399976</v>
      </c>
      <c r="M133" s="56">
        <f t="shared" si="26"/>
        <v>485.97199999999975</v>
      </c>
      <c r="N133" s="56">
        <f t="shared" si="27"/>
        <v>2.6875039907935201</v>
      </c>
      <c r="O133" s="143">
        <f t="shared" si="28"/>
        <v>-9.978891170431206</v>
      </c>
      <c r="P133" s="143">
        <f t="shared" si="29"/>
        <v>9.978891170431206</v>
      </c>
      <c r="Q133" s="34">
        <v>4521.3034799999996</v>
      </c>
      <c r="R133" s="56">
        <f t="shared" si="30"/>
        <v>-348.69652000000042</v>
      </c>
      <c r="S133" s="56">
        <f t="shared" si="31"/>
        <v>121589.26306011069</v>
      </c>
      <c r="T133" s="56">
        <f t="shared" si="32"/>
        <v>348.69652000000042</v>
      </c>
      <c r="U133" s="56">
        <f t="shared" si="33"/>
        <v>2.5436913104553218</v>
      </c>
      <c r="V133" s="33">
        <f t="shared" si="34"/>
        <v>-7.1600928131416932</v>
      </c>
      <c r="W133" s="143">
        <f t="shared" si="35"/>
        <v>7.1600928131416932</v>
      </c>
    </row>
    <row r="134" spans="1:23" ht="14" x14ac:dyDescent="0.15">
      <c r="A134" s="90" t="s">
        <v>386</v>
      </c>
      <c r="B134" s="24" t="s">
        <v>512</v>
      </c>
      <c r="C134" s="24" t="s">
        <v>403</v>
      </c>
      <c r="D134" s="44" t="s">
        <v>82</v>
      </c>
      <c r="E134" s="24" t="s">
        <v>661</v>
      </c>
      <c r="F134" s="10" t="s">
        <v>374</v>
      </c>
      <c r="G134" s="10" t="s">
        <v>580</v>
      </c>
      <c r="H134" s="44" t="s">
        <v>582</v>
      </c>
      <c r="I134" s="27">
        <v>1538.3</v>
      </c>
      <c r="J134" s="56">
        <v>1606.3895</v>
      </c>
      <c r="K134" s="34">
        <f t="shared" si="24"/>
        <v>68.089500000000044</v>
      </c>
      <c r="L134" s="56">
        <f t="shared" si="25"/>
        <v>4636.1800102500056</v>
      </c>
      <c r="M134" s="56">
        <f t="shared" si="26"/>
        <v>68.089500000000044</v>
      </c>
      <c r="N134" s="56">
        <f t="shared" si="27"/>
        <v>1.8394120497105735</v>
      </c>
      <c r="O134" s="143">
        <f t="shared" si="28"/>
        <v>4.4262822596372651</v>
      </c>
      <c r="P134" s="143">
        <f t="shared" si="29"/>
        <v>4.4262822596372651</v>
      </c>
      <c r="Q134" s="34">
        <v>1591.71165</v>
      </c>
      <c r="R134" s="56">
        <f t="shared" si="30"/>
        <v>53.411650000000009</v>
      </c>
      <c r="S134" s="56">
        <f t="shared" si="31"/>
        <v>2852.804355722501</v>
      </c>
      <c r="T134" s="56">
        <f t="shared" si="32"/>
        <v>53.411650000000009</v>
      </c>
      <c r="U134" s="56">
        <f t="shared" si="33"/>
        <v>1.7356918958200751</v>
      </c>
      <c r="V134" s="33">
        <f t="shared" si="34"/>
        <v>3.4721218227913937</v>
      </c>
      <c r="W134" s="143">
        <f t="shared" si="35"/>
        <v>3.4721218227913937</v>
      </c>
    </row>
    <row r="135" spans="1:23" ht="14" x14ac:dyDescent="0.15">
      <c r="A135" s="90" t="s">
        <v>381</v>
      </c>
      <c r="B135" s="24" t="s">
        <v>512</v>
      </c>
      <c r="C135" s="24" t="s">
        <v>403</v>
      </c>
      <c r="D135" s="44" t="s">
        <v>148</v>
      </c>
      <c r="E135" s="24" t="s">
        <v>661</v>
      </c>
      <c r="F135" s="10" t="s">
        <v>494</v>
      </c>
      <c r="G135" s="10" t="s">
        <v>580</v>
      </c>
      <c r="H135" s="44" t="s">
        <v>582</v>
      </c>
      <c r="I135" s="27">
        <v>786.1</v>
      </c>
      <c r="J135" s="56">
        <v>939.48949999999991</v>
      </c>
      <c r="K135" s="34">
        <f t="shared" si="24"/>
        <v>153.38949999999988</v>
      </c>
      <c r="L135" s="56">
        <f t="shared" si="25"/>
        <v>23528.338710249966</v>
      </c>
      <c r="M135" s="56">
        <f t="shared" si="26"/>
        <v>153.38949999999988</v>
      </c>
      <c r="N135" s="56">
        <f t="shared" si="27"/>
        <v>2.1886177607204296</v>
      </c>
      <c r="O135" s="143">
        <f t="shared" si="28"/>
        <v>19.512721027859037</v>
      </c>
      <c r="P135" s="143">
        <f t="shared" si="29"/>
        <v>19.512721027859037</v>
      </c>
      <c r="Q135" s="34">
        <v>913.01078600000005</v>
      </c>
      <c r="R135" s="56">
        <f t="shared" si="30"/>
        <v>126.91078600000003</v>
      </c>
      <c r="S135" s="56">
        <f t="shared" si="31"/>
        <v>16106.347603137803</v>
      </c>
      <c r="T135" s="56">
        <f t="shared" si="32"/>
        <v>126.91078600000003</v>
      </c>
      <c r="U135" s="56">
        <f t="shared" si="33"/>
        <v>2.1069071676434379</v>
      </c>
      <c r="V135" s="33">
        <f t="shared" si="34"/>
        <v>16.144356443200614</v>
      </c>
      <c r="W135" s="143">
        <f t="shared" si="35"/>
        <v>16.144356443200614</v>
      </c>
    </row>
    <row r="136" spans="1:23" ht="14" x14ac:dyDescent="0.15">
      <c r="A136" s="90" t="s">
        <v>115</v>
      </c>
      <c r="B136" s="24" t="s">
        <v>512</v>
      </c>
      <c r="C136" s="24" t="s">
        <v>403</v>
      </c>
      <c r="D136" s="44" t="s">
        <v>83</v>
      </c>
      <c r="E136" s="24" t="s">
        <v>661</v>
      </c>
      <c r="F136" s="10" t="s">
        <v>203</v>
      </c>
      <c r="G136" s="10" t="s">
        <v>581</v>
      </c>
      <c r="H136" s="44" t="s">
        <v>518</v>
      </c>
      <c r="I136" s="27">
        <v>4938.3100000000004</v>
      </c>
      <c r="J136" s="56">
        <v>4672.277</v>
      </c>
      <c r="K136" s="34">
        <f t="shared" si="24"/>
        <v>-266.03300000000036</v>
      </c>
      <c r="L136" s="56">
        <f t="shared" si="25"/>
        <v>70773.557089000184</v>
      </c>
      <c r="M136" s="56">
        <f t="shared" si="26"/>
        <v>266.03300000000036</v>
      </c>
      <c r="N136" s="56">
        <f t="shared" si="27"/>
        <v>2.4265649348938187</v>
      </c>
      <c r="O136" s="143">
        <f t="shared" si="28"/>
        <v>-5.3871263650925183</v>
      </c>
      <c r="P136" s="143">
        <f t="shared" si="29"/>
        <v>5.3871263650925183</v>
      </c>
      <c r="Q136" s="34">
        <v>4722.3437400000003</v>
      </c>
      <c r="R136" s="56">
        <f t="shared" si="30"/>
        <v>-215.96626000000015</v>
      </c>
      <c r="S136" s="56">
        <f t="shared" si="31"/>
        <v>46641.425458387661</v>
      </c>
      <c r="T136" s="56">
        <f t="shared" si="32"/>
        <v>215.96626000000015</v>
      </c>
      <c r="U136" s="56">
        <f t="shared" si="33"/>
        <v>2.3363922028112141</v>
      </c>
      <c r="V136" s="33">
        <f t="shared" si="34"/>
        <v>-4.3732827627265225</v>
      </c>
      <c r="W136" s="143">
        <f t="shared" si="35"/>
        <v>4.3732827627265225</v>
      </c>
    </row>
    <row r="137" spans="1:23" ht="14" x14ac:dyDescent="0.15">
      <c r="A137" s="90" t="s">
        <v>88</v>
      </c>
      <c r="B137" s="24" t="s">
        <v>512</v>
      </c>
      <c r="C137" s="24" t="s">
        <v>403</v>
      </c>
      <c r="D137" s="44" t="s">
        <v>82</v>
      </c>
      <c r="E137" s="24" t="s">
        <v>661</v>
      </c>
      <c r="F137" s="10" t="s">
        <v>293</v>
      </c>
      <c r="G137" s="10" t="s">
        <v>580</v>
      </c>
      <c r="H137" s="44" t="s">
        <v>518</v>
      </c>
      <c r="I137" s="27">
        <v>3045.75</v>
      </c>
      <c r="J137" s="56">
        <v>3140.1483499999999</v>
      </c>
      <c r="K137" s="34">
        <f t="shared" si="24"/>
        <v>94.398349999999937</v>
      </c>
      <c r="L137" s="56">
        <f t="shared" si="25"/>
        <v>8911.0484827224882</v>
      </c>
      <c r="M137" s="56">
        <f t="shared" si="26"/>
        <v>94.398349999999937</v>
      </c>
      <c r="N137" s="56">
        <f t="shared" si="27"/>
        <v>1.9795408632565885</v>
      </c>
      <c r="O137" s="143">
        <f t="shared" si="28"/>
        <v>3.0993466305507655</v>
      </c>
      <c r="P137" s="143">
        <f t="shared" si="29"/>
        <v>3.0993466305507655</v>
      </c>
      <c r="Q137" s="34">
        <v>3120.619373</v>
      </c>
      <c r="R137" s="56">
        <f t="shared" si="30"/>
        <v>74.869372999999996</v>
      </c>
      <c r="S137" s="56">
        <f t="shared" si="31"/>
        <v>5605.4230134131285</v>
      </c>
      <c r="T137" s="56">
        <f t="shared" si="32"/>
        <v>74.869372999999996</v>
      </c>
      <c r="U137" s="56">
        <f t="shared" si="33"/>
        <v>1.8800664949805648</v>
      </c>
      <c r="V137" s="33">
        <f t="shared" si="34"/>
        <v>2.4581588442912254</v>
      </c>
      <c r="W137" s="143">
        <f t="shared" si="35"/>
        <v>2.4581588442912254</v>
      </c>
    </row>
    <row r="138" spans="1:23" ht="14" x14ac:dyDescent="0.15">
      <c r="A138" s="90" t="s">
        <v>382</v>
      </c>
      <c r="B138" s="24" t="s">
        <v>512</v>
      </c>
      <c r="C138" s="24" t="s">
        <v>403</v>
      </c>
      <c r="D138" s="44" t="s">
        <v>148</v>
      </c>
      <c r="E138" s="24" t="s">
        <v>661</v>
      </c>
      <c r="F138" s="10" t="s">
        <v>494</v>
      </c>
      <c r="G138" s="10" t="s">
        <v>580</v>
      </c>
      <c r="H138" s="44" t="s">
        <v>582</v>
      </c>
      <c r="I138" s="8">
        <v>965.43</v>
      </c>
      <c r="J138" s="56">
        <v>1272.0503000000001</v>
      </c>
      <c r="K138" s="34">
        <f t="shared" si="24"/>
        <v>306.62030000000016</v>
      </c>
      <c r="L138" s="56">
        <f t="shared" si="25"/>
        <v>94016.008372090102</v>
      </c>
      <c r="M138" s="56">
        <f t="shared" si="26"/>
        <v>306.62030000000016</v>
      </c>
      <c r="N138" s="56">
        <f t="shared" si="27"/>
        <v>2.4880149913604876</v>
      </c>
      <c r="O138" s="143">
        <f t="shared" si="28"/>
        <v>31.75997224034888</v>
      </c>
      <c r="P138" s="143">
        <f t="shared" si="29"/>
        <v>31.75997224034888</v>
      </c>
      <c r="Q138" s="34">
        <v>1281.964569</v>
      </c>
      <c r="R138" s="56">
        <f t="shared" si="30"/>
        <v>316.53456900000003</v>
      </c>
      <c r="S138" s="56">
        <f t="shared" si="31"/>
        <v>100194.13337201579</v>
      </c>
      <c r="T138" s="56">
        <f t="shared" si="32"/>
        <v>316.53456900000003</v>
      </c>
      <c r="U138" s="56">
        <f t="shared" si="33"/>
        <v>2.5017910124900391</v>
      </c>
      <c r="V138" s="33">
        <f t="shared" si="34"/>
        <v>32.786900034181663</v>
      </c>
      <c r="W138" s="143">
        <f t="shared" si="35"/>
        <v>32.786900034181663</v>
      </c>
    </row>
    <row r="139" spans="1:23" ht="14" x14ac:dyDescent="0.15">
      <c r="A139" s="90" t="s">
        <v>368</v>
      </c>
      <c r="B139" s="24" t="s">
        <v>512</v>
      </c>
      <c r="C139" s="24" t="s">
        <v>403</v>
      </c>
      <c r="D139" s="44" t="s">
        <v>148</v>
      </c>
      <c r="E139" s="24" t="s">
        <v>661</v>
      </c>
      <c r="F139" s="10" t="s">
        <v>374</v>
      </c>
      <c r="G139" s="76" t="s">
        <v>580</v>
      </c>
      <c r="H139" s="44" t="s">
        <v>582</v>
      </c>
      <c r="I139">
        <v>1933.19</v>
      </c>
      <c r="J139" s="56">
        <v>2142.8735000000001</v>
      </c>
      <c r="K139" s="34">
        <f t="shared" si="24"/>
        <v>209.68350000000009</v>
      </c>
      <c r="L139" s="56">
        <f t="shared" si="25"/>
        <v>43967.170172250037</v>
      </c>
      <c r="M139" s="56">
        <f t="shared" si="26"/>
        <v>209.68350000000009</v>
      </c>
      <c r="N139" s="56">
        <f t="shared" si="27"/>
        <v>2.3236305245044142</v>
      </c>
      <c r="O139" s="143">
        <f t="shared" si="28"/>
        <v>10.846502413109942</v>
      </c>
      <c r="P139" s="143">
        <f t="shared" si="29"/>
        <v>10.846502413109942</v>
      </c>
      <c r="Q139" s="34">
        <v>2109.1657899999996</v>
      </c>
      <c r="R139" s="56">
        <f t="shared" si="30"/>
        <v>175.97578999999951</v>
      </c>
      <c r="S139" s="56">
        <f t="shared" si="31"/>
        <v>30967.478666123927</v>
      </c>
      <c r="T139" s="56">
        <f t="shared" si="32"/>
        <v>175.97578999999951</v>
      </c>
      <c r="U139" s="56">
        <f t="shared" si="33"/>
        <v>2.2479138596468813</v>
      </c>
      <c r="V139" s="33">
        <f t="shared" si="34"/>
        <v>9.1028709024979175</v>
      </c>
      <c r="W139" s="143">
        <f t="shared" si="35"/>
        <v>9.1028709024979175</v>
      </c>
    </row>
    <row r="140" spans="1:23" ht="14" x14ac:dyDescent="0.15">
      <c r="A140" s="90" t="s">
        <v>668</v>
      </c>
      <c r="B140" s="24" t="s">
        <v>512</v>
      </c>
      <c r="C140" s="24" t="s">
        <v>403</v>
      </c>
      <c r="D140" s="44" t="s">
        <v>82</v>
      </c>
      <c r="E140" s="24" t="s">
        <v>661</v>
      </c>
      <c r="F140" s="20" t="s">
        <v>203</v>
      </c>
      <c r="G140" s="76" t="s">
        <v>581</v>
      </c>
      <c r="H140" s="44" t="s">
        <v>518</v>
      </c>
      <c r="I140">
        <v>5410</v>
      </c>
      <c r="J140" s="56">
        <v>5592.2285000000002</v>
      </c>
      <c r="K140" s="34">
        <f t="shared" si="24"/>
        <v>182.22850000000017</v>
      </c>
      <c r="L140" s="56">
        <f t="shared" si="25"/>
        <v>33207.226212250062</v>
      </c>
      <c r="M140" s="56">
        <f t="shared" si="26"/>
        <v>182.22850000000017</v>
      </c>
      <c r="N140" s="56">
        <f t="shared" si="27"/>
        <v>2.2629930262645446</v>
      </c>
      <c r="O140" s="143">
        <f t="shared" si="28"/>
        <v>3.3683641404805944</v>
      </c>
      <c r="P140" s="143">
        <f t="shared" si="29"/>
        <v>3.3683641404805944</v>
      </c>
      <c r="Q140" s="34">
        <v>5584.1915899999995</v>
      </c>
      <c r="R140" s="56">
        <f t="shared" si="30"/>
        <v>174.19158999999945</v>
      </c>
      <c r="S140" s="56">
        <f t="shared" si="31"/>
        <v>30342.710026727909</v>
      </c>
      <c r="T140" s="56">
        <f t="shared" si="32"/>
        <v>174.19158999999945</v>
      </c>
      <c r="U140" s="56">
        <f t="shared" si="33"/>
        <v>2.2435132542050185</v>
      </c>
      <c r="V140" s="33">
        <f t="shared" si="34"/>
        <v>3.2198075785582154</v>
      </c>
      <c r="W140" s="143">
        <f t="shared" si="35"/>
        <v>3.2198075785582154</v>
      </c>
    </row>
    <row r="141" spans="1:23" ht="14" x14ac:dyDescent="0.15">
      <c r="A141" s="90" t="s">
        <v>90</v>
      </c>
      <c r="B141" s="24" t="s">
        <v>512</v>
      </c>
      <c r="C141" s="24" t="s">
        <v>403</v>
      </c>
      <c r="D141" s="44" t="s">
        <v>82</v>
      </c>
      <c r="E141" s="24" t="s">
        <v>661</v>
      </c>
      <c r="F141" s="10" t="s">
        <v>203</v>
      </c>
      <c r="G141" s="29" t="s">
        <v>581</v>
      </c>
      <c r="H141" s="44" t="s">
        <v>518</v>
      </c>
      <c r="I141">
        <v>5080</v>
      </c>
      <c r="J141" s="56">
        <v>4951.2635</v>
      </c>
      <c r="K141" s="34">
        <f t="shared" si="24"/>
        <v>-128.73649999999998</v>
      </c>
      <c r="L141" s="56">
        <f t="shared" si="25"/>
        <v>16573.086432249995</v>
      </c>
      <c r="M141" s="56">
        <f t="shared" si="26"/>
        <v>128.73649999999998</v>
      </c>
      <c r="N141" s="56">
        <f t="shared" si="27"/>
        <v>2.113062177460479</v>
      </c>
      <c r="O141" s="143">
        <f t="shared" si="28"/>
        <v>-2.5341830708661415</v>
      </c>
      <c r="P141" s="143">
        <f t="shared" si="29"/>
        <v>2.5341830708661415</v>
      </c>
      <c r="Q141" s="34">
        <v>4991.7100540000001</v>
      </c>
      <c r="R141" s="56">
        <f t="shared" si="30"/>
        <v>-88.289945999999873</v>
      </c>
      <c r="S141" s="56">
        <f t="shared" si="31"/>
        <v>7795.1145646828936</v>
      </c>
      <c r="T141" s="56">
        <f t="shared" si="32"/>
        <v>88.289945999999873</v>
      </c>
      <c r="U141" s="56">
        <f t="shared" si="33"/>
        <v>1.9508025603158829</v>
      </c>
      <c r="V141" s="33">
        <f t="shared" si="34"/>
        <v>-1.7379910629921236</v>
      </c>
      <c r="W141" s="143">
        <f t="shared" si="35"/>
        <v>1.7379910629921236</v>
      </c>
    </row>
    <row r="142" spans="1:23" ht="14" x14ac:dyDescent="0.15">
      <c r="A142" s="90" t="s">
        <v>384</v>
      </c>
      <c r="B142" s="24" t="s">
        <v>512</v>
      </c>
      <c r="C142" s="24" t="s">
        <v>403</v>
      </c>
      <c r="D142" s="44" t="s">
        <v>148</v>
      </c>
      <c r="E142" s="24" t="s">
        <v>661</v>
      </c>
      <c r="F142" s="10" t="s">
        <v>374</v>
      </c>
      <c r="G142" s="29" t="s">
        <v>580</v>
      </c>
      <c r="H142" s="30" t="s">
        <v>582</v>
      </c>
      <c r="I142">
        <v>1545.5</v>
      </c>
      <c r="J142" s="56">
        <v>1666.7810000000002</v>
      </c>
      <c r="K142" s="34">
        <f t="shared" si="24"/>
        <v>121.28100000000018</v>
      </c>
      <c r="L142" s="56">
        <f t="shared" si="25"/>
        <v>14709.080961000043</v>
      </c>
      <c r="M142" s="56">
        <f t="shared" si="26"/>
        <v>121.28100000000018</v>
      </c>
      <c r="N142" s="56">
        <f t="shared" si="27"/>
        <v>2.0873589816790608</v>
      </c>
      <c r="O142" s="143">
        <f t="shared" si="28"/>
        <v>7.8473633128437505</v>
      </c>
      <c r="P142" s="143">
        <f t="shared" si="29"/>
        <v>7.8473633128437505</v>
      </c>
      <c r="Q142" s="34">
        <v>1637.6538400000002</v>
      </c>
      <c r="R142" s="56">
        <f t="shared" si="30"/>
        <v>92.153840000000173</v>
      </c>
      <c r="S142" s="56">
        <f t="shared" si="31"/>
        <v>8492.3302267456311</v>
      </c>
      <c r="T142" s="56">
        <f t="shared" si="32"/>
        <v>92.153840000000173</v>
      </c>
      <c r="U142" s="56">
        <f t="shared" si="33"/>
        <v>1.9692007621462413</v>
      </c>
      <c r="V142" s="33">
        <f t="shared" si="34"/>
        <v>5.9627201552895608</v>
      </c>
      <c r="W142" s="143">
        <f t="shared" si="35"/>
        <v>5.9627201552895608</v>
      </c>
    </row>
    <row r="143" spans="1:23" ht="14" x14ac:dyDescent="0.15">
      <c r="A143" s="90" t="s">
        <v>598</v>
      </c>
      <c r="B143" s="24" t="s">
        <v>512</v>
      </c>
      <c r="C143" s="24" t="s">
        <v>403</v>
      </c>
      <c r="D143" s="29" t="s">
        <v>82</v>
      </c>
      <c r="E143" s="24" t="s">
        <v>661</v>
      </c>
      <c r="F143" s="10" t="s">
        <v>494</v>
      </c>
      <c r="G143" s="29" t="s">
        <v>580</v>
      </c>
      <c r="H143" s="44" t="s">
        <v>582</v>
      </c>
      <c r="I143">
        <v>1217</v>
      </c>
      <c r="J143" s="56">
        <v>1318.511</v>
      </c>
      <c r="K143" s="34">
        <f t="shared" si="24"/>
        <v>101.51099999999997</v>
      </c>
      <c r="L143" s="56">
        <f t="shared" si="25"/>
        <v>10304.483120999994</v>
      </c>
      <c r="M143" s="56">
        <f t="shared" si="26"/>
        <v>101.51099999999997</v>
      </c>
      <c r="N143" s="56">
        <f t="shared" si="27"/>
        <v>2.0107704701037692</v>
      </c>
      <c r="O143" s="143">
        <f t="shared" si="28"/>
        <v>8.3410846343467515</v>
      </c>
      <c r="P143" s="143">
        <f t="shared" si="29"/>
        <v>8.3410846343467515</v>
      </c>
      <c r="Q143" s="34">
        <v>1341.2749000000001</v>
      </c>
      <c r="R143" s="56">
        <f t="shared" si="30"/>
        <v>124.27490000000012</v>
      </c>
      <c r="S143" s="56">
        <f t="shared" si="31"/>
        <v>15444.250770010029</v>
      </c>
      <c r="T143" s="56">
        <f t="shared" si="32"/>
        <v>124.27490000000012</v>
      </c>
      <c r="U143" s="56">
        <f t="shared" si="33"/>
        <v>2.0978640647414712</v>
      </c>
      <c r="V143" s="33">
        <f t="shared" si="34"/>
        <v>10.211577649958926</v>
      </c>
      <c r="W143" s="143">
        <f t="shared" si="35"/>
        <v>10.211577649958926</v>
      </c>
    </row>
    <row r="144" spans="1:23" ht="14" x14ac:dyDescent="0.15">
      <c r="A144" s="90" t="s">
        <v>618</v>
      </c>
      <c r="B144" s="24" t="s">
        <v>512</v>
      </c>
      <c r="C144" s="24" t="s">
        <v>403</v>
      </c>
      <c r="D144" s="29" t="s">
        <v>96</v>
      </c>
      <c r="E144" s="24" t="s">
        <v>661</v>
      </c>
      <c r="F144" s="10" t="s">
        <v>374</v>
      </c>
      <c r="G144" s="29" t="s">
        <v>580</v>
      </c>
      <c r="H144" s="44" t="s">
        <v>582</v>
      </c>
      <c r="I144">
        <v>1814.51</v>
      </c>
      <c r="J144" s="56">
        <v>1834.9880000000001</v>
      </c>
      <c r="K144" s="34">
        <f t="shared" si="24"/>
        <v>20.478000000000065</v>
      </c>
      <c r="L144" s="56">
        <f t="shared" si="25"/>
        <v>419.34848400000266</v>
      </c>
      <c r="M144" s="56">
        <f t="shared" si="26"/>
        <v>20.478000000000065</v>
      </c>
      <c r="N144" s="56">
        <f t="shared" si="27"/>
        <v>1.3319938380422578</v>
      </c>
      <c r="O144" s="143">
        <f t="shared" si="28"/>
        <v>1.1285691453891169</v>
      </c>
      <c r="P144" s="143">
        <f t="shared" si="29"/>
        <v>1.1285691453891169</v>
      </c>
      <c r="Q144" s="34">
        <v>1785.15245</v>
      </c>
      <c r="R144" s="56">
        <f t="shared" si="30"/>
        <v>-29.357549999999947</v>
      </c>
      <c r="S144" s="56">
        <f t="shared" si="31"/>
        <v>861.86574200249686</v>
      </c>
      <c r="T144" s="56">
        <f t="shared" si="32"/>
        <v>29.357549999999947</v>
      </c>
      <c r="U144" s="56">
        <f t="shared" si="33"/>
        <v>1.482266718988418</v>
      </c>
      <c r="V144" s="33">
        <f t="shared" si="34"/>
        <v>-1.6179326650169989</v>
      </c>
      <c r="W144" s="143">
        <f t="shared" si="35"/>
        <v>1.6179326650169989</v>
      </c>
    </row>
    <row r="145" spans="1:23" ht="14" x14ac:dyDescent="0.15">
      <c r="A145" s="90" t="s">
        <v>669</v>
      </c>
      <c r="B145" s="24" t="s">
        <v>512</v>
      </c>
      <c r="C145" s="24" t="s">
        <v>403</v>
      </c>
      <c r="D145" s="29" t="s">
        <v>148</v>
      </c>
      <c r="E145" s="24" t="s">
        <v>661</v>
      </c>
      <c r="F145" s="10" t="s">
        <v>494</v>
      </c>
      <c r="G145" s="29" t="s">
        <v>580</v>
      </c>
      <c r="H145" s="44" t="s">
        <v>582</v>
      </c>
      <c r="I145">
        <v>875</v>
      </c>
      <c r="J145" s="56">
        <v>1018.4059999999999</v>
      </c>
      <c r="K145" s="34">
        <f t="shared" si="24"/>
        <v>143.40599999999995</v>
      </c>
      <c r="L145" s="56">
        <f t="shared" si="25"/>
        <v>20565.280835999987</v>
      </c>
      <c r="M145" s="56">
        <f t="shared" si="26"/>
        <v>143.40599999999995</v>
      </c>
      <c r="N145" s="56">
        <f t="shared" si="27"/>
        <v>2.1595852383358118</v>
      </c>
      <c r="O145" s="143">
        <f t="shared" si="28"/>
        <v>16.389257142857137</v>
      </c>
      <c r="P145" s="143">
        <f t="shared" si="29"/>
        <v>16.389257142857137</v>
      </c>
      <c r="Q145" s="34">
        <v>1040.7508</v>
      </c>
      <c r="R145" s="56">
        <f t="shared" si="30"/>
        <v>165.75080000000003</v>
      </c>
      <c r="S145" s="56">
        <f t="shared" si="31"/>
        <v>27473.327700640009</v>
      </c>
      <c r="T145" s="56">
        <f t="shared" si="32"/>
        <v>165.75080000000003</v>
      </c>
      <c r="U145" s="56">
        <f t="shared" si="33"/>
        <v>2.222067926155316</v>
      </c>
      <c r="V145" s="33">
        <f t="shared" si="34"/>
        <v>18.942948571428573</v>
      </c>
      <c r="W145" s="143">
        <f t="shared" si="35"/>
        <v>18.942948571428573</v>
      </c>
    </row>
    <row r="146" spans="1:23" ht="14" x14ac:dyDescent="0.15">
      <c r="A146" s="90" t="s">
        <v>670</v>
      </c>
      <c r="B146" s="24" t="s">
        <v>512</v>
      </c>
      <c r="C146" s="24" t="s">
        <v>403</v>
      </c>
      <c r="D146" s="29" t="s">
        <v>83</v>
      </c>
      <c r="E146" s="24" t="s">
        <v>661</v>
      </c>
      <c r="F146" s="10" t="s">
        <v>203</v>
      </c>
      <c r="G146" s="29" t="s">
        <v>581</v>
      </c>
      <c r="H146" s="29" t="s">
        <v>518</v>
      </c>
      <c r="I146">
        <v>5205.8999999999996</v>
      </c>
      <c r="J146" s="56">
        <v>5536.6535000000003</v>
      </c>
      <c r="K146" s="34">
        <f t="shared" si="24"/>
        <v>330.75350000000071</v>
      </c>
      <c r="L146" s="56">
        <f t="shared" si="25"/>
        <v>109397.87776225047</v>
      </c>
      <c r="M146" s="56">
        <f t="shared" si="26"/>
        <v>330.75350000000071</v>
      </c>
      <c r="N146" s="56">
        <f t="shared" si="27"/>
        <v>2.5208155133681802</v>
      </c>
      <c r="O146" s="143">
        <f t="shared" si="28"/>
        <v>6.3534355250773302</v>
      </c>
      <c r="P146" s="143">
        <f t="shared" si="29"/>
        <v>6.3534355250773302</v>
      </c>
      <c r="Q146" s="34">
        <v>5753.0032310000006</v>
      </c>
      <c r="R146" s="56">
        <f t="shared" si="30"/>
        <v>547.10323100000096</v>
      </c>
      <c r="S146" s="56">
        <f t="shared" si="31"/>
        <v>299321.94537064043</v>
      </c>
      <c r="T146" s="56">
        <f t="shared" si="32"/>
        <v>547.10323100000096</v>
      </c>
      <c r="U146" s="56">
        <f t="shared" si="33"/>
        <v>2.7388623621914041</v>
      </c>
      <c r="V146" s="33">
        <f t="shared" si="34"/>
        <v>10.509291976411399</v>
      </c>
      <c r="W146" s="143">
        <f t="shared" si="35"/>
        <v>10.509291976411399</v>
      </c>
    </row>
    <row r="147" spans="1:23" x14ac:dyDescent="0.15">
      <c r="A147" s="24" t="s">
        <v>486</v>
      </c>
      <c r="B147" s="24" t="s">
        <v>516</v>
      </c>
      <c r="C147" s="24" t="s">
        <v>403</v>
      </c>
      <c r="D147" s="29" t="s">
        <v>82</v>
      </c>
      <c r="E147" s="24" t="s">
        <v>661</v>
      </c>
      <c r="F147" s="44" t="s">
        <v>203</v>
      </c>
      <c r="G147" s="44" t="s">
        <v>581</v>
      </c>
      <c r="H147" s="44" t="s">
        <v>518</v>
      </c>
      <c r="I147" s="24">
        <v>4927.5</v>
      </c>
      <c r="J147" s="56">
        <v>4916.666666666667</v>
      </c>
      <c r="K147" s="34">
        <f t="shared" si="24"/>
        <v>-10.83333333333303</v>
      </c>
      <c r="L147" s="56">
        <f t="shared" si="25"/>
        <v>117.36111111110455</v>
      </c>
      <c r="M147" s="56">
        <f t="shared" si="26"/>
        <v>10.83333333333303</v>
      </c>
      <c r="N147" s="56">
        <f t="shared" si="27"/>
        <v>1.0731070983354205</v>
      </c>
      <c r="O147" s="143">
        <f t="shared" si="28"/>
        <v>-0.21985455775409499</v>
      </c>
      <c r="P147" s="143">
        <f t="shared" si="29"/>
        <v>0.21985455775409499</v>
      </c>
      <c r="Q147" s="34">
        <v>4725.9259259259252</v>
      </c>
      <c r="R147" s="56">
        <f t="shared" si="30"/>
        <v>-201.57407407407482</v>
      </c>
      <c r="S147" s="56">
        <f t="shared" si="31"/>
        <v>40632.107338820599</v>
      </c>
      <c r="T147" s="56">
        <f t="shared" si="32"/>
        <v>201.57407407407482</v>
      </c>
      <c r="U147" s="56">
        <f t="shared" si="33"/>
        <v>2.3065838625097248</v>
      </c>
      <c r="V147" s="33">
        <f t="shared" si="34"/>
        <v>-4.0907980532536747</v>
      </c>
      <c r="W147" s="143">
        <f t="shared" si="35"/>
        <v>4.0907980532536747</v>
      </c>
    </row>
    <row r="148" spans="1:23" x14ac:dyDescent="0.15">
      <c r="A148" s="24" t="s">
        <v>431</v>
      </c>
      <c r="B148" s="24" t="s">
        <v>516</v>
      </c>
      <c r="C148" s="24" t="s">
        <v>458</v>
      </c>
      <c r="D148" s="29" t="s">
        <v>82</v>
      </c>
      <c r="E148" s="24" t="s">
        <v>661</v>
      </c>
      <c r="F148" s="44" t="s">
        <v>203</v>
      </c>
      <c r="G148" s="44" t="s">
        <v>581</v>
      </c>
      <c r="H148" s="44" t="s">
        <v>518</v>
      </c>
      <c r="I148" s="24">
        <v>4710</v>
      </c>
      <c r="J148" s="56">
        <v>5587.5</v>
      </c>
      <c r="K148" s="34">
        <f t="shared" si="24"/>
        <v>877.5</v>
      </c>
      <c r="L148" s="56">
        <f t="shared" si="25"/>
        <v>770006.25</v>
      </c>
      <c r="M148" s="56">
        <f t="shared" si="26"/>
        <v>877.5</v>
      </c>
      <c r="N148" s="56">
        <f t="shared" si="27"/>
        <v>2.9437417658313136</v>
      </c>
      <c r="O148" s="143">
        <f t="shared" si="28"/>
        <v>18.630573248407643</v>
      </c>
      <c r="P148" s="143">
        <f t="shared" si="29"/>
        <v>18.630573248407643</v>
      </c>
      <c r="Q148" s="34">
        <v>5259.2592592592591</v>
      </c>
      <c r="R148" s="56">
        <f t="shared" si="30"/>
        <v>549.25925925925912</v>
      </c>
      <c r="S148" s="56">
        <f t="shared" si="31"/>
        <v>301685.73388203001</v>
      </c>
      <c r="T148" s="56">
        <f t="shared" si="32"/>
        <v>549.25925925925912</v>
      </c>
      <c r="U148" s="56">
        <f t="shared" si="33"/>
        <v>2.7405673591969797</v>
      </c>
      <c r="V148" s="33">
        <f t="shared" si="34"/>
        <v>11.661555398285756</v>
      </c>
      <c r="W148" s="143">
        <f t="shared" si="35"/>
        <v>11.661555398285756</v>
      </c>
    </row>
    <row r="149" spans="1:23" x14ac:dyDescent="0.15">
      <c r="A149" s="90" t="s">
        <v>902</v>
      </c>
      <c r="B149" s="24" t="s">
        <v>516</v>
      </c>
      <c r="C149" s="24" t="s">
        <v>401</v>
      </c>
      <c r="D149" s="29" t="s">
        <v>82</v>
      </c>
      <c r="E149" s="24" t="s">
        <v>661</v>
      </c>
      <c r="F149" s="29" t="s">
        <v>374</v>
      </c>
      <c r="G149" s="29" t="s">
        <v>580</v>
      </c>
      <c r="H149" s="29" t="s">
        <v>582</v>
      </c>
      <c r="I149" s="24">
        <v>2870</v>
      </c>
      <c r="J149" s="34">
        <v>2795.8333333333335</v>
      </c>
      <c r="K149" s="34">
        <f t="shared" si="24"/>
        <v>-74.166666666666515</v>
      </c>
      <c r="L149" s="56">
        <f t="shared" si="25"/>
        <v>5500.6944444444216</v>
      </c>
      <c r="M149" s="56">
        <f t="shared" si="26"/>
        <v>74.166666666666515</v>
      </c>
      <c r="N149" s="56">
        <f t="shared" si="27"/>
        <v>1.8760252914943161</v>
      </c>
      <c r="O149" s="143">
        <f t="shared" si="28"/>
        <v>-2.5842044134727007</v>
      </c>
      <c r="P149" s="143">
        <f t="shared" si="29"/>
        <v>2.5842044134727007</v>
      </c>
      <c r="Q149" s="34">
        <v>2707.4074074074074</v>
      </c>
      <c r="R149" s="56">
        <f t="shared" si="30"/>
        <v>-162.59259259259261</v>
      </c>
      <c r="S149" s="56">
        <f t="shared" si="31"/>
        <v>26436.351165980803</v>
      </c>
      <c r="T149" s="56">
        <f t="shared" si="32"/>
        <v>162.59259259259261</v>
      </c>
      <c r="U149" s="56">
        <f t="shared" si="33"/>
        <v>2.2137636350994039</v>
      </c>
      <c r="V149" s="33">
        <f t="shared" si="34"/>
        <v>-5.6652471286617638</v>
      </c>
      <c r="W149" s="143">
        <f t="shared" si="35"/>
        <v>5.6652471286617638</v>
      </c>
    </row>
    <row r="150" spans="1:23" x14ac:dyDescent="0.15">
      <c r="A150" s="24" t="s">
        <v>100</v>
      </c>
      <c r="B150" s="24" t="s">
        <v>516</v>
      </c>
      <c r="C150" s="24" t="s">
        <v>403</v>
      </c>
      <c r="D150" s="29" t="s">
        <v>82</v>
      </c>
      <c r="E150" s="24" t="s">
        <v>661</v>
      </c>
      <c r="F150" s="44" t="s">
        <v>374</v>
      </c>
      <c r="G150" s="44" t="s">
        <v>580</v>
      </c>
      <c r="H150" s="44" t="s">
        <v>582</v>
      </c>
      <c r="I150" s="24">
        <v>1299.96</v>
      </c>
      <c r="J150" s="56">
        <v>1216.4166666666667</v>
      </c>
      <c r="K150" s="34">
        <f t="shared" si="24"/>
        <v>-83.543333333333294</v>
      </c>
      <c r="L150" s="56">
        <f t="shared" si="25"/>
        <v>6979.488544444438</v>
      </c>
      <c r="M150" s="56">
        <f t="shared" si="26"/>
        <v>83.543333333333294</v>
      </c>
      <c r="N150" s="56">
        <f t="shared" si="27"/>
        <v>1.9270793669816921</v>
      </c>
      <c r="O150" s="143">
        <f t="shared" si="28"/>
        <v>-6.4266079981948128</v>
      </c>
      <c r="P150" s="143">
        <f t="shared" si="29"/>
        <v>6.4266079981948128</v>
      </c>
      <c r="Q150" s="34">
        <v>1123.4074074074074</v>
      </c>
      <c r="R150" s="56">
        <f t="shared" si="30"/>
        <v>-176.55259259259265</v>
      </c>
      <c r="S150" s="56">
        <f t="shared" si="31"/>
        <v>31170.817951165998</v>
      </c>
      <c r="T150" s="56">
        <f t="shared" si="32"/>
        <v>176.55259259259265</v>
      </c>
      <c r="U150" s="56">
        <f t="shared" si="33"/>
        <v>2.2493270181776865</v>
      </c>
      <c r="V150" s="33">
        <f t="shared" si="34"/>
        <v>-13.581386549785579</v>
      </c>
      <c r="W150" s="143">
        <f t="shared" si="35"/>
        <v>13.581386549785579</v>
      </c>
    </row>
    <row r="151" spans="1:23" x14ac:dyDescent="0.15">
      <c r="A151" s="90" t="s">
        <v>588</v>
      </c>
      <c r="B151" s="24" t="s">
        <v>516</v>
      </c>
      <c r="C151" s="24" t="s">
        <v>403</v>
      </c>
      <c r="D151" s="44" t="s">
        <v>148</v>
      </c>
      <c r="E151" s="24" t="s">
        <v>661</v>
      </c>
      <c r="F151" s="44" t="s">
        <v>374</v>
      </c>
      <c r="G151" s="30" t="s">
        <v>580</v>
      </c>
      <c r="H151" s="44" t="s">
        <v>582</v>
      </c>
      <c r="I151" s="24">
        <v>2740.86</v>
      </c>
      <c r="J151" s="56">
        <v>3034.8333333333335</v>
      </c>
      <c r="K151" s="34">
        <f t="shared" si="24"/>
        <v>293.97333333333336</v>
      </c>
      <c r="L151" s="56">
        <f t="shared" si="25"/>
        <v>86420.320711111126</v>
      </c>
      <c r="M151" s="56">
        <f t="shared" si="26"/>
        <v>293.97333333333336</v>
      </c>
      <c r="N151" s="56">
        <f t="shared" si="27"/>
        <v>2.4697827559454204</v>
      </c>
      <c r="O151" s="143">
        <f t="shared" si="28"/>
        <v>10.725587346064131</v>
      </c>
      <c r="P151" s="143">
        <f t="shared" si="29"/>
        <v>10.725587346064131</v>
      </c>
      <c r="Q151" s="34">
        <v>2918.0740740740739</v>
      </c>
      <c r="R151" s="56">
        <f t="shared" si="30"/>
        <v>177.21407407407378</v>
      </c>
      <c r="S151" s="56">
        <f t="shared" si="31"/>
        <v>31404.828049931308</v>
      </c>
      <c r="T151" s="56">
        <f t="shared" si="32"/>
        <v>177.21407407407378</v>
      </c>
      <c r="U151" s="56">
        <f t="shared" si="33"/>
        <v>2.2509419985299761</v>
      </c>
      <c r="V151" s="33">
        <f t="shared" si="34"/>
        <v>6.4656375763108578</v>
      </c>
      <c r="W151" s="143">
        <f t="shared" si="35"/>
        <v>6.4656375763108578</v>
      </c>
    </row>
    <row r="152" spans="1:23" x14ac:dyDescent="0.15">
      <c r="A152" s="90" t="s">
        <v>584</v>
      </c>
      <c r="B152" s="24" t="s">
        <v>516</v>
      </c>
      <c r="C152" s="24" t="s">
        <v>403</v>
      </c>
      <c r="D152" s="44" t="s">
        <v>148</v>
      </c>
      <c r="E152" s="24" t="s">
        <v>661</v>
      </c>
      <c r="F152" s="44" t="s">
        <v>374</v>
      </c>
      <c r="G152" s="44" t="s">
        <v>580</v>
      </c>
      <c r="H152" s="44" t="s">
        <v>582</v>
      </c>
      <c r="I152" s="26">
        <v>1687.51</v>
      </c>
      <c r="J152" s="56">
        <v>1760.625</v>
      </c>
      <c r="K152" s="34">
        <f t="shared" si="24"/>
        <v>73.115000000000009</v>
      </c>
      <c r="L152" s="56">
        <f t="shared" si="25"/>
        <v>5345.8032250000015</v>
      </c>
      <c r="M152" s="56">
        <f t="shared" si="26"/>
        <v>73.115000000000009</v>
      </c>
      <c r="N152" s="56">
        <f t="shared" si="27"/>
        <v>1.869906112945098</v>
      </c>
      <c r="O152" s="143">
        <f t="shared" si="28"/>
        <v>4.3327150653922057</v>
      </c>
      <c r="P152" s="143">
        <f t="shared" si="29"/>
        <v>4.3327150653922057</v>
      </c>
      <c r="Q152" s="34">
        <v>1678.333333333333</v>
      </c>
      <c r="R152" s="56">
        <f t="shared" si="30"/>
        <v>-9.1766666666669607</v>
      </c>
      <c r="S152" s="56">
        <f t="shared" si="31"/>
        <v>84.211211111116512</v>
      </c>
      <c r="T152" s="56">
        <f t="shared" si="32"/>
        <v>9.1766666666669607</v>
      </c>
      <c r="U152" s="56">
        <f t="shared" si="33"/>
        <v>1.0076055495790119</v>
      </c>
      <c r="V152" s="33">
        <f t="shared" si="34"/>
        <v>-0.54379924662176582</v>
      </c>
      <c r="W152" s="143">
        <f t="shared" si="35"/>
        <v>0.54379924662176582</v>
      </c>
    </row>
    <row r="153" spans="1:23" ht="14" x14ac:dyDescent="0.2">
      <c r="A153" s="90" t="s">
        <v>665</v>
      </c>
      <c r="B153" s="24" t="s">
        <v>516</v>
      </c>
      <c r="C153" s="24" t="s">
        <v>403</v>
      </c>
      <c r="D153" s="44" t="s">
        <v>82</v>
      </c>
      <c r="E153" s="24" t="s">
        <v>661</v>
      </c>
      <c r="F153" s="44" t="s">
        <v>374</v>
      </c>
      <c r="G153" s="44" t="s">
        <v>580</v>
      </c>
      <c r="H153" s="44" t="s">
        <v>582</v>
      </c>
      <c r="I153" s="87">
        <v>1342.6</v>
      </c>
      <c r="J153" s="56">
        <v>1344.875</v>
      </c>
      <c r="K153" s="34">
        <f t="shared" si="24"/>
        <v>2.2750000000000909</v>
      </c>
      <c r="L153" s="56">
        <f t="shared" si="25"/>
        <v>5.175625000000414</v>
      </c>
      <c r="M153" s="56">
        <f t="shared" si="26"/>
        <v>2.2750000000000909</v>
      </c>
      <c r="N153" s="56">
        <f t="shared" si="27"/>
        <v>0.51521130432781392</v>
      </c>
      <c r="O153" s="143">
        <f t="shared" si="28"/>
        <v>0.16944734098019448</v>
      </c>
      <c r="P153" s="143">
        <f t="shared" si="29"/>
        <v>0.16944734098019448</v>
      </c>
      <c r="Q153" s="34">
        <v>1314.037037037037</v>
      </c>
      <c r="R153" s="56">
        <f t="shared" si="30"/>
        <v>-28.562962962962956</v>
      </c>
      <c r="S153" s="56">
        <f t="shared" si="31"/>
        <v>815.84285322359358</v>
      </c>
      <c r="T153" s="56">
        <f t="shared" si="32"/>
        <v>28.562962962962956</v>
      </c>
      <c r="U153" s="56">
        <f t="shared" si="33"/>
        <v>1.4707479592890171</v>
      </c>
      <c r="V153" s="33">
        <f t="shared" si="34"/>
        <v>-2.127436538281168</v>
      </c>
      <c r="W153" s="143">
        <f t="shared" si="35"/>
        <v>2.127436538281168</v>
      </c>
    </row>
    <row r="154" spans="1:23" x14ac:dyDescent="0.15">
      <c r="A154" s="90" t="s">
        <v>389</v>
      </c>
      <c r="B154" s="24" t="s">
        <v>516</v>
      </c>
      <c r="C154" s="24" t="s">
        <v>403</v>
      </c>
      <c r="D154" s="44" t="s">
        <v>82</v>
      </c>
      <c r="E154" s="24" t="s">
        <v>661</v>
      </c>
      <c r="F154" s="44" t="s">
        <v>494</v>
      </c>
      <c r="G154" s="44" t="s">
        <v>580</v>
      </c>
      <c r="H154" s="44" t="s">
        <v>582</v>
      </c>
      <c r="I154" s="27">
        <v>1095.26</v>
      </c>
      <c r="J154" s="56">
        <v>1148.6666666666667</v>
      </c>
      <c r="K154" s="34">
        <f t="shared" si="24"/>
        <v>53.406666666666752</v>
      </c>
      <c r="L154" s="56">
        <f t="shared" si="25"/>
        <v>2852.2720444444535</v>
      </c>
      <c r="M154" s="56">
        <f t="shared" si="26"/>
        <v>53.406666666666752</v>
      </c>
      <c r="N154" s="56">
        <f t="shared" si="27"/>
        <v>1.7356521188002512</v>
      </c>
      <c r="O154" s="143">
        <f t="shared" si="28"/>
        <v>4.8761633462982994</v>
      </c>
      <c r="P154" s="143">
        <f t="shared" si="29"/>
        <v>4.8761633462982994</v>
      </c>
      <c r="Q154" s="34">
        <v>1089.7037037037037</v>
      </c>
      <c r="R154" s="56">
        <f t="shared" si="30"/>
        <v>-5.5562962962962956</v>
      </c>
      <c r="S154" s="56">
        <f t="shared" si="31"/>
        <v>30.872428532235933</v>
      </c>
      <c r="T154" s="56">
        <f t="shared" si="32"/>
        <v>5.5562962962962956</v>
      </c>
      <c r="U154" s="56">
        <f t="shared" si="33"/>
        <v>0.81665857225336613</v>
      </c>
      <c r="V154" s="33">
        <f t="shared" si="34"/>
        <v>-0.50730386358456403</v>
      </c>
      <c r="W154" s="143">
        <f t="shared" si="35"/>
        <v>0.50730386358456403</v>
      </c>
    </row>
    <row r="155" spans="1:23" x14ac:dyDescent="0.15">
      <c r="A155" s="90" t="s">
        <v>127</v>
      </c>
      <c r="B155" s="24" t="s">
        <v>516</v>
      </c>
      <c r="C155" s="24" t="s">
        <v>403</v>
      </c>
      <c r="D155" s="44" t="s">
        <v>82</v>
      </c>
      <c r="E155" s="24" t="s">
        <v>661</v>
      </c>
      <c r="F155" s="44" t="s">
        <v>203</v>
      </c>
      <c r="G155" s="44" t="s">
        <v>581</v>
      </c>
      <c r="H155" s="44" t="s">
        <v>518</v>
      </c>
      <c r="I155" s="27">
        <v>4745.58</v>
      </c>
      <c r="J155" s="56">
        <v>5122.375</v>
      </c>
      <c r="K155" s="34">
        <f t="shared" si="24"/>
        <v>376.79500000000007</v>
      </c>
      <c r="L155" s="56">
        <f t="shared" si="25"/>
        <v>141974.47202500005</v>
      </c>
      <c r="M155" s="56">
        <f t="shared" si="26"/>
        <v>376.79500000000007</v>
      </c>
      <c r="N155" s="56">
        <f t="shared" si="27"/>
        <v>2.5772562058706776</v>
      </c>
      <c r="O155" s="143">
        <f t="shared" si="28"/>
        <v>7.9399146152841187</v>
      </c>
      <c r="P155" s="143">
        <f t="shared" si="29"/>
        <v>7.9399146152841187</v>
      </c>
      <c r="Q155" s="34">
        <v>4927.6666666666661</v>
      </c>
      <c r="R155" s="56">
        <f t="shared" si="30"/>
        <v>182.08666666666613</v>
      </c>
      <c r="S155" s="56">
        <f t="shared" si="31"/>
        <v>33155.554177777587</v>
      </c>
      <c r="T155" s="56">
        <f t="shared" si="32"/>
        <v>182.08666666666613</v>
      </c>
      <c r="U155" s="56">
        <f t="shared" si="33"/>
        <v>2.2626567178465469</v>
      </c>
      <c r="V155" s="33">
        <f t="shared" si="34"/>
        <v>3.836973913971867</v>
      </c>
      <c r="W155" s="143">
        <f t="shared" si="35"/>
        <v>3.836973913971867</v>
      </c>
    </row>
    <row r="156" spans="1:23" x14ac:dyDescent="0.15">
      <c r="A156" s="90" t="s">
        <v>104</v>
      </c>
      <c r="B156" s="24" t="s">
        <v>516</v>
      </c>
      <c r="C156" s="24" t="s">
        <v>403</v>
      </c>
      <c r="D156" s="44" t="s">
        <v>83</v>
      </c>
      <c r="E156" s="24" t="s">
        <v>661</v>
      </c>
      <c r="F156" s="44" t="s">
        <v>203</v>
      </c>
      <c r="G156" s="44" t="s">
        <v>581</v>
      </c>
      <c r="H156" s="44" t="s">
        <v>518</v>
      </c>
      <c r="I156" s="26">
        <v>4769.5</v>
      </c>
      <c r="J156" s="56">
        <v>4679.166666666667</v>
      </c>
      <c r="K156" s="34">
        <f t="shared" si="24"/>
        <v>-90.33333333333303</v>
      </c>
      <c r="L156" s="56">
        <f t="shared" si="25"/>
        <v>8160.1111111110567</v>
      </c>
      <c r="M156" s="56">
        <f t="shared" si="26"/>
        <v>90.33333333333303</v>
      </c>
      <c r="N156" s="56">
        <f t="shared" si="27"/>
        <v>1.960629308100724</v>
      </c>
      <c r="O156" s="143">
        <f t="shared" si="28"/>
        <v>-1.893979103330182</v>
      </c>
      <c r="P156" s="143">
        <f t="shared" si="29"/>
        <v>1.893979103330182</v>
      </c>
      <c r="Q156" s="34">
        <v>4388.1481481481478</v>
      </c>
      <c r="R156" s="56">
        <f t="shared" si="30"/>
        <v>-381.35185185185219</v>
      </c>
      <c r="S156" s="56">
        <f t="shared" si="31"/>
        <v>145429.23491083703</v>
      </c>
      <c r="T156" s="56">
        <f t="shared" si="32"/>
        <v>381.35185185185219</v>
      </c>
      <c r="U156" s="56">
        <f t="shared" si="33"/>
        <v>2.5824631979566033</v>
      </c>
      <c r="V156" s="33">
        <f t="shared" si="34"/>
        <v>-7.9956358497086111</v>
      </c>
      <c r="W156" s="143">
        <f t="shared" si="35"/>
        <v>7.9956358497086111</v>
      </c>
    </row>
    <row r="157" spans="1:23" x14ac:dyDescent="0.15">
      <c r="A157" s="90" t="s">
        <v>733</v>
      </c>
      <c r="B157" s="24" t="s">
        <v>516</v>
      </c>
      <c r="C157" s="24" t="s">
        <v>403</v>
      </c>
      <c r="D157" s="44" t="s">
        <v>82</v>
      </c>
      <c r="E157" s="24" t="s">
        <v>661</v>
      </c>
      <c r="F157" s="44" t="s">
        <v>293</v>
      </c>
      <c r="G157" s="29" t="s">
        <v>580</v>
      </c>
      <c r="H157" s="29" t="s">
        <v>518</v>
      </c>
      <c r="I157" s="26">
        <v>3740</v>
      </c>
      <c r="J157" s="34">
        <v>3779.166666666667</v>
      </c>
      <c r="K157" s="34">
        <f t="shared" si="24"/>
        <v>39.16666666666697</v>
      </c>
      <c r="L157" s="56">
        <f t="shared" si="25"/>
        <v>1534.0277777778015</v>
      </c>
      <c r="M157" s="56">
        <f t="shared" si="26"/>
        <v>39.16666666666697</v>
      </c>
      <c r="N157" s="56">
        <f t="shared" si="27"/>
        <v>1.603865792191228</v>
      </c>
      <c r="O157" s="143">
        <f t="shared" si="28"/>
        <v>1.0472370766488495</v>
      </c>
      <c r="P157" s="143">
        <f t="shared" si="29"/>
        <v>1.0472370766488495</v>
      </c>
      <c r="Q157" s="34">
        <v>3762.9629629629626</v>
      </c>
      <c r="R157" s="56">
        <f t="shared" si="30"/>
        <v>22.962962962962592</v>
      </c>
      <c r="S157" s="56">
        <f t="shared" si="31"/>
        <v>527.29766803839175</v>
      </c>
      <c r="T157" s="56">
        <f t="shared" si="32"/>
        <v>22.962962962962592</v>
      </c>
      <c r="U157" s="56">
        <f t="shared" si="33"/>
        <v>1.3795405165097063</v>
      </c>
      <c r="V157" s="33">
        <f t="shared" si="34"/>
        <v>0.61398296692413346</v>
      </c>
      <c r="W157" s="143">
        <f t="shared" si="35"/>
        <v>0.61398296692413346</v>
      </c>
    </row>
    <row r="158" spans="1:23" x14ac:dyDescent="0.15">
      <c r="A158" s="90" t="s">
        <v>369</v>
      </c>
      <c r="B158" s="24" t="s">
        <v>516</v>
      </c>
      <c r="C158" s="24" t="s">
        <v>403</v>
      </c>
      <c r="D158" s="44" t="s">
        <v>148</v>
      </c>
      <c r="E158" s="24" t="s">
        <v>661</v>
      </c>
      <c r="F158" s="44" t="s">
        <v>374</v>
      </c>
      <c r="G158" s="44" t="s">
        <v>580</v>
      </c>
      <c r="H158" s="44" t="s">
        <v>582</v>
      </c>
      <c r="I158" s="27">
        <v>2524.9700000000003</v>
      </c>
      <c r="J158" s="56">
        <v>2540.25</v>
      </c>
      <c r="K158" s="34">
        <f t="shared" si="24"/>
        <v>15.279999999999745</v>
      </c>
      <c r="L158" s="56">
        <f t="shared" si="25"/>
        <v>233.47839999999221</v>
      </c>
      <c r="M158" s="56">
        <f t="shared" si="26"/>
        <v>15.279999999999745</v>
      </c>
      <c r="N158" s="56">
        <f t="shared" si="27"/>
        <v>1.2116544005531755</v>
      </c>
      <c r="O158" s="143">
        <f t="shared" si="28"/>
        <v>0.60515570482024517</v>
      </c>
      <c r="P158" s="143">
        <f t="shared" si="29"/>
        <v>0.60515570482024517</v>
      </c>
      <c r="Q158" s="34">
        <v>2458.2222222222222</v>
      </c>
      <c r="R158" s="56">
        <f t="shared" si="30"/>
        <v>-66.747777777778083</v>
      </c>
      <c r="S158" s="56">
        <f t="shared" si="31"/>
        <v>4455.2658382716454</v>
      </c>
      <c r="T158" s="56">
        <f t="shared" si="32"/>
        <v>66.747777777778083</v>
      </c>
      <c r="U158" s="56">
        <f t="shared" si="33"/>
        <v>1.8308950543113633</v>
      </c>
      <c r="V158" s="33">
        <f t="shared" si="34"/>
        <v>-2.6435077556477138</v>
      </c>
      <c r="W158" s="143">
        <f t="shared" si="35"/>
        <v>2.6435077556477138</v>
      </c>
    </row>
    <row r="159" spans="1:23" x14ac:dyDescent="0.15">
      <c r="A159" s="90" t="s">
        <v>84</v>
      </c>
      <c r="B159" s="24" t="s">
        <v>516</v>
      </c>
      <c r="C159" s="24" t="s">
        <v>403</v>
      </c>
      <c r="D159" s="44" t="s">
        <v>83</v>
      </c>
      <c r="E159" s="24" t="s">
        <v>661</v>
      </c>
      <c r="F159" s="44" t="s">
        <v>203</v>
      </c>
      <c r="G159" s="44" t="s">
        <v>581</v>
      </c>
      <c r="H159" s="44" t="s">
        <v>518</v>
      </c>
      <c r="I159" s="26">
        <v>4572</v>
      </c>
      <c r="J159" s="56">
        <v>5100.8333333333339</v>
      </c>
      <c r="K159" s="34">
        <f t="shared" si="24"/>
        <v>528.83333333333394</v>
      </c>
      <c r="L159" s="56">
        <f t="shared" si="25"/>
        <v>279664.69444444508</v>
      </c>
      <c r="M159" s="56">
        <f t="shared" si="26"/>
        <v>528.83333333333394</v>
      </c>
      <c r="N159" s="56">
        <f t="shared" si="27"/>
        <v>2.7241392775311297</v>
      </c>
      <c r="O159" s="143">
        <f t="shared" si="28"/>
        <v>11.566783318751837</v>
      </c>
      <c r="P159" s="143">
        <f t="shared" si="29"/>
        <v>11.566783318751837</v>
      </c>
      <c r="Q159" s="34">
        <v>4796.2962962962956</v>
      </c>
      <c r="R159" s="56">
        <f t="shared" si="30"/>
        <v>224.29629629629562</v>
      </c>
      <c r="S159" s="56">
        <f t="shared" si="31"/>
        <v>50308.828532235639</v>
      </c>
      <c r="T159" s="56">
        <f t="shared" si="32"/>
        <v>224.29629629629562</v>
      </c>
      <c r="U159" s="56">
        <f t="shared" si="33"/>
        <v>2.3527540523039345</v>
      </c>
      <c r="V159" s="33">
        <f t="shared" si="34"/>
        <v>4.9058682479504725</v>
      </c>
      <c r="W159" s="143">
        <f t="shared" si="35"/>
        <v>4.9058682479504725</v>
      </c>
    </row>
    <row r="160" spans="1:23" x14ac:dyDescent="0.15">
      <c r="A160" s="90" t="s">
        <v>120</v>
      </c>
      <c r="B160" s="24" t="s">
        <v>516</v>
      </c>
      <c r="C160" s="24" t="s">
        <v>403</v>
      </c>
      <c r="D160" s="44" t="s">
        <v>82</v>
      </c>
      <c r="E160" s="24" t="s">
        <v>661</v>
      </c>
      <c r="F160" s="44" t="s">
        <v>203</v>
      </c>
      <c r="G160" s="44" t="s">
        <v>581</v>
      </c>
      <c r="H160" s="44" t="s">
        <v>518</v>
      </c>
      <c r="I160" s="26">
        <v>4978</v>
      </c>
      <c r="J160" s="56">
        <v>5208.3333333333339</v>
      </c>
      <c r="K160" s="34">
        <f t="shared" si="24"/>
        <v>230.33333333333394</v>
      </c>
      <c r="L160" s="56">
        <f t="shared" si="25"/>
        <v>53053.444444444722</v>
      </c>
      <c r="M160" s="56">
        <f t="shared" si="26"/>
        <v>230.33333333333394</v>
      </c>
      <c r="N160" s="56">
        <f t="shared" si="27"/>
        <v>2.3642382157351935</v>
      </c>
      <c r="O160" s="143">
        <f t="shared" si="28"/>
        <v>4.6270255792152257</v>
      </c>
      <c r="P160" s="143">
        <f t="shared" si="29"/>
        <v>4.6270255792152257</v>
      </c>
      <c r="Q160" s="34">
        <v>4870.3703703703704</v>
      </c>
      <c r="R160" s="56">
        <f t="shared" si="30"/>
        <v>-107.62962962962956</v>
      </c>
      <c r="S160" s="56">
        <f t="shared" si="31"/>
        <v>11584.137174211233</v>
      </c>
      <c r="T160" s="56">
        <f t="shared" si="32"/>
        <v>107.62962962962956</v>
      </c>
      <c r="U160" s="56">
        <f t="shared" si="33"/>
        <v>2.0359482988215647</v>
      </c>
      <c r="V160" s="33">
        <f t="shared" si="34"/>
        <v>-2.1621058583694168</v>
      </c>
      <c r="W160" s="143">
        <f t="shared" si="35"/>
        <v>2.1621058583694168</v>
      </c>
    </row>
    <row r="161" spans="1:23" x14ac:dyDescent="0.15">
      <c r="A161" s="90" t="s">
        <v>121</v>
      </c>
      <c r="B161" s="24" t="s">
        <v>516</v>
      </c>
      <c r="C161" s="24" t="s">
        <v>403</v>
      </c>
      <c r="D161" s="44" t="s">
        <v>82</v>
      </c>
      <c r="E161" s="24" t="s">
        <v>661</v>
      </c>
      <c r="F161" s="44" t="s">
        <v>203</v>
      </c>
      <c r="G161" s="44" t="s">
        <v>581</v>
      </c>
      <c r="H161" s="44" t="s">
        <v>518</v>
      </c>
      <c r="I161" s="26">
        <v>4470</v>
      </c>
      <c r="J161" s="56">
        <v>4316.666666666667</v>
      </c>
      <c r="K161" s="34">
        <f t="shared" si="24"/>
        <v>-153.33333333333303</v>
      </c>
      <c r="L161" s="56">
        <f t="shared" si="25"/>
        <v>23511.111111111019</v>
      </c>
      <c r="M161" s="56">
        <f t="shared" si="26"/>
        <v>153.33333333333303</v>
      </c>
      <c r="N161" s="56">
        <f t="shared" si="27"/>
        <v>2.1884597362982898</v>
      </c>
      <c r="O161" s="143">
        <f t="shared" si="28"/>
        <v>-3.430275913497383</v>
      </c>
      <c r="P161" s="143">
        <f t="shared" si="29"/>
        <v>3.430275913497383</v>
      </c>
      <c r="Q161" s="34">
        <v>4059.2592592592591</v>
      </c>
      <c r="R161" s="56">
        <f t="shared" si="30"/>
        <v>-410.74074074074088</v>
      </c>
      <c r="S161" s="56">
        <f t="shared" si="31"/>
        <v>168707.95610425252</v>
      </c>
      <c r="T161" s="56">
        <f t="shared" si="32"/>
        <v>410.74074074074088</v>
      </c>
      <c r="U161" s="56">
        <f t="shared" si="33"/>
        <v>2.6146238415019805</v>
      </c>
      <c r="V161" s="33">
        <f t="shared" si="34"/>
        <v>-9.1888308890546053</v>
      </c>
      <c r="W161" s="143">
        <f t="shared" si="35"/>
        <v>9.1888308890546053</v>
      </c>
    </row>
    <row r="162" spans="1:23" x14ac:dyDescent="0.15">
      <c r="A162" s="90" t="s">
        <v>139</v>
      </c>
      <c r="B162" s="24" t="s">
        <v>516</v>
      </c>
      <c r="C162" s="24" t="s">
        <v>403</v>
      </c>
      <c r="D162" s="44" t="s">
        <v>82</v>
      </c>
      <c r="E162" s="24" t="s">
        <v>661</v>
      </c>
      <c r="F162" s="44" t="s">
        <v>203</v>
      </c>
      <c r="G162" s="44" t="s">
        <v>581</v>
      </c>
      <c r="H162" s="44" t="s">
        <v>518</v>
      </c>
      <c r="I162" s="26">
        <v>4870</v>
      </c>
      <c r="J162" s="56">
        <v>4676.666666666667</v>
      </c>
      <c r="K162" s="34">
        <f t="shared" si="24"/>
        <v>-193.33333333333303</v>
      </c>
      <c r="L162" s="56">
        <f t="shared" si="25"/>
        <v>37377.777777777657</v>
      </c>
      <c r="M162" s="56">
        <f t="shared" si="26"/>
        <v>193.33333333333303</v>
      </c>
      <c r="N162" s="56">
        <f t="shared" si="27"/>
        <v>2.288547300039351</v>
      </c>
      <c r="O162" s="143">
        <f t="shared" si="28"/>
        <v>-3.9698836413415406</v>
      </c>
      <c r="P162" s="143">
        <f t="shared" si="29"/>
        <v>3.9698836413415406</v>
      </c>
      <c r="Q162" s="34">
        <v>4605.9259259259252</v>
      </c>
      <c r="R162" s="56">
        <f t="shared" si="30"/>
        <v>-264.07407407407482</v>
      </c>
      <c r="S162" s="56">
        <f t="shared" si="31"/>
        <v>69735.116598079956</v>
      </c>
      <c r="T162" s="56">
        <f t="shared" si="32"/>
        <v>264.07407407407482</v>
      </c>
      <c r="U162" s="56">
        <f t="shared" si="33"/>
        <v>2.4233672530549559</v>
      </c>
      <c r="V162" s="33">
        <f t="shared" si="34"/>
        <v>-5.4224655867366494</v>
      </c>
      <c r="W162" s="143">
        <f t="shared" si="35"/>
        <v>5.4224655867366494</v>
      </c>
    </row>
    <row r="163" spans="1:23" x14ac:dyDescent="0.15">
      <c r="A163" s="90" t="s">
        <v>386</v>
      </c>
      <c r="B163" s="24" t="s">
        <v>516</v>
      </c>
      <c r="C163" s="24" t="s">
        <v>403</v>
      </c>
      <c r="D163" s="44" t="s">
        <v>82</v>
      </c>
      <c r="E163" s="24" t="s">
        <v>661</v>
      </c>
      <c r="F163" s="44" t="s">
        <v>374</v>
      </c>
      <c r="G163" s="44" t="s">
        <v>580</v>
      </c>
      <c r="H163" s="44" t="s">
        <v>582</v>
      </c>
      <c r="I163" s="27">
        <v>1538.3</v>
      </c>
      <c r="J163" s="56">
        <v>1552.9166666666667</v>
      </c>
      <c r="K163" s="34">
        <f t="shared" si="24"/>
        <v>14.616666666666788</v>
      </c>
      <c r="L163" s="56">
        <f t="shared" si="25"/>
        <v>213.646944444448</v>
      </c>
      <c r="M163" s="56">
        <f t="shared" si="26"/>
        <v>14.616666666666788</v>
      </c>
      <c r="N163" s="56">
        <f t="shared" si="27"/>
        <v>1.1935883405041381</v>
      </c>
      <c r="O163" s="143">
        <f t="shared" si="28"/>
        <v>0.95018310255910998</v>
      </c>
      <c r="P163" s="143">
        <f t="shared" si="29"/>
        <v>0.95018310255910998</v>
      </c>
      <c r="Q163" s="34">
        <v>1464.8148148148148</v>
      </c>
      <c r="R163" s="56">
        <f t="shared" si="30"/>
        <v>-73.485185185185173</v>
      </c>
      <c r="S163" s="56">
        <f t="shared" si="31"/>
        <v>5400.0724417009587</v>
      </c>
      <c r="T163" s="56">
        <f t="shared" si="32"/>
        <v>73.485185185185173</v>
      </c>
      <c r="U163" s="56">
        <f t="shared" si="33"/>
        <v>1.8720699018472169</v>
      </c>
      <c r="V163" s="33">
        <f t="shared" si="34"/>
        <v>-4.777038626092776</v>
      </c>
      <c r="W163" s="143">
        <f t="shared" si="35"/>
        <v>4.777038626092776</v>
      </c>
    </row>
    <row r="164" spans="1:23" x14ac:dyDescent="0.15">
      <c r="A164" s="90" t="s">
        <v>381</v>
      </c>
      <c r="B164" s="24" t="s">
        <v>516</v>
      </c>
      <c r="C164" s="24" t="s">
        <v>403</v>
      </c>
      <c r="D164" s="44" t="s">
        <v>148</v>
      </c>
      <c r="E164" s="24" t="s">
        <v>661</v>
      </c>
      <c r="F164" s="44" t="s">
        <v>494</v>
      </c>
      <c r="G164" s="44" t="s">
        <v>580</v>
      </c>
      <c r="H164" s="44" t="s">
        <v>582</v>
      </c>
      <c r="I164" s="27">
        <v>786.1</v>
      </c>
      <c r="J164" s="56">
        <v>802.91666666666663</v>
      </c>
      <c r="K164" s="34">
        <f t="shared" si="24"/>
        <v>16.816666666666606</v>
      </c>
      <c r="L164" s="56">
        <f t="shared" si="25"/>
        <v>282.80027777777576</v>
      </c>
      <c r="M164" s="56">
        <f t="shared" si="26"/>
        <v>16.816666666666606</v>
      </c>
      <c r="N164" s="56">
        <f t="shared" si="27"/>
        <v>1.2508264548251329</v>
      </c>
      <c r="O164" s="143">
        <f t="shared" si="28"/>
        <v>2.1392528516304039</v>
      </c>
      <c r="P164" s="143">
        <f t="shared" si="29"/>
        <v>2.1392528516304039</v>
      </c>
      <c r="Q164" s="34">
        <v>737.11111111111109</v>
      </c>
      <c r="R164" s="56">
        <f t="shared" si="30"/>
        <v>-48.988888888888937</v>
      </c>
      <c r="S164" s="56">
        <f t="shared" si="31"/>
        <v>2399.9112345679059</v>
      </c>
      <c r="T164" s="56">
        <f t="shared" si="32"/>
        <v>48.988888888888937</v>
      </c>
      <c r="U164" s="56">
        <f t="shared" si="33"/>
        <v>1.6988734837262425</v>
      </c>
      <c r="V164" s="33">
        <f t="shared" si="34"/>
        <v>-6.2318902033951078</v>
      </c>
      <c r="W164" s="143">
        <f t="shared" si="35"/>
        <v>6.2318902033951078</v>
      </c>
    </row>
    <row r="165" spans="1:23" x14ac:dyDescent="0.15">
      <c r="A165" s="90" t="s">
        <v>115</v>
      </c>
      <c r="B165" s="24" t="s">
        <v>516</v>
      </c>
      <c r="C165" s="24" t="s">
        <v>403</v>
      </c>
      <c r="D165" s="44" t="s">
        <v>83</v>
      </c>
      <c r="E165" s="24" t="s">
        <v>661</v>
      </c>
      <c r="F165" s="44" t="s">
        <v>203</v>
      </c>
      <c r="G165" s="44" t="s">
        <v>581</v>
      </c>
      <c r="H165" s="44" t="s">
        <v>518</v>
      </c>
      <c r="I165" s="27">
        <f>1586.3+3352.01</f>
        <v>4938.3100000000004</v>
      </c>
      <c r="J165" s="56">
        <v>5000.8333333333339</v>
      </c>
      <c r="K165" s="34">
        <f t="shared" si="24"/>
        <v>62.523333333333539</v>
      </c>
      <c r="L165" s="56">
        <f t="shared" si="25"/>
        <v>3909.167211111137</v>
      </c>
      <c r="M165" s="56">
        <f t="shared" si="26"/>
        <v>62.523333333333539</v>
      </c>
      <c r="N165" s="56">
        <f t="shared" si="27"/>
        <v>1.8029332792535862</v>
      </c>
      <c r="O165" s="143">
        <f t="shared" si="28"/>
        <v>1.2660876561684773</v>
      </c>
      <c r="P165" s="143">
        <f t="shared" si="29"/>
        <v>1.2660876561684773</v>
      </c>
      <c r="Q165" s="34">
        <v>4821.4814814814808</v>
      </c>
      <c r="R165" s="56">
        <f t="shared" si="30"/>
        <v>-116.82851851851956</v>
      </c>
      <c r="S165" s="56">
        <f t="shared" si="31"/>
        <v>13648.902739232068</v>
      </c>
      <c r="T165" s="56">
        <f t="shared" si="32"/>
        <v>116.82851851851956</v>
      </c>
      <c r="U165" s="56">
        <f t="shared" si="33"/>
        <v>2.0712504172444222</v>
      </c>
      <c r="V165" s="33">
        <f t="shared" si="34"/>
        <v>-2.3657591062229701</v>
      </c>
      <c r="W165" s="143">
        <f t="shared" si="35"/>
        <v>2.3657591062229701</v>
      </c>
    </row>
    <row r="166" spans="1:23" x14ac:dyDescent="0.15">
      <c r="A166" s="90" t="s">
        <v>88</v>
      </c>
      <c r="B166" s="24" t="s">
        <v>516</v>
      </c>
      <c r="C166" s="24" t="s">
        <v>403</v>
      </c>
      <c r="D166" s="44" t="s">
        <v>82</v>
      </c>
      <c r="E166" s="24" t="s">
        <v>661</v>
      </c>
      <c r="F166" s="44" t="s">
        <v>293</v>
      </c>
      <c r="G166" s="44" t="s">
        <v>580</v>
      </c>
      <c r="H166" s="44" t="s">
        <v>518</v>
      </c>
      <c r="I166" s="27">
        <v>3045.75</v>
      </c>
      <c r="J166" s="56">
        <v>3277.7916666666665</v>
      </c>
      <c r="K166" s="34">
        <f t="shared" si="24"/>
        <v>232.04166666666652</v>
      </c>
      <c r="L166" s="56">
        <f t="shared" si="25"/>
        <v>53843.335069444372</v>
      </c>
      <c r="M166" s="56">
        <f t="shared" si="26"/>
        <v>232.04166666666652</v>
      </c>
      <c r="N166" s="56">
        <f t="shared" si="27"/>
        <v>2.3674335776166417</v>
      </c>
      <c r="O166" s="143">
        <f t="shared" si="28"/>
        <v>7.6185394949246161</v>
      </c>
      <c r="P166" s="143">
        <f t="shared" si="29"/>
        <v>7.6185394949246161</v>
      </c>
      <c r="Q166" s="34">
        <v>3104.1111111111109</v>
      </c>
      <c r="R166" s="56">
        <f t="shared" si="30"/>
        <v>58.361111111110858</v>
      </c>
      <c r="S166" s="56">
        <f t="shared" si="31"/>
        <v>3406.0192901234273</v>
      </c>
      <c r="T166" s="56">
        <f t="shared" si="32"/>
        <v>58.361111111110858</v>
      </c>
      <c r="U166" s="56">
        <f t="shared" si="33"/>
        <v>1.7735020213967803</v>
      </c>
      <c r="V166" s="33">
        <f t="shared" si="34"/>
        <v>1.9161490966465027</v>
      </c>
      <c r="W166" s="143">
        <f t="shared" si="35"/>
        <v>1.9161490966465027</v>
      </c>
    </row>
    <row r="167" spans="1:23" x14ac:dyDescent="0.15">
      <c r="A167" s="90" t="s">
        <v>382</v>
      </c>
      <c r="B167" s="24" t="s">
        <v>516</v>
      </c>
      <c r="C167" s="24" t="s">
        <v>403</v>
      </c>
      <c r="D167" s="44" t="s">
        <v>148</v>
      </c>
      <c r="E167" s="24" t="s">
        <v>661</v>
      </c>
      <c r="F167" s="44" t="s">
        <v>494</v>
      </c>
      <c r="G167" s="44" t="s">
        <v>580</v>
      </c>
      <c r="H167" s="44" t="s">
        <v>582</v>
      </c>
      <c r="I167" s="27">
        <v>965.43</v>
      </c>
      <c r="J167" s="56">
        <v>1176.9166666666665</v>
      </c>
      <c r="K167" s="34">
        <f t="shared" si="24"/>
        <v>211.48666666666657</v>
      </c>
      <c r="L167" s="56">
        <f t="shared" si="25"/>
        <v>44726.610177777737</v>
      </c>
      <c r="M167" s="56">
        <f t="shared" si="26"/>
        <v>211.48666666666657</v>
      </c>
      <c r="N167" s="56">
        <f t="shared" si="27"/>
        <v>2.3273316836815523</v>
      </c>
      <c r="O167" s="143">
        <f t="shared" si="28"/>
        <v>21.905955550031237</v>
      </c>
      <c r="P167" s="143">
        <f t="shared" si="29"/>
        <v>21.905955550031237</v>
      </c>
      <c r="Q167" s="34">
        <v>1132.7037037037035</v>
      </c>
      <c r="R167" s="56">
        <f t="shared" si="30"/>
        <v>167.27370370370352</v>
      </c>
      <c r="S167" s="56">
        <f t="shared" si="31"/>
        <v>27980.491950754396</v>
      </c>
      <c r="T167" s="56">
        <f t="shared" si="32"/>
        <v>167.27370370370352</v>
      </c>
      <c r="U167" s="56">
        <f t="shared" si="33"/>
        <v>2.2260162536545929</v>
      </c>
      <c r="V167" s="33">
        <f t="shared" si="34"/>
        <v>17.326342013786967</v>
      </c>
      <c r="W167" s="143">
        <f t="shared" si="35"/>
        <v>17.326342013786967</v>
      </c>
    </row>
    <row r="168" spans="1:23" x14ac:dyDescent="0.15">
      <c r="A168" s="90" t="s">
        <v>368</v>
      </c>
      <c r="B168" s="24" t="s">
        <v>516</v>
      </c>
      <c r="C168" s="24" t="s">
        <v>403</v>
      </c>
      <c r="D168" s="44" t="s">
        <v>148</v>
      </c>
      <c r="E168" s="24" t="s">
        <v>661</v>
      </c>
      <c r="F168" s="44" t="s">
        <v>374</v>
      </c>
      <c r="G168" s="44" t="s">
        <v>580</v>
      </c>
      <c r="H168" s="44" t="s">
        <v>582</v>
      </c>
      <c r="I168" s="27">
        <v>1933.19</v>
      </c>
      <c r="J168" s="56">
        <v>2156.25</v>
      </c>
      <c r="K168" s="34">
        <f t="shared" si="24"/>
        <v>223.05999999999995</v>
      </c>
      <c r="L168" s="56">
        <f t="shared" si="25"/>
        <v>49755.763599999977</v>
      </c>
      <c r="M168" s="56">
        <f t="shared" si="26"/>
        <v>223.05999999999995</v>
      </c>
      <c r="N168" s="56">
        <f t="shared" si="27"/>
        <v>2.350364331636265</v>
      </c>
      <c r="O168" s="143">
        <f t="shared" si="28"/>
        <v>11.538441643087328</v>
      </c>
      <c r="P168" s="143">
        <f t="shared" si="29"/>
        <v>11.538441643087328</v>
      </c>
      <c r="Q168" s="34">
        <v>2019.6296296296293</v>
      </c>
      <c r="R168" s="56">
        <f t="shared" si="30"/>
        <v>86.43962962962928</v>
      </c>
      <c r="S168" s="56">
        <f t="shared" si="31"/>
        <v>7471.8095705074838</v>
      </c>
      <c r="T168" s="56">
        <f t="shared" si="32"/>
        <v>86.43962962962928</v>
      </c>
      <c r="U168" s="56">
        <f t="shared" si="33"/>
        <v>1.9417083093928251</v>
      </c>
      <c r="V168" s="33">
        <f t="shared" si="34"/>
        <v>4.4713468220728059</v>
      </c>
      <c r="W168" s="143">
        <f t="shared" si="35"/>
        <v>4.4713468220728059</v>
      </c>
    </row>
    <row r="169" spans="1:23" x14ac:dyDescent="0.15">
      <c r="A169" s="90" t="s">
        <v>668</v>
      </c>
      <c r="B169" s="24" t="s">
        <v>516</v>
      </c>
      <c r="C169" s="24" t="s">
        <v>403</v>
      </c>
      <c r="D169" s="44" t="s">
        <v>82</v>
      </c>
      <c r="E169" s="24" t="s">
        <v>661</v>
      </c>
      <c r="F169" s="44" t="s">
        <v>203</v>
      </c>
      <c r="G169" s="44" t="s">
        <v>581</v>
      </c>
      <c r="H169" s="44" t="s">
        <v>518</v>
      </c>
      <c r="I169" s="27">
        <v>5410</v>
      </c>
      <c r="J169" s="56">
        <v>6035.416666666667</v>
      </c>
      <c r="K169" s="34">
        <f t="shared" si="24"/>
        <v>625.41666666666697</v>
      </c>
      <c r="L169" s="56">
        <f t="shared" si="25"/>
        <v>391146.00694444485</v>
      </c>
      <c r="M169" s="56">
        <f t="shared" si="26"/>
        <v>625.41666666666697</v>
      </c>
      <c r="N169" s="56">
        <f t="shared" si="27"/>
        <v>2.7968633041984705</v>
      </c>
      <c r="O169" s="143">
        <f t="shared" si="28"/>
        <v>11.560382008626007</v>
      </c>
      <c r="P169" s="143">
        <f t="shared" si="29"/>
        <v>11.560382008626007</v>
      </c>
      <c r="Q169" s="34">
        <v>5745.5555555555547</v>
      </c>
      <c r="R169" s="56">
        <f t="shared" si="30"/>
        <v>335.55555555555475</v>
      </c>
      <c r="S169" s="56">
        <f t="shared" si="31"/>
        <v>112597.53086419699</v>
      </c>
      <c r="T169" s="56">
        <f t="shared" si="32"/>
        <v>335.55555555555475</v>
      </c>
      <c r="U169" s="56">
        <f t="shared" si="33"/>
        <v>2.5270567638935297</v>
      </c>
      <c r="V169" s="33">
        <f t="shared" si="34"/>
        <v>6.2025056479769827</v>
      </c>
      <c r="W169" s="143">
        <f t="shared" si="35"/>
        <v>6.2025056479769827</v>
      </c>
    </row>
    <row r="170" spans="1:23" x14ac:dyDescent="0.15">
      <c r="A170" s="90" t="s">
        <v>90</v>
      </c>
      <c r="B170" s="24" t="s">
        <v>516</v>
      </c>
      <c r="C170" s="24" t="s">
        <v>403</v>
      </c>
      <c r="D170" s="44" t="s">
        <v>82</v>
      </c>
      <c r="E170" s="24" t="s">
        <v>661</v>
      </c>
      <c r="F170" s="44" t="s">
        <v>203</v>
      </c>
      <c r="G170" s="44" t="s">
        <v>581</v>
      </c>
      <c r="H170" s="44" t="s">
        <v>518</v>
      </c>
      <c r="I170" s="26">
        <v>5080</v>
      </c>
      <c r="J170" s="56">
        <v>5314.5833333333339</v>
      </c>
      <c r="K170" s="34">
        <f t="shared" si="24"/>
        <v>234.58333333333394</v>
      </c>
      <c r="L170" s="56">
        <f t="shared" si="25"/>
        <v>55029.340277778065</v>
      </c>
      <c r="M170" s="56">
        <f t="shared" si="26"/>
        <v>234.58333333333394</v>
      </c>
      <c r="N170" s="56">
        <f t="shared" si="27"/>
        <v>2.3721445624418958</v>
      </c>
      <c r="O170" s="143">
        <f t="shared" si="28"/>
        <v>4.6177821522309834</v>
      </c>
      <c r="P170" s="143">
        <f t="shared" si="29"/>
        <v>4.6177821522309834</v>
      </c>
      <c r="Q170" s="34">
        <v>5110.2962962962956</v>
      </c>
      <c r="R170" s="56">
        <f t="shared" si="30"/>
        <v>30.296296296295623</v>
      </c>
      <c r="S170" s="56">
        <f t="shared" si="31"/>
        <v>917.86556927293589</v>
      </c>
      <c r="T170" s="56">
        <f t="shared" si="32"/>
        <v>30.296296296295623</v>
      </c>
      <c r="U170" s="56">
        <f t="shared" si="33"/>
        <v>1.4954929447906957</v>
      </c>
      <c r="V170" s="33">
        <f t="shared" si="34"/>
        <v>0.59638378536015002</v>
      </c>
      <c r="W170" s="143">
        <f t="shared" si="35"/>
        <v>0.59638378536015002</v>
      </c>
    </row>
    <row r="171" spans="1:23" x14ac:dyDescent="0.15">
      <c r="A171" s="90" t="s">
        <v>384</v>
      </c>
      <c r="B171" s="24" t="s">
        <v>516</v>
      </c>
      <c r="C171" s="24" t="s">
        <v>403</v>
      </c>
      <c r="D171" s="44" t="s">
        <v>148</v>
      </c>
      <c r="E171" s="24" t="s">
        <v>661</v>
      </c>
      <c r="F171" s="44" t="s">
        <v>374</v>
      </c>
      <c r="G171" s="44" t="s">
        <v>580</v>
      </c>
      <c r="H171" s="30" t="s">
        <v>582</v>
      </c>
      <c r="I171" s="27">
        <v>1545.5</v>
      </c>
      <c r="J171" s="56">
        <v>1620.8333333333335</v>
      </c>
      <c r="K171" s="34">
        <f t="shared" si="24"/>
        <v>75.333333333333485</v>
      </c>
      <c r="L171" s="56">
        <f t="shared" si="25"/>
        <v>5675.1111111111341</v>
      </c>
      <c r="M171" s="56">
        <f t="shared" si="26"/>
        <v>75.333333333333485</v>
      </c>
      <c r="N171" s="56">
        <f t="shared" si="27"/>
        <v>1.8827142276202264</v>
      </c>
      <c r="O171" s="143">
        <f t="shared" si="28"/>
        <v>4.8743664402027491</v>
      </c>
      <c r="P171" s="143">
        <f t="shared" si="29"/>
        <v>4.8743664402027491</v>
      </c>
      <c r="Q171" s="34">
        <v>1514.0740740740739</v>
      </c>
      <c r="R171" s="56">
        <f t="shared" si="30"/>
        <v>-31.425925925926094</v>
      </c>
      <c r="S171" s="56">
        <f t="shared" si="31"/>
        <v>987.58882030179382</v>
      </c>
      <c r="T171" s="56">
        <f t="shared" si="32"/>
        <v>31.425925925926094</v>
      </c>
      <c r="U171" s="56">
        <f t="shared" si="33"/>
        <v>1.5108923862604799</v>
      </c>
      <c r="V171" s="33">
        <f t="shared" si="34"/>
        <v>-2.0333824604287347</v>
      </c>
      <c r="W171" s="143">
        <f t="shared" si="35"/>
        <v>2.0333824604287347</v>
      </c>
    </row>
    <row r="172" spans="1:23" x14ac:dyDescent="0.15">
      <c r="A172" s="90" t="s">
        <v>598</v>
      </c>
      <c r="B172" s="24" t="s">
        <v>516</v>
      </c>
      <c r="C172" s="24" t="s">
        <v>403</v>
      </c>
      <c r="D172" s="29" t="s">
        <v>82</v>
      </c>
      <c r="E172" s="24" t="s">
        <v>661</v>
      </c>
      <c r="F172" s="44" t="s">
        <v>494</v>
      </c>
      <c r="G172" s="29" t="s">
        <v>580</v>
      </c>
      <c r="H172" s="44" t="s">
        <v>582</v>
      </c>
      <c r="I172" s="24">
        <v>1217</v>
      </c>
      <c r="J172" s="56">
        <v>1229.1666666666667</v>
      </c>
      <c r="K172" s="34">
        <f t="shared" si="24"/>
        <v>12.166666666666742</v>
      </c>
      <c r="L172" s="56">
        <f t="shared" si="25"/>
        <v>148.02777777777962</v>
      </c>
      <c r="M172" s="56">
        <f t="shared" si="26"/>
        <v>12.166666666666742</v>
      </c>
      <c r="N172" s="56">
        <f t="shared" si="27"/>
        <v>1.1194758409068002</v>
      </c>
      <c r="O172" s="143">
        <f t="shared" si="28"/>
        <v>0.99972610243769455</v>
      </c>
      <c r="P172" s="143">
        <f t="shared" si="29"/>
        <v>0.99972610243769455</v>
      </c>
      <c r="Q172" s="34">
        <v>1196.2962962962963</v>
      </c>
      <c r="R172" s="56">
        <f t="shared" si="30"/>
        <v>-20.703703703703695</v>
      </c>
      <c r="S172" s="56">
        <f t="shared" si="31"/>
        <v>428.64334705075413</v>
      </c>
      <c r="T172" s="56">
        <f t="shared" si="32"/>
        <v>20.703703703703695</v>
      </c>
      <c r="U172" s="56">
        <f t="shared" si="33"/>
        <v>1.3365338518591032</v>
      </c>
      <c r="V172" s="33">
        <f t="shared" si="34"/>
        <v>-1.7012081925804188</v>
      </c>
      <c r="W172" s="143">
        <f t="shared" si="35"/>
        <v>1.7012081925804188</v>
      </c>
    </row>
    <row r="173" spans="1:23" x14ac:dyDescent="0.15">
      <c r="A173" s="90" t="s">
        <v>618</v>
      </c>
      <c r="B173" s="24" t="s">
        <v>516</v>
      </c>
      <c r="C173" s="24" t="s">
        <v>403</v>
      </c>
      <c r="D173" s="29" t="s">
        <v>96</v>
      </c>
      <c r="E173" s="24" t="s">
        <v>661</v>
      </c>
      <c r="F173" s="44" t="s">
        <v>374</v>
      </c>
      <c r="G173" s="29" t="s">
        <v>580</v>
      </c>
      <c r="H173" s="44" t="s">
        <v>582</v>
      </c>
      <c r="I173" s="24">
        <v>1814.51</v>
      </c>
      <c r="J173" s="56">
        <v>1810</v>
      </c>
      <c r="K173" s="34">
        <f t="shared" si="24"/>
        <v>-4.5099999999999909</v>
      </c>
      <c r="L173" s="56">
        <f t="shared" si="25"/>
        <v>20.340099999999918</v>
      </c>
      <c r="M173" s="56">
        <f t="shared" si="26"/>
        <v>4.5099999999999909</v>
      </c>
      <c r="N173" s="56">
        <f t="shared" si="27"/>
        <v>0.74115159885178428</v>
      </c>
      <c r="O173" s="143">
        <f t="shared" si="28"/>
        <v>-0.24855195066436619</v>
      </c>
      <c r="P173" s="143">
        <f t="shared" si="29"/>
        <v>0.24855195066436619</v>
      </c>
      <c r="Q173" s="34">
        <v>1672.2222222222222</v>
      </c>
      <c r="R173" s="56">
        <f t="shared" si="30"/>
        <v>-142.28777777777782</v>
      </c>
      <c r="S173" s="56">
        <f t="shared" si="31"/>
        <v>20245.811704938282</v>
      </c>
      <c r="T173" s="56">
        <f t="shared" si="32"/>
        <v>142.28777777777782</v>
      </c>
      <c r="U173" s="56">
        <f t="shared" si="33"/>
        <v>2.1562091473405047</v>
      </c>
      <c r="V173" s="33">
        <f t="shared" si="34"/>
        <v>-7.8416640182626614</v>
      </c>
      <c r="W173" s="143">
        <f t="shared" si="35"/>
        <v>7.8416640182626614</v>
      </c>
    </row>
    <row r="174" spans="1:23" x14ac:dyDescent="0.15">
      <c r="A174" s="90" t="s">
        <v>669</v>
      </c>
      <c r="B174" s="24" t="s">
        <v>516</v>
      </c>
      <c r="C174" s="24" t="s">
        <v>403</v>
      </c>
      <c r="D174" s="29" t="s">
        <v>148</v>
      </c>
      <c r="E174" s="24" t="s">
        <v>661</v>
      </c>
      <c r="F174" s="44" t="s">
        <v>494</v>
      </c>
      <c r="G174" s="29" t="s">
        <v>580</v>
      </c>
      <c r="H174" s="44" t="s">
        <v>582</v>
      </c>
      <c r="I174" s="24">
        <v>875</v>
      </c>
      <c r="J174" s="56">
        <v>891.66666666666674</v>
      </c>
      <c r="K174" s="34">
        <f t="shared" si="24"/>
        <v>16.666666666666742</v>
      </c>
      <c r="L174" s="56">
        <f t="shared" si="25"/>
        <v>277.77777777778033</v>
      </c>
      <c r="M174" s="56">
        <f t="shared" si="26"/>
        <v>16.666666666666742</v>
      </c>
      <c r="N174" s="56">
        <f t="shared" si="27"/>
        <v>1.2471546148811286</v>
      </c>
      <c r="O174" s="143">
        <f t="shared" si="28"/>
        <v>1.9047619047619133</v>
      </c>
      <c r="P174" s="143">
        <f t="shared" si="29"/>
        <v>1.9047619047619133</v>
      </c>
      <c r="Q174" s="34">
        <v>874.07407407407402</v>
      </c>
      <c r="R174" s="56">
        <f t="shared" si="30"/>
        <v>-0.92592592592598066</v>
      </c>
      <c r="S174" s="56">
        <f t="shared" si="31"/>
        <v>0.85733882030188469</v>
      </c>
      <c r="T174" s="56">
        <f t="shared" si="32"/>
        <v>0.92592592592598066</v>
      </c>
      <c r="U174" s="56">
        <f t="shared" si="33"/>
        <v>0.28463957947582419</v>
      </c>
      <c r="V174" s="33">
        <f t="shared" si="34"/>
        <v>-0.10582010582011207</v>
      </c>
      <c r="W174" s="143">
        <f t="shared" si="35"/>
        <v>0.10582010582011207</v>
      </c>
    </row>
    <row r="175" spans="1:23" x14ac:dyDescent="0.15">
      <c r="A175" s="90" t="s">
        <v>670</v>
      </c>
      <c r="B175" s="24" t="s">
        <v>516</v>
      </c>
      <c r="C175" s="24" t="s">
        <v>403</v>
      </c>
      <c r="D175" s="29" t="s">
        <v>83</v>
      </c>
      <c r="E175" s="24" t="s">
        <v>661</v>
      </c>
      <c r="F175" s="29" t="s">
        <v>203</v>
      </c>
      <c r="G175" s="29" t="s">
        <v>581</v>
      </c>
      <c r="H175" s="29" t="s">
        <v>518</v>
      </c>
      <c r="I175" s="24">
        <f>2213.6+2992.3</f>
        <v>5205.8999999999996</v>
      </c>
      <c r="J175" s="56">
        <v>5972.916666666667</v>
      </c>
      <c r="K175" s="34">
        <f t="shared" si="24"/>
        <v>767.01666666666733</v>
      </c>
      <c r="L175" s="56">
        <f t="shared" si="25"/>
        <v>588314.56694444548</v>
      </c>
      <c r="M175" s="56">
        <f t="shared" si="26"/>
        <v>767.01666666666733</v>
      </c>
      <c r="N175" s="56">
        <f t="shared" si="27"/>
        <v>2.8853706447226926</v>
      </c>
      <c r="O175" s="143">
        <f t="shared" si="28"/>
        <v>14.733603539573702</v>
      </c>
      <c r="P175" s="143">
        <f t="shared" si="29"/>
        <v>14.733603539573702</v>
      </c>
      <c r="Q175" s="34">
        <v>5926.5555555555557</v>
      </c>
      <c r="R175" s="56">
        <f t="shared" si="30"/>
        <v>720.65555555555602</v>
      </c>
      <c r="S175" s="56">
        <f t="shared" si="31"/>
        <v>519344.42975308711</v>
      </c>
      <c r="T175" s="56">
        <f t="shared" si="32"/>
        <v>720.65555555555602</v>
      </c>
      <c r="U175" s="56">
        <f t="shared" si="33"/>
        <v>2.8583299593211424</v>
      </c>
      <c r="V175" s="33">
        <f t="shared" si="34"/>
        <v>13.843054141561614</v>
      </c>
      <c r="W175" s="143">
        <f t="shared" si="35"/>
        <v>13.843054141561614</v>
      </c>
    </row>
    <row r="176" spans="1:23" x14ac:dyDescent="0.15">
      <c r="A176" s="24" t="s">
        <v>486</v>
      </c>
      <c r="B176" s="24" t="s">
        <v>515</v>
      </c>
      <c r="C176" s="24" t="s">
        <v>403</v>
      </c>
      <c r="D176" s="29" t="s">
        <v>82</v>
      </c>
      <c r="E176" s="24" t="s">
        <v>662</v>
      </c>
      <c r="F176" s="44" t="s">
        <v>203</v>
      </c>
      <c r="G176" s="44" t="s">
        <v>581</v>
      </c>
      <c r="H176" s="44" t="s">
        <v>518</v>
      </c>
      <c r="I176" s="24">
        <v>4927.5</v>
      </c>
      <c r="J176" s="56">
        <v>3986.4128783066558</v>
      </c>
      <c r="K176" s="34">
        <f t="shared" si="24"/>
        <v>-941.08712169334422</v>
      </c>
      <c r="L176" s="56">
        <f t="shared" si="25"/>
        <v>885644.97061706323</v>
      </c>
      <c r="M176" s="56">
        <f t="shared" si="26"/>
        <v>941.08712169334422</v>
      </c>
      <c r="N176" s="56">
        <f t="shared" si="27"/>
        <v>2.9740910670403422</v>
      </c>
      <c r="O176" s="143">
        <f t="shared" si="28"/>
        <v>-19.098673195197243</v>
      </c>
      <c r="P176" s="143">
        <f t="shared" si="29"/>
        <v>19.098673195197243</v>
      </c>
      <c r="Q176" s="34">
        <v>3931.8831706381766</v>
      </c>
      <c r="R176" s="56">
        <f t="shared" si="30"/>
        <v>-995.61682936182342</v>
      </c>
      <c r="S176" s="56">
        <f t="shared" si="31"/>
        <v>991252.87090849027</v>
      </c>
      <c r="T176" s="56">
        <f t="shared" si="32"/>
        <v>995.61682936182342</v>
      </c>
      <c r="U176" s="56">
        <f t="shared" si="33"/>
        <v>2.9985282166071259</v>
      </c>
      <c r="V176" s="33">
        <f t="shared" si="34"/>
        <v>-20.205313634943145</v>
      </c>
      <c r="W176" s="143">
        <f t="shared" si="35"/>
        <v>20.205313634943145</v>
      </c>
    </row>
    <row r="177" spans="1:23" x14ac:dyDescent="0.15">
      <c r="A177" s="24" t="s">
        <v>431</v>
      </c>
      <c r="B177" s="24" t="s">
        <v>515</v>
      </c>
      <c r="C177" s="24" t="s">
        <v>458</v>
      </c>
      <c r="D177" s="29" t="s">
        <v>82</v>
      </c>
      <c r="E177" s="24" t="s">
        <v>662</v>
      </c>
      <c r="F177" s="44" t="s">
        <v>203</v>
      </c>
      <c r="G177" s="44" t="s">
        <v>581</v>
      </c>
      <c r="H177" s="44" t="s">
        <v>518</v>
      </c>
      <c r="I177" s="24">
        <v>4710</v>
      </c>
      <c r="J177" s="56">
        <v>4447.5901331014165</v>
      </c>
      <c r="K177" s="34">
        <f t="shared" si="24"/>
        <v>-262.40986689858346</v>
      </c>
      <c r="L177" s="56">
        <f t="shared" si="25"/>
        <v>68858.938245732294</v>
      </c>
      <c r="M177" s="56">
        <f t="shared" si="26"/>
        <v>262.40986689858346</v>
      </c>
      <c r="N177" s="56">
        <f t="shared" si="27"/>
        <v>2.4206320388844977</v>
      </c>
      <c r="O177" s="143">
        <f t="shared" si="28"/>
        <v>-5.5713347536854236</v>
      </c>
      <c r="P177" s="143">
        <f t="shared" si="29"/>
        <v>5.5713347536854236</v>
      </c>
      <c r="Q177" s="34">
        <v>4308.7034729936895</v>
      </c>
      <c r="R177" s="56">
        <f t="shared" si="30"/>
        <v>-401.2965270063105</v>
      </c>
      <c r="S177" s="56">
        <f t="shared" si="31"/>
        <v>161038.90258732651</v>
      </c>
      <c r="T177" s="56">
        <f t="shared" si="32"/>
        <v>401.2965270063105</v>
      </c>
      <c r="U177" s="56">
        <f t="shared" si="33"/>
        <v>2.604546283357974</v>
      </c>
      <c r="V177" s="33">
        <f t="shared" si="34"/>
        <v>-8.5200961147836622</v>
      </c>
      <c r="W177" s="143">
        <f t="shared" si="35"/>
        <v>8.5200961147836622</v>
      </c>
    </row>
    <row r="178" spans="1:23" x14ac:dyDescent="0.15">
      <c r="A178" s="90" t="s">
        <v>902</v>
      </c>
      <c r="B178" s="24" t="s">
        <v>515</v>
      </c>
      <c r="C178" s="24" t="s">
        <v>401</v>
      </c>
      <c r="D178" s="29" t="s">
        <v>82</v>
      </c>
      <c r="E178" s="24" t="s">
        <v>662</v>
      </c>
      <c r="F178" s="29" t="s">
        <v>374</v>
      </c>
      <c r="G178" s="29" t="s">
        <v>580</v>
      </c>
      <c r="H178" s="29" t="s">
        <v>582</v>
      </c>
      <c r="I178" s="24">
        <v>2870</v>
      </c>
      <c r="J178" s="34">
        <v>2458.9532510838803</v>
      </c>
      <c r="K178" s="34">
        <f t="shared" si="24"/>
        <v>-411.04674891611967</v>
      </c>
      <c r="L178" s="56">
        <f t="shared" si="25"/>
        <v>168959.42979451152</v>
      </c>
      <c r="M178" s="56">
        <f t="shared" si="26"/>
        <v>411.04674891611967</v>
      </c>
      <c r="N178" s="56">
        <f t="shared" si="27"/>
        <v>2.6149464918693761</v>
      </c>
      <c r="O178" s="143">
        <f t="shared" si="28"/>
        <v>-14.322186373383961</v>
      </c>
      <c r="P178" s="143">
        <f t="shared" si="29"/>
        <v>14.322186373383961</v>
      </c>
      <c r="Q178" s="34">
        <v>2440.7870799396123</v>
      </c>
      <c r="R178" s="56">
        <f t="shared" si="30"/>
        <v>-429.21292006038766</v>
      </c>
      <c r="S178" s="56">
        <f t="shared" si="31"/>
        <v>184223.73074676472</v>
      </c>
      <c r="T178" s="56">
        <f t="shared" si="32"/>
        <v>429.21292006038766</v>
      </c>
      <c r="U178" s="56">
        <f t="shared" si="33"/>
        <v>2.6336834488842555</v>
      </c>
      <c r="V178" s="33">
        <f t="shared" si="34"/>
        <v>-14.955154009072743</v>
      </c>
      <c r="W178" s="143">
        <f t="shared" si="35"/>
        <v>14.955154009072743</v>
      </c>
    </row>
    <row r="179" spans="1:23" x14ac:dyDescent="0.15">
      <c r="A179" s="24" t="s">
        <v>100</v>
      </c>
      <c r="B179" s="24" t="s">
        <v>515</v>
      </c>
      <c r="C179" s="24" t="s">
        <v>403</v>
      </c>
      <c r="D179" s="29" t="s">
        <v>82</v>
      </c>
      <c r="E179" s="24" t="s">
        <v>662</v>
      </c>
      <c r="F179" s="44" t="s">
        <v>374</v>
      </c>
      <c r="G179" s="44" t="s">
        <v>580</v>
      </c>
      <c r="H179" s="44" t="s">
        <v>582</v>
      </c>
      <c r="I179" s="24">
        <v>1299.96</v>
      </c>
      <c r="J179" s="56">
        <v>1206.1553916395981</v>
      </c>
      <c r="K179" s="34">
        <f t="shared" si="24"/>
        <v>-93.804608360401971</v>
      </c>
      <c r="L179" s="56">
        <f t="shared" si="25"/>
        <v>8799.3045496483956</v>
      </c>
      <c r="M179" s="56">
        <f t="shared" si="26"/>
        <v>93.804608360401971</v>
      </c>
      <c r="N179" s="56">
        <f t="shared" si="27"/>
        <v>1.9768294484862698</v>
      </c>
      <c r="O179" s="143">
        <f t="shared" si="28"/>
        <v>-7.2159611342196666</v>
      </c>
      <c r="P179" s="143">
        <f t="shared" si="29"/>
        <v>7.2159611342196666</v>
      </c>
      <c r="Q179" s="34">
        <v>1149.6406702313127</v>
      </c>
      <c r="R179" s="56">
        <f t="shared" si="30"/>
        <v>-150.31932976868734</v>
      </c>
      <c r="S179" s="56">
        <f t="shared" si="31"/>
        <v>22595.900902107373</v>
      </c>
      <c r="T179" s="56">
        <f t="shared" si="32"/>
        <v>150.31932976868734</v>
      </c>
      <c r="U179" s="56">
        <f t="shared" si="33"/>
        <v>2.1798944090256409</v>
      </c>
      <c r="V179" s="33">
        <f t="shared" si="34"/>
        <v>-11.563381163165586</v>
      </c>
      <c r="W179" s="143">
        <f t="shared" si="35"/>
        <v>11.563381163165586</v>
      </c>
    </row>
    <row r="180" spans="1:23" x14ac:dyDescent="0.15">
      <c r="A180" s="90" t="s">
        <v>588</v>
      </c>
      <c r="B180" s="24" t="s">
        <v>515</v>
      </c>
      <c r="C180" s="24" t="s">
        <v>403</v>
      </c>
      <c r="D180" s="44" t="s">
        <v>148</v>
      </c>
      <c r="E180" s="24" t="s">
        <v>662</v>
      </c>
      <c r="F180" s="44" t="s">
        <v>374</v>
      </c>
      <c r="G180" s="30" t="s">
        <v>580</v>
      </c>
      <c r="H180" s="44" t="s">
        <v>582</v>
      </c>
      <c r="I180" s="24">
        <v>2740.86</v>
      </c>
      <c r="J180" s="56">
        <v>2637.7916137790517</v>
      </c>
      <c r="K180" s="34">
        <f t="shared" si="24"/>
        <v>-103.06838622094847</v>
      </c>
      <c r="L180" s="56">
        <f t="shared" si="25"/>
        <v>10623.0922381906</v>
      </c>
      <c r="M180" s="56">
        <f t="shared" si="26"/>
        <v>103.06838622094847</v>
      </c>
      <c r="N180" s="56">
        <f t="shared" si="27"/>
        <v>2.0173188200486916</v>
      </c>
      <c r="O180" s="143">
        <f t="shared" si="28"/>
        <v>-3.7604396510930314</v>
      </c>
      <c r="P180" s="143">
        <f t="shared" si="29"/>
        <v>3.7604396510930314</v>
      </c>
      <c r="Q180" s="34">
        <v>2602.4547804218605</v>
      </c>
      <c r="R180" s="56">
        <f t="shared" si="30"/>
        <v>-138.40521957813962</v>
      </c>
      <c r="S180" s="56">
        <f t="shared" si="31"/>
        <v>19156.004806473044</v>
      </c>
      <c r="T180" s="56">
        <f t="shared" si="32"/>
        <v>138.40521957813962</v>
      </c>
      <c r="U180" s="56">
        <f t="shared" si="33"/>
        <v>2.1442790348204284</v>
      </c>
      <c r="V180" s="33">
        <f t="shared" si="34"/>
        <v>-5.0497004435884945</v>
      </c>
      <c r="W180" s="143">
        <f t="shared" si="35"/>
        <v>5.0497004435884945</v>
      </c>
    </row>
    <row r="181" spans="1:23" x14ac:dyDescent="0.15">
      <c r="A181" s="90" t="s">
        <v>584</v>
      </c>
      <c r="B181" s="24" t="s">
        <v>515</v>
      </c>
      <c r="C181" s="24" t="s">
        <v>403</v>
      </c>
      <c r="D181" s="44" t="s">
        <v>148</v>
      </c>
      <c r="E181" s="24" t="s">
        <v>662</v>
      </c>
      <c r="F181" s="44" t="s">
        <v>374</v>
      </c>
      <c r="G181" s="44" t="s">
        <v>580</v>
      </c>
      <c r="H181" s="44" t="s">
        <v>582</v>
      </c>
      <c r="I181" s="26">
        <v>1687.51</v>
      </c>
      <c r="J181" s="56">
        <v>1655.1887966164529</v>
      </c>
      <c r="K181" s="34">
        <f t="shared" si="24"/>
        <v>-32.321203383547072</v>
      </c>
      <c r="L181" s="56">
        <f t="shared" si="25"/>
        <v>1044.6601881606148</v>
      </c>
      <c r="M181" s="56">
        <f t="shared" si="26"/>
        <v>32.321203383547072</v>
      </c>
      <c r="N181" s="56">
        <f t="shared" si="27"/>
        <v>1.5227206774105251</v>
      </c>
      <c r="O181" s="143">
        <f t="shared" si="28"/>
        <v>-1.9153192208370364</v>
      </c>
      <c r="P181" s="143">
        <f t="shared" si="29"/>
        <v>1.9153192208370364</v>
      </c>
      <c r="Q181" s="34">
        <v>1620.9907148847431</v>
      </c>
      <c r="R181" s="56">
        <f t="shared" si="30"/>
        <v>-66.519285115256935</v>
      </c>
      <c r="S181" s="56">
        <f t="shared" si="31"/>
        <v>4424.8152922448426</v>
      </c>
      <c r="T181" s="56">
        <f t="shared" si="32"/>
        <v>66.519285115256935</v>
      </c>
      <c r="U181" s="56">
        <f t="shared" si="33"/>
        <v>1.8294278353927362</v>
      </c>
      <c r="V181" s="33">
        <f t="shared" si="34"/>
        <v>-3.9418602032140218</v>
      </c>
      <c r="W181" s="143">
        <f t="shared" si="35"/>
        <v>3.9418602032140218</v>
      </c>
    </row>
    <row r="182" spans="1:23" ht="14" x14ac:dyDescent="0.2">
      <c r="A182" s="90" t="s">
        <v>665</v>
      </c>
      <c r="B182" s="24" t="s">
        <v>515</v>
      </c>
      <c r="C182" s="24" t="s">
        <v>403</v>
      </c>
      <c r="D182" s="44" t="s">
        <v>82</v>
      </c>
      <c r="E182" s="24" t="s">
        <v>662</v>
      </c>
      <c r="F182" s="44" t="s">
        <v>374</v>
      </c>
      <c r="G182" s="44" t="s">
        <v>580</v>
      </c>
      <c r="H182" s="44" t="s">
        <v>582</v>
      </c>
      <c r="I182" s="87">
        <v>1342.6</v>
      </c>
      <c r="J182" s="56">
        <v>1314.3775260297766</v>
      </c>
      <c r="K182" s="34">
        <f t="shared" si="24"/>
        <v>-28.222473970223291</v>
      </c>
      <c r="L182" s="56">
        <f t="shared" si="25"/>
        <v>796.50803699993116</v>
      </c>
      <c r="M182" s="56">
        <f t="shared" si="26"/>
        <v>28.222473970223291</v>
      </c>
      <c r="N182" s="56">
        <f t="shared" si="27"/>
        <v>1.4657169804598273</v>
      </c>
      <c r="O182" s="143">
        <f t="shared" si="28"/>
        <v>-2.1020761187414938</v>
      </c>
      <c r="P182" s="143">
        <f t="shared" si="29"/>
        <v>2.1020761187414938</v>
      </c>
      <c r="Q182" s="34">
        <v>1314.690451727163</v>
      </c>
      <c r="R182" s="56">
        <f t="shared" si="30"/>
        <v>-27.909548272836901</v>
      </c>
      <c r="S182" s="56">
        <f t="shared" si="31"/>
        <v>778.94288479381328</v>
      </c>
      <c r="T182" s="56">
        <f t="shared" si="32"/>
        <v>27.909548272836901</v>
      </c>
      <c r="U182" s="56">
        <f t="shared" si="33"/>
        <v>1.4610413056399771</v>
      </c>
      <c r="V182" s="33">
        <f t="shared" si="34"/>
        <v>-2.0787686781496277</v>
      </c>
      <c r="W182" s="143">
        <f t="shared" si="35"/>
        <v>2.0787686781496277</v>
      </c>
    </row>
    <row r="183" spans="1:23" x14ac:dyDescent="0.15">
      <c r="A183" s="90" t="s">
        <v>389</v>
      </c>
      <c r="B183" s="24" t="s">
        <v>515</v>
      </c>
      <c r="C183" s="24" t="s">
        <v>403</v>
      </c>
      <c r="D183" s="44" t="s">
        <v>82</v>
      </c>
      <c r="E183" s="24" t="s">
        <v>662</v>
      </c>
      <c r="F183" s="44" t="s">
        <v>494</v>
      </c>
      <c r="G183" s="44" t="s">
        <v>580</v>
      </c>
      <c r="H183" s="44" t="s">
        <v>582</v>
      </c>
      <c r="I183" s="27">
        <v>1095.26</v>
      </c>
      <c r="J183" s="56">
        <v>1148.4215390456909</v>
      </c>
      <c r="K183" s="34">
        <f t="shared" si="24"/>
        <v>53.161539045690915</v>
      </c>
      <c r="L183" s="56">
        <f t="shared" si="25"/>
        <v>2826.1492337065197</v>
      </c>
      <c r="M183" s="56">
        <f t="shared" si="26"/>
        <v>53.161539045690915</v>
      </c>
      <c r="N183" s="56">
        <f t="shared" si="27"/>
        <v>1.7336909966954466</v>
      </c>
      <c r="O183" s="143">
        <f t="shared" si="28"/>
        <v>4.8537825763463394</v>
      </c>
      <c r="P183" s="143">
        <f t="shared" si="29"/>
        <v>4.8537825763463394</v>
      </c>
      <c r="Q183" s="34">
        <v>1120.0554954364497</v>
      </c>
      <c r="R183" s="56">
        <f t="shared" si="30"/>
        <v>24.795495436449755</v>
      </c>
      <c r="S183" s="56">
        <f t="shared" si="31"/>
        <v>614.81659393900065</v>
      </c>
      <c r="T183" s="56">
        <f t="shared" si="32"/>
        <v>24.795495436449755</v>
      </c>
      <c r="U183" s="56">
        <f t="shared" si="33"/>
        <v>1.4115438734867058</v>
      </c>
      <c r="V183" s="33">
        <f t="shared" si="34"/>
        <v>2.26389126202452</v>
      </c>
      <c r="W183" s="143">
        <f t="shared" si="35"/>
        <v>2.26389126202452</v>
      </c>
    </row>
    <row r="184" spans="1:23" x14ac:dyDescent="0.15">
      <c r="A184" s="90" t="s">
        <v>127</v>
      </c>
      <c r="B184" s="24" t="s">
        <v>515</v>
      </c>
      <c r="C184" s="24" t="s">
        <v>403</v>
      </c>
      <c r="D184" s="44" t="s">
        <v>82</v>
      </c>
      <c r="E184" s="24" t="s">
        <v>662</v>
      </c>
      <c r="F184" s="44" t="s">
        <v>203</v>
      </c>
      <c r="G184" s="44" t="s">
        <v>581</v>
      </c>
      <c r="H184" s="44" t="s">
        <v>518</v>
      </c>
      <c r="I184" s="27">
        <v>4745.58</v>
      </c>
      <c r="J184" s="56">
        <v>4128.742652430853</v>
      </c>
      <c r="K184" s="34">
        <f t="shared" si="24"/>
        <v>-616.83734756914691</v>
      </c>
      <c r="L184" s="56">
        <f t="shared" si="25"/>
        <v>380488.31335614057</v>
      </c>
      <c r="M184" s="56">
        <f t="shared" si="26"/>
        <v>616.83734756914691</v>
      </c>
      <c r="N184" s="56">
        <f t="shared" si="27"/>
        <v>2.7908741573693612</v>
      </c>
      <c r="O184" s="143">
        <f t="shared" si="28"/>
        <v>-12.998144538057455</v>
      </c>
      <c r="P184" s="143">
        <f t="shared" si="29"/>
        <v>12.998144538057455</v>
      </c>
      <c r="Q184" s="34">
        <v>4075.1065282232057</v>
      </c>
      <c r="R184" s="56">
        <f t="shared" si="30"/>
        <v>-670.47347177679421</v>
      </c>
      <c r="S184" s="56">
        <f t="shared" si="31"/>
        <v>449534.67635642766</v>
      </c>
      <c r="T184" s="56">
        <f t="shared" si="32"/>
        <v>670.47347177679421</v>
      </c>
      <c r="U184" s="56">
        <f t="shared" si="33"/>
        <v>2.8270288594641029</v>
      </c>
      <c r="V184" s="33">
        <f t="shared" si="34"/>
        <v>-14.128377812128216</v>
      </c>
      <c r="W184" s="143">
        <f t="shared" si="35"/>
        <v>14.128377812128216</v>
      </c>
    </row>
    <row r="185" spans="1:23" x14ac:dyDescent="0.15">
      <c r="A185" s="90" t="s">
        <v>104</v>
      </c>
      <c r="B185" s="24" t="s">
        <v>515</v>
      </c>
      <c r="C185" s="24" t="s">
        <v>403</v>
      </c>
      <c r="D185" s="44" t="s">
        <v>83</v>
      </c>
      <c r="E185" s="24" t="s">
        <v>662</v>
      </c>
      <c r="F185" s="44" t="s">
        <v>203</v>
      </c>
      <c r="G185" s="44" t="s">
        <v>581</v>
      </c>
      <c r="H185" s="44" t="s">
        <v>518</v>
      </c>
      <c r="I185" s="26">
        <v>4769.5</v>
      </c>
      <c r="J185" s="56">
        <v>3821.0128701527428</v>
      </c>
      <c r="K185" s="34">
        <f t="shared" si="24"/>
        <v>-948.48712984725717</v>
      </c>
      <c r="L185" s="56">
        <f t="shared" si="25"/>
        <v>899627.83548588771</v>
      </c>
      <c r="M185" s="56">
        <f t="shared" si="26"/>
        <v>948.48712984725717</v>
      </c>
      <c r="N185" s="56">
        <f t="shared" si="27"/>
        <v>2.977489082317692</v>
      </c>
      <c r="O185" s="143">
        <f t="shared" si="28"/>
        <v>-19.886510742158656</v>
      </c>
      <c r="P185" s="143">
        <f t="shared" si="29"/>
        <v>19.886510742158656</v>
      </c>
      <c r="Q185" s="34">
        <v>3690.0802175783492</v>
      </c>
      <c r="R185" s="56">
        <f t="shared" si="30"/>
        <v>-1079.4197824216508</v>
      </c>
      <c r="S185" s="56">
        <f t="shared" si="31"/>
        <v>1165147.0666832039</v>
      </c>
      <c r="T185" s="56">
        <f t="shared" si="32"/>
        <v>1079.4197824216508</v>
      </c>
      <c r="U185" s="56">
        <f t="shared" si="33"/>
        <v>3.0335925274942239</v>
      </c>
      <c r="V185" s="33">
        <f t="shared" si="34"/>
        <v>-22.631717840898432</v>
      </c>
      <c r="W185" s="143">
        <f t="shared" si="35"/>
        <v>22.631717840898432</v>
      </c>
    </row>
    <row r="186" spans="1:23" x14ac:dyDescent="0.15">
      <c r="A186" s="90" t="s">
        <v>733</v>
      </c>
      <c r="B186" s="24" t="s">
        <v>515</v>
      </c>
      <c r="C186" s="24" t="s">
        <v>403</v>
      </c>
      <c r="D186" s="44" t="s">
        <v>82</v>
      </c>
      <c r="E186" s="24" t="s">
        <v>662</v>
      </c>
      <c r="F186" s="44" t="s">
        <v>293</v>
      </c>
      <c r="G186" s="29" t="s">
        <v>580</v>
      </c>
      <c r="H186" s="29" t="s">
        <v>518</v>
      </c>
      <c r="I186" s="26">
        <v>3740</v>
      </c>
      <c r="J186" s="34">
        <v>3182.544933941665</v>
      </c>
      <c r="K186" s="34">
        <f t="shared" si="24"/>
        <v>-557.45506605833498</v>
      </c>
      <c r="L186" s="56">
        <f t="shared" si="25"/>
        <v>310756.1506741026</v>
      </c>
      <c r="M186" s="56">
        <f t="shared" si="26"/>
        <v>557.45506605833498</v>
      </c>
      <c r="N186" s="56">
        <f t="shared" si="27"/>
        <v>2.7469882350201571</v>
      </c>
      <c r="O186" s="143">
        <f t="shared" si="28"/>
        <v>-14.905215670008957</v>
      </c>
      <c r="P186" s="143">
        <f t="shared" si="29"/>
        <v>14.905215670008957</v>
      </c>
      <c r="Q186" s="34">
        <v>3235.2164148477891</v>
      </c>
      <c r="R186" s="56">
        <f t="shared" si="30"/>
        <v>-504.78358515221089</v>
      </c>
      <c r="S186" s="56">
        <f t="shared" si="31"/>
        <v>254806.46783911934</v>
      </c>
      <c r="T186" s="56">
        <f t="shared" si="32"/>
        <v>504.78358515221089</v>
      </c>
      <c r="U186" s="56">
        <f t="shared" si="33"/>
        <v>2.7039647305174879</v>
      </c>
      <c r="V186" s="33">
        <f t="shared" si="34"/>
        <v>-13.496887303535051</v>
      </c>
      <c r="W186" s="143">
        <f t="shared" si="35"/>
        <v>13.496887303535051</v>
      </c>
    </row>
    <row r="187" spans="1:23" x14ac:dyDescent="0.15">
      <c r="A187" s="90" t="s">
        <v>369</v>
      </c>
      <c r="B187" s="24" t="s">
        <v>515</v>
      </c>
      <c r="C187" s="24" t="s">
        <v>403</v>
      </c>
      <c r="D187" s="44" t="s">
        <v>148</v>
      </c>
      <c r="E187" s="24" t="s">
        <v>662</v>
      </c>
      <c r="F187" s="44" t="s">
        <v>374</v>
      </c>
      <c r="G187" s="44" t="s">
        <v>580</v>
      </c>
      <c r="H187" s="44" t="s">
        <v>582</v>
      </c>
      <c r="I187" s="27">
        <v>2524.9700000000003</v>
      </c>
      <c r="J187" s="56">
        <v>2265.2442206058704</v>
      </c>
      <c r="K187" s="34">
        <f t="shared" si="24"/>
        <v>-259.72577939412986</v>
      </c>
      <c r="L187" s="56">
        <f t="shared" si="25"/>
        <v>67457.480481888211</v>
      </c>
      <c r="M187" s="56">
        <f t="shared" si="26"/>
        <v>259.72577939412986</v>
      </c>
      <c r="N187" s="56">
        <f t="shared" si="27"/>
        <v>2.4161839743793054</v>
      </c>
      <c r="O187" s="143">
        <f t="shared" si="28"/>
        <v>-10.286291694322301</v>
      </c>
      <c r="P187" s="143">
        <f t="shared" si="29"/>
        <v>10.286291694322301</v>
      </c>
      <c r="Q187" s="34">
        <v>2247.1905122476574</v>
      </c>
      <c r="R187" s="56">
        <f t="shared" si="30"/>
        <v>-277.7794877523429</v>
      </c>
      <c r="S187" s="56">
        <f t="shared" si="31"/>
        <v>77161.443815954015</v>
      </c>
      <c r="T187" s="56">
        <f t="shared" si="32"/>
        <v>277.7794877523429</v>
      </c>
      <c r="U187" s="56">
        <f t="shared" si="33"/>
        <v>2.4452608157541866</v>
      </c>
      <c r="V187" s="33">
        <f t="shared" si="34"/>
        <v>-11.001298540273464</v>
      </c>
      <c r="W187" s="143">
        <f t="shared" si="35"/>
        <v>11.001298540273464</v>
      </c>
    </row>
    <row r="188" spans="1:23" x14ac:dyDescent="0.15">
      <c r="A188" s="90" t="s">
        <v>84</v>
      </c>
      <c r="B188" s="24" t="s">
        <v>515</v>
      </c>
      <c r="C188" s="24" t="s">
        <v>403</v>
      </c>
      <c r="D188" s="44" t="s">
        <v>83</v>
      </c>
      <c r="E188" s="24" t="s">
        <v>662</v>
      </c>
      <c r="F188" s="44" t="s">
        <v>203</v>
      </c>
      <c r="G188" s="44" t="s">
        <v>581</v>
      </c>
      <c r="H188" s="44" t="s">
        <v>518</v>
      </c>
      <c r="I188" s="26">
        <v>4572</v>
      </c>
      <c r="J188" s="56">
        <v>4113.8771170500522</v>
      </c>
      <c r="K188" s="34">
        <f t="shared" si="24"/>
        <v>-458.12288294994778</v>
      </c>
      <c r="L188" s="56">
        <f t="shared" si="25"/>
        <v>209876.57588237154</v>
      </c>
      <c r="M188" s="56">
        <f t="shared" si="26"/>
        <v>458.12288294994778</v>
      </c>
      <c r="N188" s="56">
        <f t="shared" si="27"/>
        <v>2.6619289387935345</v>
      </c>
      <c r="O188" s="143">
        <f t="shared" si="28"/>
        <v>-10.020185541337442</v>
      </c>
      <c r="P188" s="143">
        <f t="shared" si="29"/>
        <v>10.020185541337442</v>
      </c>
      <c r="Q188" s="34">
        <v>3981.9399616655141</v>
      </c>
      <c r="R188" s="56">
        <f t="shared" si="30"/>
        <v>-590.06003833448585</v>
      </c>
      <c r="S188" s="56">
        <f t="shared" si="31"/>
        <v>348170.84883929492</v>
      </c>
      <c r="T188" s="56">
        <f t="shared" si="32"/>
        <v>590.06003833448585</v>
      </c>
      <c r="U188" s="56">
        <f t="shared" si="33"/>
        <v>2.7716315976207553</v>
      </c>
      <c r="V188" s="33">
        <f t="shared" si="34"/>
        <v>-12.905950094805029</v>
      </c>
      <c r="W188" s="143">
        <f t="shared" si="35"/>
        <v>12.905950094805029</v>
      </c>
    </row>
    <row r="189" spans="1:23" x14ac:dyDescent="0.15">
      <c r="A189" s="90" t="s">
        <v>120</v>
      </c>
      <c r="B189" s="24" t="s">
        <v>515</v>
      </c>
      <c r="C189" s="24" t="s">
        <v>403</v>
      </c>
      <c r="D189" s="44" t="s">
        <v>82</v>
      </c>
      <c r="E189" s="24" t="s">
        <v>662</v>
      </c>
      <c r="F189" s="44" t="s">
        <v>203</v>
      </c>
      <c r="G189" s="44" t="s">
        <v>581</v>
      </c>
      <c r="H189" s="44" t="s">
        <v>518</v>
      </c>
      <c r="I189" s="26">
        <v>4978</v>
      </c>
      <c r="J189" s="56">
        <v>4187.971786414314</v>
      </c>
      <c r="K189" s="34">
        <f t="shared" si="24"/>
        <v>-790.02821358568599</v>
      </c>
      <c r="L189" s="56">
        <f t="shared" si="25"/>
        <v>624144.57826139033</v>
      </c>
      <c r="M189" s="56">
        <f t="shared" si="26"/>
        <v>790.02821358568599</v>
      </c>
      <c r="N189" s="56">
        <f t="shared" si="27"/>
        <v>2.8981919737455422</v>
      </c>
      <c r="O189" s="143">
        <f t="shared" si="28"/>
        <v>-15.870394005337204</v>
      </c>
      <c r="P189" s="143">
        <f t="shared" si="29"/>
        <v>15.870394005337204</v>
      </c>
      <c r="Q189" s="34">
        <v>4034.5171382783651</v>
      </c>
      <c r="R189" s="56">
        <f t="shared" si="30"/>
        <v>-943.48286172163489</v>
      </c>
      <c r="S189" s="56">
        <f t="shared" si="31"/>
        <v>890159.91036244563</v>
      </c>
      <c r="T189" s="56">
        <f t="shared" si="32"/>
        <v>943.48286172163489</v>
      </c>
      <c r="U189" s="56">
        <f t="shared" si="33"/>
        <v>2.9751940817631435</v>
      </c>
      <c r="V189" s="33">
        <f t="shared" si="34"/>
        <v>-18.953050657324926</v>
      </c>
      <c r="W189" s="143">
        <f t="shared" si="35"/>
        <v>18.953050657324926</v>
      </c>
    </row>
    <row r="190" spans="1:23" x14ac:dyDescent="0.15">
      <c r="A190" s="90" t="s">
        <v>121</v>
      </c>
      <c r="B190" s="24" t="s">
        <v>515</v>
      </c>
      <c r="C190" s="24" t="s">
        <v>403</v>
      </c>
      <c r="D190" s="44" t="s">
        <v>82</v>
      </c>
      <c r="E190" s="24" t="s">
        <v>662</v>
      </c>
      <c r="F190" s="44" t="s">
        <v>203</v>
      </c>
      <c r="G190" s="44" t="s">
        <v>581</v>
      </c>
      <c r="H190" s="44" t="s">
        <v>518</v>
      </c>
      <c r="I190" s="26">
        <v>4470</v>
      </c>
      <c r="J190" s="56">
        <v>3566.1933167334319</v>
      </c>
      <c r="K190" s="34">
        <f t="shared" si="24"/>
        <v>-903.80668326656814</v>
      </c>
      <c r="L190" s="56">
        <f t="shared" si="25"/>
        <v>816866.52071731468</v>
      </c>
      <c r="M190" s="56">
        <f t="shared" si="26"/>
        <v>903.80668326656814</v>
      </c>
      <c r="N190" s="56">
        <f t="shared" si="27"/>
        <v>2.956555799803199</v>
      </c>
      <c r="O190" s="143">
        <f t="shared" si="28"/>
        <v>-20.219388887395262</v>
      </c>
      <c r="P190" s="143">
        <f t="shared" si="29"/>
        <v>20.219388887395262</v>
      </c>
      <c r="Q190" s="34">
        <v>3452.0483198951865</v>
      </c>
      <c r="R190" s="56">
        <f t="shared" si="30"/>
        <v>-1017.9516801048135</v>
      </c>
      <c r="S190" s="56">
        <f t="shared" si="31"/>
        <v>1036225.6230282125</v>
      </c>
      <c r="T190" s="56">
        <f t="shared" si="32"/>
        <v>1017.9516801048135</v>
      </c>
      <c r="U190" s="56">
        <f t="shared" si="33"/>
        <v>3.0081535897361555</v>
      </c>
      <c r="V190" s="33">
        <f t="shared" si="34"/>
        <v>-22.77296823500701</v>
      </c>
      <c r="W190" s="143">
        <f t="shared" si="35"/>
        <v>22.77296823500701</v>
      </c>
    </row>
    <row r="191" spans="1:23" x14ac:dyDescent="0.15">
      <c r="A191" s="90" t="s">
        <v>139</v>
      </c>
      <c r="B191" s="24" t="s">
        <v>515</v>
      </c>
      <c r="C191" s="24" t="s">
        <v>403</v>
      </c>
      <c r="D191" s="44" t="s">
        <v>82</v>
      </c>
      <c r="E191" s="24" t="s">
        <v>662</v>
      </c>
      <c r="F191" s="44" t="s">
        <v>203</v>
      </c>
      <c r="G191" s="44" t="s">
        <v>581</v>
      </c>
      <c r="H191" s="44" t="s">
        <v>518</v>
      </c>
      <c r="I191" s="26">
        <v>4870</v>
      </c>
      <c r="J191" s="56">
        <v>3819.2654805699549</v>
      </c>
      <c r="K191" s="34">
        <f t="shared" si="24"/>
        <v>-1050.7345194300451</v>
      </c>
      <c r="L191" s="56">
        <f t="shared" si="25"/>
        <v>1104043.0303218879</v>
      </c>
      <c r="M191" s="56">
        <f t="shared" si="26"/>
        <v>1050.7345194300451</v>
      </c>
      <c r="N191" s="56">
        <f t="shared" si="27"/>
        <v>3.0219061283186162</v>
      </c>
      <c r="O191" s="143">
        <f t="shared" si="28"/>
        <v>-21.575657483163141</v>
      </c>
      <c r="P191" s="143">
        <f t="shared" si="29"/>
        <v>21.575657483163141</v>
      </c>
      <c r="Q191" s="34">
        <v>3846.2741435230969</v>
      </c>
      <c r="R191" s="56">
        <f t="shared" si="30"/>
        <v>-1023.7258564769031</v>
      </c>
      <c r="S191" s="56">
        <f t="shared" si="31"/>
        <v>1048014.6292193688</v>
      </c>
      <c r="T191" s="56">
        <f t="shared" si="32"/>
        <v>1023.7258564769031</v>
      </c>
      <c r="U191" s="56">
        <f t="shared" si="33"/>
        <v>3.0106076947149343</v>
      </c>
      <c r="V191" s="33">
        <f t="shared" si="34"/>
        <v>-21.021064814720802</v>
      </c>
      <c r="W191" s="143">
        <f t="shared" si="35"/>
        <v>21.021064814720802</v>
      </c>
    </row>
    <row r="192" spans="1:23" x14ac:dyDescent="0.15">
      <c r="A192" s="90" t="s">
        <v>386</v>
      </c>
      <c r="B192" s="24" t="s">
        <v>515</v>
      </c>
      <c r="C192" s="24" t="s">
        <v>403</v>
      </c>
      <c r="D192" s="44" t="s">
        <v>82</v>
      </c>
      <c r="E192" s="24" t="s">
        <v>662</v>
      </c>
      <c r="F192" s="44" t="s">
        <v>374</v>
      </c>
      <c r="G192" s="44" t="s">
        <v>580</v>
      </c>
      <c r="H192" s="44" t="s">
        <v>582</v>
      </c>
      <c r="I192" s="27">
        <v>1538.3</v>
      </c>
      <c r="J192" s="56">
        <v>1486.5686554114934</v>
      </c>
      <c r="K192" s="34">
        <f t="shared" si="24"/>
        <v>-51.731344588506545</v>
      </c>
      <c r="L192" s="56">
        <f t="shared" si="25"/>
        <v>2676.1320129348055</v>
      </c>
      <c r="M192" s="56">
        <f t="shared" si="26"/>
        <v>51.731344588506545</v>
      </c>
      <c r="N192" s="56">
        <f t="shared" si="27"/>
        <v>1.7220688454813555</v>
      </c>
      <c r="O192" s="143">
        <f t="shared" si="28"/>
        <v>-3.3628905017556097</v>
      </c>
      <c r="P192" s="143">
        <f t="shared" si="29"/>
        <v>3.3628905017556097</v>
      </c>
      <c r="Q192" s="34">
        <v>1442.7819211931703</v>
      </c>
      <c r="R192" s="56">
        <f t="shared" si="30"/>
        <v>-95.518078806829635</v>
      </c>
      <c r="S192" s="56">
        <f t="shared" si="31"/>
        <v>9123.7033789477173</v>
      </c>
      <c r="T192" s="56">
        <f t="shared" si="32"/>
        <v>95.518078806829635</v>
      </c>
      <c r="U192" s="56">
        <f t="shared" si="33"/>
        <v>1.9846086686874682</v>
      </c>
      <c r="V192" s="33">
        <f t="shared" si="34"/>
        <v>-6.2093271017896141</v>
      </c>
      <c r="W192" s="143">
        <f t="shared" si="35"/>
        <v>6.2093271017896141</v>
      </c>
    </row>
    <row r="193" spans="1:23" x14ac:dyDescent="0.15">
      <c r="A193" s="90" t="s">
        <v>381</v>
      </c>
      <c r="B193" s="24" t="s">
        <v>515</v>
      </c>
      <c r="C193" s="24" t="s">
        <v>403</v>
      </c>
      <c r="D193" s="44" t="s">
        <v>148</v>
      </c>
      <c r="E193" s="24" t="s">
        <v>662</v>
      </c>
      <c r="F193" s="44" t="s">
        <v>494</v>
      </c>
      <c r="G193" s="44" t="s">
        <v>580</v>
      </c>
      <c r="H193" s="44" t="s">
        <v>582</v>
      </c>
      <c r="I193" s="27">
        <v>786.1</v>
      </c>
      <c r="J193" s="56">
        <v>845.25690391442788</v>
      </c>
      <c r="K193" s="34">
        <f t="shared" si="24"/>
        <v>59.156903914427858</v>
      </c>
      <c r="L193" s="56">
        <f t="shared" si="25"/>
        <v>3499.5392807408498</v>
      </c>
      <c r="M193" s="56">
        <f t="shared" si="26"/>
        <v>59.156903914427858</v>
      </c>
      <c r="N193" s="56">
        <f t="shared" si="27"/>
        <v>1.7792854763954147</v>
      </c>
      <c r="O193" s="143">
        <f t="shared" si="28"/>
        <v>7.5253662275064057</v>
      </c>
      <c r="P193" s="143">
        <f t="shared" si="29"/>
        <v>7.5253662275064057</v>
      </c>
      <c r="Q193" s="34">
        <v>801.54649077498243</v>
      </c>
      <c r="R193" s="56">
        <f t="shared" si="30"/>
        <v>15.446490774982408</v>
      </c>
      <c r="S193" s="56">
        <f t="shared" si="31"/>
        <v>238.59407726161663</v>
      </c>
      <c r="T193" s="56">
        <f t="shared" si="32"/>
        <v>15.446490774982408</v>
      </c>
      <c r="U193" s="56">
        <f t="shared" si="33"/>
        <v>1.2160732457727434</v>
      </c>
      <c r="V193" s="33">
        <f t="shared" si="34"/>
        <v>1.9649523947312566</v>
      </c>
      <c r="W193" s="143">
        <f t="shared" si="35"/>
        <v>1.9649523947312566</v>
      </c>
    </row>
    <row r="194" spans="1:23" x14ac:dyDescent="0.15">
      <c r="A194" s="90" t="s">
        <v>115</v>
      </c>
      <c r="B194" s="24" t="s">
        <v>515</v>
      </c>
      <c r="C194" s="24" t="s">
        <v>403</v>
      </c>
      <c r="D194" s="44" t="s">
        <v>83</v>
      </c>
      <c r="E194" s="24" t="s">
        <v>662</v>
      </c>
      <c r="F194" s="44" t="s">
        <v>203</v>
      </c>
      <c r="G194" s="44" t="s">
        <v>581</v>
      </c>
      <c r="H194" s="44" t="s">
        <v>518</v>
      </c>
      <c r="I194" s="27">
        <f>1586.3+3352.01</f>
        <v>4938.3100000000004</v>
      </c>
      <c r="J194" s="56">
        <v>4044.7496170346449</v>
      </c>
      <c r="K194" s="34">
        <f t="shared" ref="K194:K204" si="36">J194-I194</f>
        <v>-893.56038296535553</v>
      </c>
      <c r="L194" s="56">
        <f t="shared" ref="L194:L204" si="37">K194^2</f>
        <v>798450.15800519288</v>
      </c>
      <c r="M194" s="56">
        <f t="shared" ref="M194:M204" si="38">SQRT(L194)</f>
        <v>893.56038296535553</v>
      </c>
      <c r="N194" s="56">
        <f t="shared" ref="N194:N204" si="39">LOG10(M194+1)</f>
        <v>2.951609660838074</v>
      </c>
      <c r="O194" s="143">
        <f t="shared" ref="O194:O204" si="40">100*K194/I194</f>
        <v>-18.094457070644722</v>
      </c>
      <c r="P194" s="143">
        <f t="shared" ref="P194:P204" si="41">ABS(O194)</f>
        <v>18.094457070644722</v>
      </c>
      <c r="Q194" s="34">
        <v>3999.8292419235368</v>
      </c>
      <c r="R194" s="56">
        <f t="shared" ref="R194:R204" si="42">Q194-I194</f>
        <v>-938.48075807646364</v>
      </c>
      <c r="S194" s="56">
        <f t="shared" ref="S194:S204" si="43">R194^2</f>
        <v>880746.13327977387</v>
      </c>
      <c r="T194" s="56">
        <f t="shared" ref="T194:T204" si="44">SQRT(S194)</f>
        <v>938.48075807646364</v>
      </c>
      <c r="U194" s="56">
        <f t="shared" ref="U194:U204" si="45">LOG10(T194+1)</f>
        <v>2.9728878895490611</v>
      </c>
      <c r="V194" s="33">
        <f t="shared" ref="V194:V204" si="46">100*R194/I194</f>
        <v>-19.004087594267343</v>
      </c>
      <c r="W194" s="143">
        <f t="shared" ref="W194:W204" si="47">ABS(V194)</f>
        <v>19.004087594267343</v>
      </c>
    </row>
    <row r="195" spans="1:23" x14ac:dyDescent="0.15">
      <c r="A195" s="90" t="s">
        <v>88</v>
      </c>
      <c r="B195" s="24" t="s">
        <v>515</v>
      </c>
      <c r="C195" s="24" t="s">
        <v>403</v>
      </c>
      <c r="D195" s="44" t="s">
        <v>82</v>
      </c>
      <c r="E195" s="24" t="s">
        <v>662</v>
      </c>
      <c r="F195" s="44" t="s">
        <v>293</v>
      </c>
      <c r="G195" s="44" t="s">
        <v>580</v>
      </c>
      <c r="H195" s="44" t="s">
        <v>518</v>
      </c>
      <c r="I195" s="27">
        <v>3045.75</v>
      </c>
      <c r="J195" s="56">
        <v>2817.5221801969574</v>
      </c>
      <c r="K195" s="34">
        <f t="shared" si="36"/>
        <v>-228.22781980304262</v>
      </c>
      <c r="L195" s="56">
        <f t="shared" si="37"/>
        <v>52087.937732050093</v>
      </c>
      <c r="M195" s="56">
        <f t="shared" si="38"/>
        <v>228.22781980304262</v>
      </c>
      <c r="N195" s="56">
        <f t="shared" si="39"/>
        <v>2.3602673238266156</v>
      </c>
      <c r="O195" s="143">
        <f t="shared" si="40"/>
        <v>-7.4933208504651603</v>
      </c>
      <c r="P195" s="143">
        <f t="shared" si="41"/>
        <v>7.4933208504651603</v>
      </c>
      <c r="Q195" s="34">
        <v>2743.8246789370523</v>
      </c>
      <c r="R195" s="56">
        <f t="shared" si="42"/>
        <v>-301.92532106294766</v>
      </c>
      <c r="S195" s="56">
        <f t="shared" si="43"/>
        <v>91158.89949896402</v>
      </c>
      <c r="T195" s="56">
        <f t="shared" si="44"/>
        <v>301.92532106294766</v>
      </c>
      <c r="U195" s="56">
        <f t="shared" si="45"/>
        <v>2.4813355768597574</v>
      </c>
      <c r="V195" s="33">
        <f t="shared" si="46"/>
        <v>-9.9130040568972397</v>
      </c>
      <c r="W195" s="143">
        <f t="shared" si="47"/>
        <v>9.9130040568972397</v>
      </c>
    </row>
    <row r="196" spans="1:23" x14ac:dyDescent="0.15">
      <c r="A196" s="90" t="s">
        <v>382</v>
      </c>
      <c r="B196" s="24" t="s">
        <v>515</v>
      </c>
      <c r="C196" s="24" t="s">
        <v>403</v>
      </c>
      <c r="D196" s="44" t="s">
        <v>148</v>
      </c>
      <c r="E196" s="24" t="s">
        <v>662</v>
      </c>
      <c r="F196" s="44" t="s">
        <v>494</v>
      </c>
      <c r="G196" s="44" t="s">
        <v>580</v>
      </c>
      <c r="H196" s="44" t="s">
        <v>582</v>
      </c>
      <c r="I196" s="27">
        <v>965.43</v>
      </c>
      <c r="J196" s="56">
        <v>1172.55311488344</v>
      </c>
      <c r="K196" s="34">
        <f t="shared" si="36"/>
        <v>207.12311488344005</v>
      </c>
      <c r="L196" s="56">
        <f t="shared" si="37"/>
        <v>42899.984719018707</v>
      </c>
      <c r="M196" s="56">
        <f t="shared" si="38"/>
        <v>207.12311488344005</v>
      </c>
      <c r="N196" s="56">
        <f t="shared" si="39"/>
        <v>2.3183203171594524</v>
      </c>
      <c r="O196" s="143">
        <f t="shared" si="40"/>
        <v>21.453975418563758</v>
      </c>
      <c r="P196" s="143">
        <f t="shared" si="41"/>
        <v>21.453975418563758</v>
      </c>
      <c r="Q196" s="34">
        <v>1157.7783317457022</v>
      </c>
      <c r="R196" s="56">
        <f t="shared" si="42"/>
        <v>192.34833174570224</v>
      </c>
      <c r="S196" s="56">
        <f t="shared" si="43"/>
        <v>36997.880725354727</v>
      </c>
      <c r="T196" s="56">
        <f t="shared" si="44"/>
        <v>192.34833174570224</v>
      </c>
      <c r="U196" s="56">
        <f t="shared" si="45"/>
        <v>2.2863404292316258</v>
      </c>
      <c r="V196" s="33">
        <f t="shared" si="46"/>
        <v>19.923591741058623</v>
      </c>
      <c r="W196" s="143">
        <f t="shared" si="47"/>
        <v>19.923591741058623</v>
      </c>
    </row>
    <row r="197" spans="1:23" x14ac:dyDescent="0.15">
      <c r="A197" s="90" t="s">
        <v>368</v>
      </c>
      <c r="B197" s="24" t="s">
        <v>515</v>
      </c>
      <c r="C197" s="24" t="s">
        <v>403</v>
      </c>
      <c r="D197" s="44" t="s">
        <v>148</v>
      </c>
      <c r="E197" s="24" t="s">
        <v>662</v>
      </c>
      <c r="F197" s="44" t="s">
        <v>374</v>
      </c>
      <c r="G197" s="44" t="s">
        <v>580</v>
      </c>
      <c r="H197" s="44" t="s">
        <v>582</v>
      </c>
      <c r="I197" s="27">
        <v>1933.19</v>
      </c>
      <c r="J197" s="56">
        <v>1968.7670816219372</v>
      </c>
      <c r="K197" s="34">
        <f t="shared" si="36"/>
        <v>35.577081621937168</v>
      </c>
      <c r="L197" s="56">
        <f t="shared" si="37"/>
        <v>1265.7287367339793</v>
      </c>
      <c r="M197" s="56">
        <f t="shared" si="38"/>
        <v>35.577081621937168</v>
      </c>
      <c r="N197" s="56">
        <f t="shared" si="39"/>
        <v>1.5632090514397439</v>
      </c>
      <c r="O197" s="143">
        <f t="shared" si="40"/>
        <v>1.8403303152787449</v>
      </c>
      <c r="P197" s="143">
        <f t="shared" si="41"/>
        <v>1.8403303152787449</v>
      </c>
      <c r="Q197" s="34">
        <v>1899.281488074362</v>
      </c>
      <c r="R197" s="56">
        <f t="shared" si="42"/>
        <v>-33.908511925638095</v>
      </c>
      <c r="S197" s="56">
        <f t="shared" si="43"/>
        <v>1149.787181011141</v>
      </c>
      <c r="T197" s="56">
        <f t="shared" si="44"/>
        <v>33.908511925638095</v>
      </c>
      <c r="U197" s="56">
        <f t="shared" si="45"/>
        <v>1.5429313361742985</v>
      </c>
      <c r="V197" s="33">
        <f t="shared" si="46"/>
        <v>-1.7540185871868825</v>
      </c>
      <c r="W197" s="143">
        <f t="shared" si="47"/>
        <v>1.7540185871868825</v>
      </c>
    </row>
    <row r="198" spans="1:23" x14ac:dyDescent="0.15">
      <c r="A198" s="90" t="s">
        <v>668</v>
      </c>
      <c r="B198" s="24" t="s">
        <v>515</v>
      </c>
      <c r="C198" s="24" t="s">
        <v>403</v>
      </c>
      <c r="D198" s="44" t="s">
        <v>82</v>
      </c>
      <c r="E198" s="24" t="s">
        <v>662</v>
      </c>
      <c r="F198" s="44" t="s">
        <v>203</v>
      </c>
      <c r="G198" s="44" t="s">
        <v>581</v>
      </c>
      <c r="H198" s="44" t="s">
        <v>518</v>
      </c>
      <c r="I198" s="27">
        <v>5410</v>
      </c>
      <c r="J198" s="56">
        <v>4751.0391688848704</v>
      </c>
      <c r="K198" s="34">
        <f t="shared" si="36"/>
        <v>-658.96083111512962</v>
      </c>
      <c r="L198" s="56">
        <f t="shared" si="37"/>
        <v>434229.37694394239</v>
      </c>
      <c r="M198" s="56">
        <f t="shared" si="38"/>
        <v>658.96083111512962</v>
      </c>
      <c r="N198" s="56">
        <f t="shared" si="39"/>
        <v>2.8195181607913375</v>
      </c>
      <c r="O198" s="143">
        <f t="shared" si="40"/>
        <v>-12.180422016915522</v>
      </c>
      <c r="P198" s="143">
        <f t="shared" si="41"/>
        <v>12.180422016915522</v>
      </c>
      <c r="Q198" s="34">
        <v>4647.501531970488</v>
      </c>
      <c r="R198" s="56">
        <f t="shared" si="42"/>
        <v>-762.49846802951197</v>
      </c>
      <c r="S198" s="56">
        <f t="shared" si="43"/>
        <v>581403.91374735266</v>
      </c>
      <c r="T198" s="56">
        <f t="shared" si="44"/>
        <v>762.49846802951197</v>
      </c>
      <c r="U198" s="56">
        <f t="shared" si="45"/>
        <v>2.8828081699752861</v>
      </c>
      <c r="V198" s="33">
        <f t="shared" si="46"/>
        <v>-14.09424155322573</v>
      </c>
      <c r="W198" s="143">
        <f t="shared" si="47"/>
        <v>14.09424155322573</v>
      </c>
    </row>
    <row r="199" spans="1:23" x14ac:dyDescent="0.15">
      <c r="A199" s="90" t="s">
        <v>90</v>
      </c>
      <c r="B199" s="24" t="s">
        <v>515</v>
      </c>
      <c r="C199" s="24" t="s">
        <v>403</v>
      </c>
      <c r="D199" s="44" t="s">
        <v>82</v>
      </c>
      <c r="E199" s="24" t="s">
        <v>662</v>
      </c>
      <c r="F199" s="44" t="s">
        <v>203</v>
      </c>
      <c r="G199" s="44" t="s">
        <v>581</v>
      </c>
      <c r="H199" s="44" t="s">
        <v>518</v>
      </c>
      <c r="I199" s="26">
        <v>5080</v>
      </c>
      <c r="J199" s="56">
        <v>4260.9886302405375</v>
      </c>
      <c r="K199" s="34">
        <f t="shared" si="36"/>
        <v>-819.01136975946247</v>
      </c>
      <c r="L199" s="56">
        <f t="shared" si="37"/>
        <v>670779.62379527092</v>
      </c>
      <c r="M199" s="56">
        <f t="shared" si="38"/>
        <v>819.01136975946247</v>
      </c>
      <c r="N199" s="56">
        <f t="shared" si="39"/>
        <v>2.913819874078305</v>
      </c>
      <c r="O199" s="143">
        <f t="shared" si="40"/>
        <v>-16.122271058257137</v>
      </c>
      <c r="P199" s="143">
        <f t="shared" si="41"/>
        <v>16.122271058257137</v>
      </c>
      <c r="Q199" s="34">
        <v>4204.0343860722151</v>
      </c>
      <c r="R199" s="56">
        <f t="shared" si="42"/>
        <v>-875.96561392778494</v>
      </c>
      <c r="S199" s="56">
        <f t="shared" si="43"/>
        <v>767315.75678388122</v>
      </c>
      <c r="T199" s="56">
        <f t="shared" si="44"/>
        <v>875.96561392778494</v>
      </c>
      <c r="U199" s="56">
        <f t="shared" si="45"/>
        <v>2.9429825648891983</v>
      </c>
      <c r="V199" s="33">
        <f t="shared" si="46"/>
        <v>-17.243417597003642</v>
      </c>
      <c r="W199" s="143">
        <f t="shared" si="47"/>
        <v>17.243417597003642</v>
      </c>
    </row>
    <row r="200" spans="1:23" x14ac:dyDescent="0.15">
      <c r="A200" s="90" t="s">
        <v>384</v>
      </c>
      <c r="B200" s="24" t="s">
        <v>515</v>
      </c>
      <c r="C200" s="24" t="s">
        <v>403</v>
      </c>
      <c r="D200" s="44" t="s">
        <v>148</v>
      </c>
      <c r="E200" s="24" t="s">
        <v>662</v>
      </c>
      <c r="F200" s="44" t="s">
        <v>374</v>
      </c>
      <c r="G200" s="44" t="s">
        <v>580</v>
      </c>
      <c r="H200" s="30" t="s">
        <v>582</v>
      </c>
      <c r="I200" s="27">
        <v>1545.5</v>
      </c>
      <c r="J200" s="56">
        <v>1542.0424555892498</v>
      </c>
      <c r="K200" s="34">
        <f t="shared" si="36"/>
        <v>-3.457544410750188</v>
      </c>
      <c r="L200" s="56">
        <f t="shared" si="37"/>
        <v>11.954613352309865</v>
      </c>
      <c r="M200" s="56">
        <f t="shared" si="38"/>
        <v>3.457544410750188</v>
      </c>
      <c r="N200" s="56">
        <f t="shared" si="39"/>
        <v>0.64909567876778773</v>
      </c>
      <c r="O200" s="143">
        <f t="shared" si="40"/>
        <v>-0.22371688196377792</v>
      </c>
      <c r="P200" s="143">
        <f t="shared" si="41"/>
        <v>0.22371688196377792</v>
      </c>
      <c r="Q200" s="34">
        <v>1484.2094112929342</v>
      </c>
      <c r="R200" s="56">
        <f t="shared" si="42"/>
        <v>-61.290588707065808</v>
      </c>
      <c r="S200" s="56">
        <f t="shared" si="43"/>
        <v>3756.5362640587027</v>
      </c>
      <c r="T200" s="56">
        <f t="shared" si="44"/>
        <v>61.290588707065808</v>
      </c>
      <c r="U200" s="56">
        <f t="shared" si="45"/>
        <v>1.7944224354017049</v>
      </c>
      <c r="V200" s="33">
        <f t="shared" si="46"/>
        <v>-3.9657449826635918</v>
      </c>
      <c r="W200" s="143">
        <f t="shared" si="47"/>
        <v>3.9657449826635918</v>
      </c>
    </row>
    <row r="201" spans="1:23" x14ac:dyDescent="0.15">
      <c r="A201" s="90" t="s">
        <v>598</v>
      </c>
      <c r="B201" s="24" t="s">
        <v>515</v>
      </c>
      <c r="C201" s="24" t="s">
        <v>403</v>
      </c>
      <c r="D201" s="29" t="s">
        <v>82</v>
      </c>
      <c r="E201" s="24" t="s">
        <v>662</v>
      </c>
      <c r="F201" s="44" t="s">
        <v>494</v>
      </c>
      <c r="G201" s="29" t="s">
        <v>580</v>
      </c>
      <c r="H201" s="44" t="s">
        <v>582</v>
      </c>
      <c r="I201" s="24">
        <v>1217</v>
      </c>
      <c r="J201" s="56">
        <v>1216.9679213402842</v>
      </c>
      <c r="K201" s="34">
        <f t="shared" si="36"/>
        <v>-3.2078659715807589E-2</v>
      </c>
      <c r="L201" s="56">
        <f t="shared" si="37"/>
        <v>1.0290404091625766E-3</v>
      </c>
      <c r="M201" s="56">
        <f t="shared" si="38"/>
        <v>3.2078659715807589E-2</v>
      </c>
      <c r="N201" s="56">
        <f t="shared" si="39"/>
        <v>1.3712798239530007E-2</v>
      </c>
      <c r="O201" s="143">
        <f t="shared" si="40"/>
        <v>-2.6358800095158249E-3</v>
      </c>
      <c r="P201" s="143">
        <f t="shared" si="41"/>
        <v>2.6358800095158249E-3</v>
      </c>
      <c r="Q201" s="34">
        <v>1213.1917593054482</v>
      </c>
      <c r="R201" s="56">
        <f t="shared" si="42"/>
        <v>-3.8082406945518414</v>
      </c>
      <c r="S201" s="56">
        <f t="shared" si="43"/>
        <v>14.502697187640692</v>
      </c>
      <c r="T201" s="56">
        <f t="shared" si="44"/>
        <v>3.8082406945518414</v>
      </c>
      <c r="U201" s="56">
        <f t="shared" si="45"/>
        <v>0.68198619978072017</v>
      </c>
      <c r="V201" s="33">
        <f t="shared" si="46"/>
        <v>-0.31292035288018416</v>
      </c>
      <c r="W201" s="143">
        <f t="shared" si="47"/>
        <v>0.31292035288018416</v>
      </c>
    </row>
    <row r="202" spans="1:23" x14ac:dyDescent="0.15">
      <c r="A202" s="90" t="s">
        <v>618</v>
      </c>
      <c r="B202" s="24" t="s">
        <v>515</v>
      </c>
      <c r="C202" s="24" t="s">
        <v>403</v>
      </c>
      <c r="D202" s="29" t="s">
        <v>96</v>
      </c>
      <c r="E202" s="24" t="s">
        <v>662</v>
      </c>
      <c r="F202" s="44" t="s">
        <v>374</v>
      </c>
      <c r="G202" s="29" t="s">
        <v>580</v>
      </c>
      <c r="H202" s="44" t="s">
        <v>582</v>
      </c>
      <c r="I202" s="24">
        <v>1814.51</v>
      </c>
      <c r="J202" s="56">
        <v>1694.8386570628811</v>
      </c>
      <c r="K202" s="34">
        <f t="shared" si="36"/>
        <v>-119.67134293711888</v>
      </c>
      <c r="L202" s="56">
        <f t="shared" si="37"/>
        <v>14321.230320373512</v>
      </c>
      <c r="M202" s="56">
        <f t="shared" si="38"/>
        <v>119.67134293711888</v>
      </c>
      <c r="N202" s="56">
        <f t="shared" si="39"/>
        <v>2.0816041459718102</v>
      </c>
      <c r="O202" s="143">
        <f t="shared" si="40"/>
        <v>-6.5952429546885316</v>
      </c>
      <c r="P202" s="143">
        <f t="shared" si="41"/>
        <v>6.5952429546885316</v>
      </c>
      <c r="Q202" s="34">
        <v>1615.9375951063755</v>
      </c>
      <c r="R202" s="56">
        <f t="shared" si="42"/>
        <v>-198.57240489362448</v>
      </c>
      <c r="S202" s="56">
        <f t="shared" si="43"/>
        <v>39430.99998523754</v>
      </c>
      <c r="T202" s="56">
        <f t="shared" si="44"/>
        <v>198.57240489362448</v>
      </c>
      <c r="U202" s="56">
        <f t="shared" si="45"/>
        <v>2.3001004907041738</v>
      </c>
      <c r="V202" s="33">
        <f t="shared" si="46"/>
        <v>-10.943582834683991</v>
      </c>
      <c r="W202" s="143">
        <f t="shared" si="47"/>
        <v>10.943582834683991</v>
      </c>
    </row>
    <row r="203" spans="1:23" x14ac:dyDescent="0.15">
      <c r="A203" s="90" t="s">
        <v>669</v>
      </c>
      <c r="B203" s="24" t="s">
        <v>515</v>
      </c>
      <c r="C203" s="24" t="s">
        <v>403</v>
      </c>
      <c r="D203" s="29" t="s">
        <v>148</v>
      </c>
      <c r="E203" s="24" t="s">
        <v>662</v>
      </c>
      <c r="F203" s="44" t="s">
        <v>494</v>
      </c>
      <c r="G203" s="29" t="s">
        <v>580</v>
      </c>
      <c r="H203" s="44" t="s">
        <v>582</v>
      </c>
      <c r="I203" s="24">
        <v>875</v>
      </c>
      <c r="J203" s="56">
        <v>924.61219190393035</v>
      </c>
      <c r="K203" s="34">
        <f t="shared" si="36"/>
        <v>49.612191903930352</v>
      </c>
      <c r="L203" s="56">
        <f t="shared" si="37"/>
        <v>2461.3695855124124</v>
      </c>
      <c r="M203" s="56">
        <f t="shared" si="38"/>
        <v>49.612191903930352</v>
      </c>
      <c r="N203" s="56">
        <f t="shared" si="39"/>
        <v>1.7042551460653272</v>
      </c>
      <c r="O203" s="143">
        <f t="shared" si="40"/>
        <v>5.6699647890206117</v>
      </c>
      <c r="P203" s="143">
        <f t="shared" si="41"/>
        <v>5.6699647890206117</v>
      </c>
      <c r="Q203" s="34">
        <v>927.42414033353452</v>
      </c>
      <c r="R203" s="56">
        <f t="shared" si="42"/>
        <v>52.424140333534524</v>
      </c>
      <c r="S203" s="56">
        <f t="shared" si="43"/>
        <v>2748.2904897101212</v>
      </c>
      <c r="T203" s="56">
        <f t="shared" si="44"/>
        <v>52.424140333534524</v>
      </c>
      <c r="U203" s="56">
        <f t="shared" si="45"/>
        <v>1.7277375425084316</v>
      </c>
      <c r="V203" s="33">
        <f t="shared" si="46"/>
        <v>5.9913303238325168</v>
      </c>
      <c r="W203" s="143">
        <f t="shared" si="47"/>
        <v>5.9913303238325168</v>
      </c>
    </row>
    <row r="204" spans="1:23" x14ac:dyDescent="0.15">
      <c r="A204" s="90" t="s">
        <v>670</v>
      </c>
      <c r="B204" s="24" t="s">
        <v>515</v>
      </c>
      <c r="C204" s="24" t="s">
        <v>403</v>
      </c>
      <c r="D204" s="29" t="s">
        <v>83</v>
      </c>
      <c r="E204" s="24" t="s">
        <v>662</v>
      </c>
      <c r="F204" s="29" t="s">
        <v>203</v>
      </c>
      <c r="G204" s="29" t="s">
        <v>581</v>
      </c>
      <c r="H204" s="29" t="s">
        <v>518</v>
      </c>
      <c r="I204" s="24">
        <f>2213.6+2992.3</f>
        <v>5205.8999999999996</v>
      </c>
      <c r="J204" s="56">
        <v>4708.8977070969549</v>
      </c>
      <c r="K204" s="34">
        <f t="shared" si="36"/>
        <v>-497.00229290304469</v>
      </c>
      <c r="L204" s="56">
        <f t="shared" si="37"/>
        <v>247011.27915088381</v>
      </c>
      <c r="M204" s="56">
        <f t="shared" si="38"/>
        <v>497.00229290304469</v>
      </c>
      <c r="N204" s="56">
        <f t="shared" si="39"/>
        <v>2.6972313423437484</v>
      </c>
      <c r="O204" s="143">
        <f t="shared" si="40"/>
        <v>-9.5469043374449143</v>
      </c>
      <c r="P204" s="143">
        <f t="shared" si="41"/>
        <v>9.5469043374449143</v>
      </c>
      <c r="Q204" s="34">
        <v>4772.531442831908</v>
      </c>
      <c r="R204" s="56">
        <f t="shared" si="42"/>
        <v>-433.36855716809168</v>
      </c>
      <c r="S204" s="56">
        <f t="shared" si="43"/>
        <v>187808.30634195355</v>
      </c>
      <c r="T204" s="56">
        <f t="shared" si="44"/>
        <v>433.36855716809168</v>
      </c>
      <c r="U204" s="56">
        <f t="shared" si="45"/>
        <v>2.6378583802487858</v>
      </c>
      <c r="V204" s="33">
        <f t="shared" si="46"/>
        <v>-8.3245655346451457</v>
      </c>
      <c r="W204" s="143">
        <f t="shared" si="47"/>
        <v>8.3245655346451457</v>
      </c>
    </row>
    <row r="205" spans="1:23" x14ac:dyDescent="0.15">
      <c r="O205" s="143"/>
      <c r="P205" s="143"/>
    </row>
    <row r="206" spans="1:23" x14ac:dyDescent="0.15">
      <c r="O206" s="143"/>
      <c r="P206" s="143"/>
    </row>
    <row r="207" spans="1:23" x14ac:dyDescent="0.15">
      <c r="O207" s="143"/>
      <c r="P207" s="143"/>
    </row>
    <row r="208" spans="1:23" x14ac:dyDescent="0.15">
      <c r="O208" s="143"/>
      <c r="P208" s="143"/>
    </row>
    <row r="209" spans="9:17" x14ac:dyDescent="0.15">
      <c r="J209"/>
      <c r="Q209"/>
    </row>
    <row r="210" spans="9:17" x14ac:dyDescent="0.15">
      <c r="O210" s="143"/>
      <c r="P210" s="143"/>
    </row>
    <row r="211" spans="9:17" x14ac:dyDescent="0.15">
      <c r="O211" s="143"/>
      <c r="P211" s="143"/>
    </row>
    <row r="212" spans="9:17" x14ac:dyDescent="0.15">
      <c r="O212" s="143"/>
      <c r="P212" s="143"/>
    </row>
    <row r="213" spans="9:17" x14ac:dyDescent="0.15">
      <c r="O213" s="143"/>
      <c r="P213" s="143"/>
    </row>
    <row r="214" spans="9:17" x14ac:dyDescent="0.15">
      <c r="I214" s="143"/>
      <c r="O214" s="143"/>
      <c r="P214" s="143"/>
    </row>
    <row r="215" spans="9:17" x14ac:dyDescent="0.15">
      <c r="O215" s="143"/>
      <c r="P215" s="143"/>
    </row>
    <row r="216" spans="9:17" x14ac:dyDescent="0.15">
      <c r="O216" s="143"/>
      <c r="P216" s="143"/>
    </row>
    <row r="217" spans="9:17" x14ac:dyDescent="0.15">
      <c r="O217" s="143"/>
      <c r="P217" s="143"/>
    </row>
    <row r="218" spans="9:17" x14ac:dyDescent="0.15">
      <c r="O218" s="143"/>
      <c r="P218" s="143"/>
    </row>
    <row r="219" spans="9:17" x14ac:dyDescent="0.15">
      <c r="O219" s="143"/>
      <c r="P219" s="143"/>
    </row>
    <row r="220" spans="9:17" x14ac:dyDescent="0.15">
      <c r="O220" s="143"/>
      <c r="P220" s="143"/>
    </row>
  </sheetData>
  <sortState xmlns:xlrd2="http://schemas.microsoft.com/office/spreadsheetml/2017/richdata2" ref="A2:W222">
    <sortCondition ref="B2:B222"/>
  </sortState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40F8-B46E-8F46-B2AE-B209B7FEC997}">
  <dimension ref="A1:Y1302"/>
  <sheetViews>
    <sheetView workbookViewId="0">
      <pane ySplit="1" topLeftCell="A266" activePane="bottomLeft" state="frozen"/>
      <selection pane="bottomLeft" activeCell="O2" sqref="O2:O88"/>
    </sheetView>
  </sheetViews>
  <sheetFormatPr baseColWidth="10" defaultRowHeight="14" x14ac:dyDescent="0.15"/>
  <cols>
    <col min="1" max="1" width="10.83203125" style="103"/>
    <col min="2" max="2" width="11.83203125" style="103" bestFit="1" customWidth="1"/>
    <col min="3" max="3" width="25.5" style="103" bestFit="1" customWidth="1"/>
    <col min="4" max="6" width="10.83203125" style="103"/>
    <col min="7" max="7" width="4.1640625" style="103" bestFit="1" customWidth="1"/>
    <col min="8" max="9" width="10.83203125" style="120"/>
    <col min="10" max="10" width="11.6640625" style="121" bestFit="1" customWidth="1"/>
    <col min="11" max="12" width="13.33203125" style="121" bestFit="1" customWidth="1"/>
    <col min="13" max="15" width="14.6640625" style="121" customWidth="1"/>
    <col min="16" max="16" width="11.6640625" style="121" bestFit="1" customWidth="1"/>
    <col min="17" max="17" width="11.6640625" style="121" customWidth="1"/>
    <col min="18" max="18" width="11.1640625" style="121" bestFit="1" customWidth="1"/>
    <col min="19" max="19" width="13" style="121" bestFit="1" customWidth="1"/>
    <col min="20" max="20" width="11.6640625" style="121" customWidth="1"/>
    <col min="21" max="21" width="14.6640625" style="121" customWidth="1"/>
    <col min="22" max="22" width="9.1640625" style="121" customWidth="1"/>
    <col min="23" max="23" width="12.6640625" style="103" bestFit="1" customWidth="1"/>
    <col min="24" max="24" width="12.1640625" style="103" bestFit="1" customWidth="1"/>
    <col min="25" max="16384" width="10.83203125" style="103"/>
  </cols>
  <sheetData>
    <row r="1" spans="1:25" x14ac:dyDescent="0.15">
      <c r="A1" s="103" t="s">
        <v>0</v>
      </c>
      <c r="B1" s="103" t="s">
        <v>402</v>
      </c>
      <c r="C1" s="103" t="s">
        <v>511</v>
      </c>
      <c r="D1" s="103" t="s">
        <v>784</v>
      </c>
      <c r="E1" s="103" t="s">
        <v>81</v>
      </c>
      <c r="F1" s="103" t="s">
        <v>649</v>
      </c>
      <c r="G1" s="103" t="s">
        <v>981</v>
      </c>
      <c r="H1" s="120" t="s">
        <v>442</v>
      </c>
      <c r="I1" s="120" t="s">
        <v>583</v>
      </c>
      <c r="J1" s="121" t="s">
        <v>517</v>
      </c>
      <c r="K1" s="121" t="s">
        <v>675</v>
      </c>
      <c r="L1" s="122" t="s">
        <v>542</v>
      </c>
      <c r="M1" s="122" t="s">
        <v>641</v>
      </c>
      <c r="N1" s="122" t="s">
        <v>677</v>
      </c>
      <c r="O1" s="122" t="s">
        <v>982</v>
      </c>
      <c r="P1" s="122" t="s">
        <v>647</v>
      </c>
      <c r="Q1" s="122" t="s">
        <v>737</v>
      </c>
      <c r="R1" s="122" t="s">
        <v>676</v>
      </c>
      <c r="S1" s="122" t="s">
        <v>544</v>
      </c>
      <c r="T1" s="122" t="s">
        <v>642</v>
      </c>
      <c r="U1" s="122" t="s">
        <v>678</v>
      </c>
      <c r="V1" s="122" t="s">
        <v>648</v>
      </c>
      <c r="W1" s="123" t="s">
        <v>738</v>
      </c>
      <c r="X1" s="122"/>
    </row>
    <row r="2" spans="1:25" x14ac:dyDescent="0.15">
      <c r="A2" s="103" t="s">
        <v>46</v>
      </c>
      <c r="B2" s="103" t="s">
        <v>493</v>
      </c>
      <c r="C2" s="103" t="s">
        <v>979</v>
      </c>
      <c r="D2" s="103" t="s">
        <v>401</v>
      </c>
      <c r="E2" s="103" t="s">
        <v>82</v>
      </c>
      <c r="F2" s="103" t="s">
        <v>967</v>
      </c>
      <c r="G2" s="103">
        <v>0</v>
      </c>
      <c r="H2" s="108" t="s">
        <v>203</v>
      </c>
      <c r="I2" s="108" t="s">
        <v>581</v>
      </c>
      <c r="J2" s="132">
        <v>2590</v>
      </c>
      <c r="K2" s="132">
        <v>2590</v>
      </c>
      <c r="L2" s="132">
        <v>0</v>
      </c>
      <c r="M2" s="132">
        <v>0</v>
      </c>
      <c r="N2" s="132">
        <v>0</v>
      </c>
      <c r="O2" s="132">
        <f t="shared" ref="O2:O33" si="0">SIGN(L2)*N2</f>
        <v>0</v>
      </c>
      <c r="P2" s="132">
        <v>0</v>
      </c>
      <c r="Q2" s="132">
        <v>0</v>
      </c>
      <c r="R2" s="132">
        <v>2311.5384615384614</v>
      </c>
      <c r="S2" s="132">
        <v>-278.46153846153857</v>
      </c>
      <c r="T2" s="132">
        <v>278.46153846153857</v>
      </c>
      <c r="U2" s="132">
        <v>2.4463220455558781</v>
      </c>
      <c r="V2" s="132">
        <v>-10.751410751410756</v>
      </c>
      <c r="W2" s="132">
        <v>10.751410751410756</v>
      </c>
      <c r="X2" s="133"/>
    </row>
    <row r="3" spans="1:25" x14ac:dyDescent="0.15">
      <c r="A3" s="103" t="s">
        <v>46</v>
      </c>
      <c r="B3" s="103" t="s">
        <v>212</v>
      </c>
      <c r="C3" s="103" t="s">
        <v>975</v>
      </c>
      <c r="D3" s="103" t="s">
        <v>403</v>
      </c>
      <c r="E3" s="103" t="s">
        <v>82</v>
      </c>
      <c r="F3" s="103" t="s">
        <v>967</v>
      </c>
      <c r="G3" s="103">
        <v>0</v>
      </c>
      <c r="H3" s="120" t="s">
        <v>494</v>
      </c>
      <c r="I3" s="120" t="s">
        <v>580</v>
      </c>
      <c r="J3" s="132">
        <v>1287.4000000000001</v>
      </c>
      <c r="K3" s="132">
        <v>1287.6202850000002</v>
      </c>
      <c r="L3" s="132">
        <v>0.22028500000010354</v>
      </c>
      <c r="M3" s="132">
        <v>0.22028500000010354</v>
      </c>
      <c r="N3" s="132">
        <v>8.6461272865271166E-2</v>
      </c>
      <c r="O3" s="132">
        <f t="shared" si="0"/>
        <v>8.6461272865271166E-2</v>
      </c>
      <c r="P3" s="132">
        <v>1.7110843560672946E-2</v>
      </c>
      <c r="Q3" s="132">
        <v>1.7110843560672946E-2</v>
      </c>
      <c r="R3" s="132">
        <v>1263.3535200000001</v>
      </c>
      <c r="S3" s="132">
        <v>-24.046479999999974</v>
      </c>
      <c r="T3" s="132">
        <v>24.046479999999974</v>
      </c>
      <c r="U3" s="132">
        <v>1.3987466993053321</v>
      </c>
      <c r="V3" s="132">
        <v>-1.8678328413857366</v>
      </c>
      <c r="W3" s="132">
        <v>1.8678328413857366</v>
      </c>
      <c r="X3" s="133"/>
    </row>
    <row r="4" spans="1:25" x14ac:dyDescent="0.15">
      <c r="A4" s="103" t="s">
        <v>46</v>
      </c>
      <c r="B4" s="103" t="s">
        <v>212</v>
      </c>
      <c r="C4" s="103" t="s">
        <v>979</v>
      </c>
      <c r="D4" s="103" t="s">
        <v>403</v>
      </c>
      <c r="E4" s="103" t="s">
        <v>82</v>
      </c>
      <c r="F4" s="103" t="s">
        <v>967</v>
      </c>
      <c r="G4" s="103">
        <v>0</v>
      </c>
      <c r="H4" s="120" t="s">
        <v>494</v>
      </c>
      <c r="I4" s="120" t="s">
        <v>580</v>
      </c>
      <c r="J4" s="132">
        <v>1287.4000000000001</v>
      </c>
      <c r="K4" s="132">
        <v>1284.25</v>
      </c>
      <c r="L4" s="132">
        <v>-3.1500000000000909</v>
      </c>
      <c r="M4" s="132">
        <v>3.1500000000000909</v>
      </c>
      <c r="N4" s="132">
        <v>0.61804809671210226</v>
      </c>
      <c r="O4" s="132">
        <f t="shared" si="0"/>
        <v>-0.61804809671210226</v>
      </c>
      <c r="P4" s="132">
        <v>-0.24467919838434757</v>
      </c>
      <c r="Q4" s="132">
        <v>0.24467919838434757</v>
      </c>
      <c r="R4" s="132">
        <v>1205</v>
      </c>
      <c r="S4" s="132">
        <v>-82.400000000000091</v>
      </c>
      <c r="T4" s="132">
        <v>82.400000000000091</v>
      </c>
      <c r="U4" s="132">
        <v>1.9211660506377393</v>
      </c>
      <c r="V4" s="132">
        <v>-6.4004971259903751</v>
      </c>
      <c r="W4" s="132">
        <v>6.4004971259903751</v>
      </c>
      <c r="X4" s="133"/>
    </row>
    <row r="5" spans="1:25" x14ac:dyDescent="0.15">
      <c r="A5" s="103" t="s">
        <v>46</v>
      </c>
      <c r="B5" s="103" t="s">
        <v>470</v>
      </c>
      <c r="C5" s="103" t="s">
        <v>979</v>
      </c>
      <c r="D5" s="103" t="s">
        <v>458</v>
      </c>
      <c r="E5" s="103" t="s">
        <v>82</v>
      </c>
      <c r="F5" s="103" t="s">
        <v>967</v>
      </c>
      <c r="G5" s="103">
        <v>0</v>
      </c>
      <c r="H5" s="117" t="s">
        <v>494</v>
      </c>
      <c r="I5" s="108" t="s">
        <v>580</v>
      </c>
      <c r="J5" s="134">
        <v>960</v>
      </c>
      <c r="K5" s="132">
        <v>965</v>
      </c>
      <c r="L5" s="132">
        <v>5</v>
      </c>
      <c r="M5" s="132">
        <v>5</v>
      </c>
      <c r="N5" s="132">
        <v>0.77815125038364363</v>
      </c>
      <c r="O5" s="132">
        <f t="shared" si="0"/>
        <v>0.77815125038364363</v>
      </c>
      <c r="P5" s="132">
        <v>0.52083333333333337</v>
      </c>
      <c r="Q5" s="132">
        <v>0.52083333333333337</v>
      </c>
      <c r="R5" s="132">
        <v>961.53846153846155</v>
      </c>
      <c r="S5" s="132">
        <v>1.5384615384615472</v>
      </c>
      <c r="T5" s="132">
        <v>1.5384615384615472</v>
      </c>
      <c r="U5" s="132">
        <v>0.40457058757105219</v>
      </c>
      <c r="V5" s="132">
        <v>0.16025641025641116</v>
      </c>
      <c r="W5" s="132">
        <v>0.16025641025641116</v>
      </c>
      <c r="X5" s="133"/>
    </row>
    <row r="6" spans="1:25" x14ac:dyDescent="0.15">
      <c r="A6" s="103" t="s">
        <v>46</v>
      </c>
      <c r="B6" s="103" t="s">
        <v>471</v>
      </c>
      <c r="C6" s="103" t="s">
        <v>979</v>
      </c>
      <c r="D6" s="103" t="s">
        <v>458</v>
      </c>
      <c r="E6" s="103" t="s">
        <v>82</v>
      </c>
      <c r="F6" s="103" t="s">
        <v>967</v>
      </c>
      <c r="G6" s="103">
        <v>0</v>
      </c>
      <c r="H6" s="108" t="s">
        <v>494</v>
      </c>
      <c r="I6" s="120" t="s">
        <v>580</v>
      </c>
      <c r="J6" s="132">
        <v>1065</v>
      </c>
      <c r="K6" s="132">
        <v>1054.8499999999999</v>
      </c>
      <c r="L6" s="132">
        <v>-10.150000000000091</v>
      </c>
      <c r="M6" s="132">
        <v>10.150000000000091</v>
      </c>
      <c r="N6" s="132">
        <v>1.047274867384183</v>
      </c>
      <c r="O6" s="132">
        <f t="shared" si="0"/>
        <v>-1.047274867384183</v>
      </c>
      <c r="P6" s="132">
        <v>-0.9530516431924968</v>
      </c>
      <c r="Q6" s="132">
        <v>0.9530516431924968</v>
      </c>
      <c r="R6" s="132">
        <v>1111.5384615384614</v>
      </c>
      <c r="S6" s="132">
        <v>46.538461538461434</v>
      </c>
      <c r="T6" s="132">
        <v>46.538461538461434</v>
      </c>
      <c r="U6" s="132">
        <v>1.677045122781978</v>
      </c>
      <c r="V6" s="132">
        <v>4.3698085951606984</v>
      </c>
      <c r="W6" s="132">
        <v>4.3698085951606984</v>
      </c>
      <c r="X6" s="133"/>
    </row>
    <row r="7" spans="1:25" x14ac:dyDescent="0.15">
      <c r="A7" s="103" t="s">
        <v>46</v>
      </c>
      <c r="B7" s="103" t="s">
        <v>470</v>
      </c>
      <c r="C7" s="103" t="s">
        <v>975</v>
      </c>
      <c r="D7" s="103" t="s">
        <v>458</v>
      </c>
      <c r="E7" s="103" t="s">
        <v>82</v>
      </c>
      <c r="F7" s="103" t="s">
        <v>967</v>
      </c>
      <c r="G7" s="103">
        <v>0</v>
      </c>
      <c r="H7" s="117" t="s">
        <v>494</v>
      </c>
      <c r="I7" s="108" t="s">
        <v>580</v>
      </c>
      <c r="J7" s="132">
        <v>960</v>
      </c>
      <c r="K7" s="132">
        <v>949.46429999999998</v>
      </c>
      <c r="L7" s="132">
        <v>-10.53570000000002</v>
      </c>
      <c r="M7" s="132">
        <v>10.53570000000002</v>
      </c>
      <c r="N7" s="132">
        <v>1.0620439531625676</v>
      </c>
      <c r="O7" s="132">
        <f t="shared" si="0"/>
        <v>-1.0620439531625676</v>
      </c>
      <c r="P7" s="132">
        <v>-1.097468750000002</v>
      </c>
      <c r="Q7" s="132">
        <v>1.097468750000002</v>
      </c>
      <c r="R7" s="132">
        <v>993.41700000000014</v>
      </c>
      <c r="S7" s="132">
        <v>33.417000000000144</v>
      </c>
      <c r="T7" s="132">
        <v>33.417000000000144</v>
      </c>
      <c r="U7" s="132">
        <v>1.5367730118303644</v>
      </c>
      <c r="V7" s="132">
        <v>3.4809375000000151</v>
      </c>
      <c r="W7" s="132">
        <v>3.4809375000000151</v>
      </c>
      <c r="X7" s="133"/>
    </row>
    <row r="8" spans="1:25" x14ac:dyDescent="0.15">
      <c r="A8" s="103" t="s">
        <v>46</v>
      </c>
      <c r="B8" s="103" t="s">
        <v>224</v>
      </c>
      <c r="C8" s="103" t="s">
        <v>975</v>
      </c>
      <c r="D8" s="103" t="s">
        <v>403</v>
      </c>
      <c r="E8" s="103" t="s">
        <v>82</v>
      </c>
      <c r="F8" s="103" t="s">
        <v>967</v>
      </c>
      <c r="G8" s="103">
        <v>0</v>
      </c>
      <c r="H8" s="120" t="s">
        <v>494</v>
      </c>
      <c r="I8" s="120" t="s">
        <v>580</v>
      </c>
      <c r="J8" s="132">
        <v>908.46</v>
      </c>
      <c r="K8" s="132">
        <v>922.98379999999997</v>
      </c>
      <c r="L8" s="132">
        <v>14.523799999999937</v>
      </c>
      <c r="M8" s="132">
        <v>14.523799999999937</v>
      </c>
      <c r="N8" s="132">
        <v>1.1909980388956038</v>
      </c>
      <c r="O8" s="132">
        <f t="shared" si="0"/>
        <v>1.1909980388956038</v>
      </c>
      <c r="P8" s="132">
        <v>1.5987275168967194</v>
      </c>
      <c r="Q8" s="132">
        <v>1.5987275168967194</v>
      </c>
      <c r="R8" s="132">
        <v>950.77300000000002</v>
      </c>
      <c r="S8" s="132">
        <v>42.312999999999988</v>
      </c>
      <c r="T8" s="132">
        <v>42.312999999999988</v>
      </c>
      <c r="U8" s="132">
        <v>1.6366182654274568</v>
      </c>
      <c r="V8" s="132">
        <v>4.6576624177178951</v>
      </c>
      <c r="W8" s="132">
        <v>4.6576624177178951</v>
      </c>
      <c r="X8" s="133"/>
    </row>
    <row r="9" spans="1:25" x14ac:dyDescent="0.15">
      <c r="A9" s="103" t="s">
        <v>46</v>
      </c>
      <c r="B9" s="103" t="s">
        <v>594</v>
      </c>
      <c r="C9" s="103" t="s">
        <v>971</v>
      </c>
      <c r="D9" s="103" t="s">
        <v>403</v>
      </c>
      <c r="E9" s="103" t="s">
        <v>82</v>
      </c>
      <c r="F9" s="103" t="s">
        <v>968</v>
      </c>
      <c r="G9" s="103">
        <v>1</v>
      </c>
      <c r="H9" s="120" t="s">
        <v>494</v>
      </c>
      <c r="I9" s="120" t="s">
        <v>580</v>
      </c>
      <c r="J9" s="132">
        <v>870</v>
      </c>
      <c r="K9" s="132">
        <v>885.02428952029015</v>
      </c>
      <c r="L9" s="132">
        <v>15.024289520290154</v>
      </c>
      <c r="M9" s="132">
        <v>15.024289520290154</v>
      </c>
      <c r="N9" s="132">
        <v>1.2047787830109644</v>
      </c>
      <c r="O9" s="132">
        <f t="shared" si="0"/>
        <v>1.2047787830109644</v>
      </c>
      <c r="P9" s="132">
        <v>1.7269298299184084</v>
      </c>
      <c r="Q9" s="132">
        <v>1.7269298299184084</v>
      </c>
      <c r="R9" s="132">
        <v>877.04693423108313</v>
      </c>
      <c r="S9" s="132">
        <v>7.046934231083128</v>
      </c>
      <c r="T9" s="132">
        <v>7.046934231083128</v>
      </c>
      <c r="U9" s="132">
        <v>0.90563045178123547</v>
      </c>
      <c r="V9" s="132">
        <v>0.80999244035438256</v>
      </c>
      <c r="W9" s="132">
        <v>0.80999244035438256</v>
      </c>
      <c r="X9" s="133"/>
    </row>
    <row r="10" spans="1:25" x14ac:dyDescent="0.15">
      <c r="A10" s="103" t="s">
        <v>46</v>
      </c>
      <c r="B10" s="103" t="s">
        <v>474</v>
      </c>
      <c r="C10" s="103" t="s">
        <v>975</v>
      </c>
      <c r="D10" s="103" t="s">
        <v>458</v>
      </c>
      <c r="E10" s="103" t="s">
        <v>82</v>
      </c>
      <c r="F10" s="103" t="s">
        <v>967</v>
      </c>
      <c r="G10" s="103">
        <v>0</v>
      </c>
      <c r="H10" s="108" t="s">
        <v>494</v>
      </c>
      <c r="I10" s="108" t="s">
        <v>580</v>
      </c>
      <c r="J10" s="134">
        <v>970</v>
      </c>
      <c r="K10" s="132">
        <v>986.53700000000003</v>
      </c>
      <c r="L10" s="132">
        <v>16.537000000000035</v>
      </c>
      <c r="M10" s="132">
        <v>16.537000000000035</v>
      </c>
      <c r="N10" s="132">
        <v>1.2439553019787419</v>
      </c>
      <c r="O10" s="132">
        <f t="shared" si="0"/>
        <v>1.2439553019787419</v>
      </c>
      <c r="P10" s="132">
        <v>1.7048453608247458</v>
      </c>
      <c r="Q10" s="132">
        <v>1.7048453608247458</v>
      </c>
      <c r="R10" s="132">
        <v>1065.9118000000001</v>
      </c>
      <c r="S10" s="132">
        <v>95.911800000000085</v>
      </c>
      <c r="T10" s="132">
        <v>95.911800000000085</v>
      </c>
      <c r="U10" s="132">
        <v>1.9863766600526551</v>
      </c>
      <c r="V10" s="132">
        <v>9.887814432989698</v>
      </c>
      <c r="W10" s="132">
        <v>9.887814432989698</v>
      </c>
      <c r="X10" s="133"/>
    </row>
    <row r="11" spans="1:25" x14ac:dyDescent="0.15">
      <c r="A11" s="103" t="s">
        <v>46</v>
      </c>
      <c r="B11" s="103" t="s">
        <v>471</v>
      </c>
      <c r="C11" s="103" t="s">
        <v>975</v>
      </c>
      <c r="D11" s="103" t="s">
        <v>458</v>
      </c>
      <c r="E11" s="103" t="s">
        <v>82</v>
      </c>
      <c r="F11" s="103" t="s">
        <v>967</v>
      </c>
      <c r="G11" s="103">
        <v>0</v>
      </c>
      <c r="H11" s="108" t="s">
        <v>494</v>
      </c>
      <c r="I11" s="108" t="s">
        <v>580</v>
      </c>
      <c r="J11" s="134">
        <v>1065</v>
      </c>
      <c r="K11" s="132">
        <v>1044.635217</v>
      </c>
      <c r="L11" s="132">
        <v>-20.364782999999989</v>
      </c>
      <c r="M11" s="132">
        <v>20.364782999999989</v>
      </c>
      <c r="N11" s="132">
        <v>1.3296984860892707</v>
      </c>
      <c r="O11" s="132">
        <f t="shared" si="0"/>
        <v>-1.3296984860892707</v>
      </c>
      <c r="P11" s="132">
        <v>-1.9121861971830976</v>
      </c>
      <c r="Q11" s="132">
        <v>1.9121861971830976</v>
      </c>
      <c r="R11" s="132">
        <v>1159.7286000000001</v>
      </c>
      <c r="S11" s="132">
        <v>94.728600000000142</v>
      </c>
      <c r="T11" s="132">
        <v>94.728600000000142</v>
      </c>
      <c r="U11" s="132">
        <v>1.9810417075424367</v>
      </c>
      <c r="V11" s="132">
        <v>8.8947042253521271</v>
      </c>
      <c r="W11" s="132">
        <v>8.8947042253521271</v>
      </c>
      <c r="X11" s="133"/>
    </row>
    <row r="12" spans="1:25" x14ac:dyDescent="0.15">
      <c r="A12" s="103" t="s">
        <v>46</v>
      </c>
      <c r="B12" s="103" t="s">
        <v>594</v>
      </c>
      <c r="C12" s="103" t="s">
        <v>970</v>
      </c>
      <c r="D12" s="103" t="s">
        <v>403</v>
      </c>
      <c r="E12" s="103" t="s">
        <v>82</v>
      </c>
      <c r="F12" s="103" t="s">
        <v>967</v>
      </c>
      <c r="G12" s="103">
        <v>0</v>
      </c>
      <c r="H12" s="120" t="s">
        <v>494</v>
      </c>
      <c r="I12" s="120" t="s">
        <v>580</v>
      </c>
      <c r="J12" s="132">
        <v>870</v>
      </c>
      <c r="K12" s="132">
        <v>893.28719999999998</v>
      </c>
      <c r="L12" s="132">
        <v>23.287199999999984</v>
      </c>
      <c r="M12" s="132">
        <v>23.287199999999984</v>
      </c>
      <c r="N12" s="132">
        <v>1.385377449154962</v>
      </c>
      <c r="O12" s="132">
        <f t="shared" si="0"/>
        <v>1.385377449154962</v>
      </c>
      <c r="P12" s="132">
        <v>2.676689655172412</v>
      </c>
      <c r="Q12" s="132">
        <v>2.676689655172412</v>
      </c>
      <c r="R12" s="132">
        <v>883.15100000000007</v>
      </c>
      <c r="S12" s="132">
        <v>13.151000000000067</v>
      </c>
      <c r="T12" s="132">
        <v>13.151000000000067</v>
      </c>
      <c r="U12" s="132">
        <v>1.1507871309653663</v>
      </c>
      <c r="V12" s="132">
        <v>1.5116091954023065</v>
      </c>
      <c r="W12" s="132">
        <v>1.5116091954023065</v>
      </c>
      <c r="X12" s="133"/>
    </row>
    <row r="13" spans="1:25" x14ac:dyDescent="0.15">
      <c r="A13" s="103" t="s">
        <v>46</v>
      </c>
      <c r="B13" s="103" t="s">
        <v>468</v>
      </c>
      <c r="C13" s="103" t="s">
        <v>979</v>
      </c>
      <c r="D13" s="103" t="s">
        <v>458</v>
      </c>
      <c r="E13" s="103" t="s">
        <v>82</v>
      </c>
      <c r="F13" s="103" t="s">
        <v>967</v>
      </c>
      <c r="G13" s="103">
        <v>0</v>
      </c>
      <c r="H13" s="117" t="s">
        <v>494</v>
      </c>
      <c r="I13" s="108" t="s">
        <v>580</v>
      </c>
      <c r="J13" s="132">
        <v>1050</v>
      </c>
      <c r="K13" s="132">
        <v>1021.9999999999999</v>
      </c>
      <c r="L13" s="132">
        <v>-28.000000000000114</v>
      </c>
      <c r="M13" s="132">
        <v>28.000000000000114</v>
      </c>
      <c r="N13" s="132">
        <v>1.4623979978989579</v>
      </c>
      <c r="O13" s="132">
        <f t="shared" si="0"/>
        <v>-1.4623979978989579</v>
      </c>
      <c r="P13" s="132">
        <v>-2.6666666666666776</v>
      </c>
      <c r="Q13" s="132">
        <v>2.6666666666666776</v>
      </c>
      <c r="R13" s="132">
        <v>1076.9230769230769</v>
      </c>
      <c r="S13" s="132">
        <v>26.923076923076906</v>
      </c>
      <c r="T13" s="132">
        <v>26.923076923076906</v>
      </c>
      <c r="U13" s="132">
        <v>1.4459632727292755</v>
      </c>
      <c r="V13" s="132">
        <v>2.5641025641025625</v>
      </c>
      <c r="W13" s="132">
        <v>2.5641025641025625</v>
      </c>
      <c r="X13" s="133"/>
    </row>
    <row r="14" spans="1:25" x14ac:dyDescent="0.15">
      <c r="A14" s="103" t="s">
        <v>46</v>
      </c>
      <c r="B14" s="103" t="s">
        <v>493</v>
      </c>
      <c r="C14" s="103" t="s">
        <v>971</v>
      </c>
      <c r="D14" s="103" t="s">
        <v>401</v>
      </c>
      <c r="E14" s="103" t="s">
        <v>82</v>
      </c>
      <c r="F14" s="103" t="s">
        <v>968</v>
      </c>
      <c r="G14" s="103">
        <v>1</v>
      </c>
      <c r="H14" s="120" t="s">
        <v>203</v>
      </c>
      <c r="I14" s="120" t="s">
        <v>581</v>
      </c>
      <c r="J14" s="132">
        <v>2590</v>
      </c>
      <c r="K14" s="132">
        <v>2561.8758059145525</v>
      </c>
      <c r="L14" s="132">
        <v>-28.124194085447471</v>
      </c>
      <c r="M14" s="132">
        <v>28.124194085447471</v>
      </c>
      <c r="N14" s="132">
        <v>1.4642539165547415</v>
      </c>
      <c r="O14" s="132">
        <f t="shared" si="0"/>
        <v>-1.4642539165547415</v>
      </c>
      <c r="P14" s="132">
        <v>-1.0858762195153464</v>
      </c>
      <c r="Q14" s="132">
        <v>1.0858762195153464</v>
      </c>
      <c r="R14" s="132">
        <v>2315.95488531512</v>
      </c>
      <c r="S14" s="132">
        <v>-274.04511468487999</v>
      </c>
      <c r="T14" s="132">
        <v>274.04511468487999</v>
      </c>
      <c r="U14" s="132">
        <v>2.4394039354728734</v>
      </c>
      <c r="V14" s="132">
        <v>-10.580892458875676</v>
      </c>
      <c r="W14" s="132">
        <v>10.580892458875676</v>
      </c>
      <c r="X14" s="133"/>
      <c r="Y14" s="103" t="s">
        <v>27</v>
      </c>
    </row>
    <row r="15" spans="1:25" x14ac:dyDescent="0.15">
      <c r="A15" s="103" t="s">
        <v>46</v>
      </c>
      <c r="B15" s="103" t="s">
        <v>474</v>
      </c>
      <c r="C15" s="103" t="s">
        <v>979</v>
      </c>
      <c r="D15" s="103" t="s">
        <v>458</v>
      </c>
      <c r="E15" s="103" t="s">
        <v>82</v>
      </c>
      <c r="F15" s="103" t="s">
        <v>967</v>
      </c>
      <c r="G15" s="103">
        <v>0</v>
      </c>
      <c r="H15" s="108" t="s">
        <v>494</v>
      </c>
      <c r="I15" s="108" t="s">
        <v>580</v>
      </c>
      <c r="J15" s="134">
        <v>970</v>
      </c>
      <c r="K15" s="132">
        <v>1000</v>
      </c>
      <c r="L15" s="132">
        <v>30</v>
      </c>
      <c r="M15" s="132">
        <v>30</v>
      </c>
      <c r="N15" s="132">
        <v>1.4913616938342726</v>
      </c>
      <c r="O15" s="132">
        <f t="shared" si="0"/>
        <v>1.4913616938342726</v>
      </c>
      <c r="P15" s="132">
        <v>3.0927835051546393</v>
      </c>
      <c r="Q15" s="132">
        <v>3.0927835051546393</v>
      </c>
      <c r="R15" s="132">
        <v>1026.9230769230769</v>
      </c>
      <c r="S15" s="132">
        <v>56.923076923076906</v>
      </c>
      <c r="T15" s="132">
        <v>56.923076923076906</v>
      </c>
      <c r="U15" s="132">
        <v>1.7628516238938636</v>
      </c>
      <c r="V15" s="132">
        <v>5.8683584456780311</v>
      </c>
      <c r="W15" s="132">
        <v>5.8683584456780311</v>
      </c>
      <c r="X15" s="133"/>
    </row>
    <row r="16" spans="1:25" x14ac:dyDescent="0.15">
      <c r="A16" s="103" t="s">
        <v>46</v>
      </c>
      <c r="B16" s="103" t="s">
        <v>224</v>
      </c>
      <c r="C16" s="103" t="s">
        <v>979</v>
      </c>
      <c r="D16" s="103" t="s">
        <v>403</v>
      </c>
      <c r="E16" s="103" t="s">
        <v>82</v>
      </c>
      <c r="F16" s="103" t="s">
        <v>967</v>
      </c>
      <c r="G16" s="103">
        <v>0</v>
      </c>
      <c r="H16" s="120" t="s">
        <v>494</v>
      </c>
      <c r="I16" s="120" t="s">
        <v>580</v>
      </c>
      <c r="J16" s="132">
        <v>908.46</v>
      </c>
      <c r="K16" s="132">
        <v>940</v>
      </c>
      <c r="L16" s="132">
        <v>31.539999999999964</v>
      </c>
      <c r="M16" s="132">
        <v>31.539999999999964</v>
      </c>
      <c r="N16" s="132">
        <v>1.5124175486008395</v>
      </c>
      <c r="O16" s="132">
        <f t="shared" si="0"/>
        <v>1.5124175486008395</v>
      </c>
      <c r="P16" s="132">
        <v>3.4718094357484053</v>
      </c>
      <c r="Q16" s="132">
        <v>3.4718094357484053</v>
      </c>
      <c r="R16" s="132">
        <v>923.07692307692309</v>
      </c>
      <c r="S16" s="132">
        <v>14.616923076923058</v>
      </c>
      <c r="T16" s="132">
        <v>14.616923076923058</v>
      </c>
      <c r="U16" s="132">
        <v>1.1935954711324339</v>
      </c>
      <c r="V16" s="132">
        <v>1.6089781693110381</v>
      </c>
      <c r="W16" s="132">
        <v>1.6089781693110381</v>
      </c>
      <c r="X16" s="133"/>
    </row>
    <row r="17" spans="1:24" x14ac:dyDescent="0.15">
      <c r="A17" s="103" t="s">
        <v>46</v>
      </c>
      <c r="B17" s="103" t="s">
        <v>466</v>
      </c>
      <c r="C17" s="103" t="s">
        <v>970</v>
      </c>
      <c r="D17" s="103" t="s">
        <v>458</v>
      </c>
      <c r="E17" s="103" t="s">
        <v>82</v>
      </c>
      <c r="F17" s="103" t="s">
        <v>967</v>
      </c>
      <c r="G17" s="103">
        <v>0</v>
      </c>
      <c r="H17" s="108" t="s">
        <v>494</v>
      </c>
      <c r="I17" s="108" t="s">
        <v>580</v>
      </c>
      <c r="J17" s="134">
        <v>1020</v>
      </c>
      <c r="K17" s="132">
        <v>986.20479999999998</v>
      </c>
      <c r="L17" s="132">
        <v>-33.795200000000023</v>
      </c>
      <c r="M17" s="132">
        <v>33.795200000000023</v>
      </c>
      <c r="N17" s="132">
        <v>1.5415193371278224</v>
      </c>
      <c r="O17" s="132">
        <f t="shared" si="0"/>
        <v>-1.5415193371278224</v>
      </c>
      <c r="P17" s="132">
        <v>-3.3132549019607866</v>
      </c>
      <c r="Q17" s="132">
        <v>3.3132549019607866</v>
      </c>
      <c r="R17" s="132">
        <v>984.06999999999994</v>
      </c>
      <c r="S17" s="132">
        <v>-35.930000000000064</v>
      </c>
      <c r="T17" s="132">
        <v>35.930000000000064</v>
      </c>
      <c r="U17" s="132">
        <v>1.5673793076509794</v>
      </c>
      <c r="V17" s="132">
        <v>-3.5225490196078493</v>
      </c>
      <c r="W17" s="132">
        <v>3.5225490196078493</v>
      </c>
      <c r="X17" s="133"/>
    </row>
    <row r="18" spans="1:24" x14ac:dyDescent="0.15">
      <c r="A18" s="103" t="s">
        <v>46</v>
      </c>
      <c r="B18" s="103" t="s">
        <v>467</v>
      </c>
      <c r="C18" s="103" t="s">
        <v>971</v>
      </c>
      <c r="D18" s="103" t="s">
        <v>458</v>
      </c>
      <c r="E18" s="103" t="s">
        <v>82</v>
      </c>
      <c r="F18" s="103" t="s">
        <v>968</v>
      </c>
      <c r="G18" s="103">
        <v>1</v>
      </c>
      <c r="H18" s="117" t="s">
        <v>494</v>
      </c>
      <c r="I18" s="108" t="s">
        <v>580</v>
      </c>
      <c r="J18" s="135">
        <v>1000</v>
      </c>
      <c r="K18" s="132">
        <v>1039.37196136491</v>
      </c>
      <c r="L18" s="132">
        <v>39.371961364910021</v>
      </c>
      <c r="M18" s="132">
        <v>39.371961364910021</v>
      </c>
      <c r="N18" s="132">
        <v>1.6060798489710184</v>
      </c>
      <c r="O18" s="132">
        <f t="shared" si="0"/>
        <v>1.6060798489710184</v>
      </c>
      <c r="P18" s="132">
        <v>3.9371961364910022</v>
      </c>
      <c r="Q18" s="132">
        <v>3.9371961364910022</v>
      </c>
      <c r="R18" s="132">
        <v>1028.941922572779</v>
      </c>
      <c r="S18" s="132">
        <v>28.941922572779049</v>
      </c>
      <c r="T18" s="132">
        <v>28.941922572779049</v>
      </c>
      <c r="U18" s="132">
        <v>1.4762796829790414</v>
      </c>
      <c r="V18" s="132">
        <v>2.8941922572779051</v>
      </c>
      <c r="W18" s="132">
        <v>2.8941922572779051</v>
      </c>
      <c r="X18" s="133"/>
    </row>
    <row r="19" spans="1:24" x14ac:dyDescent="0.15">
      <c r="A19" s="103" t="s">
        <v>46</v>
      </c>
      <c r="B19" s="103" t="s">
        <v>468</v>
      </c>
      <c r="C19" s="103" t="s">
        <v>975</v>
      </c>
      <c r="D19" s="103" t="s">
        <v>458</v>
      </c>
      <c r="E19" s="103" t="s">
        <v>82</v>
      </c>
      <c r="F19" s="103" t="s">
        <v>967</v>
      </c>
      <c r="G19" s="103">
        <v>0</v>
      </c>
      <c r="H19" s="117" t="s">
        <v>494</v>
      </c>
      <c r="I19" s="108" t="s">
        <v>580</v>
      </c>
      <c r="J19" s="132">
        <v>1050</v>
      </c>
      <c r="K19" s="132">
        <v>1009.8398399999999</v>
      </c>
      <c r="L19" s="132">
        <v>-40.160160000000133</v>
      </c>
      <c r="M19" s="132">
        <v>40.160160000000133</v>
      </c>
      <c r="N19" s="132">
        <v>1.6144770543066758</v>
      </c>
      <c r="O19" s="132">
        <f t="shared" si="0"/>
        <v>-1.6144770543066758</v>
      </c>
      <c r="P19" s="132">
        <v>-3.8247771428571555</v>
      </c>
      <c r="Q19" s="132">
        <v>3.8247771428571555</v>
      </c>
      <c r="R19" s="132">
        <v>1121.3490000000002</v>
      </c>
      <c r="S19" s="132">
        <v>71.34900000000016</v>
      </c>
      <c r="T19" s="132">
        <v>71.34900000000016</v>
      </c>
      <c r="U19" s="132">
        <v>1.8594325327255026</v>
      </c>
      <c r="V19" s="132">
        <v>6.7951428571428725</v>
      </c>
      <c r="W19" s="132">
        <v>6.7951428571428725</v>
      </c>
      <c r="X19" s="133"/>
    </row>
    <row r="20" spans="1:24" x14ac:dyDescent="0.15">
      <c r="A20" s="103" t="s">
        <v>46</v>
      </c>
      <c r="B20" s="103" t="s">
        <v>466</v>
      </c>
      <c r="C20" s="103" t="s">
        <v>971</v>
      </c>
      <c r="D20" s="103" t="s">
        <v>458</v>
      </c>
      <c r="E20" s="103" t="s">
        <v>82</v>
      </c>
      <c r="F20" s="103" t="s">
        <v>968</v>
      </c>
      <c r="G20" s="103">
        <v>1</v>
      </c>
      <c r="H20" s="108" t="s">
        <v>494</v>
      </c>
      <c r="I20" s="108" t="s">
        <v>580</v>
      </c>
      <c r="J20" s="136">
        <v>1020</v>
      </c>
      <c r="K20" s="132">
        <v>979.34592290147737</v>
      </c>
      <c r="L20" s="132">
        <v>-40.654077098522635</v>
      </c>
      <c r="M20" s="132">
        <v>40.654077098522635</v>
      </c>
      <c r="N20" s="132">
        <v>1.6196575165406843</v>
      </c>
      <c r="O20" s="132">
        <f t="shared" si="0"/>
        <v>-1.6196575165406843</v>
      </c>
      <c r="P20" s="132">
        <v>-3.9856938331884937</v>
      </c>
      <c r="Q20" s="132">
        <v>3.9856938331884937</v>
      </c>
      <c r="R20" s="132">
        <v>978.11869693980543</v>
      </c>
      <c r="S20" s="132">
        <v>-41.881303060194568</v>
      </c>
      <c r="T20" s="132">
        <v>41.881303060194568</v>
      </c>
      <c r="U20" s="132">
        <v>1.6322679740553676</v>
      </c>
      <c r="V20" s="132">
        <v>-4.106010103940644</v>
      </c>
      <c r="W20" s="132">
        <v>4.106010103940644</v>
      </c>
      <c r="X20" s="133"/>
    </row>
    <row r="21" spans="1:24" x14ac:dyDescent="0.15">
      <c r="A21" s="103" t="s">
        <v>46</v>
      </c>
      <c r="B21" s="103" t="s">
        <v>467</v>
      </c>
      <c r="C21" s="103" t="s">
        <v>970</v>
      </c>
      <c r="D21" s="103" t="s">
        <v>458</v>
      </c>
      <c r="E21" s="103" t="s">
        <v>82</v>
      </c>
      <c r="F21" s="103" t="s">
        <v>967</v>
      </c>
      <c r="G21" s="103">
        <v>0</v>
      </c>
      <c r="H21" s="117" t="s">
        <v>494</v>
      </c>
      <c r="I21" s="108" t="s">
        <v>580</v>
      </c>
      <c r="J21" s="135">
        <v>1000</v>
      </c>
      <c r="K21" s="132">
        <v>1044.8896</v>
      </c>
      <c r="L21" s="132">
        <v>44.889599999999973</v>
      </c>
      <c r="M21" s="132">
        <v>44.889599999999973</v>
      </c>
      <c r="N21" s="132">
        <v>1.6617142721520599</v>
      </c>
      <c r="O21" s="132">
        <f t="shared" si="0"/>
        <v>1.6617142721520599</v>
      </c>
      <c r="P21" s="132">
        <v>4.488959999999997</v>
      </c>
      <c r="Q21" s="132">
        <v>4.488959999999997</v>
      </c>
      <c r="R21" s="132">
        <v>1034.5295000000001</v>
      </c>
      <c r="S21" s="132">
        <v>34.529500000000098</v>
      </c>
      <c r="T21" s="132">
        <v>34.529500000000098</v>
      </c>
      <c r="U21" s="132">
        <v>1.5505890957874187</v>
      </c>
      <c r="V21" s="132">
        <v>3.4529500000000097</v>
      </c>
      <c r="W21" s="132">
        <v>3.4529500000000097</v>
      </c>
      <c r="X21" s="133"/>
    </row>
    <row r="22" spans="1:24" x14ac:dyDescent="0.15">
      <c r="A22" s="103" t="s">
        <v>46</v>
      </c>
      <c r="B22" s="103" t="s">
        <v>466</v>
      </c>
      <c r="C22" s="103" t="s">
        <v>975</v>
      </c>
      <c r="D22" s="103" t="s">
        <v>458</v>
      </c>
      <c r="E22" s="103" t="s">
        <v>82</v>
      </c>
      <c r="F22" s="103" t="s">
        <v>967</v>
      </c>
      <c r="G22" s="103">
        <v>0</v>
      </c>
      <c r="H22" s="108" t="s">
        <v>494</v>
      </c>
      <c r="I22" s="108" t="s">
        <v>580</v>
      </c>
      <c r="J22" s="136">
        <v>1020</v>
      </c>
      <c r="K22" s="132">
        <v>1076.5707</v>
      </c>
      <c r="L22" s="132">
        <v>56.570699999999988</v>
      </c>
      <c r="M22" s="132">
        <v>56.570699999999988</v>
      </c>
      <c r="N22" s="132">
        <v>1.7602015100576895</v>
      </c>
      <c r="O22" s="132">
        <f t="shared" si="0"/>
        <v>1.7602015100576895</v>
      </c>
      <c r="P22" s="132">
        <v>5.5461470588235287</v>
      </c>
      <c r="Q22" s="132">
        <v>5.5461470588235287</v>
      </c>
      <c r="R22" s="132">
        <v>1078.7050000000002</v>
      </c>
      <c r="S22" s="132">
        <v>58.705000000000155</v>
      </c>
      <c r="T22" s="132">
        <v>58.705000000000155</v>
      </c>
      <c r="U22" s="132">
        <v>1.776010702678481</v>
      </c>
      <c r="V22" s="132">
        <v>5.7553921568627606</v>
      </c>
      <c r="W22" s="132">
        <v>5.7553921568627606</v>
      </c>
      <c r="X22" s="133"/>
    </row>
    <row r="23" spans="1:24" x14ac:dyDescent="0.15">
      <c r="A23" s="103" t="s">
        <v>46</v>
      </c>
      <c r="B23" s="103" t="s">
        <v>224</v>
      </c>
      <c r="C23" s="103" t="s">
        <v>970</v>
      </c>
      <c r="D23" s="103" t="s">
        <v>403</v>
      </c>
      <c r="E23" s="103" t="s">
        <v>82</v>
      </c>
      <c r="F23" s="103" t="s">
        <v>967</v>
      </c>
      <c r="G23" s="103">
        <v>0</v>
      </c>
      <c r="H23" s="120" t="s">
        <v>494</v>
      </c>
      <c r="I23" s="120" t="s">
        <v>580</v>
      </c>
      <c r="J23" s="132">
        <v>908.46</v>
      </c>
      <c r="K23" s="132">
        <v>844.38319999999999</v>
      </c>
      <c r="L23" s="132">
        <v>-64.076800000000048</v>
      </c>
      <c r="M23" s="132">
        <v>64.076800000000048</v>
      </c>
      <c r="N23" s="132">
        <v>1.813426189370688</v>
      </c>
      <c r="O23" s="132">
        <f t="shared" si="0"/>
        <v>-1.813426189370688</v>
      </c>
      <c r="P23" s="132">
        <v>-7.053343020055924</v>
      </c>
      <c r="Q23" s="132">
        <v>7.053343020055924</v>
      </c>
      <c r="R23" s="132">
        <v>867.625</v>
      </c>
      <c r="S23" s="132">
        <v>-40.835000000000036</v>
      </c>
      <c r="T23" s="132">
        <v>40.835000000000036</v>
      </c>
      <c r="U23" s="132">
        <v>1.6215397733217314</v>
      </c>
      <c r="V23" s="132">
        <v>-4.4949695088391382</v>
      </c>
      <c r="W23" s="132">
        <v>4.4949695088391382</v>
      </c>
      <c r="X23" s="133"/>
    </row>
    <row r="24" spans="1:24" x14ac:dyDescent="0.15">
      <c r="A24" s="103" t="s">
        <v>46</v>
      </c>
      <c r="B24" s="103" t="s">
        <v>466</v>
      </c>
      <c r="C24" s="103" t="s">
        <v>979</v>
      </c>
      <c r="D24" s="103" t="s">
        <v>458</v>
      </c>
      <c r="E24" s="103" t="s">
        <v>82</v>
      </c>
      <c r="F24" s="103" t="s">
        <v>967</v>
      </c>
      <c r="G24" s="103">
        <v>0</v>
      </c>
      <c r="H24" s="108" t="s">
        <v>494</v>
      </c>
      <c r="I24" s="108" t="s">
        <v>580</v>
      </c>
      <c r="J24" s="136">
        <v>1020</v>
      </c>
      <c r="K24" s="132">
        <v>1085</v>
      </c>
      <c r="L24" s="132">
        <v>65</v>
      </c>
      <c r="M24" s="132">
        <v>65</v>
      </c>
      <c r="N24" s="132">
        <v>1.8195439355418688</v>
      </c>
      <c r="O24" s="132">
        <f t="shared" si="0"/>
        <v>1.8195439355418688</v>
      </c>
      <c r="P24" s="132">
        <v>6.3725490196078427</v>
      </c>
      <c r="Q24" s="132">
        <v>6.3725490196078427</v>
      </c>
      <c r="R24" s="132">
        <v>1038.4615384615383</v>
      </c>
      <c r="S24" s="132">
        <v>18.461538461538339</v>
      </c>
      <c r="T24" s="132">
        <v>18.461538461538339</v>
      </c>
      <c r="U24" s="132">
        <v>1.2891771688689784</v>
      </c>
      <c r="V24" s="132">
        <v>1.8099547511312097</v>
      </c>
      <c r="W24" s="132">
        <v>1.8099547511312097</v>
      </c>
      <c r="X24" s="133"/>
    </row>
    <row r="25" spans="1:24" x14ac:dyDescent="0.15">
      <c r="A25" s="103" t="s">
        <v>46</v>
      </c>
      <c r="B25" s="103" t="s">
        <v>473</v>
      </c>
      <c r="C25" s="103" t="s">
        <v>979</v>
      </c>
      <c r="D25" s="103" t="s">
        <v>458</v>
      </c>
      <c r="E25" s="103" t="s">
        <v>82</v>
      </c>
      <c r="F25" s="103" t="s">
        <v>967</v>
      </c>
      <c r="G25" s="103">
        <v>0</v>
      </c>
      <c r="H25" s="108" t="s">
        <v>494</v>
      </c>
      <c r="I25" s="108" t="s">
        <v>580</v>
      </c>
      <c r="J25" s="132">
        <v>1100</v>
      </c>
      <c r="K25" s="132">
        <v>1035</v>
      </c>
      <c r="L25" s="132">
        <v>-65</v>
      </c>
      <c r="M25" s="132">
        <v>65</v>
      </c>
      <c r="N25" s="132">
        <v>1.8195439355418688</v>
      </c>
      <c r="O25" s="132">
        <f t="shared" si="0"/>
        <v>-1.8195439355418688</v>
      </c>
      <c r="P25" s="132">
        <v>-5.9090909090909092</v>
      </c>
      <c r="Q25" s="132">
        <v>5.9090909090909092</v>
      </c>
      <c r="R25" s="132">
        <v>1038.4615384615383</v>
      </c>
      <c r="S25" s="132">
        <v>-61.538461538461661</v>
      </c>
      <c r="T25" s="132">
        <v>61.538461538461661</v>
      </c>
      <c r="U25" s="132">
        <v>1.7961471932872322</v>
      </c>
      <c r="V25" s="132">
        <v>-5.5944055944056057</v>
      </c>
      <c r="W25" s="132">
        <v>5.5944055944056057</v>
      </c>
      <c r="X25" s="133"/>
    </row>
    <row r="26" spans="1:24" x14ac:dyDescent="0.15">
      <c r="A26" s="103" t="s">
        <v>46</v>
      </c>
      <c r="B26" s="103" t="s">
        <v>474</v>
      </c>
      <c r="C26" s="103" t="s">
        <v>970</v>
      </c>
      <c r="D26" s="103" t="s">
        <v>458</v>
      </c>
      <c r="E26" s="103" t="s">
        <v>82</v>
      </c>
      <c r="F26" s="103" t="s">
        <v>967</v>
      </c>
      <c r="G26" s="103">
        <v>0</v>
      </c>
      <c r="H26" s="108" t="s">
        <v>494</v>
      </c>
      <c r="I26" s="108" t="s">
        <v>580</v>
      </c>
      <c r="J26" s="134">
        <v>970</v>
      </c>
      <c r="K26" s="132">
        <v>903.06799999999998</v>
      </c>
      <c r="L26" s="132">
        <v>-66.932000000000016</v>
      </c>
      <c r="M26" s="132">
        <v>66.932000000000016</v>
      </c>
      <c r="N26" s="132">
        <v>1.8320744009322187</v>
      </c>
      <c r="O26" s="132">
        <f t="shared" si="0"/>
        <v>-1.8320744009322187</v>
      </c>
      <c r="P26" s="132">
        <v>-6.9002061855670123</v>
      </c>
      <c r="Q26" s="132">
        <v>6.9002061855670123</v>
      </c>
      <c r="R26" s="132">
        <v>972.42550000000006</v>
      </c>
      <c r="S26" s="132">
        <v>2.4255000000000564</v>
      </c>
      <c r="T26" s="132">
        <v>2.4255000000000564</v>
      </c>
      <c r="U26" s="132">
        <v>0.53472397185540932</v>
      </c>
      <c r="V26" s="132">
        <v>0.25005154639175842</v>
      </c>
      <c r="W26" s="132">
        <v>0.25005154639175842</v>
      </c>
      <c r="X26" s="133"/>
    </row>
    <row r="27" spans="1:24" x14ac:dyDescent="0.15">
      <c r="A27" s="103" t="s">
        <v>46</v>
      </c>
      <c r="B27" s="103" t="s">
        <v>204</v>
      </c>
      <c r="C27" s="103" t="s">
        <v>979</v>
      </c>
      <c r="D27" s="103" t="s">
        <v>403</v>
      </c>
      <c r="E27" s="103" t="s">
        <v>82</v>
      </c>
      <c r="F27" s="103" t="s">
        <v>967</v>
      </c>
      <c r="G27" s="103">
        <v>0</v>
      </c>
      <c r="H27" s="120" t="s">
        <v>494</v>
      </c>
      <c r="I27" s="120" t="s">
        <v>580</v>
      </c>
      <c r="J27" s="132">
        <v>1235.4099999999999</v>
      </c>
      <c r="K27" s="132">
        <v>1167</v>
      </c>
      <c r="L27" s="132">
        <v>-68.409999999999854</v>
      </c>
      <c r="M27" s="132">
        <v>68.409999999999854</v>
      </c>
      <c r="N27" s="132">
        <v>1.8414220444023583</v>
      </c>
      <c r="O27" s="132">
        <f t="shared" si="0"/>
        <v>-1.8414220444023583</v>
      </c>
      <c r="P27" s="132">
        <v>-5.5374329170072984</v>
      </c>
      <c r="Q27" s="132">
        <v>5.5374329170072984</v>
      </c>
      <c r="R27" s="132">
        <v>1134.2307692307691</v>
      </c>
      <c r="S27" s="132">
        <v>-101.1792307692308</v>
      </c>
      <c r="T27" s="132">
        <v>101.1792307692308</v>
      </c>
      <c r="U27" s="132">
        <v>2.0093626288812234</v>
      </c>
      <c r="V27" s="132">
        <v>-8.1899313401405855</v>
      </c>
      <c r="W27" s="132">
        <v>8.1899313401405855</v>
      </c>
      <c r="X27" s="133"/>
    </row>
    <row r="28" spans="1:24" x14ac:dyDescent="0.15">
      <c r="A28" s="103" t="s">
        <v>46</v>
      </c>
      <c r="B28" s="103" t="s">
        <v>204</v>
      </c>
      <c r="C28" s="103" t="s">
        <v>975</v>
      </c>
      <c r="D28" s="103" t="s">
        <v>403</v>
      </c>
      <c r="E28" s="103" t="s">
        <v>82</v>
      </c>
      <c r="F28" s="103" t="s">
        <v>967</v>
      </c>
      <c r="G28" s="103">
        <v>0</v>
      </c>
      <c r="H28" s="120" t="s">
        <v>494</v>
      </c>
      <c r="I28" s="120" t="s">
        <v>580</v>
      </c>
      <c r="J28" s="132">
        <v>1235.4099999999999</v>
      </c>
      <c r="K28" s="132">
        <v>1163.4267400000001</v>
      </c>
      <c r="L28" s="132">
        <v>-71.983259999999746</v>
      </c>
      <c r="M28" s="132">
        <v>71.983259999999746</v>
      </c>
      <c r="N28" s="132">
        <v>1.86322325843107</v>
      </c>
      <c r="O28" s="132">
        <f t="shared" si="0"/>
        <v>-1.86322325843107</v>
      </c>
      <c r="P28" s="132">
        <v>-5.8266696886053824</v>
      </c>
      <c r="Q28" s="132">
        <v>5.8266696886053824</v>
      </c>
      <c r="R28" s="132">
        <v>1184.8885599999999</v>
      </c>
      <c r="S28" s="132">
        <v>-50.521439999999984</v>
      </c>
      <c r="T28" s="132">
        <v>50.521439999999984</v>
      </c>
      <c r="U28" s="132">
        <v>1.7119879928477622</v>
      </c>
      <c r="V28" s="132">
        <v>-4.0894472280457492</v>
      </c>
      <c r="W28" s="132">
        <v>4.0894472280457492</v>
      </c>
      <c r="X28" s="133"/>
    </row>
    <row r="29" spans="1:24" x14ac:dyDescent="0.15">
      <c r="A29" s="103" t="s">
        <v>46</v>
      </c>
      <c r="B29" s="103" t="s">
        <v>224</v>
      </c>
      <c r="C29" s="103" t="s">
        <v>971</v>
      </c>
      <c r="D29" s="103" t="s">
        <v>403</v>
      </c>
      <c r="E29" s="103" t="s">
        <v>82</v>
      </c>
      <c r="F29" s="103" t="s">
        <v>968</v>
      </c>
      <c r="G29" s="103">
        <v>1</v>
      </c>
      <c r="H29" s="120" t="s">
        <v>494</v>
      </c>
      <c r="I29" s="120" t="s">
        <v>580</v>
      </c>
      <c r="J29" s="132">
        <v>908.46</v>
      </c>
      <c r="K29" s="132">
        <v>835.75710399945694</v>
      </c>
      <c r="L29" s="132">
        <v>-72.702896000543092</v>
      </c>
      <c r="M29" s="132">
        <v>72.702896000543092</v>
      </c>
      <c r="N29" s="132">
        <v>1.8674845528840915</v>
      </c>
      <c r="O29" s="132">
        <f t="shared" si="0"/>
        <v>-1.8674845528840915</v>
      </c>
      <c r="P29" s="132">
        <v>-8.0028725536119474</v>
      </c>
      <c r="Q29" s="132">
        <v>8.0028725536119474</v>
      </c>
      <c r="R29" s="132">
        <v>861.5689983229438</v>
      </c>
      <c r="S29" s="132">
        <v>-46.891001677056238</v>
      </c>
      <c r="T29" s="132">
        <v>46.891001677056238</v>
      </c>
      <c r="U29" s="132">
        <v>1.6802539207400127</v>
      </c>
      <c r="V29" s="132">
        <v>-5.1615923295528958</v>
      </c>
      <c r="W29" s="132">
        <v>5.1615923295528958</v>
      </c>
      <c r="X29" s="133"/>
    </row>
    <row r="30" spans="1:24" x14ac:dyDescent="0.15">
      <c r="A30" s="103" t="s">
        <v>46</v>
      </c>
      <c r="B30" s="103" t="s">
        <v>474</v>
      </c>
      <c r="C30" s="103" t="s">
        <v>971</v>
      </c>
      <c r="D30" s="103" t="s">
        <v>458</v>
      </c>
      <c r="E30" s="103" t="s">
        <v>82</v>
      </c>
      <c r="F30" s="103" t="s">
        <v>968</v>
      </c>
      <c r="G30" s="103">
        <v>1</v>
      </c>
      <c r="H30" s="117" t="s">
        <v>494</v>
      </c>
      <c r="I30" s="108" t="s">
        <v>580</v>
      </c>
      <c r="J30" s="134">
        <v>970</v>
      </c>
      <c r="K30" s="132">
        <v>894.90961254249169</v>
      </c>
      <c r="L30" s="132">
        <v>-75.090387457508314</v>
      </c>
      <c r="M30" s="132">
        <v>75.090387457508314</v>
      </c>
      <c r="N30" s="132">
        <v>1.8813297955636794</v>
      </c>
      <c r="O30" s="132">
        <f t="shared" si="0"/>
        <v>-1.8813297955636794</v>
      </c>
      <c r="P30" s="132">
        <v>-7.7412770574750835</v>
      </c>
      <c r="Q30" s="132">
        <v>7.7412770574750835</v>
      </c>
      <c r="R30" s="132">
        <v>966.41674118855633</v>
      </c>
      <c r="S30" s="132">
        <v>-3.5832588114436703</v>
      </c>
      <c r="T30" s="132">
        <v>3.5832588114436703</v>
      </c>
      <c r="U30" s="132">
        <v>0.66117438205565693</v>
      </c>
      <c r="V30" s="132">
        <v>-0.36940812489110003</v>
      </c>
      <c r="W30" s="132">
        <v>0.36940812489110003</v>
      </c>
      <c r="X30" s="133"/>
    </row>
    <row r="31" spans="1:24" x14ac:dyDescent="0.15">
      <c r="A31" s="103" t="s">
        <v>46</v>
      </c>
      <c r="B31" s="103" t="s">
        <v>473</v>
      </c>
      <c r="C31" s="103" t="s">
        <v>975</v>
      </c>
      <c r="D31" s="103" t="s">
        <v>458</v>
      </c>
      <c r="E31" s="103" t="s">
        <v>82</v>
      </c>
      <c r="F31" s="103" t="s">
        <v>967</v>
      </c>
      <c r="G31" s="103">
        <v>0</v>
      </c>
      <c r="H31" s="108" t="s">
        <v>494</v>
      </c>
      <c r="I31" s="108" t="s">
        <v>580</v>
      </c>
      <c r="J31" s="134">
        <v>1100</v>
      </c>
      <c r="K31" s="132">
        <v>1023.6097</v>
      </c>
      <c r="L31" s="132">
        <v>-76.390300000000025</v>
      </c>
      <c r="M31" s="132">
        <v>76.390300000000025</v>
      </c>
      <c r="N31" s="132">
        <v>1.8886865301858917</v>
      </c>
      <c r="O31" s="132">
        <f t="shared" si="0"/>
        <v>-1.8886865301858917</v>
      </c>
      <c r="P31" s="132">
        <v>-6.9445727272727291</v>
      </c>
      <c r="Q31" s="132">
        <v>6.9445727272727291</v>
      </c>
      <c r="R31" s="132">
        <v>1078.7050000000002</v>
      </c>
      <c r="S31" s="132">
        <v>-21.294999999999845</v>
      </c>
      <c r="T31" s="132">
        <v>21.294999999999845</v>
      </c>
      <c r="U31" s="132">
        <v>1.3482074766856231</v>
      </c>
      <c r="V31" s="132">
        <v>-1.9359090909090768</v>
      </c>
      <c r="W31" s="132">
        <v>1.9359090909090768</v>
      </c>
      <c r="X31" s="133"/>
    </row>
    <row r="32" spans="1:24" x14ac:dyDescent="0.15">
      <c r="A32" s="103" t="s">
        <v>46</v>
      </c>
      <c r="B32" s="103" t="s">
        <v>493</v>
      </c>
      <c r="C32" s="103" t="s">
        <v>975</v>
      </c>
      <c r="D32" s="103" t="s">
        <v>401</v>
      </c>
      <c r="E32" s="103" t="s">
        <v>82</v>
      </c>
      <c r="F32" s="103" t="s">
        <v>967</v>
      </c>
      <c r="G32" s="103">
        <v>0</v>
      </c>
      <c r="H32" s="120" t="s">
        <v>203</v>
      </c>
      <c r="I32" s="120" t="s">
        <v>581</v>
      </c>
      <c r="J32" s="132">
        <v>2590</v>
      </c>
      <c r="K32" s="132">
        <v>2670.6968000000002</v>
      </c>
      <c r="L32" s="132">
        <v>80.696800000000167</v>
      </c>
      <c r="M32" s="132">
        <v>80.696800000000167</v>
      </c>
      <c r="N32" s="132">
        <v>1.9122050458890958</v>
      </c>
      <c r="O32" s="132">
        <f t="shared" si="0"/>
        <v>1.9122050458890958</v>
      </c>
      <c r="P32" s="132">
        <v>3.1157065637065702</v>
      </c>
      <c r="Q32" s="132">
        <v>3.1157065637065702</v>
      </c>
      <c r="R32" s="132">
        <v>2490.2213999999999</v>
      </c>
      <c r="S32" s="132">
        <v>-99.778600000000097</v>
      </c>
      <c r="T32" s="132">
        <v>99.778600000000097</v>
      </c>
      <c r="U32" s="132">
        <v>2.0033683209130047</v>
      </c>
      <c r="V32" s="132">
        <v>-3.8524555984556024</v>
      </c>
      <c r="W32" s="132">
        <v>3.8524555984556024</v>
      </c>
      <c r="X32" s="133"/>
    </row>
    <row r="33" spans="1:24" x14ac:dyDescent="0.15">
      <c r="A33" s="103" t="s">
        <v>46</v>
      </c>
      <c r="B33" s="103" t="s">
        <v>470</v>
      </c>
      <c r="C33" s="103" t="s">
        <v>970</v>
      </c>
      <c r="D33" s="103" t="s">
        <v>458</v>
      </c>
      <c r="E33" s="103" t="s">
        <v>82</v>
      </c>
      <c r="F33" s="103" t="s">
        <v>967</v>
      </c>
      <c r="G33" s="103">
        <v>0</v>
      </c>
      <c r="H33" s="117" t="s">
        <v>494</v>
      </c>
      <c r="I33" s="108" t="s">
        <v>580</v>
      </c>
      <c r="J33" s="132">
        <v>960</v>
      </c>
      <c r="K33" s="132">
        <v>868.83519999999999</v>
      </c>
      <c r="L33" s="132">
        <v>-91.164800000000014</v>
      </c>
      <c r="M33" s="132">
        <v>91.164800000000014</v>
      </c>
      <c r="N33" s="132">
        <v>1.9645650849943737</v>
      </c>
      <c r="O33" s="132">
        <f t="shared" si="0"/>
        <v>-1.9645650849943737</v>
      </c>
      <c r="P33" s="132">
        <v>-9.4963333333333342</v>
      </c>
      <c r="Q33" s="132">
        <v>9.4963333333333342</v>
      </c>
      <c r="R33" s="132">
        <v>906.44</v>
      </c>
      <c r="S33" s="132">
        <v>-53.559999999999945</v>
      </c>
      <c r="T33" s="132">
        <v>53.559999999999945</v>
      </c>
      <c r="U33" s="132">
        <v>1.7368743616484221</v>
      </c>
      <c r="V33" s="132">
        <v>-5.5791666666666613</v>
      </c>
      <c r="W33" s="132">
        <v>5.5791666666666613</v>
      </c>
      <c r="X33" s="133"/>
    </row>
    <row r="34" spans="1:24" x14ac:dyDescent="0.15">
      <c r="A34" s="103" t="s">
        <v>46</v>
      </c>
      <c r="B34" s="103" t="s">
        <v>163</v>
      </c>
      <c r="C34" s="103" t="s">
        <v>979</v>
      </c>
      <c r="D34" s="103" t="s">
        <v>403</v>
      </c>
      <c r="E34" s="103" t="s">
        <v>82</v>
      </c>
      <c r="F34" s="103" t="s">
        <v>967</v>
      </c>
      <c r="G34" s="103">
        <v>0</v>
      </c>
      <c r="H34" s="120" t="s">
        <v>494</v>
      </c>
      <c r="I34" s="120" t="s">
        <v>580</v>
      </c>
      <c r="J34" s="132">
        <v>786.09999999999991</v>
      </c>
      <c r="K34" s="132">
        <v>688.94999999999993</v>
      </c>
      <c r="L34" s="132">
        <v>-97.149999999999977</v>
      </c>
      <c r="M34" s="132">
        <v>97.149999999999977</v>
      </c>
      <c r="N34" s="132">
        <v>1.991890303936025</v>
      </c>
      <c r="O34" s="132">
        <f t="shared" ref="O34:O65" si="1">SIGN(L34)*N34</f>
        <v>-1.991890303936025</v>
      </c>
      <c r="P34" s="132">
        <v>-12.358478565068056</v>
      </c>
      <c r="Q34" s="132">
        <v>12.358478565068056</v>
      </c>
      <c r="R34" s="132">
        <v>719.53846153846155</v>
      </c>
      <c r="S34" s="132">
        <v>-66.561538461538362</v>
      </c>
      <c r="T34" s="132">
        <v>66.561538461538362</v>
      </c>
      <c r="U34" s="132">
        <v>1.8296995304452917</v>
      </c>
      <c r="V34" s="132">
        <v>-8.4673118511052508</v>
      </c>
      <c r="W34" s="132">
        <v>8.4673118511052508</v>
      </c>
      <c r="X34" s="133"/>
    </row>
    <row r="35" spans="1:24" x14ac:dyDescent="0.15">
      <c r="A35" s="103" t="s">
        <v>46</v>
      </c>
      <c r="B35" s="103" t="s">
        <v>470</v>
      </c>
      <c r="C35" s="103" t="s">
        <v>971</v>
      </c>
      <c r="D35" s="103" t="s">
        <v>458</v>
      </c>
      <c r="E35" s="103" t="s">
        <v>82</v>
      </c>
      <c r="F35" s="103" t="s">
        <v>968</v>
      </c>
      <c r="G35" s="103">
        <v>1</v>
      </c>
      <c r="H35" s="117" t="s">
        <v>494</v>
      </c>
      <c r="I35" s="108" t="s">
        <v>580</v>
      </c>
      <c r="J35" s="132">
        <v>960</v>
      </c>
      <c r="K35" s="132">
        <v>860.35712516588171</v>
      </c>
      <c r="L35" s="132">
        <v>-99.642874834118288</v>
      </c>
      <c r="M35" s="132">
        <v>99.642874834118288</v>
      </c>
      <c r="N35" s="132">
        <v>2.0027830337725163</v>
      </c>
      <c r="O35" s="132">
        <f t="shared" si="1"/>
        <v>-2.0027830337725163</v>
      </c>
      <c r="P35" s="132">
        <v>-10.379466128553988</v>
      </c>
      <c r="Q35" s="132">
        <v>10.379466128553988</v>
      </c>
      <c r="R35" s="132">
        <v>900.30049971911114</v>
      </c>
      <c r="S35" s="132">
        <v>-59.699500280888856</v>
      </c>
      <c r="T35" s="132">
        <v>59.699500280888856</v>
      </c>
      <c r="U35" s="132">
        <v>1.7831851156857055</v>
      </c>
      <c r="V35" s="132">
        <v>-6.2186979459259231</v>
      </c>
      <c r="W35" s="132">
        <v>6.2186979459259231</v>
      </c>
      <c r="X35" s="133"/>
    </row>
    <row r="36" spans="1:24" x14ac:dyDescent="0.15">
      <c r="A36" s="103" t="s">
        <v>46</v>
      </c>
      <c r="B36" s="103" t="s">
        <v>594</v>
      </c>
      <c r="C36" s="103" t="s">
        <v>975</v>
      </c>
      <c r="D36" s="103" t="s">
        <v>403</v>
      </c>
      <c r="E36" s="103" t="s">
        <v>82</v>
      </c>
      <c r="F36" s="103" t="s">
        <v>967</v>
      </c>
      <c r="G36" s="103">
        <v>0</v>
      </c>
      <c r="H36" s="120" t="s">
        <v>494</v>
      </c>
      <c r="I36" s="120" t="s">
        <v>580</v>
      </c>
      <c r="J36" s="132">
        <v>870</v>
      </c>
      <c r="K36" s="132">
        <v>975.94479999999999</v>
      </c>
      <c r="L36" s="132">
        <v>105.94479999999999</v>
      </c>
      <c r="M36" s="132">
        <v>105.94479999999999</v>
      </c>
      <c r="N36" s="132">
        <v>2.0291596726269607</v>
      </c>
      <c r="O36" s="132">
        <f t="shared" si="1"/>
        <v>2.0291596726269607</v>
      </c>
      <c r="P36" s="132">
        <v>12.177563218390803</v>
      </c>
      <c r="Q36" s="132">
        <v>12.177563218390803</v>
      </c>
      <c r="R36" s="132">
        <v>967.8306</v>
      </c>
      <c r="S36" s="132">
        <v>97.830600000000004</v>
      </c>
      <c r="T36" s="132">
        <v>97.830600000000004</v>
      </c>
      <c r="U36" s="132">
        <v>1.9948914319721975</v>
      </c>
      <c r="V36" s="132">
        <v>11.244896551724139</v>
      </c>
      <c r="W36" s="132">
        <v>11.244896551724139</v>
      </c>
      <c r="X36" s="133"/>
    </row>
    <row r="37" spans="1:24" x14ac:dyDescent="0.15">
      <c r="A37" s="103" t="s">
        <v>46</v>
      </c>
      <c r="B37" s="103" t="s">
        <v>212</v>
      </c>
      <c r="C37" s="103" t="s">
        <v>970</v>
      </c>
      <c r="D37" s="103" t="s">
        <v>403</v>
      </c>
      <c r="E37" s="103" t="s">
        <v>82</v>
      </c>
      <c r="F37" s="103" t="s">
        <v>967</v>
      </c>
      <c r="G37" s="103">
        <v>0</v>
      </c>
      <c r="H37" s="108" t="s">
        <v>494</v>
      </c>
      <c r="I37" s="108" t="s">
        <v>580</v>
      </c>
      <c r="J37" s="132">
        <v>1287.4000000000001</v>
      </c>
      <c r="K37" s="132">
        <v>1181.0872400000001</v>
      </c>
      <c r="L37" s="132">
        <v>-106.31276000000003</v>
      </c>
      <c r="M37" s="132">
        <v>106.31276000000003</v>
      </c>
      <c r="N37" s="132">
        <v>2.0306513647256419</v>
      </c>
      <c r="O37" s="132">
        <f t="shared" si="1"/>
        <v>-2.0306513647256419</v>
      </c>
      <c r="P37" s="132">
        <v>-8.2579431412148523</v>
      </c>
      <c r="Q37" s="132">
        <v>8.2579431412148523</v>
      </c>
      <c r="R37" s="132">
        <v>1152.13895</v>
      </c>
      <c r="S37" s="132">
        <v>-135.26105000000007</v>
      </c>
      <c r="T37" s="132">
        <v>135.26105000000007</v>
      </c>
      <c r="U37" s="132">
        <v>2.1343717312014197</v>
      </c>
      <c r="V37" s="132">
        <v>-10.506528662420386</v>
      </c>
      <c r="W37" s="132">
        <v>10.506528662420386</v>
      </c>
      <c r="X37" s="133"/>
    </row>
    <row r="38" spans="1:24" x14ac:dyDescent="0.15">
      <c r="A38" s="103" t="s">
        <v>46</v>
      </c>
      <c r="B38" s="103" t="s">
        <v>212</v>
      </c>
      <c r="C38" s="103" t="s">
        <v>971</v>
      </c>
      <c r="D38" s="103" t="s">
        <v>403</v>
      </c>
      <c r="E38" s="103" t="s">
        <v>82</v>
      </c>
      <c r="F38" s="103" t="s">
        <v>968</v>
      </c>
      <c r="G38" s="103">
        <v>1</v>
      </c>
      <c r="H38" s="108" t="s">
        <v>494</v>
      </c>
      <c r="I38" s="108" t="s">
        <v>580</v>
      </c>
      <c r="J38" s="132">
        <v>1287.4000000000001</v>
      </c>
      <c r="K38" s="132">
        <v>1179.9366274113261</v>
      </c>
      <c r="L38" s="132">
        <v>-107.46337258867402</v>
      </c>
      <c r="M38" s="132">
        <v>107.46337258867402</v>
      </c>
      <c r="N38" s="132">
        <v>2.0352831043763935</v>
      </c>
      <c r="O38" s="132">
        <f t="shared" si="1"/>
        <v>-2.0352831043763935</v>
      </c>
      <c r="P38" s="132">
        <v>-8.34731805100777</v>
      </c>
      <c r="Q38" s="132">
        <v>8.34731805100777</v>
      </c>
      <c r="R38" s="132">
        <v>1148.0876657894387</v>
      </c>
      <c r="S38" s="132">
        <v>-139.3123342105614</v>
      </c>
      <c r="T38" s="132">
        <v>139.3123342105614</v>
      </c>
      <c r="U38" s="132">
        <v>2.1470958495325512</v>
      </c>
      <c r="V38" s="132">
        <v>-10.821215955457619</v>
      </c>
      <c r="W38" s="132">
        <v>10.821215955457619</v>
      </c>
      <c r="X38" s="133"/>
    </row>
    <row r="39" spans="1:24" x14ac:dyDescent="0.15">
      <c r="A39" s="103" t="s">
        <v>46</v>
      </c>
      <c r="B39" s="103" t="s">
        <v>187</v>
      </c>
      <c r="C39" s="103" t="s">
        <v>970</v>
      </c>
      <c r="D39" s="103" t="s">
        <v>403</v>
      </c>
      <c r="E39" s="103" t="s">
        <v>82</v>
      </c>
      <c r="F39" s="103" t="s">
        <v>967</v>
      </c>
      <c r="G39" s="103">
        <v>0</v>
      </c>
      <c r="H39" s="120" t="s">
        <v>374</v>
      </c>
      <c r="I39" s="120" t="s">
        <v>580</v>
      </c>
      <c r="J39" s="132">
        <v>1460.1000000000001</v>
      </c>
      <c r="K39" s="132">
        <v>1568.1623999999999</v>
      </c>
      <c r="L39" s="132">
        <v>108.0623999999998</v>
      </c>
      <c r="M39" s="132">
        <v>108.0623999999998</v>
      </c>
      <c r="N39" s="132">
        <v>2.0376750504321159</v>
      </c>
      <c r="O39" s="132">
        <f t="shared" si="1"/>
        <v>2.0376750504321159</v>
      </c>
      <c r="P39" s="132">
        <v>7.4010273268954032</v>
      </c>
      <c r="Q39" s="132">
        <v>7.4010273268954032</v>
      </c>
      <c r="R39" s="132">
        <v>1617.91895</v>
      </c>
      <c r="S39" s="132">
        <v>157.81894999999986</v>
      </c>
      <c r="T39" s="132">
        <v>157.81894999999986</v>
      </c>
      <c r="U39" s="132">
        <v>2.2009023204426201</v>
      </c>
      <c r="V39" s="132">
        <v>10.808776796109845</v>
      </c>
      <c r="W39" s="132">
        <v>10.808776796109845</v>
      </c>
      <c r="X39" s="133"/>
    </row>
    <row r="40" spans="1:24" x14ac:dyDescent="0.15">
      <c r="A40" s="103" t="s">
        <v>46</v>
      </c>
      <c r="B40" s="103" t="s">
        <v>471</v>
      </c>
      <c r="C40" s="103" t="s">
        <v>970</v>
      </c>
      <c r="D40" s="103" t="s">
        <v>458</v>
      </c>
      <c r="E40" s="103" t="s">
        <v>82</v>
      </c>
      <c r="F40" s="103" t="s">
        <v>967</v>
      </c>
      <c r="G40" s="103">
        <v>0</v>
      </c>
      <c r="H40" s="108" t="s">
        <v>494</v>
      </c>
      <c r="I40" s="108" t="s">
        <v>580</v>
      </c>
      <c r="J40" s="136">
        <v>1065</v>
      </c>
      <c r="K40" s="132">
        <v>956.715688</v>
      </c>
      <c r="L40" s="132">
        <v>-108.284312</v>
      </c>
      <c r="M40" s="132">
        <v>108.284312</v>
      </c>
      <c r="N40" s="132">
        <v>2.0385578225093153</v>
      </c>
      <c r="O40" s="132">
        <f t="shared" si="1"/>
        <v>-2.0385578225093153</v>
      </c>
      <c r="P40" s="132">
        <v>-10.167541032863848</v>
      </c>
      <c r="Q40" s="132">
        <v>10.167541032863848</v>
      </c>
      <c r="R40" s="132">
        <v>1057.8185000000001</v>
      </c>
      <c r="S40" s="132">
        <v>-7.1814999999999145</v>
      </c>
      <c r="T40" s="132">
        <v>7.1814999999999145</v>
      </c>
      <c r="U40" s="132">
        <v>0.91283293472283333</v>
      </c>
      <c r="V40" s="132">
        <v>-0.67431924882628302</v>
      </c>
      <c r="W40" s="132">
        <v>0.67431924882628302</v>
      </c>
      <c r="X40" s="133"/>
    </row>
    <row r="41" spans="1:24" x14ac:dyDescent="0.15">
      <c r="A41" s="103" t="s">
        <v>46</v>
      </c>
      <c r="B41" s="103" t="s">
        <v>175</v>
      </c>
      <c r="C41" s="103" t="s">
        <v>979</v>
      </c>
      <c r="D41" s="103" t="s">
        <v>403</v>
      </c>
      <c r="E41" s="103" t="s">
        <v>148</v>
      </c>
      <c r="F41" s="103" t="s">
        <v>967</v>
      </c>
      <c r="G41" s="103">
        <v>0</v>
      </c>
      <c r="H41" s="120" t="s">
        <v>494</v>
      </c>
      <c r="I41" s="120" t="s">
        <v>580</v>
      </c>
      <c r="J41" s="132">
        <v>1287.2</v>
      </c>
      <c r="K41" s="132">
        <v>1175.8499999999999</v>
      </c>
      <c r="L41" s="132">
        <v>-111.35000000000014</v>
      </c>
      <c r="M41" s="132">
        <v>111.35000000000014</v>
      </c>
      <c r="N41" s="132">
        <v>2.0505730767551484</v>
      </c>
      <c r="O41" s="132">
        <f t="shared" si="1"/>
        <v>-2.0505730767551484</v>
      </c>
      <c r="P41" s="132">
        <v>-8.6505593536358099</v>
      </c>
      <c r="Q41" s="132">
        <v>8.6505593536358099</v>
      </c>
      <c r="R41" s="132">
        <v>1235.6153846153845</v>
      </c>
      <c r="S41" s="132">
        <v>-51.584615384615518</v>
      </c>
      <c r="T41" s="132">
        <v>51.584615384615518</v>
      </c>
      <c r="U41" s="132">
        <v>1.7208587017418635</v>
      </c>
      <c r="V41" s="132">
        <v>-4.0075058564803854</v>
      </c>
      <c r="W41" s="132">
        <v>4.0075058564803854</v>
      </c>
      <c r="X41" s="133"/>
    </row>
    <row r="42" spans="1:24" x14ac:dyDescent="0.15">
      <c r="A42" s="103" t="s">
        <v>46</v>
      </c>
      <c r="B42" s="103" t="s">
        <v>175</v>
      </c>
      <c r="C42" s="103" t="s">
        <v>975</v>
      </c>
      <c r="D42" s="103" t="s">
        <v>403</v>
      </c>
      <c r="E42" s="103" t="s">
        <v>148</v>
      </c>
      <c r="F42" s="103" t="s">
        <v>967</v>
      </c>
      <c r="G42" s="103">
        <v>0</v>
      </c>
      <c r="H42" s="120" t="s">
        <v>494</v>
      </c>
      <c r="I42" s="120" t="s">
        <v>580</v>
      </c>
      <c r="J42" s="132">
        <v>1287.2</v>
      </c>
      <c r="K42" s="132">
        <v>1172.800837</v>
      </c>
      <c r="L42" s="132">
        <v>-114.39916300000004</v>
      </c>
      <c r="M42" s="132">
        <v>114.39916300000004</v>
      </c>
      <c r="N42" s="132">
        <v>2.0622026588561111</v>
      </c>
      <c r="O42" s="132">
        <f t="shared" si="1"/>
        <v>-2.0622026588561111</v>
      </c>
      <c r="P42" s="132">
        <v>-8.8874427439403387</v>
      </c>
      <c r="Q42" s="132">
        <v>8.8874427439403387</v>
      </c>
      <c r="R42" s="132">
        <v>1297.2981440000001</v>
      </c>
      <c r="S42" s="132">
        <v>10.098144000000048</v>
      </c>
      <c r="T42" s="132">
        <v>10.098144000000048</v>
      </c>
      <c r="U42" s="132">
        <v>1.045250355547501</v>
      </c>
      <c r="V42" s="132">
        <v>0.78450466128030194</v>
      </c>
      <c r="W42" s="132">
        <v>0.78450466128030194</v>
      </c>
      <c r="X42" s="133"/>
    </row>
    <row r="43" spans="1:24" x14ac:dyDescent="0.15">
      <c r="A43" s="103" t="s">
        <v>46</v>
      </c>
      <c r="B43" s="103" t="s">
        <v>471</v>
      </c>
      <c r="C43" s="103" t="s">
        <v>971</v>
      </c>
      <c r="D43" s="103" t="s">
        <v>458</v>
      </c>
      <c r="E43" s="103" t="s">
        <v>82</v>
      </c>
      <c r="F43" s="103" t="s">
        <v>968</v>
      </c>
      <c r="G43" s="103">
        <v>1</v>
      </c>
      <c r="H43" s="108" t="s">
        <v>494</v>
      </c>
      <c r="I43" s="108" t="s">
        <v>580</v>
      </c>
      <c r="J43" s="136">
        <v>1065</v>
      </c>
      <c r="K43" s="132">
        <v>949.31325014715162</v>
      </c>
      <c r="L43" s="132">
        <v>-115.68674985284838</v>
      </c>
      <c r="M43" s="132">
        <v>115.68674985284838</v>
      </c>
      <c r="N43" s="132">
        <v>2.0670215433418671</v>
      </c>
      <c r="O43" s="132">
        <f t="shared" si="1"/>
        <v>-2.0670215433418671</v>
      </c>
      <c r="P43" s="132">
        <v>-10.862605619985763</v>
      </c>
      <c r="Q43" s="132">
        <v>10.862605619985763</v>
      </c>
      <c r="R43" s="132">
        <v>1052.4601723955629</v>
      </c>
      <c r="S43" s="132">
        <v>-12.53982760443705</v>
      </c>
      <c r="T43" s="132">
        <v>12.53982760443705</v>
      </c>
      <c r="U43" s="132">
        <v>1.1316131347392042</v>
      </c>
      <c r="V43" s="132">
        <v>-1.1774486013555916</v>
      </c>
      <c r="W43" s="132">
        <v>1.1774486013555916</v>
      </c>
      <c r="X43" s="133"/>
    </row>
    <row r="44" spans="1:24" x14ac:dyDescent="0.15">
      <c r="A44" s="103" t="s">
        <v>46</v>
      </c>
      <c r="B44" s="103" t="s">
        <v>594</v>
      </c>
      <c r="C44" s="103" t="s">
        <v>979</v>
      </c>
      <c r="D44" s="103" t="s">
        <v>403</v>
      </c>
      <c r="E44" s="103" t="s">
        <v>82</v>
      </c>
      <c r="F44" s="103" t="s">
        <v>967</v>
      </c>
      <c r="G44" s="103">
        <v>0</v>
      </c>
      <c r="H44" s="120" t="s">
        <v>494</v>
      </c>
      <c r="I44" s="120" t="s">
        <v>580</v>
      </c>
      <c r="J44" s="132">
        <v>870</v>
      </c>
      <c r="K44" s="132">
        <v>990</v>
      </c>
      <c r="L44" s="132">
        <v>120</v>
      </c>
      <c r="M44" s="132">
        <v>120</v>
      </c>
      <c r="N44" s="132">
        <v>2.0827853703164503</v>
      </c>
      <c r="O44" s="132">
        <f t="shared" si="1"/>
        <v>2.0827853703164503</v>
      </c>
      <c r="P44" s="132">
        <v>13.793103448275861</v>
      </c>
      <c r="Q44" s="132">
        <v>13.793103448275861</v>
      </c>
      <c r="R44" s="132">
        <v>938.46153846153845</v>
      </c>
      <c r="S44" s="132">
        <v>68.461538461538453</v>
      </c>
      <c r="T44" s="132">
        <v>68.461538461538453</v>
      </c>
      <c r="U44" s="132">
        <v>1.841744398006669</v>
      </c>
      <c r="V44" s="132">
        <v>7.8691423519009724</v>
      </c>
      <c r="W44" s="132">
        <v>7.8691423519009724</v>
      </c>
      <c r="X44" s="133"/>
    </row>
    <row r="45" spans="1:24" x14ac:dyDescent="0.15">
      <c r="A45" s="103" t="s">
        <v>46</v>
      </c>
      <c r="B45" s="103" t="s">
        <v>468</v>
      </c>
      <c r="C45" s="103" t="s">
        <v>970</v>
      </c>
      <c r="D45" s="103" t="s">
        <v>458</v>
      </c>
      <c r="E45" s="103" t="s">
        <v>82</v>
      </c>
      <c r="F45" s="103" t="s">
        <v>967</v>
      </c>
      <c r="G45" s="103">
        <v>0</v>
      </c>
      <c r="H45" s="108" t="s">
        <v>494</v>
      </c>
      <c r="I45" s="108" t="s">
        <v>580</v>
      </c>
      <c r="J45" s="134">
        <v>1050</v>
      </c>
      <c r="K45" s="132">
        <v>924.58575999999971</v>
      </c>
      <c r="L45" s="132">
        <v>-125.41424000000029</v>
      </c>
      <c r="M45" s="132">
        <v>125.41424000000029</v>
      </c>
      <c r="N45" s="132">
        <v>2.1017959980372636</v>
      </c>
      <c r="O45" s="132">
        <f t="shared" si="1"/>
        <v>-2.1017959980372636</v>
      </c>
      <c r="P45" s="132">
        <v>-11.94421333333336</v>
      </c>
      <c r="Q45" s="132">
        <v>11.94421333333336</v>
      </c>
      <c r="R45" s="132">
        <v>1022.885</v>
      </c>
      <c r="S45" s="132">
        <v>-27.115000000000009</v>
      </c>
      <c r="T45" s="132">
        <v>27.115000000000009</v>
      </c>
      <c r="U45" s="132">
        <v>1.4489380878454219</v>
      </c>
      <c r="V45" s="132">
        <v>-2.5823809523809533</v>
      </c>
      <c r="W45" s="132">
        <v>2.5823809523809533</v>
      </c>
      <c r="X45" s="133"/>
    </row>
    <row r="46" spans="1:24" x14ac:dyDescent="0.15">
      <c r="A46" s="103" t="s">
        <v>46</v>
      </c>
      <c r="B46" s="103" t="s">
        <v>187</v>
      </c>
      <c r="C46" s="103" t="s">
        <v>971</v>
      </c>
      <c r="D46" s="103" t="s">
        <v>403</v>
      </c>
      <c r="E46" s="103" t="s">
        <v>82</v>
      </c>
      <c r="F46" s="103" t="s">
        <v>968</v>
      </c>
      <c r="G46" s="103">
        <v>1</v>
      </c>
      <c r="H46" s="120" t="s">
        <v>374</v>
      </c>
      <c r="I46" s="120" t="s">
        <v>580</v>
      </c>
      <c r="J46" s="132">
        <v>1460.1000000000001</v>
      </c>
      <c r="K46" s="132">
        <v>1587.7824275870107</v>
      </c>
      <c r="L46" s="132">
        <v>127.68242758701058</v>
      </c>
      <c r="M46" s="132">
        <v>127.68242758701058</v>
      </c>
      <c r="N46" s="132">
        <v>2.1095192452490372</v>
      </c>
      <c r="O46" s="132">
        <f t="shared" si="1"/>
        <v>2.1095192452490372</v>
      </c>
      <c r="P46" s="132">
        <v>8.7447727954941818</v>
      </c>
      <c r="Q46" s="132">
        <v>8.7447727954941818</v>
      </c>
      <c r="R46" s="132">
        <v>1628.0783070781238</v>
      </c>
      <c r="S46" s="132">
        <v>167.97830707812363</v>
      </c>
      <c r="T46" s="132">
        <v>167.97830707812363</v>
      </c>
      <c r="U46" s="132">
        <v>2.2278309547854573</v>
      </c>
      <c r="V46" s="132">
        <v>11.504575513877379</v>
      </c>
      <c r="W46" s="132">
        <v>11.504575513877379</v>
      </c>
      <c r="X46" s="133"/>
    </row>
    <row r="47" spans="1:24" x14ac:dyDescent="0.15">
      <c r="A47" s="103" t="s">
        <v>46</v>
      </c>
      <c r="B47" s="103" t="s">
        <v>163</v>
      </c>
      <c r="C47" s="103" t="s">
        <v>975</v>
      </c>
      <c r="D47" s="103" t="s">
        <v>403</v>
      </c>
      <c r="E47" s="103" t="s">
        <v>82</v>
      </c>
      <c r="F47" s="103" t="s">
        <v>967</v>
      </c>
      <c r="G47" s="103">
        <v>0</v>
      </c>
      <c r="H47" s="120" t="s">
        <v>494</v>
      </c>
      <c r="I47" s="120" t="s">
        <v>580</v>
      </c>
      <c r="J47" s="132">
        <v>786.09999999999991</v>
      </c>
      <c r="K47" s="132">
        <v>657.06661899999995</v>
      </c>
      <c r="L47" s="132">
        <v>-129.03338099999996</v>
      </c>
      <c r="M47" s="132">
        <v>129.03338099999996</v>
      </c>
      <c r="N47" s="132">
        <v>2.114054854792589</v>
      </c>
      <c r="O47" s="132">
        <f t="shared" si="1"/>
        <v>-2.114054854792589</v>
      </c>
      <c r="P47" s="132">
        <v>-16.414372344485432</v>
      </c>
      <c r="Q47" s="132">
        <v>16.414372344485432</v>
      </c>
      <c r="R47" s="132">
        <v>725.10095200000012</v>
      </c>
      <c r="S47" s="132">
        <v>-60.999047999999789</v>
      </c>
      <c r="T47" s="132">
        <v>60.999047999999789</v>
      </c>
      <c r="U47" s="132">
        <v>1.7923850209253327</v>
      </c>
      <c r="V47" s="132">
        <v>-7.759705889835872</v>
      </c>
      <c r="W47" s="132">
        <v>7.759705889835872</v>
      </c>
      <c r="X47" s="133"/>
    </row>
    <row r="48" spans="1:24" x14ac:dyDescent="0.15">
      <c r="A48" s="103" t="s">
        <v>46</v>
      </c>
      <c r="B48" s="103" t="s">
        <v>493</v>
      </c>
      <c r="C48" s="103" t="s">
        <v>970</v>
      </c>
      <c r="D48" s="103" t="s">
        <v>401</v>
      </c>
      <c r="E48" s="103" t="s">
        <v>82</v>
      </c>
      <c r="F48" s="103" t="s">
        <v>967</v>
      </c>
      <c r="G48" s="103">
        <v>0</v>
      </c>
      <c r="H48" s="120" t="s">
        <v>203</v>
      </c>
      <c r="I48" s="120" t="s">
        <v>581</v>
      </c>
      <c r="J48" s="132">
        <v>2590</v>
      </c>
      <c r="K48" s="132">
        <v>2458.2151999999996</v>
      </c>
      <c r="L48" s="132">
        <v>-131.78480000000036</v>
      </c>
      <c r="M48" s="132">
        <v>131.78480000000036</v>
      </c>
      <c r="N48" s="132">
        <v>2.1231483637824695</v>
      </c>
      <c r="O48" s="132">
        <f t="shared" si="1"/>
        <v>-2.1231483637824695</v>
      </c>
      <c r="P48" s="132">
        <v>-5.0882162162162299</v>
      </c>
      <c r="Q48" s="132">
        <v>5.0882162162162299</v>
      </c>
      <c r="R48" s="132">
        <v>2268.8465000000001</v>
      </c>
      <c r="S48" s="132">
        <v>-321.15349999999989</v>
      </c>
      <c r="T48" s="132">
        <v>321.15349999999989</v>
      </c>
      <c r="U48" s="132">
        <v>2.5080628540509187</v>
      </c>
      <c r="V48" s="132">
        <v>-12.399749034749032</v>
      </c>
      <c r="W48" s="132">
        <v>12.399749034749032</v>
      </c>
      <c r="X48" s="133"/>
    </row>
    <row r="49" spans="1:24" ht="15" x14ac:dyDescent="0.2">
      <c r="A49" s="103" t="s">
        <v>46</v>
      </c>
      <c r="B49" s="103" t="s">
        <v>468</v>
      </c>
      <c r="C49" s="103" t="s">
        <v>971</v>
      </c>
      <c r="D49" s="103" t="s">
        <v>458</v>
      </c>
      <c r="E49" s="103" t="s">
        <v>82</v>
      </c>
      <c r="F49" s="103" t="s">
        <v>968</v>
      </c>
      <c r="G49" s="103">
        <v>1</v>
      </c>
      <c r="H49" s="117" t="s">
        <v>494</v>
      </c>
      <c r="I49" s="108" t="s">
        <v>580</v>
      </c>
      <c r="J49" s="137">
        <v>1050</v>
      </c>
      <c r="K49" s="132">
        <v>916.69381903489079</v>
      </c>
      <c r="L49" s="132">
        <v>-133.30618096510921</v>
      </c>
      <c r="M49" s="132">
        <v>133.30618096510921</v>
      </c>
      <c r="N49" s="132">
        <v>2.1280959999901583</v>
      </c>
      <c r="O49" s="132">
        <f t="shared" si="1"/>
        <v>-2.1280959999901583</v>
      </c>
      <c r="P49" s="132">
        <v>-12.695826758581829</v>
      </c>
      <c r="Q49" s="132">
        <v>12.695826758581829</v>
      </c>
      <c r="R49" s="132">
        <v>1017.1971746673019</v>
      </c>
      <c r="S49" s="132">
        <v>-32.802825332698148</v>
      </c>
      <c r="T49" s="132">
        <v>32.802825332698148</v>
      </c>
      <c r="U49" s="132">
        <v>1.5289530013167023</v>
      </c>
      <c r="V49" s="132">
        <v>-3.1240786031141092</v>
      </c>
      <c r="W49" s="132">
        <v>3.1240786031141092</v>
      </c>
      <c r="X49" s="133"/>
    </row>
    <row r="50" spans="1:24" x14ac:dyDescent="0.15">
      <c r="A50" s="103" t="s">
        <v>46</v>
      </c>
      <c r="B50" s="103" t="s">
        <v>467</v>
      </c>
      <c r="C50" s="103" t="s">
        <v>975</v>
      </c>
      <c r="D50" s="103" t="s">
        <v>458</v>
      </c>
      <c r="E50" s="103" t="s">
        <v>82</v>
      </c>
      <c r="F50" s="103" t="s">
        <v>967</v>
      </c>
      <c r="G50" s="103">
        <v>0</v>
      </c>
      <c r="H50" s="108" t="s">
        <v>494</v>
      </c>
      <c r="I50" s="108" t="s">
        <v>580</v>
      </c>
      <c r="J50" s="132">
        <v>1000</v>
      </c>
      <c r="K50" s="132">
        <v>1140.1239</v>
      </c>
      <c r="L50" s="132">
        <v>140.12390000000005</v>
      </c>
      <c r="M50" s="132">
        <v>140.12390000000005</v>
      </c>
      <c r="N50" s="132">
        <v>2.1496005698078382</v>
      </c>
      <c r="O50" s="132">
        <f t="shared" si="1"/>
        <v>2.1496005698078382</v>
      </c>
      <c r="P50" s="132">
        <v>14.012390000000005</v>
      </c>
      <c r="Q50" s="132">
        <v>14.012390000000005</v>
      </c>
      <c r="R50" s="132">
        <v>1134.1422</v>
      </c>
      <c r="S50" s="132">
        <v>134.1422</v>
      </c>
      <c r="T50" s="132">
        <v>134.1422</v>
      </c>
      <c r="U50" s="132">
        <v>2.130790984591052</v>
      </c>
      <c r="V50" s="132">
        <v>13.414220000000002</v>
      </c>
      <c r="W50" s="132">
        <v>13.414220000000002</v>
      </c>
      <c r="X50" s="133"/>
    </row>
    <row r="51" spans="1:24" x14ac:dyDescent="0.15">
      <c r="A51" s="103" t="s">
        <v>46</v>
      </c>
      <c r="B51" s="103" t="s">
        <v>467</v>
      </c>
      <c r="C51" s="103" t="s">
        <v>979</v>
      </c>
      <c r="D51" s="103" t="s">
        <v>458</v>
      </c>
      <c r="E51" s="103" t="s">
        <v>82</v>
      </c>
      <c r="F51" s="103" t="s">
        <v>967</v>
      </c>
      <c r="G51" s="103">
        <v>0</v>
      </c>
      <c r="H51" s="117" t="s">
        <v>494</v>
      </c>
      <c r="I51" s="108" t="s">
        <v>580</v>
      </c>
      <c r="J51" s="135">
        <v>1000</v>
      </c>
      <c r="K51" s="132">
        <v>1145</v>
      </c>
      <c r="L51" s="132">
        <v>145</v>
      </c>
      <c r="M51" s="132">
        <v>145</v>
      </c>
      <c r="N51" s="132">
        <v>2.1643528557844371</v>
      </c>
      <c r="O51" s="132">
        <f t="shared" si="1"/>
        <v>2.1643528557844371</v>
      </c>
      <c r="P51" s="132">
        <v>14.5</v>
      </c>
      <c r="Q51" s="132">
        <v>14.5</v>
      </c>
      <c r="R51" s="132">
        <v>1088.4615384615383</v>
      </c>
      <c r="S51" s="132">
        <v>88.461538461538339</v>
      </c>
      <c r="T51" s="132">
        <v>88.461538461538339</v>
      </c>
      <c r="U51" s="132">
        <v>1.9516363624216111</v>
      </c>
      <c r="V51" s="132">
        <v>8.8461538461538325</v>
      </c>
      <c r="W51" s="132">
        <v>8.8461538461538325</v>
      </c>
      <c r="X51" s="133"/>
    </row>
    <row r="52" spans="1:24" x14ac:dyDescent="0.15">
      <c r="A52" s="103" t="s">
        <v>46</v>
      </c>
      <c r="B52" s="103" t="s">
        <v>473</v>
      </c>
      <c r="C52" s="103" t="s">
        <v>970</v>
      </c>
      <c r="D52" s="103" t="s">
        <v>458</v>
      </c>
      <c r="E52" s="103" t="s">
        <v>82</v>
      </c>
      <c r="F52" s="103" t="s">
        <v>967</v>
      </c>
      <c r="G52" s="103">
        <v>0</v>
      </c>
      <c r="H52" s="108" t="s">
        <v>494</v>
      </c>
      <c r="I52" s="120" t="s">
        <v>580</v>
      </c>
      <c r="J52" s="132">
        <v>1100</v>
      </c>
      <c r="K52" s="132">
        <v>937.30079999999998</v>
      </c>
      <c r="L52" s="132">
        <v>-162.69920000000002</v>
      </c>
      <c r="M52" s="132">
        <v>162.69920000000002</v>
      </c>
      <c r="N52" s="132">
        <v>2.214046557014663</v>
      </c>
      <c r="O52" s="132">
        <f t="shared" si="1"/>
        <v>-2.214046557014663</v>
      </c>
      <c r="P52" s="132">
        <v>-14.790836363636366</v>
      </c>
      <c r="Q52" s="132">
        <v>14.790836363636366</v>
      </c>
      <c r="R52" s="132">
        <v>984.06999999999994</v>
      </c>
      <c r="S52" s="132">
        <v>-115.93000000000006</v>
      </c>
      <c r="T52" s="132">
        <v>115.93000000000006</v>
      </c>
      <c r="U52" s="132">
        <v>2.0679259496815221</v>
      </c>
      <c r="V52" s="132">
        <v>-10.539090909090916</v>
      </c>
      <c r="W52" s="132">
        <v>10.539090909090916</v>
      </c>
      <c r="X52" s="133"/>
    </row>
    <row r="53" spans="1:24" x14ac:dyDescent="0.15">
      <c r="A53" s="103" t="s">
        <v>46</v>
      </c>
      <c r="B53" s="103" t="s">
        <v>204</v>
      </c>
      <c r="C53" s="103" t="s">
        <v>970</v>
      </c>
      <c r="D53" s="103" t="s">
        <v>403</v>
      </c>
      <c r="E53" s="103" t="s">
        <v>82</v>
      </c>
      <c r="F53" s="103" t="s">
        <v>967</v>
      </c>
      <c r="G53" s="103">
        <v>0</v>
      </c>
      <c r="H53" s="120" t="s">
        <v>494</v>
      </c>
      <c r="I53" s="120" t="s">
        <v>580</v>
      </c>
      <c r="J53" s="132">
        <v>1235.4099999999999</v>
      </c>
      <c r="K53" s="132">
        <v>1066.4073599999999</v>
      </c>
      <c r="L53" s="132">
        <v>-169.00263999999993</v>
      </c>
      <c r="M53" s="132">
        <v>169.00263999999993</v>
      </c>
      <c r="N53" s="132">
        <v>2.2304556656637433</v>
      </c>
      <c r="O53" s="132">
        <f t="shared" si="1"/>
        <v>-2.2304556656637433</v>
      </c>
      <c r="P53" s="132">
        <v>-13.679882791947607</v>
      </c>
      <c r="Q53" s="132">
        <v>13.679882791947607</v>
      </c>
      <c r="R53" s="132">
        <v>1080.7193499999998</v>
      </c>
      <c r="S53" s="132">
        <v>-154.69065000000001</v>
      </c>
      <c r="T53" s="132">
        <v>154.69065000000001</v>
      </c>
      <c r="U53" s="132">
        <v>2.1922625318016808</v>
      </c>
      <c r="V53" s="132">
        <v>-12.521401801830972</v>
      </c>
      <c r="W53" s="132">
        <v>12.521401801830972</v>
      </c>
      <c r="X53" s="133"/>
    </row>
    <row r="54" spans="1:24" x14ac:dyDescent="0.15">
      <c r="A54" s="103" t="s">
        <v>46</v>
      </c>
      <c r="B54" s="103" t="s">
        <v>473</v>
      </c>
      <c r="C54" s="103" t="s">
        <v>971</v>
      </c>
      <c r="D54" s="103" t="s">
        <v>458</v>
      </c>
      <c r="E54" s="103" t="s">
        <v>82</v>
      </c>
      <c r="F54" s="103" t="s">
        <v>968</v>
      </c>
      <c r="G54" s="103">
        <v>1</v>
      </c>
      <c r="H54" s="108" t="s">
        <v>494</v>
      </c>
      <c r="I54" s="108" t="s">
        <v>580</v>
      </c>
      <c r="J54" s="134">
        <v>1100</v>
      </c>
      <c r="K54" s="132">
        <v>929.58958139215656</v>
      </c>
      <c r="L54" s="132">
        <v>-170.41041860784344</v>
      </c>
      <c r="M54" s="132">
        <v>170.41041860784344</v>
      </c>
      <c r="N54" s="132">
        <v>2.2340372155240642</v>
      </c>
      <c r="O54" s="132">
        <f t="shared" si="1"/>
        <v>-2.2340372155240642</v>
      </c>
      <c r="P54" s="132">
        <v>-15.491856237076679</v>
      </c>
      <c r="Q54" s="132">
        <v>15.491856237076679</v>
      </c>
      <c r="R54" s="132">
        <v>978.11869693980543</v>
      </c>
      <c r="S54" s="132">
        <v>-121.88130306019457</v>
      </c>
      <c r="T54" s="132">
        <v>121.88130306019457</v>
      </c>
      <c r="U54" s="132">
        <v>2.0894858080654606</v>
      </c>
      <c r="V54" s="132">
        <v>-11.080118460017689</v>
      </c>
      <c r="W54" s="132">
        <v>11.080118460017689</v>
      </c>
      <c r="X54" s="133"/>
    </row>
    <row r="55" spans="1:24" x14ac:dyDescent="0.15">
      <c r="A55" s="103" t="s">
        <v>46</v>
      </c>
      <c r="B55" s="103" t="s">
        <v>204</v>
      </c>
      <c r="C55" s="103" t="s">
        <v>971</v>
      </c>
      <c r="D55" s="103" t="s">
        <v>403</v>
      </c>
      <c r="E55" s="103" t="s">
        <v>82</v>
      </c>
      <c r="F55" s="103" t="s">
        <v>968</v>
      </c>
      <c r="G55" s="103">
        <v>1</v>
      </c>
      <c r="H55" s="120" t="s">
        <v>494</v>
      </c>
      <c r="I55" s="120" t="s">
        <v>580</v>
      </c>
      <c r="J55" s="132">
        <v>1235.4099999999999</v>
      </c>
      <c r="K55" s="132">
        <v>1061.465499826679</v>
      </c>
      <c r="L55" s="132">
        <v>-173.94450017332088</v>
      </c>
      <c r="M55" s="132">
        <v>173.94450017332088</v>
      </c>
      <c r="N55" s="132">
        <v>2.2429002938785265</v>
      </c>
      <c r="O55" s="132">
        <f t="shared" si="1"/>
        <v>-2.2429002938785265</v>
      </c>
      <c r="P55" s="132">
        <v>-14.079900613830299</v>
      </c>
      <c r="Q55" s="132">
        <v>14.079900613830299</v>
      </c>
      <c r="R55" s="132">
        <v>1075.6232444613163</v>
      </c>
      <c r="S55" s="132">
        <v>-159.78675553868356</v>
      </c>
      <c r="T55" s="132">
        <v>159.78675553868356</v>
      </c>
      <c r="U55" s="132">
        <v>2.2062502718168906</v>
      </c>
      <c r="V55" s="132">
        <v>-12.933904982045117</v>
      </c>
      <c r="W55" s="132">
        <v>12.933904982045117</v>
      </c>
      <c r="X55" s="133"/>
    </row>
    <row r="56" spans="1:24" x14ac:dyDescent="0.15">
      <c r="A56" s="103" t="s">
        <v>46</v>
      </c>
      <c r="B56" s="103" t="s">
        <v>594</v>
      </c>
      <c r="C56" s="24" t="s">
        <v>980</v>
      </c>
      <c r="D56" s="103" t="s">
        <v>403</v>
      </c>
      <c r="E56" s="103" t="s">
        <v>82</v>
      </c>
      <c r="F56" s="103" t="s">
        <v>969</v>
      </c>
      <c r="G56" s="103">
        <v>0</v>
      </c>
      <c r="H56" s="120" t="s">
        <v>494</v>
      </c>
      <c r="I56" s="120" t="s">
        <v>580</v>
      </c>
      <c r="J56" s="132">
        <v>870</v>
      </c>
      <c r="K56" s="132">
        <v>1044.3626743013306</v>
      </c>
      <c r="L56" s="132">
        <v>174.36267430133057</v>
      </c>
      <c r="M56" s="132">
        <v>174.36267430133057</v>
      </c>
      <c r="N56" s="132">
        <v>2.2439371598965128</v>
      </c>
      <c r="O56" s="132">
        <f t="shared" si="1"/>
        <v>2.2439371598965128</v>
      </c>
      <c r="P56" s="132">
        <v>20.041686701302364</v>
      </c>
      <c r="Q56" s="132">
        <v>20.041686701302364</v>
      </c>
      <c r="R56" s="132">
        <v>2671.3098535859299</v>
      </c>
      <c r="S56" s="132"/>
      <c r="T56" s="132"/>
      <c r="U56" s="132"/>
      <c r="V56" s="132"/>
      <c r="W56" s="132"/>
      <c r="X56" s="133"/>
    </row>
    <row r="57" spans="1:24" x14ac:dyDescent="0.15">
      <c r="A57" s="103" t="s">
        <v>46</v>
      </c>
      <c r="B57" s="103" t="s">
        <v>474</v>
      </c>
      <c r="C57" s="24" t="s">
        <v>980</v>
      </c>
      <c r="D57" s="103" t="s">
        <v>458</v>
      </c>
      <c r="E57" s="103" t="s">
        <v>82</v>
      </c>
      <c r="F57" s="103" t="s">
        <v>969</v>
      </c>
      <c r="G57" s="103">
        <v>0</v>
      </c>
      <c r="H57" s="117" t="s">
        <v>494</v>
      </c>
      <c r="I57" s="108" t="s">
        <v>580</v>
      </c>
      <c r="J57" s="134">
        <v>970</v>
      </c>
      <c r="K57" s="132">
        <v>1153.5694142163379</v>
      </c>
      <c r="L57" s="132">
        <v>183.56941421633792</v>
      </c>
      <c r="M57" s="132">
        <v>183.56941421633792</v>
      </c>
      <c r="N57" s="132">
        <v>2.2661597338642201</v>
      </c>
      <c r="O57" s="132">
        <f t="shared" si="1"/>
        <v>2.2661597338642201</v>
      </c>
      <c r="P57" s="132">
        <v>18.924681877972979</v>
      </c>
      <c r="Q57" s="132">
        <v>18.924681877972979</v>
      </c>
      <c r="R57" s="132"/>
      <c r="S57" s="132"/>
      <c r="T57" s="132"/>
      <c r="U57" s="132"/>
      <c r="V57" s="132"/>
      <c r="W57" s="132"/>
      <c r="X57" s="133"/>
    </row>
    <row r="58" spans="1:24" x14ac:dyDescent="0.15">
      <c r="A58" s="103" t="s">
        <v>46</v>
      </c>
      <c r="B58" s="103" t="s">
        <v>163</v>
      </c>
      <c r="C58" s="103" t="s">
        <v>970</v>
      </c>
      <c r="D58" s="103" t="s">
        <v>403</v>
      </c>
      <c r="E58" s="103" t="s">
        <v>82</v>
      </c>
      <c r="F58" s="103" t="s">
        <v>967</v>
      </c>
      <c r="G58" s="103">
        <v>0</v>
      </c>
      <c r="H58" s="120" t="s">
        <v>494</v>
      </c>
      <c r="I58" s="120" t="s">
        <v>580</v>
      </c>
      <c r="J58" s="132">
        <v>786.09999999999991</v>
      </c>
      <c r="K58" s="132">
        <v>598.83621599999992</v>
      </c>
      <c r="L58" s="132">
        <v>-187.26378399999999</v>
      </c>
      <c r="M58" s="132">
        <v>187.26378399999999</v>
      </c>
      <c r="N58" s="132">
        <v>2.2747667835233885</v>
      </c>
      <c r="O58" s="132">
        <f t="shared" si="1"/>
        <v>-2.2747667835233885</v>
      </c>
      <c r="P58" s="132">
        <v>-23.82187813255311</v>
      </c>
      <c r="Q58" s="132">
        <v>23.82187813255311</v>
      </c>
      <c r="R58" s="132">
        <v>662.21602000000007</v>
      </c>
      <c r="S58" s="132">
        <v>-123.88397999999984</v>
      </c>
      <c r="T58" s="132">
        <v>123.88397999999984</v>
      </c>
      <c r="U58" s="132">
        <v>2.0965067310576799</v>
      </c>
      <c r="V58" s="132">
        <v>-15.759315608701163</v>
      </c>
      <c r="W58" s="132">
        <v>15.759315608701163</v>
      </c>
      <c r="X58" s="133"/>
    </row>
    <row r="59" spans="1:24" x14ac:dyDescent="0.15">
      <c r="A59" s="103" t="s">
        <v>46</v>
      </c>
      <c r="B59" s="103" t="s">
        <v>163</v>
      </c>
      <c r="C59" s="103" t="s">
        <v>971</v>
      </c>
      <c r="D59" s="103" t="s">
        <v>403</v>
      </c>
      <c r="E59" s="103" t="s">
        <v>82</v>
      </c>
      <c r="F59" s="103" t="s">
        <v>968</v>
      </c>
      <c r="G59" s="103">
        <v>1</v>
      </c>
      <c r="H59" s="120" t="s">
        <v>494</v>
      </c>
      <c r="I59" s="120" t="s">
        <v>580</v>
      </c>
      <c r="J59" s="132">
        <v>786.09999999999991</v>
      </c>
      <c r="K59" s="132">
        <v>592.84918067480032</v>
      </c>
      <c r="L59" s="132">
        <v>-193.25081932519959</v>
      </c>
      <c r="M59" s="132">
        <v>193.25081932519959</v>
      </c>
      <c r="N59" s="132">
        <v>2.2883628592755909</v>
      </c>
      <c r="O59" s="132">
        <f t="shared" si="1"/>
        <v>-2.2883628592755909</v>
      </c>
      <c r="P59" s="132">
        <v>-24.583490564202979</v>
      </c>
      <c r="Q59" s="132">
        <v>24.583490564202979</v>
      </c>
      <c r="R59" s="132">
        <v>658.80120883475547</v>
      </c>
      <c r="S59" s="132">
        <v>-127.29879116524444</v>
      </c>
      <c r="T59" s="132">
        <v>127.29879116524444</v>
      </c>
      <c r="U59" s="132">
        <v>2.1082225644595964</v>
      </c>
      <c r="V59" s="132">
        <v>-16.193714688365915</v>
      </c>
      <c r="W59" s="132">
        <v>16.193714688365915</v>
      </c>
      <c r="X59" s="133"/>
    </row>
    <row r="60" spans="1:24" x14ac:dyDescent="0.15">
      <c r="A60" s="103" t="s">
        <v>46</v>
      </c>
      <c r="B60" s="103" t="s">
        <v>175</v>
      </c>
      <c r="C60" s="103" t="s">
        <v>970</v>
      </c>
      <c r="D60" s="103" t="s">
        <v>403</v>
      </c>
      <c r="E60" s="103" t="s">
        <v>148</v>
      </c>
      <c r="F60" s="103" t="s">
        <v>967</v>
      </c>
      <c r="G60" s="103">
        <v>0</v>
      </c>
      <c r="H60" s="120" t="s">
        <v>494</v>
      </c>
      <c r="I60" s="120" t="s">
        <v>580</v>
      </c>
      <c r="J60" s="132">
        <v>1287.2</v>
      </c>
      <c r="K60" s="132">
        <v>1075.0633679999999</v>
      </c>
      <c r="L60" s="132">
        <v>-212.13663200000019</v>
      </c>
      <c r="M60" s="132">
        <v>212.13663200000019</v>
      </c>
      <c r="N60" s="132">
        <v>2.3286580987439001</v>
      </c>
      <c r="O60" s="132">
        <f t="shared" si="1"/>
        <v>-2.3286580987439001</v>
      </c>
      <c r="P60" s="132">
        <v>-16.480471721566204</v>
      </c>
      <c r="Q60" s="132">
        <v>16.480471721566204</v>
      </c>
      <c r="R60" s="132">
        <v>1183.0356899999999</v>
      </c>
      <c r="S60" s="132">
        <v>-104.16431000000011</v>
      </c>
      <c r="T60" s="132">
        <v>104.16431000000011</v>
      </c>
      <c r="U60" s="132">
        <v>2.0218683767007755</v>
      </c>
      <c r="V60" s="132">
        <v>-8.0923174331883239</v>
      </c>
      <c r="W60" s="132">
        <v>8.0923174331883239</v>
      </c>
      <c r="X60" s="133"/>
    </row>
    <row r="61" spans="1:24" x14ac:dyDescent="0.15">
      <c r="A61" s="103" t="s">
        <v>46</v>
      </c>
      <c r="B61" s="103" t="s">
        <v>175</v>
      </c>
      <c r="C61" s="103" t="s">
        <v>971</v>
      </c>
      <c r="D61" s="103" t="s">
        <v>403</v>
      </c>
      <c r="E61" s="103" t="s">
        <v>148</v>
      </c>
      <c r="F61" s="103" t="s">
        <v>968</v>
      </c>
      <c r="G61" s="103">
        <v>1</v>
      </c>
      <c r="H61" s="120" t="s">
        <v>494</v>
      </c>
      <c r="I61" s="120" t="s">
        <v>580</v>
      </c>
      <c r="J61" s="132">
        <v>1287.2</v>
      </c>
      <c r="K61" s="132">
        <v>1070.365540408266</v>
      </c>
      <c r="L61" s="132">
        <v>-216.834459591734</v>
      </c>
      <c r="M61" s="132">
        <v>216.834459591734</v>
      </c>
      <c r="N61" s="132">
        <v>2.3381265826133237</v>
      </c>
      <c r="O61" s="132">
        <f t="shared" si="1"/>
        <v>-2.3381265826133237</v>
      </c>
      <c r="P61" s="132">
        <v>-16.845436574870572</v>
      </c>
      <c r="Q61" s="132">
        <v>16.845436574870572</v>
      </c>
      <c r="R61" s="132">
        <v>1179.5395371773282</v>
      </c>
      <c r="S61" s="132">
        <v>-107.66046282267189</v>
      </c>
      <c r="T61" s="132">
        <v>107.66046282267189</v>
      </c>
      <c r="U61" s="132">
        <v>2.0360715505127622</v>
      </c>
      <c r="V61" s="132">
        <v>-8.363926571059034</v>
      </c>
      <c r="W61" s="132">
        <v>8.363926571059034</v>
      </c>
      <c r="X61" s="133"/>
    </row>
    <row r="62" spans="1:24" x14ac:dyDescent="0.15">
      <c r="A62" s="103" t="s">
        <v>46</v>
      </c>
      <c r="B62" s="103" t="s">
        <v>473</v>
      </c>
      <c r="C62" s="24" t="s">
        <v>980</v>
      </c>
      <c r="D62" s="103" t="s">
        <v>458</v>
      </c>
      <c r="E62" s="103" t="s">
        <v>82</v>
      </c>
      <c r="F62" s="103" t="s">
        <v>969</v>
      </c>
      <c r="G62" s="103">
        <v>0</v>
      </c>
      <c r="H62" s="117" t="s">
        <v>494</v>
      </c>
      <c r="I62" s="108" t="s">
        <v>580</v>
      </c>
      <c r="J62" s="135">
        <v>1100</v>
      </c>
      <c r="K62" s="132">
        <v>1316.944323776404</v>
      </c>
      <c r="L62" s="132">
        <v>216.94432377640396</v>
      </c>
      <c r="M62" s="132">
        <v>216.94432377640396</v>
      </c>
      <c r="N62" s="132">
        <v>2.3383455625728482</v>
      </c>
      <c r="O62" s="132">
        <f t="shared" si="1"/>
        <v>2.3383455625728482</v>
      </c>
      <c r="P62" s="132">
        <v>19.722211252400363</v>
      </c>
      <c r="Q62" s="132">
        <v>19.722211252400363</v>
      </c>
      <c r="R62" s="132"/>
      <c r="S62" s="132"/>
      <c r="T62" s="132"/>
      <c r="U62" s="132"/>
      <c r="V62" s="132"/>
      <c r="W62" s="132"/>
      <c r="X62" s="133"/>
    </row>
    <row r="63" spans="1:24" x14ac:dyDescent="0.15">
      <c r="A63" s="103" t="s">
        <v>46</v>
      </c>
      <c r="B63" s="103" t="s">
        <v>468</v>
      </c>
      <c r="C63" s="24" t="s">
        <v>980</v>
      </c>
      <c r="D63" s="103" t="s">
        <v>458</v>
      </c>
      <c r="E63" s="103" t="s">
        <v>82</v>
      </c>
      <c r="F63" s="103" t="s">
        <v>969</v>
      </c>
      <c r="G63" s="103">
        <v>0</v>
      </c>
      <c r="H63" s="117" t="s">
        <v>494</v>
      </c>
      <c r="I63" s="108" t="s">
        <v>580</v>
      </c>
      <c r="J63" s="132">
        <v>1050</v>
      </c>
      <c r="K63" s="132">
        <v>1268.0235023767543</v>
      </c>
      <c r="L63" s="132">
        <v>218.02350237675432</v>
      </c>
      <c r="M63" s="132">
        <v>218.02350237675432</v>
      </c>
      <c r="N63" s="132">
        <v>2.3404907194286411</v>
      </c>
      <c r="O63" s="132">
        <f t="shared" si="1"/>
        <v>2.3404907194286411</v>
      </c>
      <c r="P63" s="132">
        <v>20.764143083500411</v>
      </c>
      <c r="Q63" s="132">
        <v>20.764143083500411</v>
      </c>
      <c r="R63" s="132">
        <v>1271.1961779097323</v>
      </c>
      <c r="S63" s="132">
        <v>221.19617790973234</v>
      </c>
      <c r="T63" s="132">
        <v>221.19617790973234</v>
      </c>
      <c r="U63" s="132">
        <v>2.346736584186357</v>
      </c>
      <c r="V63" s="132">
        <v>21.066302658069748</v>
      </c>
      <c r="W63" s="132">
        <v>21.066302658069748</v>
      </c>
      <c r="X63" s="133"/>
    </row>
    <row r="64" spans="1:24" x14ac:dyDescent="0.15">
      <c r="A64" s="103" t="s">
        <v>46</v>
      </c>
      <c r="B64" s="103" t="s">
        <v>187</v>
      </c>
      <c r="C64" s="103" t="s">
        <v>979</v>
      </c>
      <c r="D64" s="103" t="s">
        <v>403</v>
      </c>
      <c r="E64" s="103" t="s">
        <v>82</v>
      </c>
      <c r="F64" s="103" t="s">
        <v>967</v>
      </c>
      <c r="G64" s="103">
        <v>0</v>
      </c>
      <c r="H64" s="120" t="s">
        <v>374</v>
      </c>
      <c r="I64" s="120" t="s">
        <v>580</v>
      </c>
      <c r="J64" s="132">
        <v>1460.1000000000001</v>
      </c>
      <c r="K64" s="132">
        <v>1680</v>
      </c>
      <c r="L64" s="132">
        <v>219.89999999999986</v>
      </c>
      <c r="M64" s="132">
        <v>219.89999999999986</v>
      </c>
      <c r="N64" s="132">
        <v>2.3441957158714346</v>
      </c>
      <c r="O64" s="132">
        <f t="shared" si="1"/>
        <v>2.3441957158714346</v>
      </c>
      <c r="P64" s="132">
        <v>15.060612286829658</v>
      </c>
      <c r="Q64" s="132">
        <v>15.060612286829658</v>
      </c>
      <c r="R64" s="132">
        <v>1666.5384615384614</v>
      </c>
      <c r="S64" s="132">
        <v>206.4384615384613</v>
      </c>
      <c r="T64" s="132">
        <v>206.4384615384613</v>
      </c>
      <c r="U64" s="132">
        <v>2.3168892828403806</v>
      </c>
      <c r="V64" s="132">
        <v>14.138652252480055</v>
      </c>
      <c r="W64" s="132">
        <v>14.138652252480055</v>
      </c>
      <c r="X64" s="133"/>
    </row>
    <row r="65" spans="1:24" x14ac:dyDescent="0.15">
      <c r="A65" s="103" t="s">
        <v>46</v>
      </c>
      <c r="B65" s="103" t="s">
        <v>591</v>
      </c>
      <c r="C65" s="103" t="s">
        <v>970</v>
      </c>
      <c r="D65" s="103" t="s">
        <v>403</v>
      </c>
      <c r="E65" s="103" t="s">
        <v>82</v>
      </c>
      <c r="F65" s="103" t="s">
        <v>967</v>
      </c>
      <c r="G65" s="103">
        <v>0</v>
      </c>
      <c r="H65" s="108" t="s">
        <v>203</v>
      </c>
      <c r="I65" s="108" t="s">
        <v>581</v>
      </c>
      <c r="J65" s="136">
        <v>2505</v>
      </c>
      <c r="K65" s="132">
        <v>2736.9679999999994</v>
      </c>
      <c r="L65" s="132">
        <v>231.96799999999939</v>
      </c>
      <c r="M65" s="132">
        <v>231.96799999999939</v>
      </c>
      <c r="N65" s="132">
        <v>2.3672962713357268</v>
      </c>
      <c r="O65" s="132">
        <f t="shared" si="1"/>
        <v>2.3672962713357268</v>
      </c>
      <c r="P65" s="132">
        <v>9.2601996007983782</v>
      </c>
      <c r="Q65" s="132">
        <v>9.2601996007983782</v>
      </c>
      <c r="R65" s="132">
        <v>2702.7981999999997</v>
      </c>
      <c r="S65" s="132">
        <v>197.79819999999972</v>
      </c>
      <c r="T65" s="132">
        <v>197.79819999999972</v>
      </c>
      <c r="U65" s="132">
        <v>2.2984124477996919</v>
      </c>
      <c r="V65" s="132">
        <v>7.8961357285429026</v>
      </c>
      <c r="W65" s="132">
        <v>7.8961357285429026</v>
      </c>
      <c r="X65" s="133"/>
    </row>
    <row r="66" spans="1:24" x14ac:dyDescent="0.15">
      <c r="A66" s="103" t="s">
        <v>46</v>
      </c>
      <c r="B66" s="103" t="s">
        <v>187</v>
      </c>
      <c r="C66" s="103" t="s">
        <v>975</v>
      </c>
      <c r="D66" s="103" t="s">
        <v>403</v>
      </c>
      <c r="E66" s="103" t="s">
        <v>82</v>
      </c>
      <c r="F66" s="103" t="s">
        <v>967</v>
      </c>
      <c r="G66" s="103">
        <v>0</v>
      </c>
      <c r="H66" s="120" t="s">
        <v>374</v>
      </c>
      <c r="I66" s="120" t="s">
        <v>580</v>
      </c>
      <c r="J66" s="132">
        <v>1460.1000000000001</v>
      </c>
      <c r="K66" s="132">
        <v>1706.8066000000001</v>
      </c>
      <c r="L66" s="132">
        <v>246.70659999999998</v>
      </c>
      <c r="M66" s="132">
        <v>246.70659999999998</v>
      </c>
      <c r="N66" s="132">
        <v>2.3939375782668795</v>
      </c>
      <c r="O66" s="132">
        <f t="shared" ref="O66:O88" si="2">SIGN(L66)*N66</f>
        <v>2.3939375782668795</v>
      </c>
      <c r="P66" s="132">
        <v>16.896555030477359</v>
      </c>
      <c r="Q66" s="132">
        <v>16.896555030477359</v>
      </c>
      <c r="R66" s="132">
        <v>1775.0815200000002</v>
      </c>
      <c r="S66" s="132">
        <v>314.98152000000005</v>
      </c>
      <c r="T66" s="132">
        <v>314.98152000000005</v>
      </c>
      <c r="U66" s="132">
        <v>2.4996616838946317</v>
      </c>
      <c r="V66" s="132">
        <v>21.572599137045408</v>
      </c>
      <c r="W66" s="132">
        <v>21.572599137045408</v>
      </c>
      <c r="X66" s="133"/>
    </row>
    <row r="67" spans="1:24" x14ac:dyDescent="0.15">
      <c r="A67" s="103" t="s">
        <v>46</v>
      </c>
      <c r="B67" s="103" t="s">
        <v>493</v>
      </c>
      <c r="C67" s="24" t="s">
        <v>980</v>
      </c>
      <c r="D67" s="103" t="s">
        <v>401</v>
      </c>
      <c r="E67" s="103" t="s">
        <v>82</v>
      </c>
      <c r="F67" s="103" t="s">
        <v>969</v>
      </c>
      <c r="G67" s="103">
        <v>0</v>
      </c>
      <c r="H67" s="108" t="s">
        <v>203</v>
      </c>
      <c r="I67" s="108" t="s">
        <v>581</v>
      </c>
      <c r="J67" s="132">
        <v>2590</v>
      </c>
      <c r="K67" s="132">
        <v>2883.4294689949033</v>
      </c>
      <c r="L67" s="132">
        <v>293.42946899490335</v>
      </c>
      <c r="M67" s="132">
        <v>293.42946899490335</v>
      </c>
      <c r="N67" s="132">
        <v>2.4689812757108931</v>
      </c>
      <c r="O67" s="132">
        <f t="shared" si="2"/>
        <v>2.4689812757108931</v>
      </c>
      <c r="P67" s="132">
        <v>11.329323127216346</v>
      </c>
      <c r="Q67" s="132">
        <v>11.329323127216346</v>
      </c>
      <c r="R67" s="132">
        <v>2634.5095752984043</v>
      </c>
      <c r="S67" s="132">
        <v>44.509575298404343</v>
      </c>
      <c r="T67" s="132">
        <v>44.509575298404343</v>
      </c>
      <c r="U67" s="132">
        <v>1.6581027826296608</v>
      </c>
      <c r="V67" s="132">
        <v>1.7185164207878125</v>
      </c>
      <c r="W67" s="132">
        <v>1.7185164207878125</v>
      </c>
      <c r="X67" s="133"/>
    </row>
    <row r="68" spans="1:24" x14ac:dyDescent="0.15">
      <c r="A68" s="103" t="s">
        <v>46</v>
      </c>
      <c r="B68" s="103" t="s">
        <v>471</v>
      </c>
      <c r="C68" s="24" t="s">
        <v>980</v>
      </c>
      <c r="D68" s="103" t="s">
        <v>458</v>
      </c>
      <c r="E68" s="103" t="s">
        <v>82</v>
      </c>
      <c r="F68" s="103" t="s">
        <v>969</v>
      </c>
      <c r="G68" s="103">
        <v>0</v>
      </c>
      <c r="H68" s="120" t="s">
        <v>494</v>
      </c>
      <c r="I68" s="120" t="s">
        <v>580</v>
      </c>
      <c r="J68" s="132">
        <v>1065</v>
      </c>
      <c r="K68" s="132">
        <v>1379.7576236340833</v>
      </c>
      <c r="L68" s="132">
        <v>314.7576236340833</v>
      </c>
      <c r="M68" s="132">
        <v>314.7576236340833</v>
      </c>
      <c r="N68" s="132">
        <v>2.4993538449351909</v>
      </c>
      <c r="O68" s="132">
        <f t="shared" si="2"/>
        <v>2.4993538449351909</v>
      </c>
      <c r="P68" s="132">
        <v>29.554706444514864</v>
      </c>
      <c r="Q68" s="132">
        <v>29.554706444514864</v>
      </c>
      <c r="R68" s="132">
        <v>1382.0823058248445</v>
      </c>
      <c r="S68" s="132">
        <v>317.08230582484452</v>
      </c>
      <c r="T68" s="132">
        <v>317.08230582484452</v>
      </c>
      <c r="U68" s="132">
        <v>2.5025395109924222</v>
      </c>
      <c r="V68" s="132">
        <v>29.772986462426715</v>
      </c>
      <c r="W68" s="132">
        <v>29.772986462426715</v>
      </c>
      <c r="X68" s="133"/>
    </row>
    <row r="69" spans="1:24" x14ac:dyDescent="0.15">
      <c r="A69" s="103" t="s">
        <v>46</v>
      </c>
      <c r="B69" s="103" t="s">
        <v>592</v>
      </c>
      <c r="C69" s="103" t="s">
        <v>970</v>
      </c>
      <c r="D69" s="103" t="s">
        <v>403</v>
      </c>
      <c r="E69" s="103" t="s">
        <v>82</v>
      </c>
      <c r="F69" s="103" t="s">
        <v>967</v>
      </c>
      <c r="G69" s="103">
        <v>0</v>
      </c>
      <c r="H69" s="108" t="s">
        <v>203</v>
      </c>
      <c r="I69" s="124" t="s">
        <v>581</v>
      </c>
      <c r="J69" s="132">
        <v>2914</v>
      </c>
      <c r="K69" s="132">
        <v>3235.7887999999998</v>
      </c>
      <c r="L69" s="132">
        <v>321.78879999999981</v>
      </c>
      <c r="M69" s="132">
        <v>321.78879999999981</v>
      </c>
      <c r="N69" s="132">
        <v>2.5089184573307555</v>
      </c>
      <c r="O69" s="132">
        <f t="shared" si="2"/>
        <v>2.5089184573307555</v>
      </c>
      <c r="P69" s="132">
        <v>11.04285518188057</v>
      </c>
      <c r="Q69" s="132">
        <v>11.04285518188057</v>
      </c>
      <c r="R69" s="132">
        <v>2866.5974999999999</v>
      </c>
      <c r="S69" s="132">
        <v>-47.402500000000146</v>
      </c>
      <c r="T69" s="132">
        <v>47.402500000000146</v>
      </c>
      <c r="U69" s="132">
        <v>1.6848677936312944</v>
      </c>
      <c r="V69" s="132">
        <v>-1.6267158544955438</v>
      </c>
      <c r="W69" s="132">
        <v>1.6267158544955438</v>
      </c>
      <c r="X69" s="133"/>
    </row>
    <row r="70" spans="1:24" x14ac:dyDescent="0.15">
      <c r="A70" s="103" t="s">
        <v>46</v>
      </c>
      <c r="B70" s="103" t="s">
        <v>175</v>
      </c>
      <c r="C70" s="24" t="s">
        <v>980</v>
      </c>
      <c r="D70" s="103" t="s">
        <v>403</v>
      </c>
      <c r="E70" s="103" t="s">
        <v>148</v>
      </c>
      <c r="F70" s="103" t="s">
        <v>969</v>
      </c>
      <c r="G70" s="103">
        <v>0</v>
      </c>
      <c r="H70" s="120" t="s">
        <v>494</v>
      </c>
      <c r="I70" s="120" t="s">
        <v>580</v>
      </c>
      <c r="J70" s="132">
        <v>1287.2</v>
      </c>
      <c r="K70" s="132">
        <v>1641.5996133698495</v>
      </c>
      <c r="L70" s="132">
        <v>354.39961336984948</v>
      </c>
      <c r="M70" s="132">
        <v>354.39961336984948</v>
      </c>
      <c r="N70" s="132">
        <v>2.5507169510116792</v>
      </c>
      <c r="O70" s="132">
        <f t="shared" si="2"/>
        <v>2.5507169510116792</v>
      </c>
      <c r="P70" s="132">
        <v>27.532598925563196</v>
      </c>
      <c r="Q70" s="132">
        <v>27.532598925563196</v>
      </c>
      <c r="R70" s="132">
        <v>1637.5197032398587</v>
      </c>
      <c r="S70" s="132">
        <v>350.31970323985865</v>
      </c>
      <c r="T70" s="132">
        <v>350.31970323985865</v>
      </c>
      <c r="U70" s="132">
        <v>2.5457025072312178</v>
      </c>
      <c r="V70" s="132">
        <v>27.215638847099022</v>
      </c>
      <c r="W70" s="132">
        <v>27.215638847099022</v>
      </c>
      <c r="X70" s="133"/>
    </row>
    <row r="71" spans="1:24" x14ac:dyDescent="0.15">
      <c r="A71" s="103" t="s">
        <v>46</v>
      </c>
      <c r="B71" s="103" t="s">
        <v>591</v>
      </c>
      <c r="C71" s="103" t="s">
        <v>979</v>
      </c>
      <c r="D71" s="103" t="s">
        <v>403</v>
      </c>
      <c r="E71" s="103" t="s">
        <v>82</v>
      </c>
      <c r="F71" s="103" t="s">
        <v>967</v>
      </c>
      <c r="G71" s="103">
        <v>0</v>
      </c>
      <c r="H71" s="108" t="s">
        <v>203</v>
      </c>
      <c r="I71" s="108" t="s">
        <v>581</v>
      </c>
      <c r="J71" s="134">
        <v>2505</v>
      </c>
      <c r="K71" s="132">
        <v>2875</v>
      </c>
      <c r="L71" s="132">
        <v>370</v>
      </c>
      <c r="M71" s="132">
        <v>370</v>
      </c>
      <c r="N71" s="132">
        <v>2.5693739096150461</v>
      </c>
      <c r="O71" s="132">
        <f t="shared" si="2"/>
        <v>2.5693739096150461</v>
      </c>
      <c r="P71" s="132">
        <v>14.770459081836327</v>
      </c>
      <c r="Q71" s="132">
        <v>14.770459081836327</v>
      </c>
      <c r="R71" s="132">
        <v>2741.5384615384614</v>
      </c>
      <c r="S71" s="132">
        <v>236.53846153846143</v>
      </c>
      <c r="T71" s="132">
        <v>236.53846153846143</v>
      </c>
      <c r="U71" s="132">
        <v>2.3757339393568615</v>
      </c>
      <c r="V71" s="132">
        <v>9.4426531552280011</v>
      </c>
      <c r="W71" s="132">
        <v>9.4426531552280011</v>
      </c>
      <c r="X71" s="133"/>
    </row>
    <row r="72" spans="1:24" x14ac:dyDescent="0.15">
      <c r="A72" s="103" t="s">
        <v>46</v>
      </c>
      <c r="B72" s="103" t="s">
        <v>591</v>
      </c>
      <c r="C72" s="103" t="s">
        <v>971</v>
      </c>
      <c r="D72" s="103" t="s">
        <v>403</v>
      </c>
      <c r="E72" s="103" t="s">
        <v>82</v>
      </c>
      <c r="F72" s="103" t="s">
        <v>968</v>
      </c>
      <c r="G72" s="103">
        <v>1</v>
      </c>
      <c r="H72" s="108" t="s">
        <v>203</v>
      </c>
      <c r="I72" s="108" t="s">
        <v>581</v>
      </c>
      <c r="J72" s="134">
        <v>2505</v>
      </c>
      <c r="K72" s="132">
        <v>2875.1845347814906</v>
      </c>
      <c r="L72" s="132">
        <v>370.18453478149058</v>
      </c>
      <c r="M72" s="132">
        <v>370.18453478149058</v>
      </c>
      <c r="N72" s="132">
        <v>2.5695898732607869</v>
      </c>
      <c r="O72" s="132">
        <f t="shared" si="2"/>
        <v>2.5695898732607869</v>
      </c>
      <c r="P72" s="132">
        <v>14.777825739780063</v>
      </c>
      <c r="Q72" s="132">
        <v>14.777825739780063</v>
      </c>
      <c r="R72" s="132">
        <v>2783.1929179051754</v>
      </c>
      <c r="S72" s="132">
        <v>278.19291790517536</v>
      </c>
      <c r="T72" s="132">
        <v>278.19291790517536</v>
      </c>
      <c r="U72" s="132">
        <v>2.4459043976412662</v>
      </c>
      <c r="V72" s="132">
        <v>11.105505704797419</v>
      </c>
      <c r="W72" s="132">
        <v>11.105505704797419</v>
      </c>
      <c r="X72" s="133"/>
    </row>
    <row r="73" spans="1:24" x14ac:dyDescent="0.15">
      <c r="A73" s="103" t="s">
        <v>46</v>
      </c>
      <c r="B73" s="103" t="s">
        <v>592</v>
      </c>
      <c r="C73" s="24" t="s">
        <v>980</v>
      </c>
      <c r="D73" s="103" t="s">
        <v>403</v>
      </c>
      <c r="E73" s="103" t="s">
        <v>82</v>
      </c>
      <c r="F73" s="103" t="s">
        <v>969</v>
      </c>
      <c r="G73" s="103">
        <v>0</v>
      </c>
      <c r="H73" s="108" t="s">
        <v>203</v>
      </c>
      <c r="I73" s="108" t="s">
        <v>581</v>
      </c>
      <c r="J73" s="134">
        <v>2914</v>
      </c>
      <c r="K73" s="132">
        <v>3304.6979955391257</v>
      </c>
      <c r="L73" s="132">
        <v>390.69799553912571</v>
      </c>
      <c r="M73" s="132">
        <v>390.69799553912571</v>
      </c>
      <c r="N73" s="132">
        <v>2.5929513491109901</v>
      </c>
      <c r="O73" s="132">
        <f t="shared" si="2"/>
        <v>2.5929513491109901</v>
      </c>
      <c r="P73" s="132">
        <v>13.407618240875967</v>
      </c>
      <c r="Q73" s="132">
        <v>13.407618240875967</v>
      </c>
      <c r="R73" s="132">
        <v>2979.8395844326592</v>
      </c>
      <c r="S73" s="132">
        <v>65.839584432659194</v>
      </c>
      <c r="T73" s="132">
        <v>65.839584432659194</v>
      </c>
      <c r="U73" s="132">
        <v>1.8250337410543276</v>
      </c>
      <c r="V73" s="132">
        <v>2.2594229386636648</v>
      </c>
      <c r="W73" s="132">
        <v>2.2594229386636648</v>
      </c>
      <c r="X73" s="133"/>
    </row>
    <row r="74" spans="1:24" x14ac:dyDescent="0.15">
      <c r="A74" s="103" t="s">
        <v>46</v>
      </c>
      <c r="B74" s="103" t="s">
        <v>204</v>
      </c>
      <c r="C74" s="24" t="s">
        <v>980</v>
      </c>
      <c r="D74" s="103" t="s">
        <v>403</v>
      </c>
      <c r="E74" s="103" t="s">
        <v>82</v>
      </c>
      <c r="F74" s="103" t="s">
        <v>969</v>
      </c>
      <c r="G74" s="103">
        <v>0</v>
      </c>
      <c r="H74" s="120" t="s">
        <v>494</v>
      </c>
      <c r="I74" s="120" t="s">
        <v>580</v>
      </c>
      <c r="J74" s="132">
        <v>1235.4099999999999</v>
      </c>
      <c r="K74" s="132">
        <v>1626.1542976926623</v>
      </c>
      <c r="L74" s="132">
        <v>390.74429769266249</v>
      </c>
      <c r="M74" s="132">
        <v>390.74429769266249</v>
      </c>
      <c r="N74" s="132">
        <v>2.5930026835104178</v>
      </c>
      <c r="O74" s="132">
        <f t="shared" si="2"/>
        <v>2.5930026835104178</v>
      </c>
      <c r="P74" s="132">
        <v>31.628714167172237</v>
      </c>
      <c r="Q74" s="132">
        <v>31.628714167172237</v>
      </c>
      <c r="R74" s="132">
        <v>1439.9515517896896</v>
      </c>
      <c r="S74" s="132">
        <v>204.54155178968972</v>
      </c>
      <c r="T74" s="132">
        <v>204.54155178968972</v>
      </c>
      <c r="U74" s="132">
        <v>2.3128996310238321</v>
      </c>
      <c r="V74" s="132">
        <v>16.556572456892024</v>
      </c>
      <c r="W74" s="132">
        <v>16.556572456892024</v>
      </c>
      <c r="X74" s="133"/>
    </row>
    <row r="75" spans="1:24" x14ac:dyDescent="0.15">
      <c r="A75" s="103" t="s">
        <v>46</v>
      </c>
      <c r="B75" s="103" t="s">
        <v>466</v>
      </c>
      <c r="C75" s="24" t="s">
        <v>980</v>
      </c>
      <c r="D75" s="103" t="s">
        <v>458</v>
      </c>
      <c r="E75" s="103" t="s">
        <v>82</v>
      </c>
      <c r="F75" s="103" t="s">
        <v>969</v>
      </c>
      <c r="G75" s="103">
        <v>0</v>
      </c>
      <c r="H75" s="108" t="s">
        <v>494</v>
      </c>
      <c r="I75" s="108" t="s">
        <v>580</v>
      </c>
      <c r="J75" s="136">
        <v>1020</v>
      </c>
      <c r="K75" s="132">
        <v>1459.102437573923</v>
      </c>
      <c r="L75" s="132">
        <v>439.102437573923</v>
      </c>
      <c r="M75" s="132">
        <v>439.102437573923</v>
      </c>
      <c r="N75" s="132">
        <v>2.6435537739752886</v>
      </c>
      <c r="O75" s="132">
        <f t="shared" si="2"/>
        <v>2.6435537739752886</v>
      </c>
      <c r="P75" s="132">
        <v>43.049258585678729</v>
      </c>
      <c r="Q75" s="132">
        <v>43.049258585678729</v>
      </c>
      <c r="R75" s="132"/>
      <c r="S75" s="132"/>
      <c r="T75" s="132"/>
      <c r="U75" s="132"/>
      <c r="V75" s="132"/>
      <c r="W75" s="132"/>
      <c r="X75" s="133"/>
    </row>
    <row r="76" spans="1:24" x14ac:dyDescent="0.15">
      <c r="A76" s="103" t="s">
        <v>46</v>
      </c>
      <c r="B76" s="103" t="s">
        <v>591</v>
      </c>
      <c r="C76" s="103" t="s">
        <v>975</v>
      </c>
      <c r="D76" s="103" t="s">
        <v>403</v>
      </c>
      <c r="E76" s="103" t="s">
        <v>82</v>
      </c>
      <c r="F76" s="103" t="s">
        <v>967</v>
      </c>
      <c r="G76" s="103">
        <v>0</v>
      </c>
      <c r="H76" s="108" t="s">
        <v>203</v>
      </c>
      <c r="I76" s="108" t="s">
        <v>581</v>
      </c>
      <c r="J76" s="136">
        <v>2505</v>
      </c>
      <c r="K76" s="132">
        <v>2972.5745000000002</v>
      </c>
      <c r="L76" s="132">
        <v>467.57450000000017</v>
      </c>
      <c r="M76" s="132">
        <v>467.57450000000017</v>
      </c>
      <c r="N76" s="132">
        <v>2.6707786504354587</v>
      </c>
      <c r="O76" s="132">
        <f t="shared" si="2"/>
        <v>2.6707786504354587</v>
      </c>
      <c r="P76" s="132">
        <v>18.665648702594819</v>
      </c>
      <c r="Q76" s="132">
        <v>18.665648702594819</v>
      </c>
      <c r="R76" s="132">
        <v>2966.9813199999999</v>
      </c>
      <c r="S76" s="132">
        <v>461.98131999999987</v>
      </c>
      <c r="T76" s="132">
        <v>461.98131999999987</v>
      </c>
      <c r="U76" s="132">
        <v>2.6655634688050363</v>
      </c>
      <c r="V76" s="132">
        <v>18.442368063872248</v>
      </c>
      <c r="W76" s="132">
        <v>18.442368063872248</v>
      </c>
      <c r="X76" s="133"/>
    </row>
    <row r="77" spans="1:24" x14ac:dyDescent="0.15">
      <c r="A77" s="103" t="s">
        <v>46</v>
      </c>
      <c r="B77" s="103" t="s">
        <v>592</v>
      </c>
      <c r="C77" s="103" t="s">
        <v>979</v>
      </c>
      <c r="D77" s="103" t="s">
        <v>403</v>
      </c>
      <c r="E77" s="103" t="s">
        <v>82</v>
      </c>
      <c r="F77" s="103" t="s">
        <v>967</v>
      </c>
      <c r="G77" s="103">
        <v>0</v>
      </c>
      <c r="H77" s="108" t="s">
        <v>203</v>
      </c>
      <c r="I77" s="108" t="s">
        <v>581</v>
      </c>
      <c r="J77" s="136">
        <v>2914</v>
      </c>
      <c r="K77" s="132">
        <v>3385</v>
      </c>
      <c r="L77" s="132">
        <v>471</v>
      </c>
      <c r="M77" s="132">
        <v>471</v>
      </c>
      <c r="N77" s="132">
        <v>2.673941998634088</v>
      </c>
      <c r="O77" s="132">
        <f t="shared" si="2"/>
        <v>2.673941998634088</v>
      </c>
      <c r="P77" s="132">
        <v>16.163349347975291</v>
      </c>
      <c r="Q77" s="132">
        <v>16.163349347975291</v>
      </c>
      <c r="R77" s="132">
        <v>2903.8461538461538</v>
      </c>
      <c r="S77" s="132">
        <v>-10.153846153846189</v>
      </c>
      <c r="T77" s="132">
        <v>10.153846153846189</v>
      </c>
      <c r="U77" s="132">
        <v>1.0474246499281394</v>
      </c>
      <c r="V77" s="132">
        <v>-0.34845045140172232</v>
      </c>
      <c r="W77" s="132">
        <v>0.34845045140172232</v>
      </c>
      <c r="X77" s="133"/>
    </row>
    <row r="78" spans="1:24" x14ac:dyDescent="0.15">
      <c r="A78" s="103" t="s">
        <v>46</v>
      </c>
      <c r="B78" s="103" t="s">
        <v>599</v>
      </c>
      <c r="C78" s="103" t="s">
        <v>970</v>
      </c>
      <c r="D78" s="103" t="s">
        <v>403</v>
      </c>
      <c r="E78" s="103" t="s">
        <v>82</v>
      </c>
      <c r="F78" s="103" t="s">
        <v>967</v>
      </c>
      <c r="G78" s="103">
        <v>0</v>
      </c>
      <c r="H78" s="120" t="s">
        <v>203</v>
      </c>
      <c r="I78" s="120" t="s">
        <v>581</v>
      </c>
      <c r="J78" s="132">
        <v>2556</v>
      </c>
      <c r="K78" s="132">
        <v>3050</v>
      </c>
      <c r="L78" s="132">
        <v>494</v>
      </c>
      <c r="M78" s="132">
        <v>494</v>
      </c>
      <c r="N78" s="132">
        <v>2.6946051989335689</v>
      </c>
      <c r="O78" s="132">
        <f t="shared" si="2"/>
        <v>2.6946051989335689</v>
      </c>
      <c r="P78" s="132">
        <v>19.327073552425666</v>
      </c>
      <c r="Q78" s="132">
        <v>19.327073552425666</v>
      </c>
      <c r="R78" s="132">
        <v>2901.5309999999999</v>
      </c>
      <c r="S78" s="132">
        <v>345.53099999999995</v>
      </c>
      <c r="T78" s="132">
        <v>345.53099999999995</v>
      </c>
      <c r="U78" s="132">
        <v>2.5397420918388161</v>
      </c>
      <c r="V78" s="132">
        <v>13.518427230046944</v>
      </c>
      <c r="W78" s="132">
        <v>13.518427230046944</v>
      </c>
      <c r="X78" s="133"/>
    </row>
    <row r="79" spans="1:24" x14ac:dyDescent="0.15">
      <c r="A79" s="103" t="s">
        <v>46</v>
      </c>
      <c r="B79" s="103" t="s">
        <v>212</v>
      </c>
      <c r="C79" s="24" t="s">
        <v>980</v>
      </c>
      <c r="D79" s="103" t="s">
        <v>403</v>
      </c>
      <c r="E79" s="103" t="s">
        <v>82</v>
      </c>
      <c r="F79" s="103" t="s">
        <v>969</v>
      </c>
      <c r="G79" s="103">
        <v>0</v>
      </c>
      <c r="H79" s="120" t="s">
        <v>494</v>
      </c>
      <c r="I79" s="120" t="s">
        <v>580</v>
      </c>
      <c r="J79" s="132">
        <v>1287.4000000000001</v>
      </c>
      <c r="K79" s="132">
        <v>1807.2290809037468</v>
      </c>
      <c r="L79" s="132">
        <v>519.82908090374667</v>
      </c>
      <c r="M79" s="132">
        <v>519.82908090374667</v>
      </c>
      <c r="N79" s="132">
        <v>2.7166952254131029</v>
      </c>
      <c r="O79" s="132">
        <f t="shared" si="2"/>
        <v>2.7166952254131029</v>
      </c>
      <c r="P79" s="132">
        <v>40.37821041663404</v>
      </c>
      <c r="Q79" s="132">
        <v>40.37821041663404</v>
      </c>
      <c r="R79" s="132">
        <v>1584.9017981397601</v>
      </c>
      <c r="S79" s="132">
        <v>297.50179813976001</v>
      </c>
      <c r="T79" s="132">
        <v>297.50179813976001</v>
      </c>
      <c r="U79" s="132">
        <v>2.4749469516121998</v>
      </c>
      <c r="V79" s="132">
        <v>23.108730630709957</v>
      </c>
      <c r="W79" s="132">
        <v>23.108730630709957</v>
      </c>
      <c r="X79" s="133"/>
    </row>
    <row r="80" spans="1:24" x14ac:dyDescent="0.15">
      <c r="A80" s="103" t="s">
        <v>46</v>
      </c>
      <c r="B80" s="103" t="s">
        <v>592</v>
      </c>
      <c r="C80" s="103" t="s">
        <v>971</v>
      </c>
      <c r="D80" s="103" t="s">
        <v>403</v>
      </c>
      <c r="E80" s="103" t="s">
        <v>82</v>
      </c>
      <c r="F80" s="103" t="s">
        <v>968</v>
      </c>
      <c r="G80" s="103">
        <v>1</v>
      </c>
      <c r="H80" s="108" t="s">
        <v>203</v>
      </c>
      <c r="I80" s="108" t="s">
        <v>581</v>
      </c>
      <c r="J80" s="134">
        <v>2914</v>
      </c>
      <c r="K80" s="132">
        <v>3443.875306618022</v>
      </c>
      <c r="L80" s="132">
        <v>529.87530661802202</v>
      </c>
      <c r="M80" s="132">
        <v>529.87530661802202</v>
      </c>
      <c r="N80" s="132">
        <v>2.7249925248345757</v>
      </c>
      <c r="O80" s="132">
        <f t="shared" si="2"/>
        <v>2.7249925248345757</v>
      </c>
      <c r="P80" s="132">
        <v>18.183778538710431</v>
      </c>
      <c r="Q80" s="132">
        <v>18.183778538710431</v>
      </c>
      <c r="R80" s="132">
        <v>2961.0856536149267</v>
      </c>
      <c r="S80" s="132">
        <v>47.085653614926741</v>
      </c>
      <c r="T80" s="132">
        <v>47.085653614926741</v>
      </c>
      <c r="U80" s="132">
        <v>1.6820155236664451</v>
      </c>
      <c r="V80" s="132">
        <v>1.6158426086110755</v>
      </c>
      <c r="W80" s="132">
        <v>1.6158426086110755</v>
      </c>
      <c r="X80" s="133"/>
    </row>
    <row r="81" spans="1:24" x14ac:dyDescent="0.15">
      <c r="A81" s="103" t="s">
        <v>46</v>
      </c>
      <c r="B81" s="103" t="s">
        <v>591</v>
      </c>
      <c r="C81" s="24" t="s">
        <v>980</v>
      </c>
      <c r="D81" s="103" t="s">
        <v>403</v>
      </c>
      <c r="E81" s="103" t="s">
        <v>82</v>
      </c>
      <c r="F81" s="103" t="s">
        <v>969</v>
      </c>
      <c r="G81" s="103">
        <v>0</v>
      </c>
      <c r="H81" s="108" t="s">
        <v>203</v>
      </c>
      <c r="I81" s="108" t="s">
        <v>581</v>
      </c>
      <c r="J81" s="134">
        <v>2505</v>
      </c>
      <c r="K81" s="132">
        <v>3044.442559926767</v>
      </c>
      <c r="L81" s="132">
        <v>539.44255992676699</v>
      </c>
      <c r="M81" s="132">
        <v>539.44255992676699</v>
      </c>
      <c r="N81" s="132">
        <v>2.7327495424475785</v>
      </c>
      <c r="O81" s="132">
        <f t="shared" si="2"/>
        <v>2.7327495424475785</v>
      </c>
      <c r="P81" s="132">
        <v>21.534633130809063</v>
      </c>
      <c r="Q81" s="132">
        <v>21.534633130809063</v>
      </c>
      <c r="R81" s="132">
        <v>2891.4825586655056</v>
      </c>
      <c r="S81" s="132">
        <v>386.48255866550562</v>
      </c>
      <c r="T81" s="132">
        <v>386.48255866550562</v>
      </c>
      <c r="U81" s="132">
        <v>2.588252158853166</v>
      </c>
      <c r="V81" s="132">
        <v>15.428445455708808</v>
      </c>
      <c r="W81" s="132">
        <v>15.428445455708808</v>
      </c>
      <c r="X81" s="133"/>
    </row>
    <row r="82" spans="1:24" x14ac:dyDescent="0.15">
      <c r="A82" s="103" t="s">
        <v>46</v>
      </c>
      <c r="B82" s="103" t="s">
        <v>467</v>
      </c>
      <c r="C82" s="24" t="s">
        <v>980</v>
      </c>
      <c r="D82" s="103" t="s">
        <v>458</v>
      </c>
      <c r="E82" s="103" t="s">
        <v>82</v>
      </c>
      <c r="F82" s="103" t="s">
        <v>969</v>
      </c>
      <c r="G82" s="103">
        <v>0</v>
      </c>
      <c r="H82" s="108" t="s">
        <v>494</v>
      </c>
      <c r="I82" s="108" t="s">
        <v>580</v>
      </c>
      <c r="J82" s="134">
        <v>1000</v>
      </c>
      <c r="K82" s="132">
        <v>1586.0062799774121</v>
      </c>
      <c r="L82" s="132">
        <v>586.00627997741208</v>
      </c>
      <c r="M82" s="132">
        <v>586.00627997741208</v>
      </c>
      <c r="N82" s="132">
        <v>2.7686427474911364</v>
      </c>
      <c r="O82" s="132">
        <f t="shared" si="2"/>
        <v>2.7686427474911364</v>
      </c>
      <c r="P82" s="132">
        <v>58.600627997741206</v>
      </c>
      <c r="Q82" s="132">
        <v>58.600627997741206</v>
      </c>
      <c r="R82" s="132">
        <v>1312.5214138591714</v>
      </c>
      <c r="S82" s="132">
        <v>312.52141385917139</v>
      </c>
      <c r="T82" s="132">
        <v>312.52141385917139</v>
      </c>
      <c r="U82" s="132">
        <v>2.496267208973018</v>
      </c>
      <c r="V82" s="132">
        <v>31.252141385917138</v>
      </c>
      <c r="W82" s="132">
        <v>31.252141385917138</v>
      </c>
      <c r="X82" s="133"/>
    </row>
    <row r="83" spans="1:24" x14ac:dyDescent="0.15">
      <c r="A83" s="103" t="s">
        <v>46</v>
      </c>
      <c r="B83" s="103" t="s">
        <v>592</v>
      </c>
      <c r="C83" s="103" t="s">
        <v>975</v>
      </c>
      <c r="D83" s="103" t="s">
        <v>403</v>
      </c>
      <c r="E83" s="103" t="s">
        <v>82</v>
      </c>
      <c r="F83" s="103" t="s">
        <v>967</v>
      </c>
      <c r="G83" s="103">
        <v>0</v>
      </c>
      <c r="H83" s="108" t="s">
        <v>203</v>
      </c>
      <c r="I83" s="108" t="s">
        <v>581</v>
      </c>
      <c r="J83" s="136">
        <v>2914</v>
      </c>
      <c r="K83" s="132">
        <v>3512.7766999999999</v>
      </c>
      <c r="L83" s="132">
        <v>598.77669999999989</v>
      </c>
      <c r="M83" s="132">
        <v>598.77669999999989</v>
      </c>
      <c r="N83" s="132">
        <v>2.7779895903698613</v>
      </c>
      <c r="O83" s="132">
        <f t="shared" si="2"/>
        <v>2.7779895903698613</v>
      </c>
      <c r="P83" s="132">
        <v>20.548273850377484</v>
      </c>
      <c r="Q83" s="132">
        <v>20.548273850377484</v>
      </c>
      <c r="R83" s="132">
        <v>3146.9390000000003</v>
      </c>
      <c r="S83" s="132">
        <v>232.93900000000031</v>
      </c>
      <c r="T83" s="132">
        <v>232.93900000000031</v>
      </c>
      <c r="U83" s="132">
        <v>2.3691026291323287</v>
      </c>
      <c r="V83" s="132">
        <v>7.9937886067261603</v>
      </c>
      <c r="W83" s="132">
        <v>7.9937886067261603</v>
      </c>
      <c r="X83" s="133"/>
    </row>
    <row r="84" spans="1:24" x14ac:dyDescent="0.15">
      <c r="A84" s="103" t="s">
        <v>46</v>
      </c>
      <c r="B84" s="103" t="s">
        <v>599</v>
      </c>
      <c r="C84" s="24" t="s">
        <v>980</v>
      </c>
      <c r="D84" s="103" t="s">
        <v>403</v>
      </c>
      <c r="E84" s="103" t="s">
        <v>82</v>
      </c>
      <c r="F84" s="103" t="s">
        <v>969</v>
      </c>
      <c r="G84" s="103">
        <v>0</v>
      </c>
      <c r="H84" s="120" t="s">
        <v>203</v>
      </c>
      <c r="I84" s="120" t="s">
        <v>581</v>
      </c>
      <c r="J84" s="132">
        <v>2556</v>
      </c>
      <c r="K84" s="132">
        <v>3195</v>
      </c>
      <c r="L84" s="132">
        <v>639</v>
      </c>
      <c r="M84" s="132">
        <v>639</v>
      </c>
      <c r="N84" s="132">
        <v>2.8061799739838871</v>
      </c>
      <c r="O84" s="132">
        <f t="shared" si="2"/>
        <v>2.8061799739838871</v>
      </c>
      <c r="P84" s="132">
        <v>25</v>
      </c>
      <c r="Q84" s="132">
        <v>25</v>
      </c>
      <c r="R84" s="132">
        <v>2998.1787835932651</v>
      </c>
      <c r="S84" s="132">
        <v>442.17878359326505</v>
      </c>
      <c r="T84" s="132">
        <v>442.17878359326505</v>
      </c>
      <c r="U84" s="132">
        <v>2.6465789611316475</v>
      </c>
      <c r="V84" s="132">
        <v>17.299639420706768</v>
      </c>
      <c r="W84" s="132">
        <v>17.299639420706768</v>
      </c>
      <c r="X84" s="133"/>
    </row>
    <row r="85" spans="1:24" x14ac:dyDescent="0.15">
      <c r="A85" s="103" t="s">
        <v>46</v>
      </c>
      <c r="B85" s="103" t="s">
        <v>599</v>
      </c>
      <c r="C85" s="103" t="s">
        <v>979</v>
      </c>
      <c r="D85" s="103" t="s">
        <v>403</v>
      </c>
      <c r="E85" s="103" t="s">
        <v>82</v>
      </c>
      <c r="F85" s="103" t="s">
        <v>967</v>
      </c>
      <c r="G85" s="103">
        <v>0</v>
      </c>
      <c r="H85" s="120" t="s">
        <v>203</v>
      </c>
      <c r="I85" s="120" t="s">
        <v>581</v>
      </c>
      <c r="J85" s="132">
        <v>2556</v>
      </c>
      <c r="K85" s="132">
        <v>3211</v>
      </c>
      <c r="L85" s="132">
        <v>655</v>
      </c>
      <c r="M85" s="132">
        <v>655</v>
      </c>
      <c r="N85" s="132">
        <v>2.8169038393756605</v>
      </c>
      <c r="O85" s="132">
        <f t="shared" si="2"/>
        <v>2.8169038393756605</v>
      </c>
      <c r="P85" s="132">
        <v>25.625978090766822</v>
      </c>
      <c r="Q85" s="132">
        <v>25.625978090766822</v>
      </c>
      <c r="R85" s="132">
        <v>2938.4615384615386</v>
      </c>
      <c r="S85" s="132">
        <v>382.46153846153857</v>
      </c>
      <c r="T85" s="132">
        <v>382.46153846153857</v>
      </c>
      <c r="U85" s="132">
        <v>2.5837218103408377</v>
      </c>
      <c r="V85" s="132">
        <v>14.963283977368489</v>
      </c>
      <c r="W85" s="132">
        <v>14.963283977368489</v>
      </c>
      <c r="X85" s="133"/>
    </row>
    <row r="86" spans="1:24" x14ac:dyDescent="0.15">
      <c r="A86" s="103" t="s">
        <v>46</v>
      </c>
      <c r="B86" s="103" t="s">
        <v>599</v>
      </c>
      <c r="C86" s="103" t="s">
        <v>971</v>
      </c>
      <c r="D86" s="103" t="s">
        <v>403</v>
      </c>
      <c r="E86" s="103" t="s">
        <v>82</v>
      </c>
      <c r="F86" s="103" t="s">
        <v>968</v>
      </c>
      <c r="G86" s="103">
        <v>1</v>
      </c>
      <c r="H86" s="120" t="s">
        <v>203</v>
      </c>
      <c r="I86" s="120" t="s">
        <v>581</v>
      </c>
      <c r="J86" s="132">
        <v>2556</v>
      </c>
      <c r="K86" s="132">
        <v>3230.9</v>
      </c>
      <c r="L86" s="132">
        <v>674.90000000000009</v>
      </c>
      <c r="M86" s="132">
        <v>674.90000000000009</v>
      </c>
      <c r="N86" s="132">
        <v>2.8298824464434933</v>
      </c>
      <c r="O86" s="132">
        <f t="shared" si="2"/>
        <v>2.8298824464434933</v>
      </c>
      <c r="P86" s="132">
        <v>26.404538341158066</v>
      </c>
      <c r="Q86" s="132">
        <v>26.404538341158066</v>
      </c>
      <c r="R86" s="132">
        <v>2999.1257782763191</v>
      </c>
      <c r="S86" s="132">
        <v>443.12577827631912</v>
      </c>
      <c r="T86" s="132">
        <v>443.12577827631912</v>
      </c>
      <c r="U86" s="132">
        <v>2.647505981546221</v>
      </c>
      <c r="V86" s="132">
        <v>17.336689290935801</v>
      </c>
      <c r="W86" s="132">
        <v>17.336689290935801</v>
      </c>
      <c r="X86" s="133"/>
    </row>
    <row r="87" spans="1:24" x14ac:dyDescent="0.15">
      <c r="A87" s="103" t="s">
        <v>46</v>
      </c>
      <c r="B87" s="103" t="s">
        <v>599</v>
      </c>
      <c r="C87" s="103" t="s">
        <v>975</v>
      </c>
      <c r="D87" s="103" t="s">
        <v>403</v>
      </c>
      <c r="E87" s="103" t="s">
        <v>82</v>
      </c>
      <c r="F87" s="103" t="s">
        <v>967</v>
      </c>
      <c r="G87" s="103">
        <v>0</v>
      </c>
      <c r="H87" s="120" t="s">
        <v>203</v>
      </c>
      <c r="I87" s="120" t="s">
        <v>581</v>
      </c>
      <c r="J87" s="132">
        <v>2556</v>
      </c>
      <c r="K87" s="132">
        <v>3311.5</v>
      </c>
      <c r="L87" s="132">
        <v>755.5</v>
      </c>
      <c r="M87" s="132">
        <v>755.5</v>
      </c>
      <c r="N87" s="132">
        <v>2.8788089323592057</v>
      </c>
      <c r="O87" s="132">
        <f t="shared" si="2"/>
        <v>2.8788089323592057</v>
      </c>
      <c r="P87" s="132">
        <v>29.55790297339593</v>
      </c>
      <c r="Q87" s="132">
        <v>29.55790297339593</v>
      </c>
      <c r="R87" s="132">
        <v>3185.3186000000001</v>
      </c>
      <c r="S87" s="132">
        <v>629.31860000000006</v>
      </c>
      <c r="T87" s="132">
        <v>629.31860000000006</v>
      </c>
      <c r="U87" s="132">
        <v>2.7995601228612612</v>
      </c>
      <c r="V87" s="132">
        <v>24.621228482003133</v>
      </c>
      <c r="W87" s="132">
        <v>24.621228482003133</v>
      </c>
      <c r="X87" s="133"/>
    </row>
    <row r="88" spans="1:24" x14ac:dyDescent="0.15">
      <c r="A88" s="103" t="s">
        <v>46</v>
      </c>
      <c r="B88" s="103" t="s">
        <v>187</v>
      </c>
      <c r="C88" s="24" t="s">
        <v>980</v>
      </c>
      <c r="D88" s="103" t="s">
        <v>403</v>
      </c>
      <c r="E88" s="103" t="s">
        <v>82</v>
      </c>
      <c r="F88" s="103" t="s">
        <v>969</v>
      </c>
      <c r="G88" s="103">
        <v>0</v>
      </c>
      <c r="H88" s="120" t="s">
        <v>374</v>
      </c>
      <c r="I88" s="120" t="s">
        <v>580</v>
      </c>
      <c r="J88" s="132">
        <v>1460.1000000000001</v>
      </c>
      <c r="K88" s="132">
        <v>2236.3975752516294</v>
      </c>
      <c r="L88" s="132">
        <v>776.29757525162927</v>
      </c>
      <c r="M88" s="132">
        <v>776.29757525162927</v>
      </c>
      <c r="N88" s="132">
        <v>2.8905873129435165</v>
      </c>
      <c r="O88" s="132">
        <f t="shared" si="2"/>
        <v>2.8905873129435165</v>
      </c>
      <c r="P88" s="132">
        <v>53.167425193591484</v>
      </c>
      <c r="Q88" s="132">
        <v>53.167425193591484</v>
      </c>
      <c r="R88" s="132">
        <v>2145.8916080877511</v>
      </c>
      <c r="S88" s="132">
        <v>685.791608087751</v>
      </c>
      <c r="T88" s="132">
        <v>685.791608087751</v>
      </c>
      <c r="U88" s="132">
        <v>2.8368249798734904</v>
      </c>
      <c r="V88" s="132">
        <v>46.968810909372706</v>
      </c>
      <c r="W88" s="132">
        <v>46.968810909372706</v>
      </c>
      <c r="X88" s="133"/>
    </row>
    <row r="89" spans="1:24" x14ac:dyDescent="0.15">
      <c r="A89" s="103" t="s">
        <v>46</v>
      </c>
      <c r="B89" s="103" t="s">
        <v>470</v>
      </c>
      <c r="C89" s="24" t="s">
        <v>980</v>
      </c>
      <c r="D89" s="103" t="s">
        <v>458</v>
      </c>
      <c r="E89" s="103" t="s">
        <v>82</v>
      </c>
      <c r="F89" s="103" t="s">
        <v>969</v>
      </c>
      <c r="G89" s="103">
        <v>0</v>
      </c>
      <c r="H89" s="117" t="s">
        <v>494</v>
      </c>
      <c r="I89" s="108" t="s">
        <v>580</v>
      </c>
      <c r="J89" s="134">
        <v>960</v>
      </c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3"/>
    </row>
    <row r="90" spans="1:24" x14ac:dyDescent="0.15">
      <c r="A90" s="103" t="s">
        <v>46</v>
      </c>
      <c r="B90" s="103" t="s">
        <v>224</v>
      </c>
      <c r="C90" s="24" t="s">
        <v>980</v>
      </c>
      <c r="D90" s="103" t="s">
        <v>403</v>
      </c>
      <c r="E90" s="103" t="s">
        <v>82</v>
      </c>
      <c r="F90" s="103" t="s">
        <v>969</v>
      </c>
      <c r="G90" s="103">
        <v>0</v>
      </c>
      <c r="H90" s="120" t="s">
        <v>494</v>
      </c>
      <c r="I90" s="120" t="s">
        <v>580</v>
      </c>
      <c r="J90" s="132">
        <v>908.46</v>
      </c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3"/>
    </row>
    <row r="91" spans="1:24" x14ac:dyDescent="0.15">
      <c r="A91" s="103" t="s">
        <v>46</v>
      </c>
      <c r="B91" s="103" t="s">
        <v>163</v>
      </c>
      <c r="C91" s="24" t="s">
        <v>980</v>
      </c>
      <c r="D91" s="103" t="s">
        <v>403</v>
      </c>
      <c r="E91" s="103" t="s">
        <v>82</v>
      </c>
      <c r="F91" s="103" t="s">
        <v>969</v>
      </c>
      <c r="G91" s="103">
        <v>0</v>
      </c>
      <c r="H91" s="120" t="s">
        <v>494</v>
      </c>
      <c r="I91" s="120" t="s">
        <v>580</v>
      </c>
      <c r="J91" s="132">
        <v>786.09999999999991</v>
      </c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3"/>
    </row>
    <row r="92" spans="1:24" x14ac:dyDescent="0.15">
      <c r="A92" s="103" t="s">
        <v>16</v>
      </c>
      <c r="B92" s="126" t="s">
        <v>520</v>
      </c>
      <c r="C92" s="103" t="s">
        <v>975</v>
      </c>
      <c r="D92" s="24" t="s">
        <v>401</v>
      </c>
      <c r="E92" s="24" t="s">
        <v>82</v>
      </c>
      <c r="F92" s="103" t="s">
        <v>967</v>
      </c>
      <c r="G92" s="103">
        <v>0</v>
      </c>
      <c r="H92" s="128" t="s">
        <v>494</v>
      </c>
      <c r="I92" s="49" t="s">
        <v>580</v>
      </c>
      <c r="J92" s="34">
        <v>770</v>
      </c>
      <c r="K92" s="132">
        <v>770.18000000000006</v>
      </c>
      <c r="L92" s="132">
        <v>0.18000000000006366</v>
      </c>
      <c r="M92" s="132">
        <v>0.18000000000006366</v>
      </c>
      <c r="N92" s="132">
        <v>7.1882007306148812E-2</v>
      </c>
      <c r="O92" s="132">
        <f t="shared" ref="O92:O155" si="3">SIGN(L92)*N92</f>
        <v>7.1882007306148812E-2</v>
      </c>
      <c r="P92" s="132">
        <v>2.3376623376631645E-2</v>
      </c>
      <c r="Q92" s="143">
        <v>2.3376623376631645E-2</v>
      </c>
      <c r="R92" s="33">
        <v>755.89999999999986</v>
      </c>
      <c r="S92" s="143">
        <v>-14.100000000000136</v>
      </c>
      <c r="T92" s="143">
        <v>14.100000000000136</v>
      </c>
      <c r="U92" s="132">
        <v>1.1789769472931733</v>
      </c>
      <c r="V92" s="132">
        <v>-1.831168831168849</v>
      </c>
      <c r="W92" s="103">
        <v>1.831168831168849</v>
      </c>
      <c r="X92" s="133"/>
    </row>
    <row r="93" spans="1:24" x14ac:dyDescent="0.15">
      <c r="A93" s="103" t="s">
        <v>16</v>
      </c>
      <c r="B93" s="127" t="s">
        <v>63</v>
      </c>
      <c r="C93" s="24" t="s">
        <v>980</v>
      </c>
      <c r="D93" s="24" t="s">
        <v>403</v>
      </c>
      <c r="E93" s="24" t="s">
        <v>82</v>
      </c>
      <c r="F93" s="103" t="s">
        <v>968</v>
      </c>
      <c r="G93" s="103">
        <v>1</v>
      </c>
      <c r="H93" s="124" t="s">
        <v>494</v>
      </c>
      <c r="I93" s="31" t="s">
        <v>580</v>
      </c>
      <c r="J93" s="34">
        <v>633</v>
      </c>
      <c r="K93" s="132">
        <v>633.18383090673569</v>
      </c>
      <c r="L93" s="132">
        <v>0.18383090673569313</v>
      </c>
      <c r="M93" s="132">
        <v>0.18383090673569313</v>
      </c>
      <c r="N93" s="132">
        <v>7.3289674079447586E-2</v>
      </c>
      <c r="O93" s="132">
        <f t="shared" si="3"/>
        <v>7.3289674079447586E-2</v>
      </c>
      <c r="P93" s="132">
        <v>2.9041217493790385E-2</v>
      </c>
      <c r="Q93" s="143">
        <v>2.9041217493790385E-2</v>
      </c>
      <c r="R93" s="33">
        <v>690.99999999999989</v>
      </c>
      <c r="S93" s="143">
        <v>57.999999999999886</v>
      </c>
      <c r="T93" s="143">
        <v>57.999999999999886</v>
      </c>
      <c r="U93" s="132">
        <v>1.7708520116421433</v>
      </c>
      <c r="V93" s="132">
        <v>9.1627172195892399</v>
      </c>
      <c r="W93" s="103">
        <v>9.1627172195892399</v>
      </c>
      <c r="X93" s="133"/>
    </row>
    <row r="94" spans="1:24" x14ac:dyDescent="0.15">
      <c r="A94" s="103" t="s">
        <v>16</v>
      </c>
      <c r="B94" s="127" t="s">
        <v>607</v>
      </c>
      <c r="C94" s="24" t="s">
        <v>980</v>
      </c>
      <c r="D94" s="24" t="s">
        <v>403</v>
      </c>
      <c r="E94" s="24" t="s">
        <v>148</v>
      </c>
      <c r="F94" s="103" t="s">
        <v>968</v>
      </c>
      <c r="G94" s="103">
        <v>1</v>
      </c>
      <c r="H94" s="124" t="s">
        <v>374</v>
      </c>
      <c r="I94" s="27" t="s">
        <v>580</v>
      </c>
      <c r="J94" s="34">
        <v>1439.3</v>
      </c>
      <c r="K94" s="132">
        <v>1439.0554163431921</v>
      </c>
      <c r="L94" s="132">
        <v>-0.24458365680789029</v>
      </c>
      <c r="M94" s="132">
        <v>0.24458365680789029</v>
      </c>
      <c r="N94" s="132">
        <v>9.5024093768207737E-2</v>
      </c>
      <c r="O94" s="132">
        <f t="shared" si="3"/>
        <v>-9.5024093768207737E-2</v>
      </c>
      <c r="P94" s="132">
        <v>-1.6993236768421474E-2</v>
      </c>
      <c r="Q94" s="143">
        <v>1.6993236768421474E-2</v>
      </c>
      <c r="R94" s="33">
        <v>1408.4999999999998</v>
      </c>
      <c r="S94" s="143">
        <v>-30.800000000000182</v>
      </c>
      <c r="T94" s="143">
        <v>30.800000000000182</v>
      </c>
      <c r="U94" s="132">
        <v>1.5024271199844352</v>
      </c>
      <c r="V94" s="132">
        <v>-2.1399291322170626</v>
      </c>
      <c r="W94" s="103">
        <v>2.1399291322170626</v>
      </c>
      <c r="X94" s="133"/>
    </row>
    <row r="95" spans="1:24" x14ac:dyDescent="0.15">
      <c r="A95" s="103" t="s">
        <v>16</v>
      </c>
      <c r="B95" s="103" t="s">
        <v>521</v>
      </c>
      <c r="C95" s="103" t="s">
        <v>970</v>
      </c>
      <c r="D95" s="103" t="s">
        <v>401</v>
      </c>
      <c r="E95" s="103" t="s">
        <v>82</v>
      </c>
      <c r="F95" s="103" t="s">
        <v>967</v>
      </c>
      <c r="G95" s="103">
        <v>0</v>
      </c>
      <c r="H95" s="120" t="s">
        <v>494</v>
      </c>
      <c r="I95" s="132" t="s">
        <v>580</v>
      </c>
      <c r="J95" s="132">
        <v>716</v>
      </c>
      <c r="K95" s="132">
        <v>712.9849999999999</v>
      </c>
      <c r="L95" s="132">
        <v>-3.0150000000001</v>
      </c>
      <c r="M95" s="132">
        <v>3.0150000000001</v>
      </c>
      <c r="N95" s="132">
        <v>0.60368554961471055</v>
      </c>
      <c r="O95" s="132">
        <f t="shared" si="3"/>
        <v>-0.60368554961471055</v>
      </c>
      <c r="P95" s="132">
        <v>-0.42108938547487429</v>
      </c>
      <c r="Q95" s="132">
        <v>0.42108938547487429</v>
      </c>
      <c r="R95" s="132">
        <v>723.15639999999996</v>
      </c>
      <c r="S95" s="132">
        <v>7.1563999999999623</v>
      </c>
      <c r="T95" s="132">
        <v>7.1563999999999623</v>
      </c>
      <c r="U95" s="132">
        <v>0.91149851596988452</v>
      </c>
      <c r="V95" s="132">
        <v>0.99949720670390541</v>
      </c>
      <c r="W95" s="133">
        <v>0.99949720670390541</v>
      </c>
      <c r="X95" s="133"/>
    </row>
    <row r="96" spans="1:24" x14ac:dyDescent="0.15">
      <c r="A96" s="103" t="s">
        <v>16</v>
      </c>
      <c r="B96" s="127" t="s">
        <v>819</v>
      </c>
      <c r="C96" s="103" t="s">
        <v>979</v>
      </c>
      <c r="D96" s="24" t="s">
        <v>824</v>
      </c>
      <c r="E96" s="24" t="s">
        <v>148</v>
      </c>
      <c r="F96" s="103" t="s">
        <v>967</v>
      </c>
      <c r="G96" s="103">
        <v>0</v>
      </c>
      <c r="H96" s="124" t="s">
        <v>374</v>
      </c>
      <c r="I96" s="27" t="s">
        <v>580</v>
      </c>
      <c r="J96" s="34">
        <v>1830</v>
      </c>
      <c r="K96" s="132">
        <v>1826.3157894736842</v>
      </c>
      <c r="L96" s="132">
        <v>-3.6842105263158373</v>
      </c>
      <c r="M96" s="132">
        <v>3.6842105263158373</v>
      </c>
      <c r="N96" s="132">
        <v>0.67063640569208827</v>
      </c>
      <c r="O96" s="132">
        <f t="shared" si="3"/>
        <v>-0.67063640569208827</v>
      </c>
      <c r="P96" s="132">
        <v>-0.2013229795801004</v>
      </c>
      <c r="Q96" s="143">
        <v>0.2013229795801004</v>
      </c>
      <c r="R96" s="33">
        <v>1950.2978659778091</v>
      </c>
      <c r="S96" s="143">
        <v>120.29786597780912</v>
      </c>
      <c r="T96" s="143">
        <v>120.29786597780912</v>
      </c>
      <c r="U96" s="132">
        <v>2.0838531602877239</v>
      </c>
      <c r="V96" s="132">
        <v>6.5736538785688046</v>
      </c>
      <c r="W96" s="103">
        <v>6.5736538785688046</v>
      </c>
      <c r="X96" s="133"/>
    </row>
    <row r="97" spans="1:24" x14ac:dyDescent="0.15">
      <c r="A97" s="103" t="s">
        <v>16</v>
      </c>
      <c r="B97" s="127" t="s">
        <v>58</v>
      </c>
      <c r="C97" s="103" t="s">
        <v>971</v>
      </c>
      <c r="D97" s="24" t="s">
        <v>403</v>
      </c>
      <c r="E97" s="24" t="s">
        <v>900</v>
      </c>
      <c r="F97" s="103" t="s">
        <v>968</v>
      </c>
      <c r="G97" s="103">
        <v>1</v>
      </c>
      <c r="H97" s="124" t="s">
        <v>203</v>
      </c>
      <c r="I97" s="31" t="s">
        <v>581</v>
      </c>
      <c r="J97" s="34">
        <v>2949</v>
      </c>
      <c r="K97" s="132">
        <v>2953.0534537921217</v>
      </c>
      <c r="L97" s="132">
        <v>4.0534537921216724</v>
      </c>
      <c r="M97" s="132">
        <v>4.0534537921216724</v>
      </c>
      <c r="N97" s="132">
        <v>0.70358829894383101</v>
      </c>
      <c r="O97" s="132">
        <f t="shared" si="3"/>
        <v>0.70358829894383101</v>
      </c>
      <c r="P97" s="132">
        <v>0.13745180712518387</v>
      </c>
      <c r="Q97" s="143">
        <v>0.13745180712518387</v>
      </c>
      <c r="R97" s="33">
        <v>2791.1699091610058</v>
      </c>
      <c r="S97" s="143">
        <v>-157.83009083899424</v>
      </c>
      <c r="T97" s="143">
        <v>157.83009083899424</v>
      </c>
      <c r="U97" s="132">
        <v>2.2009327842833937</v>
      </c>
      <c r="V97" s="132">
        <v>-5.3519868036281535</v>
      </c>
      <c r="W97" s="103">
        <v>5.3519868036281535</v>
      </c>
      <c r="X97" s="133"/>
    </row>
    <row r="98" spans="1:24" x14ac:dyDescent="0.15">
      <c r="A98" s="103" t="s">
        <v>16</v>
      </c>
      <c r="B98" s="103" t="s">
        <v>813</v>
      </c>
      <c r="C98" s="103" t="s">
        <v>970</v>
      </c>
      <c r="D98" s="103" t="s">
        <v>824</v>
      </c>
      <c r="E98" s="103" t="s">
        <v>148</v>
      </c>
      <c r="F98" s="103" t="s">
        <v>967</v>
      </c>
      <c r="G98" s="103">
        <v>0</v>
      </c>
      <c r="H98" s="120" t="s">
        <v>374</v>
      </c>
      <c r="I98" s="132" t="s">
        <v>580</v>
      </c>
      <c r="J98" s="132">
        <v>1427</v>
      </c>
      <c r="K98" s="132">
        <v>1431.5039999999999</v>
      </c>
      <c r="L98" s="132">
        <v>4.5039999999999054</v>
      </c>
      <c r="M98" s="132">
        <v>4.5039999999999054</v>
      </c>
      <c r="N98" s="132">
        <v>0.74067842522744742</v>
      </c>
      <c r="O98" s="132">
        <f t="shared" si="3"/>
        <v>0.74067842522744742</v>
      </c>
      <c r="P98" s="132">
        <v>0.31562718990889316</v>
      </c>
      <c r="Q98" s="132">
        <v>0.31562718990889316</v>
      </c>
      <c r="R98" s="132">
        <v>1432.9071999999999</v>
      </c>
      <c r="S98" s="132">
        <v>5.9071999999998752</v>
      </c>
      <c r="T98" s="132">
        <v>5.9071999999998752</v>
      </c>
      <c r="U98" s="132">
        <v>0.83930203131218462</v>
      </c>
      <c r="V98" s="132">
        <v>0.41395935529081118</v>
      </c>
      <c r="W98" s="133">
        <v>0.41395935529081118</v>
      </c>
      <c r="X98" s="133"/>
    </row>
    <row r="99" spans="1:24" x14ac:dyDescent="0.15">
      <c r="A99" s="103" t="s">
        <v>16</v>
      </c>
      <c r="B99" s="127" t="s">
        <v>813</v>
      </c>
      <c r="C99" s="103" t="s">
        <v>979</v>
      </c>
      <c r="D99" s="24" t="s">
        <v>824</v>
      </c>
      <c r="E99" s="24" t="s">
        <v>148</v>
      </c>
      <c r="F99" s="103" t="s">
        <v>967</v>
      </c>
      <c r="G99" s="103">
        <v>0</v>
      </c>
      <c r="H99" s="124" t="s">
        <v>374</v>
      </c>
      <c r="I99" s="31" t="s">
        <v>580</v>
      </c>
      <c r="J99" s="34">
        <v>1427</v>
      </c>
      <c r="K99" s="132">
        <v>1431.578947368421</v>
      </c>
      <c r="L99" s="132">
        <v>4.5789473684210407</v>
      </c>
      <c r="M99" s="132">
        <v>4.5789473684210407</v>
      </c>
      <c r="N99" s="132">
        <v>0.74655226431194033</v>
      </c>
      <c r="O99" s="132">
        <f t="shared" si="3"/>
        <v>0.74655226431194033</v>
      </c>
      <c r="P99" s="132">
        <v>0.32087928300077367</v>
      </c>
      <c r="Q99" s="143">
        <v>0.32087928300077367</v>
      </c>
      <c r="R99" s="33">
        <v>1473.3279152932034</v>
      </c>
      <c r="S99" s="143">
        <v>46.327915293203432</v>
      </c>
      <c r="T99" s="143">
        <v>46.327915293203432</v>
      </c>
      <c r="U99" s="132">
        <v>1.6751173750237107</v>
      </c>
      <c r="V99" s="132">
        <v>3.2465252482973672</v>
      </c>
      <c r="W99" s="103">
        <v>3.2465252482973672</v>
      </c>
      <c r="X99" s="133"/>
    </row>
    <row r="100" spans="1:24" x14ac:dyDescent="0.15">
      <c r="A100" s="103" t="s">
        <v>16</v>
      </c>
      <c r="B100" s="127" t="s">
        <v>521</v>
      </c>
      <c r="C100" s="103" t="s">
        <v>971</v>
      </c>
      <c r="D100" s="24" t="s">
        <v>401</v>
      </c>
      <c r="E100" s="24" t="s">
        <v>82</v>
      </c>
      <c r="F100" s="103" t="s">
        <v>968</v>
      </c>
      <c r="G100" s="103">
        <v>1</v>
      </c>
      <c r="H100" s="124" t="s">
        <v>494</v>
      </c>
      <c r="I100" s="31" t="s">
        <v>580</v>
      </c>
      <c r="J100" s="34">
        <v>716</v>
      </c>
      <c r="K100" s="132">
        <v>710.83358368137647</v>
      </c>
      <c r="L100" s="132">
        <v>-5.1664163186235328</v>
      </c>
      <c r="M100" s="132">
        <v>5.1664163186235328</v>
      </c>
      <c r="N100" s="132">
        <v>0.79003284228107618</v>
      </c>
      <c r="O100" s="132">
        <f t="shared" si="3"/>
        <v>-0.79003284228107618</v>
      </c>
      <c r="P100" s="132">
        <v>-0.7215665249474208</v>
      </c>
      <c r="Q100" s="143">
        <v>0.7215665249474208</v>
      </c>
      <c r="R100" s="33">
        <v>720.95425847880529</v>
      </c>
      <c r="S100" s="143">
        <v>4.9542584788052864</v>
      </c>
      <c r="T100" s="143">
        <v>4.9542584788052864</v>
      </c>
      <c r="U100" s="132">
        <v>0.77482768376758082</v>
      </c>
      <c r="V100" s="132">
        <v>0.69193554173258187</v>
      </c>
      <c r="W100" s="103">
        <v>0.69193554173258187</v>
      </c>
      <c r="X100" s="133"/>
    </row>
    <row r="101" spans="1:24" x14ac:dyDescent="0.15">
      <c r="A101" s="103" t="s">
        <v>16</v>
      </c>
      <c r="B101" s="127" t="s">
        <v>812</v>
      </c>
      <c r="C101" s="103" t="s">
        <v>979</v>
      </c>
      <c r="D101" s="24" t="s">
        <v>824</v>
      </c>
      <c r="E101" s="24" t="s">
        <v>148</v>
      </c>
      <c r="F101" s="103" t="s">
        <v>967</v>
      </c>
      <c r="G101" s="103">
        <v>0</v>
      </c>
      <c r="H101" s="124" t="s">
        <v>374</v>
      </c>
      <c r="I101" s="31" t="s">
        <v>580</v>
      </c>
      <c r="J101" s="34">
        <v>1911</v>
      </c>
      <c r="K101" s="132">
        <v>1905.2631578947369</v>
      </c>
      <c r="L101" s="132">
        <v>-5.736842105263122</v>
      </c>
      <c r="M101" s="132">
        <v>5.736842105263122</v>
      </c>
      <c r="N101" s="132">
        <v>0.82845636869503714</v>
      </c>
      <c r="O101" s="132">
        <f t="shared" si="3"/>
        <v>-0.82845636869503714</v>
      </c>
      <c r="P101" s="132">
        <v>-0.30020105208074943</v>
      </c>
      <c r="Q101" s="143">
        <v>0.30020105208074943</v>
      </c>
      <c r="R101" s="33">
        <v>2061.3909889086103</v>
      </c>
      <c r="S101" s="143">
        <v>150.39098890861032</v>
      </c>
      <c r="T101" s="143">
        <v>150.39098890861032</v>
      </c>
      <c r="U101" s="132">
        <v>2.1801000258659506</v>
      </c>
      <c r="V101" s="132">
        <v>7.8697534750711835</v>
      </c>
      <c r="W101" s="103">
        <v>7.8697534750711835</v>
      </c>
      <c r="X101" s="133"/>
    </row>
    <row r="102" spans="1:24" x14ac:dyDescent="0.15">
      <c r="A102" s="103" t="s">
        <v>16</v>
      </c>
      <c r="B102" s="127" t="s">
        <v>815</v>
      </c>
      <c r="C102" s="24" t="s">
        <v>980</v>
      </c>
      <c r="D102" s="24" t="s">
        <v>824</v>
      </c>
      <c r="E102" s="24" t="s">
        <v>148</v>
      </c>
      <c r="F102" s="103" t="s">
        <v>968</v>
      </c>
      <c r="G102" s="103">
        <v>1</v>
      </c>
      <c r="H102" s="124" t="s">
        <v>374</v>
      </c>
      <c r="I102" s="27" t="s">
        <v>580</v>
      </c>
      <c r="J102" s="34">
        <v>1651</v>
      </c>
      <c r="K102" s="132">
        <v>1657.0078177575213</v>
      </c>
      <c r="L102" s="132">
        <v>6.0078177575212521</v>
      </c>
      <c r="M102" s="132">
        <v>6.0078177575212521</v>
      </c>
      <c r="N102" s="132">
        <v>0.84558279921995427</v>
      </c>
      <c r="O102" s="132">
        <f t="shared" si="3"/>
        <v>0.84558279921995427</v>
      </c>
      <c r="P102" s="132">
        <v>0.36388962795404312</v>
      </c>
      <c r="Q102" s="143">
        <v>0.36388962795404312</v>
      </c>
      <c r="R102" s="33">
        <v>1580</v>
      </c>
      <c r="S102" s="143">
        <v>-71</v>
      </c>
      <c r="T102" s="143">
        <v>71</v>
      </c>
      <c r="U102" s="132">
        <v>1.8573324964312685</v>
      </c>
      <c r="V102" s="132">
        <v>-4.3004239854633557</v>
      </c>
      <c r="W102" s="103">
        <v>4.3004239854633557</v>
      </c>
      <c r="X102" s="133"/>
    </row>
    <row r="103" spans="1:24" x14ac:dyDescent="0.15">
      <c r="A103" s="103" t="s">
        <v>16</v>
      </c>
      <c r="B103" s="103" t="s">
        <v>823</v>
      </c>
      <c r="C103" s="103" t="s">
        <v>970</v>
      </c>
      <c r="D103" s="103" t="s">
        <v>824</v>
      </c>
      <c r="E103" s="103" t="s">
        <v>148</v>
      </c>
      <c r="F103" s="103" t="s">
        <v>967</v>
      </c>
      <c r="G103" s="103">
        <v>0</v>
      </c>
      <c r="H103" s="120" t="s">
        <v>374</v>
      </c>
      <c r="I103" s="132" t="s">
        <v>580</v>
      </c>
      <c r="J103" s="132">
        <v>1780</v>
      </c>
      <c r="K103" s="132">
        <v>1773.095</v>
      </c>
      <c r="L103" s="132">
        <v>-6.9049999999999727</v>
      </c>
      <c r="M103" s="132">
        <v>6.9049999999999727</v>
      </c>
      <c r="N103" s="132">
        <v>0.89790187426822632</v>
      </c>
      <c r="O103" s="132">
        <f t="shared" si="3"/>
        <v>-0.89790187426822632</v>
      </c>
      <c r="P103" s="132">
        <v>-0.38792134831460523</v>
      </c>
      <c r="Q103" s="132">
        <v>0.38792134831460523</v>
      </c>
      <c r="R103" s="132">
        <v>1717.8828999999998</v>
      </c>
      <c r="S103" s="132">
        <v>-62.117100000000164</v>
      </c>
      <c r="T103" s="132">
        <v>62.117100000000164</v>
      </c>
      <c r="U103" s="132">
        <v>1.8001470364160239</v>
      </c>
      <c r="V103" s="132">
        <v>-3.4897247191011327</v>
      </c>
      <c r="W103" s="133">
        <v>3.4897247191011327</v>
      </c>
      <c r="X103" s="133"/>
    </row>
    <row r="104" spans="1:24" x14ac:dyDescent="0.15">
      <c r="A104" s="103" t="s">
        <v>16</v>
      </c>
      <c r="B104" s="127" t="s">
        <v>607</v>
      </c>
      <c r="C104" s="103" t="s">
        <v>971</v>
      </c>
      <c r="D104" s="24" t="s">
        <v>403</v>
      </c>
      <c r="E104" s="24" t="s">
        <v>148</v>
      </c>
      <c r="F104" s="103" t="s">
        <v>968</v>
      </c>
      <c r="G104" s="103">
        <v>1</v>
      </c>
      <c r="H104" s="124" t="s">
        <v>374</v>
      </c>
      <c r="I104" s="27" t="s">
        <v>580</v>
      </c>
      <c r="J104" s="34">
        <v>1439.3</v>
      </c>
      <c r="K104" s="132">
        <v>1446.3212279950817</v>
      </c>
      <c r="L104" s="132">
        <v>7.0212279950817447</v>
      </c>
      <c r="M104" s="132">
        <v>7.0212279950817447</v>
      </c>
      <c r="N104" s="132">
        <v>0.9042408608854795</v>
      </c>
      <c r="O104" s="132">
        <f t="shared" si="3"/>
        <v>0.9042408608854795</v>
      </c>
      <c r="P104" s="132">
        <v>0.48782241333160181</v>
      </c>
      <c r="Q104" s="143">
        <v>0.48782241333160181</v>
      </c>
      <c r="R104" s="33">
        <v>1418.6937354377169</v>
      </c>
      <c r="S104" s="143">
        <v>-20.606264562283059</v>
      </c>
      <c r="T104" s="143">
        <v>20.606264562283059</v>
      </c>
      <c r="U104" s="132">
        <v>1.3345796895942423</v>
      </c>
      <c r="V104" s="132">
        <v>-1.4316865533441991</v>
      </c>
      <c r="W104" s="103">
        <v>1.4316865533441991</v>
      </c>
      <c r="X104" s="133"/>
    </row>
    <row r="105" spans="1:24" x14ac:dyDescent="0.15">
      <c r="A105" s="103" t="s">
        <v>16</v>
      </c>
      <c r="B105" s="126" t="s">
        <v>808</v>
      </c>
      <c r="C105" s="24" t="s">
        <v>980</v>
      </c>
      <c r="D105" s="24" t="s">
        <v>824</v>
      </c>
      <c r="E105" s="24" t="s">
        <v>148</v>
      </c>
      <c r="F105" s="103" t="s">
        <v>968</v>
      </c>
      <c r="G105" s="103">
        <v>1</v>
      </c>
      <c r="H105" s="124" t="s">
        <v>374</v>
      </c>
      <c r="I105" s="45" t="s">
        <v>580</v>
      </c>
      <c r="J105" s="34">
        <v>1450</v>
      </c>
      <c r="K105" s="132">
        <v>1457.5713590579346</v>
      </c>
      <c r="L105" s="132">
        <v>7.5713590579346146</v>
      </c>
      <c r="M105" s="132">
        <v>7.5713590579346146</v>
      </c>
      <c r="N105" s="132">
        <v>0.9330496882669731</v>
      </c>
      <c r="O105" s="132">
        <f t="shared" si="3"/>
        <v>0.9330496882669731</v>
      </c>
      <c r="P105" s="132">
        <v>0.52216269365066303</v>
      </c>
      <c r="Q105" s="143">
        <v>0.52216269365066303</v>
      </c>
      <c r="R105" s="33">
        <v>1470</v>
      </c>
      <c r="S105" s="143">
        <v>20</v>
      </c>
      <c r="T105" s="143">
        <v>20</v>
      </c>
      <c r="U105" s="33">
        <v>1.3222192947339193</v>
      </c>
      <c r="V105" s="132">
        <v>1.3793103448275863</v>
      </c>
      <c r="W105" s="103">
        <v>1.3793103448275863</v>
      </c>
      <c r="X105" s="133"/>
    </row>
    <row r="106" spans="1:24" x14ac:dyDescent="0.15">
      <c r="A106" s="103" t="s">
        <v>16</v>
      </c>
      <c r="B106" s="131" t="s">
        <v>520</v>
      </c>
      <c r="C106" s="103" t="s">
        <v>979</v>
      </c>
      <c r="D106" s="24" t="s">
        <v>401</v>
      </c>
      <c r="E106" s="24" t="s">
        <v>82</v>
      </c>
      <c r="F106" s="103" t="s">
        <v>967</v>
      </c>
      <c r="G106" s="103">
        <v>0</v>
      </c>
      <c r="H106" s="124" t="s">
        <v>494</v>
      </c>
      <c r="I106" s="27" t="s">
        <v>580</v>
      </c>
      <c r="J106" s="34">
        <v>770</v>
      </c>
      <c r="K106" s="132">
        <v>778.9473684210526</v>
      </c>
      <c r="L106" s="132">
        <v>8.9473684210526017</v>
      </c>
      <c r="M106" s="132">
        <v>8.9473684210526017</v>
      </c>
      <c r="N106" s="132">
        <v>0.99770820322041387</v>
      </c>
      <c r="O106" s="132">
        <f t="shared" si="3"/>
        <v>0.99770820322041387</v>
      </c>
      <c r="P106" s="132">
        <v>1.1619958988380001</v>
      </c>
      <c r="Q106" s="143">
        <v>1.1619958988380001</v>
      </c>
      <c r="R106" s="33">
        <v>708.71282950784757</v>
      </c>
      <c r="S106" s="143">
        <v>-61.287170492152427</v>
      </c>
      <c r="T106" s="143">
        <v>61.287170492152427</v>
      </c>
      <c r="U106" s="132">
        <v>1.7943986027066114</v>
      </c>
      <c r="V106" s="132">
        <v>-7.9593727911886267</v>
      </c>
      <c r="W106" s="103">
        <v>7.9593727911886267</v>
      </c>
      <c r="X106" s="133"/>
    </row>
    <row r="107" spans="1:24" x14ac:dyDescent="0.15">
      <c r="A107" s="103" t="s">
        <v>16</v>
      </c>
      <c r="B107" s="103" t="s">
        <v>810</v>
      </c>
      <c r="C107" s="103" t="s">
        <v>970</v>
      </c>
      <c r="D107" s="103" t="s">
        <v>824</v>
      </c>
      <c r="E107" s="103" t="s">
        <v>148</v>
      </c>
      <c r="F107" s="103" t="s">
        <v>967</v>
      </c>
      <c r="G107" s="103">
        <v>0</v>
      </c>
      <c r="H107" s="120" t="s">
        <v>374</v>
      </c>
      <c r="I107" s="132" t="s">
        <v>580</v>
      </c>
      <c r="J107" s="132">
        <v>1622</v>
      </c>
      <c r="K107" s="132">
        <v>1631.7469999999998</v>
      </c>
      <c r="L107" s="132">
        <v>9.7469999999998436</v>
      </c>
      <c r="M107" s="132">
        <v>9.7469999999998436</v>
      </c>
      <c r="N107" s="132">
        <v>1.0312872488769917</v>
      </c>
      <c r="O107" s="132">
        <f t="shared" si="3"/>
        <v>1.0312872488769917</v>
      </c>
      <c r="P107" s="132">
        <v>0.60092478421700635</v>
      </c>
      <c r="Q107" s="132">
        <v>0.60092478421700635</v>
      </c>
      <c r="R107" s="132">
        <v>1604.9679999999998</v>
      </c>
      <c r="S107" s="132">
        <v>-17.032000000000153</v>
      </c>
      <c r="T107" s="132">
        <v>17.032000000000153</v>
      </c>
      <c r="U107" s="132">
        <v>1.256043898702035</v>
      </c>
      <c r="V107" s="132">
        <v>-1.0500616522811439</v>
      </c>
      <c r="W107" s="133">
        <v>1.0500616522811439</v>
      </c>
      <c r="X107" s="133"/>
    </row>
    <row r="108" spans="1:24" x14ac:dyDescent="0.15">
      <c r="A108" s="103" t="s">
        <v>16</v>
      </c>
      <c r="B108" s="127" t="s">
        <v>810</v>
      </c>
      <c r="C108" s="103" t="s">
        <v>979</v>
      </c>
      <c r="D108" s="24" t="s">
        <v>824</v>
      </c>
      <c r="E108" s="24" t="s">
        <v>148</v>
      </c>
      <c r="F108" s="103" t="s">
        <v>967</v>
      </c>
      <c r="G108" s="103">
        <v>0</v>
      </c>
      <c r="H108" s="124" t="s">
        <v>374</v>
      </c>
      <c r="I108" s="27" t="s">
        <v>580</v>
      </c>
      <c r="J108" s="34">
        <v>1622</v>
      </c>
      <c r="K108" s="132">
        <v>1610.5263157894738</v>
      </c>
      <c r="L108" s="132">
        <v>-11.473684210526244</v>
      </c>
      <c r="M108" s="132">
        <v>11.473684210526244</v>
      </c>
      <c r="N108" s="132">
        <v>1.0959947450572725</v>
      </c>
      <c r="O108" s="132">
        <f t="shared" si="3"/>
        <v>-1.0959947450572725</v>
      </c>
      <c r="P108" s="132">
        <v>-0.70737880459471292</v>
      </c>
      <c r="Q108" s="143">
        <v>0.70737880459471292</v>
      </c>
      <c r="R108" s="33">
        <v>1664.3353368218502</v>
      </c>
      <c r="S108" s="143">
        <v>42.335336821850206</v>
      </c>
      <c r="T108" s="143">
        <v>42.335336821850206</v>
      </c>
      <c r="U108" s="132">
        <v>1.63684217644626</v>
      </c>
      <c r="V108" s="132">
        <v>2.6100700876603087</v>
      </c>
      <c r="W108" s="103">
        <v>2.6100700876603087</v>
      </c>
      <c r="X108" s="133"/>
    </row>
    <row r="109" spans="1:24" x14ac:dyDescent="0.15">
      <c r="A109" s="103" t="s">
        <v>16</v>
      </c>
      <c r="B109" s="127" t="s">
        <v>812</v>
      </c>
      <c r="C109" s="24" t="s">
        <v>976</v>
      </c>
      <c r="D109" s="24" t="s">
        <v>824</v>
      </c>
      <c r="E109" s="24" t="s">
        <v>148</v>
      </c>
      <c r="F109" s="103" t="s">
        <v>968</v>
      </c>
      <c r="G109" s="103">
        <v>1</v>
      </c>
      <c r="H109" s="124" t="s">
        <v>374</v>
      </c>
      <c r="I109" s="27" t="s">
        <v>580</v>
      </c>
      <c r="J109" s="34">
        <v>1911</v>
      </c>
      <c r="K109" s="132">
        <v>1898.6898914602536</v>
      </c>
      <c r="L109" s="132">
        <v>-12.310108539746352</v>
      </c>
      <c r="M109" s="132">
        <v>12.310108539746352</v>
      </c>
      <c r="N109" s="132">
        <v>1.1241815970239395</v>
      </c>
      <c r="O109" s="132">
        <f t="shared" si="3"/>
        <v>-1.1241815970239395</v>
      </c>
      <c r="P109" s="132">
        <v>-0.64417103818662225</v>
      </c>
      <c r="Q109" s="143">
        <v>0.64417103818662225</v>
      </c>
      <c r="R109" s="33">
        <v>1898.0814701865286</v>
      </c>
      <c r="S109" s="143">
        <v>-12.918529813471423</v>
      </c>
      <c r="T109" s="143">
        <v>12.918529813471423</v>
      </c>
      <c r="U109" s="132">
        <v>1.1435933640376927</v>
      </c>
      <c r="V109" s="132">
        <v>-0.676008886105255</v>
      </c>
      <c r="W109" s="103">
        <v>0.676008886105255</v>
      </c>
      <c r="X109" s="133"/>
    </row>
    <row r="110" spans="1:24" x14ac:dyDescent="0.15">
      <c r="A110" s="103" t="s">
        <v>16</v>
      </c>
      <c r="B110" s="103" t="s">
        <v>808</v>
      </c>
      <c r="C110" s="103" t="s">
        <v>970</v>
      </c>
      <c r="D110" s="103" t="s">
        <v>824</v>
      </c>
      <c r="E110" s="103" t="s">
        <v>148</v>
      </c>
      <c r="F110" s="103" t="s">
        <v>967</v>
      </c>
      <c r="G110" s="103">
        <v>0</v>
      </c>
      <c r="H110" s="120" t="s">
        <v>374</v>
      </c>
      <c r="I110" s="132" t="s">
        <v>580</v>
      </c>
      <c r="J110" s="132">
        <v>1450</v>
      </c>
      <c r="K110" s="132">
        <v>1437.3934999999999</v>
      </c>
      <c r="L110" s="132">
        <v>-12.606500000000096</v>
      </c>
      <c r="M110" s="132">
        <v>12.606500000000096</v>
      </c>
      <c r="N110" s="132">
        <v>1.1337464259991756</v>
      </c>
      <c r="O110" s="132">
        <f t="shared" si="3"/>
        <v>-1.1337464259991756</v>
      </c>
      <c r="P110" s="132">
        <v>-0.8694137931034549</v>
      </c>
      <c r="Q110" s="132">
        <v>0.8694137931034549</v>
      </c>
      <c r="R110" s="132">
        <v>1465.1686</v>
      </c>
      <c r="S110" s="132">
        <v>15.168599999999969</v>
      </c>
      <c r="T110" s="132">
        <v>15.168599999999969</v>
      </c>
      <c r="U110" s="132">
        <v>1.2086724170247021</v>
      </c>
      <c r="V110" s="132">
        <v>1.0461103448275841</v>
      </c>
      <c r="W110" s="133">
        <v>1.0461103448275841</v>
      </c>
      <c r="X110" s="133"/>
    </row>
    <row r="111" spans="1:24" x14ac:dyDescent="0.15">
      <c r="A111" s="103" t="s">
        <v>16</v>
      </c>
      <c r="B111" s="127" t="s">
        <v>615</v>
      </c>
      <c r="C111" s="24" t="s">
        <v>976</v>
      </c>
      <c r="D111" s="24" t="s">
        <v>403</v>
      </c>
      <c r="E111" s="24" t="s">
        <v>148</v>
      </c>
      <c r="F111" s="103" t="s">
        <v>968</v>
      </c>
      <c r="G111" s="103">
        <v>1</v>
      </c>
      <c r="H111" s="124" t="s">
        <v>374</v>
      </c>
      <c r="I111" s="27" t="s">
        <v>580</v>
      </c>
      <c r="J111" s="34">
        <v>1168</v>
      </c>
      <c r="K111" s="132">
        <v>1155.2432481224573</v>
      </c>
      <c r="L111" s="132">
        <v>-12.756751877542683</v>
      </c>
      <c r="M111" s="132">
        <v>12.756751877542683</v>
      </c>
      <c r="N111" s="132">
        <v>1.1385159042351929</v>
      </c>
      <c r="O111" s="132">
        <f t="shared" si="3"/>
        <v>-1.1385159042351929</v>
      </c>
      <c r="P111" s="132">
        <v>-1.0921876607485175</v>
      </c>
      <c r="Q111" s="143">
        <v>1.0921876607485175</v>
      </c>
      <c r="R111" s="33">
        <v>1123.0406890911606</v>
      </c>
      <c r="S111" s="143">
        <v>-44.95931090883937</v>
      </c>
      <c r="T111" s="143">
        <v>44.95931090883937</v>
      </c>
      <c r="U111" s="132">
        <v>1.6623735084685514</v>
      </c>
      <c r="V111" s="132">
        <v>-3.8492560709622747</v>
      </c>
      <c r="W111" s="103">
        <v>3.8492560709622747</v>
      </c>
      <c r="X111" s="133"/>
    </row>
    <row r="112" spans="1:24" x14ac:dyDescent="0.15">
      <c r="A112" s="103" t="s">
        <v>16</v>
      </c>
      <c r="B112" s="127" t="s">
        <v>521</v>
      </c>
      <c r="C112" s="24" t="s">
        <v>980</v>
      </c>
      <c r="D112" s="24" t="s">
        <v>401</v>
      </c>
      <c r="E112" s="24" t="s">
        <v>82</v>
      </c>
      <c r="F112" s="103" t="s">
        <v>968</v>
      </c>
      <c r="G112" s="103">
        <v>1</v>
      </c>
      <c r="H112" s="124" t="s">
        <v>494</v>
      </c>
      <c r="I112" s="27" t="s">
        <v>580</v>
      </c>
      <c r="J112" s="34">
        <v>716</v>
      </c>
      <c r="K112" s="132">
        <v>728.99949929409695</v>
      </c>
      <c r="L112" s="132">
        <v>12.99949929409695</v>
      </c>
      <c r="M112" s="132">
        <v>12.99949929409695</v>
      </c>
      <c r="N112" s="132">
        <v>1.1461125029854216</v>
      </c>
      <c r="O112" s="132">
        <f t="shared" si="3"/>
        <v>1.1461125029854216</v>
      </c>
      <c r="P112" s="132">
        <v>1.8155725271085126</v>
      </c>
      <c r="Q112" s="143">
        <v>1.8155725271085126</v>
      </c>
      <c r="R112" s="33">
        <v>780</v>
      </c>
      <c r="S112" s="143">
        <v>64</v>
      </c>
      <c r="T112" s="143">
        <v>64</v>
      </c>
      <c r="U112" s="132">
        <v>1.8129133566428555</v>
      </c>
      <c r="V112" s="132">
        <v>8.938547486033519</v>
      </c>
      <c r="W112" s="103">
        <v>8.938547486033519</v>
      </c>
      <c r="X112" s="133"/>
    </row>
    <row r="113" spans="1:23" x14ac:dyDescent="0.15">
      <c r="A113" s="103" t="s">
        <v>16</v>
      </c>
      <c r="B113" s="127" t="s">
        <v>63</v>
      </c>
      <c r="C113" s="103" t="s">
        <v>975</v>
      </c>
      <c r="D113" s="24" t="s">
        <v>403</v>
      </c>
      <c r="E113" s="24" t="s">
        <v>82</v>
      </c>
      <c r="F113" s="103" t="s">
        <v>967</v>
      </c>
      <c r="G113" s="103">
        <v>0</v>
      </c>
      <c r="H113" s="124" t="s">
        <v>494</v>
      </c>
      <c r="I113" s="27" t="s">
        <v>580</v>
      </c>
      <c r="J113" s="34">
        <v>633</v>
      </c>
      <c r="K113" s="132">
        <v>646.14800000000014</v>
      </c>
      <c r="L113" s="132">
        <v>13.148000000000138</v>
      </c>
      <c r="M113" s="132">
        <v>13.148000000000138</v>
      </c>
      <c r="N113" s="132">
        <v>1.1506950511427183</v>
      </c>
      <c r="O113" s="132">
        <f t="shared" si="3"/>
        <v>1.1506950511427183</v>
      </c>
      <c r="P113" s="132">
        <v>2.0770932069510488</v>
      </c>
      <c r="Q113" s="143">
        <v>2.0770932069510488</v>
      </c>
      <c r="R113" s="33">
        <v>640.45999999999981</v>
      </c>
      <c r="S113" s="143">
        <v>7.459999999999809</v>
      </c>
      <c r="T113" s="143">
        <v>7.459999999999809</v>
      </c>
      <c r="U113" s="132">
        <v>0.92737036303901377</v>
      </c>
      <c r="V113" s="132">
        <v>1.178515007898864</v>
      </c>
      <c r="W113" s="103">
        <v>1.178515007898864</v>
      </c>
    </row>
    <row r="114" spans="1:23" x14ac:dyDescent="0.15">
      <c r="A114" s="103" t="s">
        <v>16</v>
      </c>
      <c r="B114" s="127" t="s">
        <v>808</v>
      </c>
      <c r="C114" s="103" t="s">
        <v>979</v>
      </c>
      <c r="D114" s="24" t="s">
        <v>824</v>
      </c>
      <c r="E114" s="24" t="s">
        <v>148</v>
      </c>
      <c r="F114" s="103" t="s">
        <v>967</v>
      </c>
      <c r="G114" s="103">
        <v>0</v>
      </c>
      <c r="H114" s="124" t="s">
        <v>374</v>
      </c>
      <c r="I114" s="31" t="s">
        <v>580</v>
      </c>
      <c r="J114" s="34">
        <v>1450</v>
      </c>
      <c r="K114" s="132">
        <v>1436.8421052631579</v>
      </c>
      <c r="L114" s="132">
        <v>-13.157894736842081</v>
      </c>
      <c r="M114" s="132">
        <v>13.157894736842081</v>
      </c>
      <c r="N114" s="132">
        <v>1.1509986790495783</v>
      </c>
      <c r="O114" s="132">
        <f t="shared" si="3"/>
        <v>-1.1509986790495783</v>
      </c>
      <c r="P114" s="132">
        <v>-0.90744101633393659</v>
      </c>
      <c r="Q114" s="143">
        <v>0.90744101633393659</v>
      </c>
      <c r="R114" s="33">
        <v>1508.8989992496111</v>
      </c>
      <c r="S114" s="143">
        <v>58.898999249611052</v>
      </c>
      <c r="T114" s="143">
        <v>58.898999249611052</v>
      </c>
      <c r="U114" s="132">
        <v>1.7774195665628951</v>
      </c>
      <c r="V114" s="132">
        <v>4.0619999482490377</v>
      </c>
      <c r="W114" s="103">
        <v>4.0619999482490377</v>
      </c>
    </row>
    <row r="115" spans="1:23" x14ac:dyDescent="0.15">
      <c r="A115" s="103" t="s">
        <v>16</v>
      </c>
      <c r="B115" s="127" t="s">
        <v>822</v>
      </c>
      <c r="C115" s="103" t="s">
        <v>971</v>
      </c>
      <c r="D115" s="24" t="s">
        <v>824</v>
      </c>
      <c r="E115" s="24" t="s">
        <v>148</v>
      </c>
      <c r="F115" s="103" t="s">
        <v>968</v>
      </c>
      <c r="G115" s="103">
        <v>1</v>
      </c>
      <c r="H115" s="124" t="s">
        <v>374</v>
      </c>
      <c r="I115" s="27" t="s">
        <v>580</v>
      </c>
      <c r="J115" s="34">
        <v>1744</v>
      </c>
      <c r="K115" s="132">
        <v>1729.1273629281202</v>
      </c>
      <c r="L115" s="132">
        <v>-14.872637071879808</v>
      </c>
      <c r="M115" s="132">
        <v>14.872637071879808</v>
      </c>
      <c r="N115" s="132">
        <v>1.2006490862144308</v>
      </c>
      <c r="O115" s="132">
        <f t="shared" si="3"/>
        <v>-1.2006490862144308</v>
      </c>
      <c r="P115" s="132">
        <v>-0.85278882292888802</v>
      </c>
      <c r="Q115" s="143">
        <v>0.85278882292888802</v>
      </c>
      <c r="R115" s="33">
        <v>1730.1713588488451</v>
      </c>
      <c r="S115" s="143">
        <v>-13.828641151154898</v>
      </c>
      <c r="T115" s="143">
        <v>13.828641151154898</v>
      </c>
      <c r="U115" s="132">
        <v>1.1711013555062222</v>
      </c>
      <c r="V115" s="132">
        <v>-0.79292667151117535</v>
      </c>
      <c r="W115" s="103">
        <v>0.79292667151117535</v>
      </c>
    </row>
    <row r="116" spans="1:23" x14ac:dyDescent="0.15">
      <c r="A116" s="103" t="s">
        <v>16</v>
      </c>
      <c r="B116" s="127" t="s">
        <v>825</v>
      </c>
      <c r="C116" s="103" t="s">
        <v>971</v>
      </c>
      <c r="D116" s="24" t="s">
        <v>403</v>
      </c>
      <c r="E116" s="24" t="s">
        <v>82</v>
      </c>
      <c r="F116" s="103" t="s">
        <v>968</v>
      </c>
      <c r="G116" s="103">
        <v>1</v>
      </c>
      <c r="H116" s="124" t="s">
        <v>494</v>
      </c>
      <c r="I116" s="27" t="s">
        <v>580</v>
      </c>
      <c r="J116" s="34">
        <v>660.93000000000006</v>
      </c>
      <c r="K116" s="132">
        <v>676.61671639627343</v>
      </c>
      <c r="L116" s="132">
        <v>15.686716396273368</v>
      </c>
      <c r="M116" s="132">
        <v>15.686716396273368</v>
      </c>
      <c r="N116" s="132">
        <v>1.2223708848350987</v>
      </c>
      <c r="O116" s="132">
        <f t="shared" si="3"/>
        <v>1.2223708848350987</v>
      </c>
      <c r="P116" s="132">
        <v>2.3734308317481982</v>
      </c>
      <c r="Q116" s="143">
        <v>2.3734308317481982</v>
      </c>
      <c r="R116" s="33">
        <v>684.54828898874018</v>
      </c>
      <c r="S116" s="143">
        <v>23.618288988740119</v>
      </c>
      <c r="T116" s="143">
        <v>23.618288988740119</v>
      </c>
      <c r="U116" s="132">
        <v>1.391257865468946</v>
      </c>
      <c r="V116" s="132">
        <v>3.5734932577943379</v>
      </c>
      <c r="W116" s="103">
        <v>3.5734932577943379</v>
      </c>
    </row>
    <row r="117" spans="1:23" x14ac:dyDescent="0.15">
      <c r="A117" s="103" t="s">
        <v>16</v>
      </c>
      <c r="B117" s="103" t="s">
        <v>808</v>
      </c>
      <c r="C117" s="103" t="s">
        <v>971</v>
      </c>
      <c r="D117" s="103" t="s">
        <v>824</v>
      </c>
      <c r="E117" s="103" t="s">
        <v>148</v>
      </c>
      <c r="F117" s="103" t="s">
        <v>968</v>
      </c>
      <c r="G117" s="103">
        <v>1</v>
      </c>
      <c r="H117" s="120" t="s">
        <v>374</v>
      </c>
      <c r="I117" s="132" t="s">
        <v>580</v>
      </c>
      <c r="J117" s="132">
        <v>1450</v>
      </c>
      <c r="K117" s="132">
        <v>1465.7645382725773</v>
      </c>
      <c r="L117" s="132">
        <v>15.764538272577283</v>
      </c>
      <c r="M117" s="132">
        <v>15.764538272577283</v>
      </c>
      <c r="N117" s="132">
        <v>1.2243915966295431</v>
      </c>
      <c r="O117" s="132">
        <f t="shared" si="3"/>
        <v>1.2243915966295431</v>
      </c>
      <c r="P117" s="132">
        <v>1.0872095360398126</v>
      </c>
      <c r="Q117" s="132">
        <v>1.0872095360398126</v>
      </c>
      <c r="R117" s="132">
        <v>1489.8681249857366</v>
      </c>
      <c r="S117" s="132">
        <v>39.868124985736586</v>
      </c>
      <c r="T117" s="132">
        <v>39.868124985736586</v>
      </c>
      <c r="U117" s="132">
        <v>1.6113847129005368</v>
      </c>
      <c r="V117" s="132">
        <v>2.749525861085282</v>
      </c>
      <c r="W117" s="113">
        <v>2.749525861085282</v>
      </c>
    </row>
    <row r="118" spans="1:23" x14ac:dyDescent="0.15">
      <c r="A118" s="103" t="s">
        <v>16</v>
      </c>
      <c r="B118" s="127" t="s">
        <v>820</v>
      </c>
      <c r="C118" s="24" t="s">
        <v>976</v>
      </c>
      <c r="D118" s="24" t="s">
        <v>824</v>
      </c>
      <c r="E118" s="24" t="s">
        <v>148</v>
      </c>
      <c r="F118" s="103" t="s">
        <v>968</v>
      </c>
      <c r="G118" s="103">
        <v>1</v>
      </c>
      <c r="H118" s="124" t="s">
        <v>374</v>
      </c>
      <c r="I118" s="27" t="s">
        <v>580</v>
      </c>
      <c r="J118" s="34">
        <v>1416</v>
      </c>
      <c r="K118" s="132">
        <v>1431.8754604430014</v>
      </c>
      <c r="L118" s="132">
        <v>15.87546044300143</v>
      </c>
      <c r="M118" s="132">
        <v>15.87546044300143</v>
      </c>
      <c r="N118" s="132">
        <v>1.2272556312883478</v>
      </c>
      <c r="O118" s="132">
        <f t="shared" si="3"/>
        <v>1.2272556312883478</v>
      </c>
      <c r="P118" s="132">
        <v>1.1211483363701575</v>
      </c>
      <c r="Q118" s="143">
        <v>1.1211483363701575</v>
      </c>
      <c r="R118" s="33">
        <v>1391.8961211629376</v>
      </c>
      <c r="S118" s="143">
        <v>-24.103878837062439</v>
      </c>
      <c r="T118" s="143">
        <v>24.103878837062439</v>
      </c>
      <c r="U118" s="132">
        <v>1.3997408301417549</v>
      </c>
      <c r="V118" s="132">
        <v>-1.7022513303010196</v>
      </c>
      <c r="W118" s="103">
        <v>1.7022513303010196</v>
      </c>
    </row>
    <row r="119" spans="1:23" x14ac:dyDescent="0.15">
      <c r="A119" s="103" t="s">
        <v>16</v>
      </c>
      <c r="B119" s="103" t="s">
        <v>825</v>
      </c>
      <c r="C119" s="103" t="s">
        <v>970</v>
      </c>
      <c r="D119" s="103" t="s">
        <v>403</v>
      </c>
      <c r="E119" s="103" t="s">
        <v>82</v>
      </c>
      <c r="F119" s="103" t="s">
        <v>967</v>
      </c>
      <c r="G119" s="103">
        <v>0</v>
      </c>
      <c r="H119" s="120" t="s">
        <v>494</v>
      </c>
      <c r="I119" s="132" t="s">
        <v>580</v>
      </c>
      <c r="J119" s="132">
        <v>660.93000000000006</v>
      </c>
      <c r="K119" s="132">
        <v>677.64799999999991</v>
      </c>
      <c r="L119" s="132">
        <v>16.717999999999847</v>
      </c>
      <c r="M119" s="132">
        <v>16.717999999999847</v>
      </c>
      <c r="N119" s="132">
        <v>1.2484146973487182</v>
      </c>
      <c r="O119" s="132">
        <f t="shared" si="3"/>
        <v>1.2484146973487182</v>
      </c>
      <c r="P119" s="132">
        <v>2.5294660554067518</v>
      </c>
      <c r="Q119" s="132">
        <v>2.5294660554067518</v>
      </c>
      <c r="R119" s="132">
        <v>686.05579</v>
      </c>
      <c r="S119" s="132">
        <v>25.125789999999938</v>
      </c>
      <c r="T119" s="132">
        <v>25.125789999999938</v>
      </c>
      <c r="U119" s="132">
        <v>1.41706943165321</v>
      </c>
      <c r="V119" s="132">
        <v>3.801581105412061</v>
      </c>
      <c r="W119" s="113">
        <v>3.801581105412061</v>
      </c>
    </row>
    <row r="120" spans="1:23" x14ac:dyDescent="0.15">
      <c r="A120" s="103" t="s">
        <v>16</v>
      </c>
      <c r="B120" s="103" t="s">
        <v>811</v>
      </c>
      <c r="C120" s="103" t="s">
        <v>970</v>
      </c>
      <c r="D120" s="103" t="s">
        <v>824</v>
      </c>
      <c r="E120" s="103" t="s">
        <v>148</v>
      </c>
      <c r="F120" s="103" t="s">
        <v>967</v>
      </c>
      <c r="G120" s="103">
        <v>0</v>
      </c>
      <c r="H120" s="120" t="s">
        <v>374</v>
      </c>
      <c r="I120" s="132" t="s">
        <v>580</v>
      </c>
      <c r="J120" s="132">
        <v>1774</v>
      </c>
      <c r="K120" s="132">
        <v>1790.7635</v>
      </c>
      <c r="L120" s="132">
        <v>16.763500000000022</v>
      </c>
      <c r="M120" s="132">
        <v>16.763500000000022</v>
      </c>
      <c r="N120" s="132">
        <v>1.2495285403236942</v>
      </c>
      <c r="O120" s="132">
        <f t="shared" si="3"/>
        <v>1.2495285403236942</v>
      </c>
      <c r="P120" s="132">
        <v>0.94495490417136541</v>
      </c>
      <c r="Q120" s="132">
        <v>0.94495490417136541</v>
      </c>
      <c r="R120" s="132">
        <v>1712.5059999999999</v>
      </c>
      <c r="S120" s="132">
        <v>-61.494000000000142</v>
      </c>
      <c r="T120" s="132">
        <v>61.494000000000142</v>
      </c>
      <c r="U120" s="132">
        <v>1.7958383230724564</v>
      </c>
      <c r="V120" s="132">
        <v>-3.4664036076662987</v>
      </c>
      <c r="W120" s="133">
        <v>3.4664036076662987</v>
      </c>
    </row>
    <row r="121" spans="1:23" x14ac:dyDescent="0.15">
      <c r="A121" s="103" t="s">
        <v>16</v>
      </c>
      <c r="B121" s="126" t="s">
        <v>607</v>
      </c>
      <c r="C121" s="103" t="s">
        <v>979</v>
      </c>
      <c r="D121" s="24" t="s">
        <v>403</v>
      </c>
      <c r="E121" s="24" t="s">
        <v>148</v>
      </c>
      <c r="F121" s="103" t="s">
        <v>967</v>
      </c>
      <c r="G121" s="103">
        <v>0</v>
      </c>
      <c r="H121" s="124" t="s">
        <v>374</v>
      </c>
      <c r="I121" s="45" t="s">
        <v>580</v>
      </c>
      <c r="J121" s="34">
        <v>1439.3</v>
      </c>
      <c r="K121" s="132">
        <v>1421.0526315789473</v>
      </c>
      <c r="L121" s="132">
        <v>-18.24736842105267</v>
      </c>
      <c r="M121" s="132">
        <v>18.24736842105267</v>
      </c>
      <c r="N121" s="132">
        <v>1.2843713593852162</v>
      </c>
      <c r="O121" s="132">
        <f t="shared" si="3"/>
        <v>-1.2843713593852162</v>
      </c>
      <c r="P121" s="132">
        <v>-1.2677946516398715</v>
      </c>
      <c r="Q121" s="143">
        <v>1.2677946516398715</v>
      </c>
      <c r="R121" s="33">
        <v>1436.1033364218497</v>
      </c>
      <c r="S121" s="143">
        <v>-3.1966635781502646</v>
      </c>
      <c r="T121" s="143">
        <v>3.1966635781502646</v>
      </c>
      <c r="U121" s="33">
        <v>0.62290415577117297</v>
      </c>
      <c r="V121" s="132">
        <v>-0.22209849080457617</v>
      </c>
      <c r="W121" s="103">
        <v>0.22209849080457617</v>
      </c>
    </row>
    <row r="122" spans="1:23" x14ac:dyDescent="0.15">
      <c r="A122" s="103" t="s">
        <v>16</v>
      </c>
      <c r="B122" s="127" t="s">
        <v>63</v>
      </c>
      <c r="C122" s="103" t="s">
        <v>971</v>
      </c>
      <c r="D122" s="24" t="s">
        <v>403</v>
      </c>
      <c r="E122" s="24" t="s">
        <v>82</v>
      </c>
      <c r="F122" s="103" t="s">
        <v>968</v>
      </c>
      <c r="G122" s="103">
        <v>1</v>
      </c>
      <c r="H122" s="124" t="s">
        <v>494</v>
      </c>
      <c r="I122" s="31" t="s">
        <v>580</v>
      </c>
      <c r="J122" s="34">
        <v>633</v>
      </c>
      <c r="K122" s="132">
        <v>613.54514684786795</v>
      </c>
      <c r="L122" s="132">
        <v>-19.454853152132046</v>
      </c>
      <c r="M122" s="132">
        <v>19.454853152132046</v>
      </c>
      <c r="N122" s="132">
        <v>1.3107963659929036</v>
      </c>
      <c r="O122" s="132">
        <f t="shared" si="3"/>
        <v>-1.3107963659929036</v>
      </c>
      <c r="P122" s="132">
        <v>-3.0734365169244939</v>
      </c>
      <c r="Q122" s="143">
        <v>3.0734365169244939</v>
      </c>
      <c r="R122" s="33">
        <v>627.53898215547292</v>
      </c>
      <c r="S122" s="143">
        <v>-5.4610178445270776</v>
      </c>
      <c r="T122" s="143">
        <v>5.4610178445270776</v>
      </c>
      <c r="U122" s="132">
        <v>0.81030094050912727</v>
      </c>
      <c r="V122" s="132">
        <v>-0.86272003862987012</v>
      </c>
      <c r="W122" s="103">
        <v>0.86272003862987012</v>
      </c>
    </row>
    <row r="123" spans="1:23" x14ac:dyDescent="0.15">
      <c r="A123" s="103" t="s">
        <v>16</v>
      </c>
      <c r="B123" s="103" t="s">
        <v>607</v>
      </c>
      <c r="C123" s="103" t="s">
        <v>970</v>
      </c>
      <c r="D123" s="103" t="s">
        <v>403</v>
      </c>
      <c r="E123" s="103" t="s">
        <v>148</v>
      </c>
      <c r="F123" s="103" t="s">
        <v>967</v>
      </c>
      <c r="G123" s="103">
        <v>0</v>
      </c>
      <c r="H123" s="120" t="s">
        <v>374</v>
      </c>
      <c r="I123" s="132" t="s">
        <v>580</v>
      </c>
      <c r="J123" s="132">
        <v>1439.3</v>
      </c>
      <c r="K123" s="132">
        <v>1419.7249999999999</v>
      </c>
      <c r="L123" s="132">
        <v>-19.575000000000045</v>
      </c>
      <c r="M123" s="132">
        <v>19.575000000000045</v>
      </c>
      <c r="N123" s="132">
        <v>1.3133398438843085</v>
      </c>
      <c r="O123" s="132">
        <f t="shared" si="3"/>
        <v>-1.3133398438843085</v>
      </c>
      <c r="P123" s="132">
        <v>-1.360036128673664</v>
      </c>
      <c r="Q123" s="132">
        <v>1.360036128673664</v>
      </c>
      <c r="R123" s="132">
        <v>1399.0327299999999</v>
      </c>
      <c r="S123" s="132">
        <v>-40.267270000000053</v>
      </c>
      <c r="T123" s="132">
        <v>40.267270000000053</v>
      </c>
      <c r="U123" s="132">
        <v>1.6156057394577004</v>
      </c>
      <c r="V123" s="132">
        <v>-2.7976981866184989</v>
      </c>
      <c r="W123" s="113">
        <v>2.7976981866184989</v>
      </c>
    </row>
    <row r="124" spans="1:23" x14ac:dyDescent="0.15">
      <c r="A124" s="103" t="s">
        <v>16</v>
      </c>
      <c r="B124" s="126" t="s">
        <v>825</v>
      </c>
      <c r="C124" s="24" t="s">
        <v>976</v>
      </c>
      <c r="D124" s="24" t="s">
        <v>403</v>
      </c>
      <c r="E124" s="24" t="s">
        <v>82</v>
      </c>
      <c r="F124" s="103" t="s">
        <v>968</v>
      </c>
      <c r="G124" s="103">
        <v>1</v>
      </c>
      <c r="H124" s="124" t="s">
        <v>494</v>
      </c>
      <c r="I124" s="45" t="s">
        <v>580</v>
      </c>
      <c r="J124" s="34">
        <v>660.93000000000006</v>
      </c>
      <c r="K124" s="132">
        <v>639.86108822393294</v>
      </c>
      <c r="L124" s="132">
        <v>-21.068911776067125</v>
      </c>
      <c r="M124" s="132">
        <v>21.068911776067125</v>
      </c>
      <c r="N124" s="132">
        <v>1.3437809185127567</v>
      </c>
      <c r="O124" s="132">
        <f t="shared" si="3"/>
        <v>-1.3437809185127567</v>
      </c>
      <c r="P124" s="132">
        <v>-3.1877675057974555</v>
      </c>
      <c r="Q124" s="143">
        <v>3.1877675057974555</v>
      </c>
      <c r="R124" s="33">
        <v>619.74924477520528</v>
      </c>
      <c r="S124" s="143">
        <v>-41.18075522479478</v>
      </c>
      <c r="T124" s="143">
        <v>41.18075522479478</v>
      </c>
      <c r="U124" s="33">
        <v>1.6251143512931003</v>
      </c>
      <c r="V124" s="132">
        <v>-6.23072870421902</v>
      </c>
      <c r="W124" s="103">
        <v>6.23072870421902</v>
      </c>
    </row>
    <row r="125" spans="1:23" x14ac:dyDescent="0.15">
      <c r="A125" s="103" t="s">
        <v>16</v>
      </c>
      <c r="B125" s="127" t="s">
        <v>606</v>
      </c>
      <c r="C125" s="24" t="s">
        <v>976</v>
      </c>
      <c r="D125" s="24" t="s">
        <v>403</v>
      </c>
      <c r="E125" s="24" t="s">
        <v>148</v>
      </c>
      <c r="F125" s="103" t="s">
        <v>968</v>
      </c>
      <c r="G125" s="103">
        <v>1</v>
      </c>
      <c r="H125" s="124" t="s">
        <v>374</v>
      </c>
      <c r="I125" s="27" t="s">
        <v>580</v>
      </c>
      <c r="J125" s="34">
        <v>1196.7</v>
      </c>
      <c r="K125" s="132">
        <v>1175.5220768941249</v>
      </c>
      <c r="L125" s="132">
        <v>-21.177923105875152</v>
      </c>
      <c r="M125" s="132">
        <v>21.177923105875152</v>
      </c>
      <c r="N125" s="132">
        <v>1.3459208733780379</v>
      </c>
      <c r="O125" s="132">
        <f t="shared" si="3"/>
        <v>-1.3459208733780379</v>
      </c>
      <c r="P125" s="132">
        <v>-1.7696935828424125</v>
      </c>
      <c r="Q125" s="143">
        <v>1.7696935828424125</v>
      </c>
      <c r="R125" s="33">
        <v>1181.4211825389277</v>
      </c>
      <c r="S125" s="143">
        <v>-15.278817461072322</v>
      </c>
      <c r="T125" s="143">
        <v>15.278817461072322</v>
      </c>
      <c r="U125" s="132">
        <v>1.2116228533305742</v>
      </c>
      <c r="V125" s="132">
        <v>-1.276745839481267</v>
      </c>
      <c r="W125" s="103">
        <v>1.276745839481267</v>
      </c>
    </row>
    <row r="126" spans="1:23" x14ac:dyDescent="0.15">
      <c r="A126" s="103" t="s">
        <v>16</v>
      </c>
      <c r="B126" s="103" t="s">
        <v>63</v>
      </c>
      <c r="C126" s="103" t="s">
        <v>970</v>
      </c>
      <c r="D126" s="103" t="s">
        <v>403</v>
      </c>
      <c r="E126" s="103" t="s">
        <v>82</v>
      </c>
      <c r="F126" s="103" t="s">
        <v>967</v>
      </c>
      <c r="G126" s="103">
        <v>0</v>
      </c>
      <c r="H126" s="120" t="s">
        <v>494</v>
      </c>
      <c r="I126" s="132" t="s">
        <v>580</v>
      </c>
      <c r="J126" s="132">
        <v>633</v>
      </c>
      <c r="K126" s="132">
        <v>611.68560000000002</v>
      </c>
      <c r="L126" s="132">
        <v>-21.314399999999978</v>
      </c>
      <c r="M126" s="132">
        <v>21.314399999999978</v>
      </c>
      <c r="N126" s="132">
        <v>1.3485852138208514</v>
      </c>
      <c r="O126" s="132">
        <f t="shared" si="3"/>
        <v>-1.3485852138208514</v>
      </c>
      <c r="P126" s="132">
        <v>-3.367203791469191</v>
      </c>
      <c r="Q126" s="132">
        <v>3.367203791469191</v>
      </c>
      <c r="R126" s="132">
        <v>627.4475799999999</v>
      </c>
      <c r="S126" s="132">
        <v>-5.5524200000000974</v>
      </c>
      <c r="T126" s="132">
        <v>5.5524200000000974</v>
      </c>
      <c r="U126" s="132">
        <v>0.81640172724998405</v>
      </c>
      <c r="V126" s="132">
        <v>-0.87715955766194276</v>
      </c>
      <c r="W126" s="113">
        <v>0.87715955766194276</v>
      </c>
    </row>
    <row r="127" spans="1:23" x14ac:dyDescent="0.15">
      <c r="A127" s="103" t="s">
        <v>16</v>
      </c>
      <c r="B127" s="127" t="s">
        <v>811</v>
      </c>
      <c r="C127" s="103" t="s">
        <v>979</v>
      </c>
      <c r="D127" s="24" t="s">
        <v>824</v>
      </c>
      <c r="E127" s="24" t="s">
        <v>148</v>
      </c>
      <c r="F127" s="103" t="s">
        <v>967</v>
      </c>
      <c r="G127" s="103">
        <v>0</v>
      </c>
      <c r="H127" s="124" t="s">
        <v>374</v>
      </c>
      <c r="I127" s="31" t="s">
        <v>580</v>
      </c>
      <c r="J127" s="34">
        <v>1774</v>
      </c>
      <c r="K127" s="132">
        <v>1752.6315789473683</v>
      </c>
      <c r="L127" s="132">
        <v>-21.368421052631675</v>
      </c>
      <c r="M127" s="132">
        <v>21.368421052631675</v>
      </c>
      <c r="N127" s="132">
        <v>1.3496353290974845</v>
      </c>
      <c r="O127" s="132">
        <f t="shared" si="3"/>
        <v>-1.3496353290974845</v>
      </c>
      <c r="P127" s="132">
        <v>-1.2045333175102411</v>
      </c>
      <c r="Q127" s="143">
        <v>1.2045333175102411</v>
      </c>
      <c r="R127" s="33">
        <v>1785.2679822400087</v>
      </c>
      <c r="S127" s="143">
        <v>11.267982240008678</v>
      </c>
      <c r="T127" s="143">
        <v>11.267982240008678</v>
      </c>
      <c r="U127" s="132">
        <v>1.0887731385957582</v>
      </c>
      <c r="V127" s="132">
        <v>0.63517374520905734</v>
      </c>
      <c r="W127" s="103">
        <v>0.63517374520905734</v>
      </c>
    </row>
    <row r="128" spans="1:23" x14ac:dyDescent="0.15">
      <c r="A128" s="103" t="s">
        <v>16</v>
      </c>
      <c r="B128" s="127" t="s">
        <v>819</v>
      </c>
      <c r="C128" s="24" t="s">
        <v>976</v>
      </c>
      <c r="D128" s="24" t="s">
        <v>824</v>
      </c>
      <c r="E128" s="24" t="s">
        <v>148</v>
      </c>
      <c r="F128" s="103" t="s">
        <v>968</v>
      </c>
      <c r="G128" s="103">
        <v>1</v>
      </c>
      <c r="H128" s="124" t="s">
        <v>374</v>
      </c>
      <c r="I128" s="27" t="s">
        <v>580</v>
      </c>
      <c r="J128" s="34">
        <v>1830</v>
      </c>
      <c r="K128" s="132">
        <v>1806.2112508870032</v>
      </c>
      <c r="L128" s="132">
        <v>-23.788749112996811</v>
      </c>
      <c r="M128" s="132">
        <v>23.788749112996811</v>
      </c>
      <c r="N128" s="132">
        <v>1.3942546120026125</v>
      </c>
      <c r="O128" s="132">
        <f t="shared" si="3"/>
        <v>-1.3942546120026125</v>
      </c>
      <c r="P128" s="132">
        <v>-1.2999316455189514</v>
      </c>
      <c r="Q128" s="143">
        <v>1.2999316455189514</v>
      </c>
      <c r="R128" s="33">
        <v>1793.8214955698543</v>
      </c>
      <c r="S128" s="143">
        <v>-36.178504430145722</v>
      </c>
      <c r="T128" s="143">
        <v>36.178504430145722</v>
      </c>
      <c r="U128" s="132">
        <v>1.5702919155381168</v>
      </c>
      <c r="V128" s="132">
        <v>-1.9769674551992198</v>
      </c>
      <c r="W128" s="103">
        <v>1.9769674551992198</v>
      </c>
    </row>
    <row r="129" spans="1:23" x14ac:dyDescent="0.15">
      <c r="A129" s="103" t="s">
        <v>16</v>
      </c>
      <c r="B129" s="103" t="s">
        <v>821</v>
      </c>
      <c r="C129" s="103" t="s">
        <v>970</v>
      </c>
      <c r="D129" s="103" t="s">
        <v>824</v>
      </c>
      <c r="E129" s="103" t="s">
        <v>148</v>
      </c>
      <c r="F129" s="103" t="s">
        <v>967</v>
      </c>
      <c r="G129" s="103">
        <v>0</v>
      </c>
      <c r="H129" s="120" t="s">
        <v>293</v>
      </c>
      <c r="I129" s="132" t="s">
        <v>580</v>
      </c>
      <c r="J129" s="132">
        <v>1980</v>
      </c>
      <c r="K129" s="132">
        <v>1955.6695</v>
      </c>
      <c r="L129" s="132">
        <v>-24.330500000000029</v>
      </c>
      <c r="M129" s="132">
        <v>24.330500000000029</v>
      </c>
      <c r="N129" s="132">
        <v>1.4036437624355464</v>
      </c>
      <c r="O129" s="132">
        <f t="shared" si="3"/>
        <v>-1.4036437624355464</v>
      </c>
      <c r="P129" s="132">
        <v>-1.2288131313131327</v>
      </c>
      <c r="Q129" s="132">
        <v>1.2288131313131327</v>
      </c>
      <c r="R129" s="132">
        <v>1916.8281999999999</v>
      </c>
      <c r="S129" s="132">
        <v>-63.171800000000076</v>
      </c>
      <c r="T129" s="132">
        <v>63.171800000000076</v>
      </c>
      <c r="U129" s="132">
        <v>1.8073442212937416</v>
      </c>
      <c r="V129" s="132">
        <v>-3.1904949494949535</v>
      </c>
      <c r="W129" s="133">
        <v>3.1904949494949535</v>
      </c>
    </row>
    <row r="130" spans="1:23" x14ac:dyDescent="0.15">
      <c r="A130" s="103" t="s">
        <v>16</v>
      </c>
      <c r="B130" s="103" t="s">
        <v>818</v>
      </c>
      <c r="C130" s="103" t="s">
        <v>970</v>
      </c>
      <c r="D130" s="103" t="s">
        <v>824</v>
      </c>
      <c r="E130" s="103" t="s">
        <v>148</v>
      </c>
      <c r="F130" s="103" t="s">
        <v>967</v>
      </c>
      <c r="G130" s="103">
        <v>0</v>
      </c>
      <c r="H130" s="120" t="s">
        <v>374</v>
      </c>
      <c r="I130" s="132" t="s">
        <v>580</v>
      </c>
      <c r="J130" s="132">
        <v>1360</v>
      </c>
      <c r="K130" s="132">
        <v>1384.3879999999999</v>
      </c>
      <c r="L130" s="132">
        <v>24.38799999999992</v>
      </c>
      <c r="M130" s="132">
        <v>24.38799999999992</v>
      </c>
      <c r="N130" s="132">
        <v>1.4046284896419174</v>
      </c>
      <c r="O130" s="132">
        <f t="shared" si="3"/>
        <v>1.4046284896419174</v>
      </c>
      <c r="P130" s="132">
        <v>1.7932352941176413</v>
      </c>
      <c r="Q130" s="132">
        <v>1.7932352941176413</v>
      </c>
      <c r="R130" s="132">
        <v>1373.7612999999999</v>
      </c>
      <c r="S130" s="132">
        <v>13.761299999999892</v>
      </c>
      <c r="T130" s="132">
        <v>13.761299999999892</v>
      </c>
      <c r="U130" s="132">
        <v>1.1691246066716312</v>
      </c>
      <c r="V130" s="132">
        <v>1.0118602941176391</v>
      </c>
      <c r="W130" s="133">
        <v>1.0118602941176391</v>
      </c>
    </row>
    <row r="131" spans="1:23" x14ac:dyDescent="0.15">
      <c r="A131" s="103" t="s">
        <v>16</v>
      </c>
      <c r="B131" s="127" t="s">
        <v>813</v>
      </c>
      <c r="C131" s="24" t="s">
        <v>980</v>
      </c>
      <c r="D131" s="24" t="s">
        <v>824</v>
      </c>
      <c r="E131" s="24" t="s">
        <v>148</v>
      </c>
      <c r="F131" s="103" t="s">
        <v>968</v>
      </c>
      <c r="G131" s="103">
        <v>1</v>
      </c>
      <c r="H131" s="124" t="s">
        <v>374</v>
      </c>
      <c r="I131" s="27" t="s">
        <v>580</v>
      </c>
      <c r="J131" s="34">
        <v>1427</v>
      </c>
      <c r="K131" s="132">
        <v>1451.3958109174741</v>
      </c>
      <c r="L131" s="132">
        <v>24.395810917474137</v>
      </c>
      <c r="M131" s="132">
        <v>24.395810917474137</v>
      </c>
      <c r="N131" s="132">
        <v>1.4047620849087208</v>
      </c>
      <c r="O131" s="132">
        <f t="shared" si="3"/>
        <v>1.4047620849087208</v>
      </c>
      <c r="P131" s="132">
        <v>1.7095873102644805</v>
      </c>
      <c r="Q131" s="143">
        <v>1.7095873102644805</v>
      </c>
      <c r="R131" s="33">
        <v>1440</v>
      </c>
      <c r="S131" s="143">
        <v>13</v>
      </c>
      <c r="T131" s="143">
        <v>13</v>
      </c>
      <c r="U131" s="132">
        <v>1.146128035678238</v>
      </c>
      <c r="V131" s="132">
        <v>0.91100210231254375</v>
      </c>
      <c r="W131" s="103">
        <v>0.91100210231254375</v>
      </c>
    </row>
    <row r="132" spans="1:23" x14ac:dyDescent="0.15">
      <c r="A132" s="103" t="s">
        <v>16</v>
      </c>
      <c r="B132" s="126" t="s">
        <v>815</v>
      </c>
      <c r="C132" s="103" t="s">
        <v>971</v>
      </c>
      <c r="D132" s="24" t="s">
        <v>824</v>
      </c>
      <c r="E132" s="24" t="s">
        <v>148</v>
      </c>
      <c r="F132" s="103" t="s">
        <v>968</v>
      </c>
      <c r="G132" s="103">
        <v>1</v>
      </c>
      <c r="H132" s="128" t="s">
        <v>374</v>
      </c>
      <c r="I132" s="49" t="s">
        <v>580</v>
      </c>
      <c r="J132" s="34">
        <v>1651</v>
      </c>
      <c r="K132" s="132">
        <v>1675.8610502089291</v>
      </c>
      <c r="L132" s="132">
        <v>24.8610502089291</v>
      </c>
      <c r="M132" s="132">
        <v>24.8610502089291</v>
      </c>
      <c r="N132" s="132">
        <v>1.4126461574616835</v>
      </c>
      <c r="O132" s="132">
        <f t="shared" si="3"/>
        <v>1.4126461574616835</v>
      </c>
      <c r="P132" s="132">
        <v>1.5058176989054572</v>
      </c>
      <c r="Q132" s="143">
        <v>1.5058176989054572</v>
      </c>
      <c r="R132" s="33">
        <v>1618.2453990121803</v>
      </c>
      <c r="S132" s="143">
        <v>-32.754600987819686</v>
      </c>
      <c r="T132" s="143">
        <v>32.754600987819686</v>
      </c>
      <c r="U132" s="132">
        <v>1.5283329785724367</v>
      </c>
      <c r="V132" s="132">
        <v>-1.9839249538352324</v>
      </c>
      <c r="W132" s="113">
        <v>1.9839249538352324</v>
      </c>
    </row>
    <row r="133" spans="1:23" x14ac:dyDescent="0.15">
      <c r="A133" s="103" t="s">
        <v>16</v>
      </c>
      <c r="B133" s="103" t="s">
        <v>815</v>
      </c>
      <c r="C133" s="103" t="s">
        <v>970</v>
      </c>
      <c r="D133" s="103" t="s">
        <v>824</v>
      </c>
      <c r="E133" s="103" t="s">
        <v>148</v>
      </c>
      <c r="F133" s="103" t="s">
        <v>967</v>
      </c>
      <c r="G133" s="103">
        <v>0</v>
      </c>
      <c r="H133" s="120" t="s">
        <v>374</v>
      </c>
      <c r="I133" s="132" t="s">
        <v>580</v>
      </c>
      <c r="J133" s="132">
        <v>1651</v>
      </c>
      <c r="K133" s="132">
        <v>1625.8574999999998</v>
      </c>
      <c r="L133" s="132">
        <v>-25.142500000000155</v>
      </c>
      <c r="M133" s="132">
        <v>25.142500000000155</v>
      </c>
      <c r="N133" s="132">
        <v>1.4173471166909235</v>
      </c>
      <c r="O133" s="132">
        <f t="shared" si="3"/>
        <v>-1.4173471166909235</v>
      </c>
      <c r="P133" s="132">
        <v>-1.5228649303452546</v>
      </c>
      <c r="Q133" s="132">
        <v>1.5228649303452546</v>
      </c>
      <c r="R133" s="132">
        <v>1583.4603999999999</v>
      </c>
      <c r="S133" s="132">
        <v>-67.539600000000064</v>
      </c>
      <c r="T133" s="132">
        <v>67.539600000000064</v>
      </c>
      <c r="U133" s="132">
        <v>1.835941565540308</v>
      </c>
      <c r="V133" s="132">
        <v>-4.0908298001211429</v>
      </c>
      <c r="W133" s="133">
        <v>4.0908298001211429</v>
      </c>
    </row>
    <row r="134" spans="1:23" x14ac:dyDescent="0.15">
      <c r="A134" s="103" t="s">
        <v>16</v>
      </c>
      <c r="B134" s="127" t="s">
        <v>817</v>
      </c>
      <c r="C134" s="103" t="s">
        <v>979</v>
      </c>
      <c r="D134" s="24" t="s">
        <v>824</v>
      </c>
      <c r="E134" s="24" t="s">
        <v>148</v>
      </c>
      <c r="F134" s="103" t="s">
        <v>967</v>
      </c>
      <c r="G134" s="103">
        <v>0</v>
      </c>
      <c r="H134" s="124" t="s">
        <v>374</v>
      </c>
      <c r="I134" s="27" t="s">
        <v>580</v>
      </c>
      <c r="J134" s="34">
        <v>1495</v>
      </c>
      <c r="K134" s="132">
        <v>1521.0526315789473</v>
      </c>
      <c r="L134" s="132">
        <v>26.052631578947285</v>
      </c>
      <c r="M134" s="132">
        <v>26.052631578947285</v>
      </c>
      <c r="N134" s="132">
        <v>1.4322095180424455</v>
      </c>
      <c r="O134" s="132">
        <f t="shared" si="3"/>
        <v>1.4322095180424455</v>
      </c>
      <c r="P134" s="132">
        <v>1.7426509417356044</v>
      </c>
      <c r="Q134" s="143">
        <v>1.7426509417356044</v>
      </c>
      <c r="R134" s="33">
        <v>1520.7814934297262</v>
      </c>
      <c r="S134" s="143">
        <v>25.781493429726197</v>
      </c>
      <c r="T134" s="143">
        <v>25.781493429726197</v>
      </c>
      <c r="U134" s="132">
        <v>1.4278347911302502</v>
      </c>
      <c r="V134" s="132">
        <v>1.7245146106840266</v>
      </c>
      <c r="W134" s="103">
        <v>1.7245146106840266</v>
      </c>
    </row>
    <row r="135" spans="1:23" x14ac:dyDescent="0.15">
      <c r="A135" s="103" t="s">
        <v>16</v>
      </c>
      <c r="B135" s="127" t="s">
        <v>816</v>
      </c>
      <c r="C135" s="24" t="s">
        <v>976</v>
      </c>
      <c r="D135" s="24" t="s">
        <v>824</v>
      </c>
      <c r="E135" s="24" t="s">
        <v>148</v>
      </c>
      <c r="F135" s="103" t="s">
        <v>968</v>
      </c>
      <c r="G135" s="103">
        <v>1</v>
      </c>
      <c r="H135" s="124" t="s">
        <v>374</v>
      </c>
      <c r="I135" s="27" t="s">
        <v>580</v>
      </c>
      <c r="J135" s="34">
        <v>1476</v>
      </c>
      <c r="K135" s="132">
        <v>1449.6761439776756</v>
      </c>
      <c r="L135" s="132">
        <v>-26.323856022324435</v>
      </c>
      <c r="M135" s="132">
        <v>26.323856022324435</v>
      </c>
      <c r="N135" s="132">
        <v>1.4365419882395956</v>
      </c>
      <c r="O135" s="132">
        <f t="shared" si="3"/>
        <v>-1.4365419882395956</v>
      </c>
      <c r="P135" s="132">
        <v>-1.7834590801032815</v>
      </c>
      <c r="Q135" s="143">
        <v>1.7834590801032815</v>
      </c>
      <c r="R135" s="33">
        <v>1469.8986710628274</v>
      </c>
      <c r="S135" s="143">
        <v>-6.1013289371726387</v>
      </c>
      <c r="T135" s="143">
        <v>6.1013289371726387</v>
      </c>
      <c r="U135" s="132">
        <v>0.85133962985622957</v>
      </c>
      <c r="V135" s="132">
        <v>-0.41336916918513811</v>
      </c>
      <c r="W135" s="103">
        <v>0.41336916918513811</v>
      </c>
    </row>
    <row r="136" spans="1:23" x14ac:dyDescent="0.15">
      <c r="A136" s="103" t="s">
        <v>16</v>
      </c>
      <c r="B136" s="27" t="s">
        <v>814</v>
      </c>
      <c r="C136" s="103" t="s">
        <v>979</v>
      </c>
      <c r="D136" s="24" t="s">
        <v>824</v>
      </c>
      <c r="E136" s="24" t="s">
        <v>148</v>
      </c>
      <c r="F136" s="103" t="s">
        <v>967</v>
      </c>
      <c r="G136" s="103">
        <v>0</v>
      </c>
      <c r="H136" s="124" t="s">
        <v>374</v>
      </c>
      <c r="I136" s="31" t="s">
        <v>580</v>
      </c>
      <c r="J136" s="34">
        <v>1408</v>
      </c>
      <c r="K136" s="132">
        <v>1436.8421052631579</v>
      </c>
      <c r="L136" s="132">
        <v>28.842105263157919</v>
      </c>
      <c r="M136" s="132">
        <v>28.842105263157919</v>
      </c>
      <c r="N136" s="132">
        <v>1.474829457940078</v>
      </c>
      <c r="O136" s="132">
        <f t="shared" si="3"/>
        <v>1.474829457940078</v>
      </c>
      <c r="P136" s="132">
        <v>2.0484449760765568</v>
      </c>
      <c r="Q136" s="143">
        <v>2.0484449760765568</v>
      </c>
      <c r="R136" s="33">
        <v>1455.5858069642557</v>
      </c>
      <c r="S136" s="143">
        <v>47.585806964255653</v>
      </c>
      <c r="T136" s="143">
        <v>47.585806964255653</v>
      </c>
      <c r="U136" s="132">
        <v>1.6865094203459425</v>
      </c>
      <c r="V136" s="132">
        <v>3.3796737900749751</v>
      </c>
      <c r="W136" s="103">
        <v>3.3796737900749751</v>
      </c>
    </row>
    <row r="137" spans="1:23" x14ac:dyDescent="0.15">
      <c r="A137" s="103" t="s">
        <v>16</v>
      </c>
      <c r="B137" s="103" t="s">
        <v>814</v>
      </c>
      <c r="C137" s="103" t="s">
        <v>970</v>
      </c>
      <c r="D137" s="103" t="s">
        <v>824</v>
      </c>
      <c r="E137" s="103" t="s">
        <v>148</v>
      </c>
      <c r="F137" s="103" t="s">
        <v>967</v>
      </c>
      <c r="G137" s="103">
        <v>0</v>
      </c>
      <c r="H137" s="120" t="s">
        <v>374</v>
      </c>
      <c r="I137" s="132" t="s">
        <v>580</v>
      </c>
      <c r="J137" s="132">
        <v>1408</v>
      </c>
      <c r="K137" s="132">
        <v>1437.3934999999999</v>
      </c>
      <c r="L137" s="132">
        <v>29.393499999999904</v>
      </c>
      <c r="M137" s="132">
        <v>29.393499999999904</v>
      </c>
      <c r="N137" s="132">
        <v>1.4827807146624628</v>
      </c>
      <c r="O137" s="132">
        <f t="shared" si="3"/>
        <v>1.4827807146624628</v>
      </c>
      <c r="P137" s="132">
        <v>2.0876065340909022</v>
      </c>
      <c r="Q137" s="132">
        <v>2.0876065340909022</v>
      </c>
      <c r="R137" s="132">
        <v>1416.7764999999999</v>
      </c>
      <c r="S137" s="132">
        <v>8.7764999999999418</v>
      </c>
      <c r="T137" s="132">
        <v>8.7764999999999418</v>
      </c>
      <c r="U137" s="132">
        <v>0.99018340460961296</v>
      </c>
      <c r="V137" s="132">
        <v>0.62333096590908676</v>
      </c>
      <c r="W137" s="133">
        <v>0.62333096590908676</v>
      </c>
    </row>
    <row r="138" spans="1:23" x14ac:dyDescent="0.15">
      <c r="A138" s="103" t="s">
        <v>16</v>
      </c>
      <c r="B138" s="127" t="s">
        <v>818</v>
      </c>
      <c r="C138" s="103" t="s">
        <v>979</v>
      </c>
      <c r="D138" s="24" t="s">
        <v>824</v>
      </c>
      <c r="E138" s="24" t="s">
        <v>148</v>
      </c>
      <c r="F138" s="103" t="s">
        <v>967</v>
      </c>
      <c r="G138" s="103">
        <v>0</v>
      </c>
      <c r="H138" s="124" t="s">
        <v>374</v>
      </c>
      <c r="I138" s="27" t="s">
        <v>580</v>
      </c>
      <c r="J138" s="34">
        <v>1360</v>
      </c>
      <c r="K138" s="132">
        <v>1389.4736842105262</v>
      </c>
      <c r="L138" s="132">
        <v>29.473684210526244</v>
      </c>
      <c r="M138" s="132">
        <v>29.473684210526244</v>
      </c>
      <c r="N138" s="132">
        <v>1.4839249627746063</v>
      </c>
      <c r="O138" s="132">
        <f t="shared" si="3"/>
        <v>1.4839249627746063</v>
      </c>
      <c r="P138" s="132">
        <v>2.1671826625386945</v>
      </c>
      <c r="Q138" s="143">
        <v>2.1671826625386945</v>
      </c>
      <c r="R138" s="33">
        <v>1408.4174654719584</v>
      </c>
      <c r="S138" s="143">
        <v>48.417465471958394</v>
      </c>
      <c r="T138" s="143">
        <v>48.417465471958394</v>
      </c>
      <c r="U138" s="132">
        <v>1.6938804674972741</v>
      </c>
      <c r="V138" s="132">
        <v>3.5601077552910585</v>
      </c>
      <c r="W138" s="56">
        <v>3.5601077552910585</v>
      </c>
    </row>
    <row r="139" spans="1:23" x14ac:dyDescent="0.15">
      <c r="A139" s="103" t="s">
        <v>16</v>
      </c>
      <c r="B139" s="126" t="s">
        <v>813</v>
      </c>
      <c r="C139" s="103" t="s">
        <v>971</v>
      </c>
      <c r="D139" s="24" t="s">
        <v>824</v>
      </c>
      <c r="E139" s="24" t="s">
        <v>148</v>
      </c>
      <c r="F139" s="103" t="s">
        <v>968</v>
      </c>
      <c r="G139" s="103">
        <v>1</v>
      </c>
      <c r="H139" s="124" t="s">
        <v>374</v>
      </c>
      <c r="I139" s="31" t="s">
        <v>580</v>
      </c>
      <c r="J139" s="34">
        <v>1427</v>
      </c>
      <c r="K139" s="132">
        <v>1459.2784600399964</v>
      </c>
      <c r="L139" s="132">
        <v>32.278460039996389</v>
      </c>
      <c r="M139" s="132">
        <v>32.278460039996389</v>
      </c>
      <c r="N139" s="132">
        <v>1.5221632211161038</v>
      </c>
      <c r="O139" s="132">
        <f t="shared" si="3"/>
        <v>1.5221632211161038</v>
      </c>
      <c r="P139" s="132">
        <v>2.2619803812190882</v>
      </c>
      <c r="Q139" s="143">
        <v>2.2619803812190882</v>
      </c>
      <c r="R139" s="33">
        <v>1455.093671745047</v>
      </c>
      <c r="S139" s="143">
        <v>28.093671745047004</v>
      </c>
      <c r="T139" s="143">
        <v>28.093671745047004</v>
      </c>
      <c r="U139" s="132">
        <v>1.4637985345157019</v>
      </c>
      <c r="V139" s="132">
        <v>1.9687226170320256</v>
      </c>
      <c r="W139" s="113">
        <v>1.9687226170320256</v>
      </c>
    </row>
    <row r="140" spans="1:23" x14ac:dyDescent="0.15">
      <c r="A140" s="103" t="s">
        <v>16</v>
      </c>
      <c r="B140" s="126" t="s">
        <v>666</v>
      </c>
      <c r="C140" s="103" t="s">
        <v>979</v>
      </c>
      <c r="D140" s="24" t="s">
        <v>403</v>
      </c>
      <c r="E140" s="24" t="s">
        <v>82</v>
      </c>
      <c r="F140" s="103" t="s">
        <v>967</v>
      </c>
      <c r="G140" s="103">
        <v>0</v>
      </c>
      <c r="H140" s="124" t="s">
        <v>374</v>
      </c>
      <c r="I140" s="45" t="s">
        <v>580</v>
      </c>
      <c r="J140" s="34">
        <v>1207.3</v>
      </c>
      <c r="K140" s="132">
        <v>1174</v>
      </c>
      <c r="L140" s="132">
        <v>-33.299999999999955</v>
      </c>
      <c r="M140" s="132">
        <v>33.299999999999955</v>
      </c>
      <c r="N140" s="132">
        <v>1.5352941200427699</v>
      </c>
      <c r="O140" s="132">
        <f t="shared" si="3"/>
        <v>-1.5352941200427699</v>
      </c>
      <c r="P140" s="132">
        <v>-2.7582208233247707</v>
      </c>
      <c r="Q140" s="143">
        <v>2.7582208233247707</v>
      </c>
      <c r="R140" s="33">
        <v>1132.0287253688834</v>
      </c>
      <c r="S140" s="143">
        <v>-75.271274631116512</v>
      </c>
      <c r="T140" s="143">
        <v>75.271274631116512</v>
      </c>
      <c r="U140" s="33">
        <v>1.8823610042966044</v>
      </c>
      <c r="V140" s="132">
        <v>-6.2346785911634655</v>
      </c>
      <c r="W140" s="103">
        <v>6.2346785911634655</v>
      </c>
    </row>
    <row r="141" spans="1:23" x14ac:dyDescent="0.15">
      <c r="A141" s="103" t="s">
        <v>16</v>
      </c>
      <c r="B141" s="103" t="s">
        <v>809</v>
      </c>
      <c r="C141" s="103" t="s">
        <v>970</v>
      </c>
      <c r="D141" s="103" t="s">
        <v>824</v>
      </c>
      <c r="E141" s="103" t="s">
        <v>148</v>
      </c>
      <c r="F141" s="103" t="s">
        <v>967</v>
      </c>
      <c r="G141" s="103">
        <v>0</v>
      </c>
      <c r="H141" s="120" t="s">
        <v>374</v>
      </c>
      <c r="I141" s="132" t="s">
        <v>580</v>
      </c>
      <c r="J141" s="132">
        <v>1333</v>
      </c>
      <c r="K141" s="132">
        <v>1366.7194999999999</v>
      </c>
      <c r="L141" s="132">
        <v>33.719499999999925</v>
      </c>
      <c r="M141" s="132">
        <v>33.719499999999925</v>
      </c>
      <c r="N141" s="132">
        <v>1.5405734622186087</v>
      </c>
      <c r="O141" s="132">
        <f t="shared" si="3"/>
        <v>1.5405734622186087</v>
      </c>
      <c r="P141" s="132">
        <v>2.5295948987246755</v>
      </c>
      <c r="Q141" s="132">
        <v>2.5295948987246755</v>
      </c>
      <c r="R141" s="132">
        <v>1373.7612999999999</v>
      </c>
      <c r="S141" s="132">
        <v>40.761299999999892</v>
      </c>
      <c r="T141" s="132">
        <v>40.761299999999892</v>
      </c>
      <c r="U141" s="132">
        <v>1.6207740094874721</v>
      </c>
      <c r="V141" s="132">
        <v>3.0578619654913646</v>
      </c>
      <c r="W141" s="133">
        <v>3.0578619654913646</v>
      </c>
    </row>
    <row r="142" spans="1:23" x14ac:dyDescent="0.15">
      <c r="A142" s="103" t="s">
        <v>16</v>
      </c>
      <c r="B142" s="127" t="s">
        <v>821</v>
      </c>
      <c r="C142" s="24" t="s">
        <v>980</v>
      </c>
      <c r="D142" s="24" t="s">
        <v>824</v>
      </c>
      <c r="E142" s="24" t="s">
        <v>148</v>
      </c>
      <c r="F142" s="103" t="s">
        <v>968</v>
      </c>
      <c r="G142" s="103">
        <v>1</v>
      </c>
      <c r="H142" s="124" t="s">
        <v>293</v>
      </c>
      <c r="I142" s="31" t="s">
        <v>580</v>
      </c>
      <c r="J142" s="34">
        <v>1980</v>
      </c>
      <c r="K142" s="132">
        <v>2013.842379274626</v>
      </c>
      <c r="L142" s="132">
        <v>33.842379274625955</v>
      </c>
      <c r="M142" s="132">
        <v>33.842379274625955</v>
      </c>
      <c r="N142" s="132">
        <v>1.5421078039291849</v>
      </c>
      <c r="O142" s="132">
        <f t="shared" si="3"/>
        <v>1.5421078039291849</v>
      </c>
      <c r="P142" s="132">
        <v>1.7092110744760582</v>
      </c>
      <c r="Q142" s="143">
        <v>1.7092110744760582</v>
      </c>
      <c r="R142" s="33">
        <v>1890</v>
      </c>
      <c r="S142" s="143">
        <v>-90</v>
      </c>
      <c r="T142" s="143">
        <v>90</v>
      </c>
      <c r="U142" s="132">
        <v>1.9590413923210936</v>
      </c>
      <c r="V142" s="132">
        <v>-4.5454545454545459</v>
      </c>
      <c r="W142" s="103">
        <v>4.5454545454545459</v>
      </c>
    </row>
    <row r="143" spans="1:23" x14ac:dyDescent="0.15">
      <c r="A143" s="103" t="s">
        <v>16</v>
      </c>
      <c r="B143" s="127" t="s">
        <v>825</v>
      </c>
      <c r="C143" s="24" t="s">
        <v>980</v>
      </c>
      <c r="D143" s="24" t="s">
        <v>403</v>
      </c>
      <c r="E143" s="24" t="s">
        <v>82</v>
      </c>
      <c r="F143" s="103" t="s">
        <v>968</v>
      </c>
      <c r="G143" s="103">
        <v>1</v>
      </c>
      <c r="H143" s="124" t="s">
        <v>494</v>
      </c>
      <c r="I143" s="27" t="s">
        <v>580</v>
      </c>
      <c r="J143" s="34">
        <v>660.93000000000006</v>
      </c>
      <c r="K143" s="132">
        <v>695.36855328729212</v>
      </c>
      <c r="L143" s="132">
        <v>34.438553287292052</v>
      </c>
      <c r="M143" s="132">
        <v>34.438553287292052</v>
      </c>
      <c r="N143" s="132">
        <v>1.5494759843163011</v>
      </c>
      <c r="O143" s="132">
        <f t="shared" si="3"/>
        <v>1.5494759843163011</v>
      </c>
      <c r="P143" s="132">
        <v>5.2106203814764118</v>
      </c>
      <c r="Q143" s="143">
        <v>5.2106203814764118</v>
      </c>
      <c r="R143" s="33">
        <v>745.49999999999989</v>
      </c>
      <c r="S143" s="143">
        <v>84.569999999999823</v>
      </c>
      <c r="T143" s="143">
        <v>84.569999999999823</v>
      </c>
      <c r="U143" s="132">
        <v>1.9323215319892924</v>
      </c>
      <c r="V143" s="132">
        <v>12.795606191275901</v>
      </c>
      <c r="W143" s="103">
        <v>12.795606191275901</v>
      </c>
    </row>
    <row r="144" spans="1:23" x14ac:dyDescent="0.15">
      <c r="A144" s="103" t="s">
        <v>16</v>
      </c>
      <c r="B144" s="27" t="s">
        <v>823</v>
      </c>
      <c r="C144" s="24" t="s">
        <v>980</v>
      </c>
      <c r="D144" s="103" t="s">
        <v>824</v>
      </c>
      <c r="E144" s="103" t="s">
        <v>148</v>
      </c>
      <c r="F144" s="103" t="s">
        <v>968</v>
      </c>
      <c r="G144" s="103">
        <v>1</v>
      </c>
      <c r="H144" s="124" t="s">
        <v>374</v>
      </c>
      <c r="I144" s="31" t="s">
        <v>580</v>
      </c>
      <c r="J144" s="34">
        <v>1780</v>
      </c>
      <c r="K144" s="132">
        <v>1815.1406033527871</v>
      </c>
      <c r="L144" s="132">
        <v>35.140603352787139</v>
      </c>
      <c r="M144" s="132">
        <v>35.140603352787139</v>
      </c>
      <c r="N144" s="132">
        <v>1.5579953986565349</v>
      </c>
      <c r="O144" s="132">
        <f t="shared" si="3"/>
        <v>1.5579953986565349</v>
      </c>
      <c r="P144" s="132">
        <v>1.9741911995947832</v>
      </c>
      <c r="Q144" s="143">
        <v>1.9741911995947832</v>
      </c>
      <c r="R144" s="33">
        <v>1705</v>
      </c>
      <c r="S144" s="143">
        <v>-75</v>
      </c>
      <c r="T144" s="143">
        <v>75</v>
      </c>
      <c r="U144" s="132">
        <v>1.8808135922807914</v>
      </c>
      <c r="V144" s="132">
        <v>-4.213483146067416</v>
      </c>
      <c r="W144" s="103">
        <v>4.213483146067416</v>
      </c>
    </row>
    <row r="145" spans="1:23" x14ac:dyDescent="0.15">
      <c r="A145" s="103" t="s">
        <v>16</v>
      </c>
      <c r="B145" s="127" t="s">
        <v>822</v>
      </c>
      <c r="C145" s="24" t="s">
        <v>980</v>
      </c>
      <c r="D145" s="24" t="s">
        <v>824</v>
      </c>
      <c r="E145" s="24" t="s">
        <v>148</v>
      </c>
      <c r="F145" s="103" t="s">
        <v>968</v>
      </c>
      <c r="G145" s="103">
        <v>1</v>
      </c>
      <c r="H145" s="124" t="s">
        <v>374</v>
      </c>
      <c r="I145" s="31" t="s">
        <v>580</v>
      </c>
      <c r="J145" s="34">
        <v>1744</v>
      </c>
      <c r="K145" s="132">
        <v>1707.3967162946535</v>
      </c>
      <c r="L145" s="132">
        <v>-36.603283705346485</v>
      </c>
      <c r="M145" s="132">
        <v>36.603283705346485</v>
      </c>
      <c r="N145" s="132">
        <v>1.5752257713330735</v>
      </c>
      <c r="O145" s="132">
        <f t="shared" si="3"/>
        <v>-1.5752257713330735</v>
      </c>
      <c r="P145" s="132">
        <v>-2.0988121390680323</v>
      </c>
      <c r="Q145" s="143">
        <v>2.0988121390680323</v>
      </c>
      <c r="R145" s="33">
        <v>1675</v>
      </c>
      <c r="S145" s="143">
        <v>-69</v>
      </c>
      <c r="T145" s="143">
        <v>69</v>
      </c>
      <c r="U145" s="132">
        <v>1.8450980400142569</v>
      </c>
      <c r="V145" s="132">
        <v>-3.9564220183486238</v>
      </c>
      <c r="W145" s="103">
        <v>3.9564220183486238</v>
      </c>
    </row>
    <row r="146" spans="1:23" x14ac:dyDescent="0.15">
      <c r="A146" s="103" t="s">
        <v>16</v>
      </c>
      <c r="B146" s="103" t="s">
        <v>817</v>
      </c>
      <c r="C146" s="103" t="s">
        <v>970</v>
      </c>
      <c r="D146" s="103" t="s">
        <v>824</v>
      </c>
      <c r="E146" s="103" t="s">
        <v>148</v>
      </c>
      <c r="F146" s="103" t="s">
        <v>967</v>
      </c>
      <c r="G146" s="103">
        <v>0</v>
      </c>
      <c r="H146" s="120" t="s">
        <v>374</v>
      </c>
      <c r="I146" s="132" t="s">
        <v>580</v>
      </c>
      <c r="J146" s="132">
        <v>1495</v>
      </c>
      <c r="K146" s="132">
        <v>1531.6254999999999</v>
      </c>
      <c r="L146" s="132">
        <v>36.625499999999874</v>
      </c>
      <c r="M146" s="132">
        <v>36.625499999999874</v>
      </c>
      <c r="N146" s="132">
        <v>1.575482279918792</v>
      </c>
      <c r="O146" s="132">
        <f t="shared" si="3"/>
        <v>1.575482279918792</v>
      </c>
      <c r="P146" s="132">
        <v>2.4498662207357778</v>
      </c>
      <c r="Q146" s="132">
        <v>2.4498662207357778</v>
      </c>
      <c r="R146" s="132">
        <v>1475.9223999999999</v>
      </c>
      <c r="S146" s="132">
        <v>-19.077600000000075</v>
      </c>
      <c r="T146" s="132">
        <v>19.077600000000075</v>
      </c>
      <c r="U146" s="132">
        <v>1.3027117976636815</v>
      </c>
      <c r="V146" s="132">
        <v>-1.2760936454849547</v>
      </c>
      <c r="W146" s="133">
        <v>1.2760936454849547</v>
      </c>
    </row>
    <row r="147" spans="1:23" x14ac:dyDescent="0.15">
      <c r="A147" s="103" t="s">
        <v>16</v>
      </c>
      <c r="B147" s="127" t="s">
        <v>817</v>
      </c>
      <c r="C147" s="24" t="s">
        <v>976</v>
      </c>
      <c r="D147" s="24" t="s">
        <v>824</v>
      </c>
      <c r="E147" s="24" t="s">
        <v>148</v>
      </c>
      <c r="F147" s="103" t="s">
        <v>968</v>
      </c>
      <c r="G147" s="103">
        <v>1</v>
      </c>
      <c r="H147" s="124" t="s">
        <v>374</v>
      </c>
      <c r="I147" s="27" t="s">
        <v>580</v>
      </c>
      <c r="J147" s="34">
        <v>1495</v>
      </c>
      <c r="K147" s="132">
        <v>1455.6171391228686</v>
      </c>
      <c r="L147" s="132">
        <v>-39.382860877131407</v>
      </c>
      <c r="M147" s="132">
        <v>39.382860877131407</v>
      </c>
      <c r="N147" s="132">
        <v>1.6061970827884056</v>
      </c>
      <c r="O147" s="132">
        <f t="shared" si="3"/>
        <v>-1.6061970827884056</v>
      </c>
      <c r="P147" s="132">
        <v>-2.6343050753934052</v>
      </c>
      <c r="Q147" s="143">
        <v>2.6343050753934052</v>
      </c>
      <c r="R147" s="33">
        <v>1391.8961211629376</v>
      </c>
      <c r="S147" s="143">
        <v>-103.10387883706244</v>
      </c>
      <c r="T147" s="143">
        <v>103.10387883706244</v>
      </c>
      <c r="U147" s="132">
        <v>2.0174669113179262</v>
      </c>
      <c r="V147" s="132">
        <v>-6.8965805242182237</v>
      </c>
      <c r="W147" s="103">
        <v>6.8965805242182237</v>
      </c>
    </row>
    <row r="148" spans="1:23" x14ac:dyDescent="0.15">
      <c r="A148" s="103" t="s">
        <v>16</v>
      </c>
      <c r="B148" s="127" t="s">
        <v>816</v>
      </c>
      <c r="C148" s="103" t="s">
        <v>979</v>
      </c>
      <c r="D148" s="24" t="s">
        <v>824</v>
      </c>
      <c r="E148" s="24" t="s">
        <v>148</v>
      </c>
      <c r="F148" s="103" t="s">
        <v>967</v>
      </c>
      <c r="G148" s="103">
        <v>0</v>
      </c>
      <c r="H148" s="124" t="s">
        <v>374</v>
      </c>
      <c r="I148" s="27" t="s">
        <v>580</v>
      </c>
      <c r="J148" s="34">
        <v>1476</v>
      </c>
      <c r="K148" s="132">
        <v>1515.7894736842104</v>
      </c>
      <c r="L148" s="132">
        <v>39.789473684210407</v>
      </c>
      <c r="M148" s="132">
        <v>39.789473684210407</v>
      </c>
      <c r="N148" s="132">
        <v>1.6105481015534802</v>
      </c>
      <c r="O148" s="132">
        <f t="shared" si="3"/>
        <v>1.6105481015534802</v>
      </c>
      <c r="P148" s="132">
        <v>2.6957637997432524</v>
      </c>
      <c r="Q148" s="143">
        <v>2.6957637997432524</v>
      </c>
      <c r="R148" s="33">
        <v>1604.3081471424712</v>
      </c>
      <c r="S148" s="143">
        <v>128.30814714247117</v>
      </c>
      <c r="T148" s="143">
        <v>128.30814714247117</v>
      </c>
      <c r="U148" s="132">
        <v>2.1116258887438977</v>
      </c>
      <c r="V148" s="132">
        <v>8.6929638985414073</v>
      </c>
      <c r="W148" s="103">
        <v>8.6929638985414073</v>
      </c>
    </row>
    <row r="149" spans="1:23" x14ac:dyDescent="0.15">
      <c r="A149" s="103" t="s">
        <v>16</v>
      </c>
      <c r="B149" s="127" t="s">
        <v>809</v>
      </c>
      <c r="C149" s="103" t="s">
        <v>979</v>
      </c>
      <c r="D149" s="24" t="s">
        <v>824</v>
      </c>
      <c r="E149" s="24" t="s">
        <v>148</v>
      </c>
      <c r="F149" s="103" t="s">
        <v>967</v>
      </c>
      <c r="G149" s="103">
        <v>0</v>
      </c>
      <c r="H149" s="124" t="s">
        <v>374</v>
      </c>
      <c r="I149" s="31" t="s">
        <v>580</v>
      </c>
      <c r="J149" s="34">
        <v>1333</v>
      </c>
      <c r="K149" s="132">
        <v>1373.6842105263158</v>
      </c>
      <c r="L149" s="132">
        <v>40.684210526315837</v>
      </c>
      <c r="M149" s="132">
        <v>40.684210526315837</v>
      </c>
      <c r="N149" s="132">
        <v>1.619971580636665</v>
      </c>
      <c r="O149" s="132">
        <f t="shared" si="3"/>
        <v>1.619971580636665</v>
      </c>
      <c r="P149" s="132">
        <v>3.0520788091759816</v>
      </c>
      <c r="Q149" s="143">
        <v>3.0520788091759816</v>
      </c>
      <c r="R149" s="33">
        <v>1408.4174654719584</v>
      </c>
      <c r="S149" s="143">
        <v>75.417465471958394</v>
      </c>
      <c r="T149" s="143">
        <v>75.417465471958394</v>
      </c>
      <c r="U149" s="132">
        <v>1.8831926294032091</v>
      </c>
      <c r="V149" s="132">
        <v>5.6577243414822505</v>
      </c>
      <c r="W149" s="103">
        <v>5.6577243414822505</v>
      </c>
    </row>
    <row r="150" spans="1:23" x14ac:dyDescent="0.15">
      <c r="A150" s="103" t="s">
        <v>16</v>
      </c>
      <c r="B150" s="126" t="s">
        <v>810</v>
      </c>
      <c r="C150" s="24" t="s">
        <v>980</v>
      </c>
      <c r="D150" s="24" t="s">
        <v>824</v>
      </c>
      <c r="E150" s="24" t="s">
        <v>148</v>
      </c>
      <c r="F150" s="103" t="s">
        <v>968</v>
      </c>
      <c r="G150" s="103">
        <v>1</v>
      </c>
      <c r="H150" s="124" t="s">
        <v>374</v>
      </c>
      <c r="I150" s="45" t="s">
        <v>580</v>
      </c>
      <c r="J150" s="34">
        <v>1622</v>
      </c>
      <c r="K150" s="132">
        <v>1663.2951981631145</v>
      </c>
      <c r="L150" s="132">
        <v>41.295198163114492</v>
      </c>
      <c r="M150" s="132">
        <v>41.295198163114492</v>
      </c>
      <c r="N150" s="132">
        <v>1.6262910640739119</v>
      </c>
      <c r="O150" s="132">
        <f t="shared" si="3"/>
        <v>1.6262910640739119</v>
      </c>
      <c r="P150" s="132">
        <v>2.5459431666531747</v>
      </c>
      <c r="Q150" s="143">
        <v>2.5459431666531747</v>
      </c>
      <c r="R150" s="33">
        <v>1600</v>
      </c>
      <c r="S150" s="143">
        <v>-22</v>
      </c>
      <c r="T150" s="143">
        <v>22</v>
      </c>
      <c r="U150" s="33">
        <v>1.3617278360175928</v>
      </c>
      <c r="V150" s="132">
        <v>-1.3563501849568433</v>
      </c>
      <c r="W150" s="103">
        <v>1.3563501849568433</v>
      </c>
    </row>
    <row r="151" spans="1:23" x14ac:dyDescent="0.15">
      <c r="A151" s="103" t="s">
        <v>16</v>
      </c>
      <c r="B151" s="127" t="s">
        <v>818</v>
      </c>
      <c r="C151" s="24" t="s">
        <v>980</v>
      </c>
      <c r="D151" s="24" t="s">
        <v>824</v>
      </c>
      <c r="E151" s="24" t="s">
        <v>148</v>
      </c>
      <c r="F151" s="103" t="s">
        <v>968</v>
      </c>
      <c r="G151" s="103">
        <v>1</v>
      </c>
      <c r="H151" s="124" t="s">
        <v>374</v>
      </c>
      <c r="I151" s="31" t="s">
        <v>580</v>
      </c>
      <c r="J151" s="34">
        <v>1360</v>
      </c>
      <c r="K151" s="132">
        <v>1402.1206538042336</v>
      </c>
      <c r="L151" s="132">
        <v>42.120653804233598</v>
      </c>
      <c r="M151" s="132">
        <v>42.120653804233598</v>
      </c>
      <c r="N151" s="132">
        <v>1.63468533709098</v>
      </c>
      <c r="O151" s="132">
        <f t="shared" si="3"/>
        <v>1.63468533709098</v>
      </c>
      <c r="P151" s="132">
        <v>3.0971068973701175</v>
      </c>
      <c r="Q151" s="143">
        <v>3.0971068973701175</v>
      </c>
      <c r="R151" s="33">
        <v>1385</v>
      </c>
      <c r="S151" s="143">
        <v>25</v>
      </c>
      <c r="T151" s="143">
        <v>25</v>
      </c>
      <c r="U151" s="132">
        <v>1.414973347970818</v>
      </c>
      <c r="V151" s="132">
        <v>1.838235294117647</v>
      </c>
      <c r="W151" s="103">
        <v>1.838235294117647</v>
      </c>
    </row>
    <row r="152" spans="1:23" x14ac:dyDescent="0.15">
      <c r="A152" s="103" t="s">
        <v>16</v>
      </c>
      <c r="B152" s="127" t="s">
        <v>809</v>
      </c>
      <c r="C152" s="24" t="s">
        <v>976</v>
      </c>
      <c r="D152" s="24" t="s">
        <v>824</v>
      </c>
      <c r="E152" s="24" t="s">
        <v>148</v>
      </c>
      <c r="F152" s="103" t="s">
        <v>968</v>
      </c>
      <c r="G152" s="103">
        <v>1</v>
      </c>
      <c r="H152" s="124" t="s">
        <v>374</v>
      </c>
      <c r="I152" s="27" t="s">
        <v>580</v>
      </c>
      <c r="J152" s="34">
        <v>1333</v>
      </c>
      <c r="K152" s="132">
        <v>1290.7077877641104</v>
      </c>
      <c r="L152" s="132">
        <v>-42.292212235889565</v>
      </c>
      <c r="M152" s="132">
        <v>42.292212235889565</v>
      </c>
      <c r="N152" s="132">
        <v>1.6364097788667853</v>
      </c>
      <c r="O152" s="132">
        <f t="shared" si="3"/>
        <v>-1.6364097788667853</v>
      </c>
      <c r="P152" s="132">
        <v>-3.1727090949654588</v>
      </c>
      <c r="Q152" s="143">
        <v>3.1727090949654588</v>
      </c>
      <c r="R152" s="33">
        <v>1287.0979963041912</v>
      </c>
      <c r="S152" s="143">
        <v>-45.902003695808844</v>
      </c>
      <c r="T152" s="143">
        <v>45.902003695808844</v>
      </c>
      <c r="U152" s="132">
        <v>1.6711913965625287</v>
      </c>
      <c r="V152" s="132">
        <v>-3.4435111549744071</v>
      </c>
      <c r="W152" s="103">
        <v>3.4435111549744071</v>
      </c>
    </row>
    <row r="153" spans="1:23" x14ac:dyDescent="0.15">
      <c r="A153" s="103" t="s">
        <v>16</v>
      </c>
      <c r="B153" s="127" t="s">
        <v>823</v>
      </c>
      <c r="C153" s="103" t="s">
        <v>979</v>
      </c>
      <c r="D153" s="24" t="s">
        <v>824</v>
      </c>
      <c r="E153" s="24" t="s">
        <v>148</v>
      </c>
      <c r="F153" s="103" t="s">
        <v>967</v>
      </c>
      <c r="G153" s="103">
        <v>0</v>
      </c>
      <c r="H153" s="124" t="s">
        <v>374</v>
      </c>
      <c r="I153" s="27" t="s">
        <v>580</v>
      </c>
      <c r="J153" s="34">
        <v>1780</v>
      </c>
      <c r="K153" s="132">
        <v>1736.8421052631579</v>
      </c>
      <c r="L153" s="132">
        <v>-43.157894736842081</v>
      </c>
      <c r="M153" s="132">
        <v>43.157894736842081</v>
      </c>
      <c r="N153" s="132">
        <v>1.6450083598758711</v>
      </c>
      <c r="O153" s="132">
        <f t="shared" si="3"/>
        <v>-1.6450083598758711</v>
      </c>
      <c r="P153" s="132">
        <v>-2.4246008279124767</v>
      </c>
      <c r="Q153" s="143">
        <v>2.4246008279124767</v>
      </c>
      <c r="R153" s="33">
        <v>1791.3445456578083</v>
      </c>
      <c r="S153" s="143">
        <v>11.344545657808339</v>
      </c>
      <c r="T153" s="143">
        <v>11.344545657808339</v>
      </c>
      <c r="U153" s="132">
        <v>1.0914751103118676</v>
      </c>
      <c r="V153" s="132">
        <v>0.63733402571956965</v>
      </c>
      <c r="W153" s="103">
        <v>0.63733402571956965</v>
      </c>
    </row>
    <row r="154" spans="1:23" x14ac:dyDescent="0.15">
      <c r="A154" s="103" t="s">
        <v>16</v>
      </c>
      <c r="B154" s="103" t="s">
        <v>819</v>
      </c>
      <c r="C154" s="103" t="s">
        <v>970</v>
      </c>
      <c r="D154" s="103" t="s">
        <v>824</v>
      </c>
      <c r="E154" s="103" t="s">
        <v>148</v>
      </c>
      <c r="F154" s="103" t="s">
        <v>967</v>
      </c>
      <c r="G154" s="103">
        <v>0</v>
      </c>
      <c r="H154" s="120" t="s">
        <v>374</v>
      </c>
      <c r="I154" s="132" t="s">
        <v>580</v>
      </c>
      <c r="J154" s="132">
        <v>1830</v>
      </c>
      <c r="K154" s="132">
        <v>1873.2165</v>
      </c>
      <c r="L154" s="132">
        <v>43.216499999999996</v>
      </c>
      <c r="M154" s="132">
        <v>43.216499999999996</v>
      </c>
      <c r="N154" s="132">
        <v>1.6455843626016995</v>
      </c>
      <c r="O154" s="132">
        <f t="shared" si="3"/>
        <v>1.6455843626016995</v>
      </c>
      <c r="P154" s="132">
        <v>2.3615573770491802</v>
      </c>
      <c r="Q154" s="132">
        <v>2.3615573770491802</v>
      </c>
      <c r="R154" s="132">
        <v>1857.6822999999999</v>
      </c>
      <c r="S154" s="132">
        <v>27.682299999999941</v>
      </c>
      <c r="T154" s="132">
        <v>27.682299999999941</v>
      </c>
      <c r="U154" s="132">
        <v>1.4576139739573344</v>
      </c>
      <c r="V154" s="132">
        <v>1.5126939890710351</v>
      </c>
      <c r="W154" s="133">
        <v>1.5126939890710351</v>
      </c>
    </row>
    <row r="155" spans="1:23" x14ac:dyDescent="0.15">
      <c r="A155" s="103" t="s">
        <v>16</v>
      </c>
      <c r="B155" s="127" t="s">
        <v>521</v>
      </c>
      <c r="C155" s="24" t="s">
        <v>976</v>
      </c>
      <c r="D155" s="24" t="s">
        <v>401</v>
      </c>
      <c r="E155" s="24" t="s">
        <v>82</v>
      </c>
      <c r="F155" s="103" t="s">
        <v>968</v>
      </c>
      <c r="G155" s="103">
        <v>1</v>
      </c>
      <c r="H155" s="124" t="s">
        <v>494</v>
      </c>
      <c r="I155" s="27" t="s">
        <v>580</v>
      </c>
      <c r="J155" s="34">
        <v>716</v>
      </c>
      <c r="K155" s="132">
        <v>671.43483980522342</v>
      </c>
      <c r="L155" s="132">
        <v>-44.565160194776581</v>
      </c>
      <c r="M155" s="132">
        <v>44.565160194776581</v>
      </c>
      <c r="N155" s="132">
        <v>1.6586329014741077</v>
      </c>
      <c r="O155" s="132">
        <f t="shared" si="3"/>
        <v>-1.6586329014741077</v>
      </c>
      <c r="P155" s="132">
        <v>-6.2241843847453326</v>
      </c>
      <c r="Q155" s="143">
        <v>6.2241843847453326</v>
      </c>
      <c r="R155" s="33">
        <v>653.72854422873797</v>
      </c>
      <c r="S155" s="143">
        <v>-62.271455771262026</v>
      </c>
      <c r="T155" s="143">
        <v>62.271455771262026</v>
      </c>
      <c r="U155" s="132">
        <v>1.801207826969859</v>
      </c>
      <c r="V155" s="132">
        <v>-8.6971306943103386</v>
      </c>
      <c r="W155" s="103">
        <v>8.6971306943103386</v>
      </c>
    </row>
    <row r="156" spans="1:23" x14ac:dyDescent="0.15">
      <c r="A156" s="103" t="s">
        <v>16</v>
      </c>
      <c r="B156" s="125" t="s">
        <v>815</v>
      </c>
      <c r="C156" s="103" t="s">
        <v>979</v>
      </c>
      <c r="D156" s="24" t="s">
        <v>824</v>
      </c>
      <c r="E156" s="24" t="s">
        <v>148</v>
      </c>
      <c r="F156" s="103" t="s">
        <v>967</v>
      </c>
      <c r="G156" s="103">
        <v>0</v>
      </c>
      <c r="H156" s="124" t="s">
        <v>374</v>
      </c>
      <c r="I156" s="31" t="s">
        <v>580</v>
      </c>
      <c r="J156" s="34">
        <v>1651</v>
      </c>
      <c r="K156" s="132">
        <v>1605.2631578947369</v>
      </c>
      <c r="L156" s="132">
        <v>-45.736842105263122</v>
      </c>
      <c r="M156" s="132">
        <v>45.736842105263122</v>
      </c>
      <c r="N156" s="132">
        <v>1.6696593648257718</v>
      </c>
      <c r="O156" s="132">
        <f t="shared" ref="O156:O219" si="4">SIGN(L156)*N156</f>
        <v>-1.6696593648257718</v>
      </c>
      <c r="P156" s="132">
        <v>-2.7702508846313219</v>
      </c>
      <c r="Q156" s="143">
        <v>2.7702508846313219</v>
      </c>
      <c r="R156" s="33">
        <v>1640.2885895853622</v>
      </c>
      <c r="S156" s="143">
        <v>-10.711410414637839</v>
      </c>
      <c r="T156" s="143">
        <v>10.711410414637839</v>
      </c>
      <c r="U156" s="132">
        <v>1.0686092006580905</v>
      </c>
      <c r="V156" s="132">
        <v>-0.64878318683451486</v>
      </c>
      <c r="W156" s="103">
        <v>0.64878318683451486</v>
      </c>
    </row>
    <row r="157" spans="1:23" x14ac:dyDescent="0.15">
      <c r="A157" s="103" t="s">
        <v>16</v>
      </c>
      <c r="B157" s="127" t="s">
        <v>814</v>
      </c>
      <c r="C157" s="24" t="s">
        <v>976</v>
      </c>
      <c r="D157" s="24" t="s">
        <v>824</v>
      </c>
      <c r="E157" s="24" t="s">
        <v>148</v>
      </c>
      <c r="F157" s="103" t="s">
        <v>968</v>
      </c>
      <c r="G157" s="103">
        <v>1</v>
      </c>
      <c r="H157" s="124" t="s">
        <v>374</v>
      </c>
      <c r="I157" s="27" t="s">
        <v>580</v>
      </c>
      <c r="J157" s="34">
        <v>1408</v>
      </c>
      <c r="K157" s="132">
        <v>1361.0124660855174</v>
      </c>
      <c r="L157" s="132">
        <v>-46.987533914482583</v>
      </c>
      <c r="M157" s="132">
        <v>46.987533914482583</v>
      </c>
      <c r="N157" s="132">
        <v>1.6811284320567963</v>
      </c>
      <c r="O157" s="132">
        <f t="shared" si="4"/>
        <v>-1.6811284320567963</v>
      </c>
      <c r="P157" s="132">
        <v>-3.3371828064263198</v>
      </c>
      <c r="Q157" s="143">
        <v>3.3371828064263198</v>
      </c>
      <c r="R157" s="33">
        <v>1331.0708879599656</v>
      </c>
      <c r="S157" s="143">
        <v>-76.929112040034397</v>
      </c>
      <c r="T157" s="143">
        <v>76.929112040034397</v>
      </c>
      <c r="U157" s="132">
        <v>1.8916997277173007</v>
      </c>
      <c r="V157" s="132">
        <v>-5.4637153437524431</v>
      </c>
      <c r="W157" s="103">
        <v>5.4637153437524431</v>
      </c>
    </row>
    <row r="158" spans="1:23" x14ac:dyDescent="0.15">
      <c r="A158" s="103" t="s">
        <v>16</v>
      </c>
      <c r="B158" s="126" t="s">
        <v>818</v>
      </c>
      <c r="C158" s="103" t="s">
        <v>971</v>
      </c>
      <c r="D158" s="24" t="s">
        <v>824</v>
      </c>
      <c r="E158" s="24" t="s">
        <v>148</v>
      </c>
      <c r="F158" s="103" t="s">
        <v>968</v>
      </c>
      <c r="G158" s="103">
        <v>1</v>
      </c>
      <c r="H158" s="124" t="s">
        <v>374</v>
      </c>
      <c r="I158" s="45" t="s">
        <v>580</v>
      </c>
      <c r="J158" s="34">
        <v>1360</v>
      </c>
      <c r="K158" s="132">
        <v>1407.5699842026138</v>
      </c>
      <c r="L158" s="132">
        <v>47.569984202613796</v>
      </c>
      <c r="M158" s="132">
        <v>47.569984202613796</v>
      </c>
      <c r="N158" s="132">
        <v>1.6863679622187893</v>
      </c>
      <c r="O158" s="132">
        <f t="shared" si="4"/>
        <v>1.6863679622187893</v>
      </c>
      <c r="P158" s="132">
        <v>3.497792956074544</v>
      </c>
      <c r="Q158" s="143">
        <v>3.497792956074544</v>
      </c>
      <c r="R158" s="33">
        <v>1391.6150726418284</v>
      </c>
      <c r="S158" s="143">
        <v>31.615072641828419</v>
      </c>
      <c r="T158" s="143">
        <v>31.615072641828419</v>
      </c>
      <c r="U158" s="33">
        <v>1.5134183501407419</v>
      </c>
      <c r="V158" s="132">
        <v>2.3246376942520897</v>
      </c>
      <c r="W158" s="103">
        <v>2.3246376942520897</v>
      </c>
    </row>
    <row r="159" spans="1:23" x14ac:dyDescent="0.15">
      <c r="A159" s="103" t="s">
        <v>16</v>
      </c>
      <c r="B159" s="127" t="s">
        <v>814</v>
      </c>
      <c r="C159" s="24" t="s">
        <v>980</v>
      </c>
      <c r="D159" s="24" t="s">
        <v>824</v>
      </c>
      <c r="E159" s="24" t="s">
        <v>148</v>
      </c>
      <c r="F159" s="103" t="s">
        <v>968</v>
      </c>
      <c r="G159" s="103">
        <v>1</v>
      </c>
      <c r="H159" s="124" t="s">
        <v>374</v>
      </c>
      <c r="I159" s="31" t="s">
        <v>580</v>
      </c>
      <c r="J159" s="34">
        <v>1408</v>
      </c>
      <c r="K159" s="132">
        <v>1457.5713590579346</v>
      </c>
      <c r="L159" s="132">
        <v>49.571359057934615</v>
      </c>
      <c r="M159" s="132">
        <v>49.571359057934615</v>
      </c>
      <c r="N159" s="132">
        <v>1.7039046250470307</v>
      </c>
      <c r="O159" s="132">
        <f t="shared" si="4"/>
        <v>1.7039046250470307</v>
      </c>
      <c r="P159" s="132">
        <v>3.520693114910129</v>
      </c>
      <c r="Q159" s="143">
        <v>3.520693114910129</v>
      </c>
      <c r="R159" s="33">
        <v>1425</v>
      </c>
      <c r="S159" s="143">
        <v>17</v>
      </c>
      <c r="T159" s="143">
        <v>17</v>
      </c>
      <c r="U159" s="132">
        <v>1.255272505103306</v>
      </c>
      <c r="V159" s="132">
        <v>1.2073863636363635</v>
      </c>
      <c r="W159" s="103">
        <v>1.2073863636363635</v>
      </c>
    </row>
    <row r="160" spans="1:23" x14ac:dyDescent="0.15">
      <c r="A160" s="103" t="s">
        <v>16</v>
      </c>
      <c r="B160" s="103" t="s">
        <v>816</v>
      </c>
      <c r="C160" s="103" t="s">
        <v>970</v>
      </c>
      <c r="D160" s="103" t="s">
        <v>824</v>
      </c>
      <c r="E160" s="103" t="s">
        <v>148</v>
      </c>
      <c r="F160" s="103" t="s">
        <v>967</v>
      </c>
      <c r="G160" s="103">
        <v>0</v>
      </c>
      <c r="H160" s="120" t="s">
        <v>374</v>
      </c>
      <c r="I160" s="132" t="s">
        <v>580</v>
      </c>
      <c r="J160" s="132">
        <v>1476</v>
      </c>
      <c r="K160" s="132">
        <v>1525.7359999999999</v>
      </c>
      <c r="L160" s="132">
        <v>49.735999999999876</v>
      </c>
      <c r="M160" s="132">
        <v>49.735999999999876</v>
      </c>
      <c r="N160" s="132">
        <v>1.7053162246830125</v>
      </c>
      <c r="O160" s="132">
        <f t="shared" si="4"/>
        <v>1.7053162246830125</v>
      </c>
      <c r="P160" s="132">
        <v>3.3696476964769566</v>
      </c>
      <c r="Q160" s="132">
        <v>3.3696476964769566</v>
      </c>
      <c r="R160" s="132">
        <v>1551.1989999999998</v>
      </c>
      <c r="S160" s="132">
        <v>75.198999999999842</v>
      </c>
      <c r="T160" s="132">
        <v>75.198999999999842</v>
      </c>
      <c r="U160" s="132">
        <v>1.8819492718995519</v>
      </c>
      <c r="V160" s="132">
        <v>5.0947831978319673</v>
      </c>
      <c r="W160" s="133">
        <v>5.0947831978319673</v>
      </c>
    </row>
    <row r="161" spans="1:23" x14ac:dyDescent="0.15">
      <c r="A161" s="103" t="s">
        <v>16</v>
      </c>
      <c r="B161" s="103" t="s">
        <v>812</v>
      </c>
      <c r="C161" s="103" t="s">
        <v>970</v>
      </c>
      <c r="D161" s="103" t="s">
        <v>824</v>
      </c>
      <c r="E161" s="103" t="s">
        <v>148</v>
      </c>
      <c r="F161" s="103" t="s">
        <v>967</v>
      </c>
      <c r="G161" s="103">
        <v>0</v>
      </c>
      <c r="H161" s="120" t="s">
        <v>374</v>
      </c>
      <c r="I161" s="132" t="s">
        <v>580</v>
      </c>
      <c r="J161" s="132">
        <v>1911</v>
      </c>
      <c r="K161" s="132">
        <v>1961.5589999999997</v>
      </c>
      <c r="L161" s="132">
        <v>50.558999999999742</v>
      </c>
      <c r="M161" s="132">
        <v>50.558999999999742</v>
      </c>
      <c r="N161" s="132">
        <v>1.7123044855104264</v>
      </c>
      <c r="O161" s="132">
        <f t="shared" si="4"/>
        <v>1.7123044855104264</v>
      </c>
      <c r="P161" s="132">
        <v>2.6456828885400179</v>
      </c>
      <c r="Q161" s="132">
        <v>2.6456828885400179</v>
      </c>
      <c r="R161" s="132">
        <v>1954.4664999999998</v>
      </c>
      <c r="S161" s="132">
        <v>43.466499999999769</v>
      </c>
      <c r="T161" s="132">
        <v>43.466499999999769</v>
      </c>
      <c r="U161" s="132">
        <v>1.6480329470674029</v>
      </c>
      <c r="V161" s="132">
        <v>2.2745421245421125</v>
      </c>
      <c r="W161" s="133">
        <v>2.2745421245421125</v>
      </c>
    </row>
    <row r="162" spans="1:23" x14ac:dyDescent="0.15">
      <c r="A162" s="103" t="s">
        <v>16</v>
      </c>
      <c r="B162" s="126" t="s">
        <v>809</v>
      </c>
      <c r="C162" s="24" t="s">
        <v>980</v>
      </c>
      <c r="D162" s="24" t="s">
        <v>824</v>
      </c>
      <c r="E162" s="24" t="s">
        <v>148</v>
      </c>
      <c r="F162" s="103" t="s">
        <v>968</v>
      </c>
      <c r="G162" s="103">
        <v>1</v>
      </c>
      <c r="H162" s="124" t="s">
        <v>374</v>
      </c>
      <c r="I162" s="45" t="s">
        <v>580</v>
      </c>
      <c r="J162" s="34">
        <v>1333</v>
      </c>
      <c r="K162" s="132">
        <v>1383.7024512221533</v>
      </c>
      <c r="L162" s="132">
        <v>50.702451222153286</v>
      </c>
      <c r="M162" s="132">
        <v>50.702451222153286</v>
      </c>
      <c r="N162" s="132">
        <v>1.7135111335585342</v>
      </c>
      <c r="O162" s="132">
        <f t="shared" si="4"/>
        <v>1.7135111335585342</v>
      </c>
      <c r="P162" s="132">
        <v>3.8036347503490839</v>
      </c>
      <c r="Q162" s="143">
        <v>3.8036347503490839</v>
      </c>
      <c r="R162" s="33">
        <v>1385</v>
      </c>
      <c r="S162" s="143">
        <v>52</v>
      </c>
      <c r="T162" s="143">
        <v>52</v>
      </c>
      <c r="U162" s="33">
        <v>1.7242758696007889</v>
      </c>
      <c r="V162" s="132">
        <v>3.9009752438109526</v>
      </c>
      <c r="W162" s="103">
        <v>3.9009752438109526</v>
      </c>
    </row>
    <row r="163" spans="1:23" x14ac:dyDescent="0.15">
      <c r="A163" s="103" t="s">
        <v>16</v>
      </c>
      <c r="B163" s="126" t="s">
        <v>63</v>
      </c>
      <c r="C163" s="24" t="s">
        <v>976</v>
      </c>
      <c r="D163" s="24" t="s">
        <v>403</v>
      </c>
      <c r="E163" s="24" t="s">
        <v>82</v>
      </c>
      <c r="F163" s="103" t="s">
        <v>968</v>
      </c>
      <c r="G163" s="103">
        <v>1</v>
      </c>
      <c r="H163" s="124" t="s">
        <v>494</v>
      </c>
      <c r="I163" s="31" t="s">
        <v>580</v>
      </c>
      <c r="J163" s="34">
        <v>633</v>
      </c>
      <c r="K163" s="132">
        <v>581.5609061864692</v>
      </c>
      <c r="L163" s="132">
        <v>-51.439093813530803</v>
      </c>
      <c r="M163" s="132">
        <v>51.439093813530803</v>
      </c>
      <c r="N163" s="132">
        <v>1.7196551781518461</v>
      </c>
      <c r="O163" s="132">
        <f t="shared" si="4"/>
        <v>-1.7196551781518461</v>
      </c>
      <c r="P163" s="132">
        <v>-8.1262391490569978</v>
      </c>
      <c r="Q163" s="143">
        <v>8.1262391490569978</v>
      </c>
      <c r="R163" s="33">
        <v>566.65036739045775</v>
      </c>
      <c r="S163" s="143">
        <v>-66.349632609542255</v>
      </c>
      <c r="T163" s="143">
        <v>66.349632609542255</v>
      </c>
      <c r="U163" s="132">
        <v>1.8283352310005978</v>
      </c>
      <c r="V163" s="132">
        <v>-10.481774503877133</v>
      </c>
      <c r="W163" s="103">
        <v>10.481774503877133</v>
      </c>
    </row>
    <row r="164" spans="1:23" x14ac:dyDescent="0.15">
      <c r="A164" s="103" t="s">
        <v>16</v>
      </c>
      <c r="B164" s="127" t="s">
        <v>818</v>
      </c>
      <c r="C164" s="24" t="s">
        <v>976</v>
      </c>
      <c r="D164" s="24" t="s">
        <v>824</v>
      </c>
      <c r="E164" s="24" t="s">
        <v>148</v>
      </c>
      <c r="F164" s="103" t="s">
        <v>968</v>
      </c>
      <c r="G164" s="103">
        <v>1</v>
      </c>
      <c r="H164" s="124" t="s">
        <v>374</v>
      </c>
      <c r="I164" s="27" t="s">
        <v>580</v>
      </c>
      <c r="J164" s="34">
        <v>1360</v>
      </c>
      <c r="K164" s="132">
        <v>1308.2304974414956</v>
      </c>
      <c r="L164" s="132">
        <v>-51.769502558504428</v>
      </c>
      <c r="M164" s="132">
        <v>51.769502558504428</v>
      </c>
      <c r="N164" s="132">
        <v>1.7223830002389988</v>
      </c>
      <c r="O164" s="132">
        <f t="shared" si="4"/>
        <v>-1.7223830002389988</v>
      </c>
      <c r="P164" s="132">
        <v>-3.8065810704782668</v>
      </c>
      <c r="Q164" s="143">
        <v>3.8065810704782668</v>
      </c>
      <c r="R164" s="33">
        <v>1287.0979963041912</v>
      </c>
      <c r="S164" s="143">
        <v>-72.902003695808844</v>
      </c>
      <c r="T164" s="143">
        <v>72.902003695808844</v>
      </c>
      <c r="U164" s="132">
        <v>1.8686562135265761</v>
      </c>
      <c r="V164" s="132">
        <v>-5.3604414482212386</v>
      </c>
      <c r="W164" s="103">
        <v>5.3604414482212386</v>
      </c>
    </row>
    <row r="165" spans="1:23" x14ac:dyDescent="0.15">
      <c r="A165" s="103" t="s">
        <v>16</v>
      </c>
      <c r="B165" s="125" t="s">
        <v>520</v>
      </c>
      <c r="C165" s="24" t="s">
        <v>980</v>
      </c>
      <c r="D165" s="24" t="s">
        <v>401</v>
      </c>
      <c r="E165" s="24" t="s">
        <v>82</v>
      </c>
      <c r="F165" s="103" t="s">
        <v>968</v>
      </c>
      <c r="G165" s="103">
        <v>1</v>
      </c>
      <c r="H165" s="124" t="s">
        <v>494</v>
      </c>
      <c r="I165" s="31" t="s">
        <v>580</v>
      </c>
      <c r="J165" s="34">
        <v>770</v>
      </c>
      <c r="K165" s="132">
        <v>717.76528223987737</v>
      </c>
      <c r="L165" s="132">
        <v>-52.234717760122635</v>
      </c>
      <c r="M165" s="132">
        <v>52.234717760122635</v>
      </c>
      <c r="N165" s="132">
        <v>1.7261949558664798</v>
      </c>
      <c r="O165" s="132">
        <f t="shared" si="4"/>
        <v>-1.7261949558664798</v>
      </c>
      <c r="P165" s="132">
        <v>-6.7837295792367067</v>
      </c>
      <c r="Q165" s="143">
        <v>6.7837295792367067</v>
      </c>
      <c r="R165" s="33">
        <v>765</v>
      </c>
      <c r="S165" s="143">
        <v>-5</v>
      </c>
      <c r="T165" s="143">
        <v>5</v>
      </c>
      <c r="U165" s="132">
        <v>0.77815125038364363</v>
      </c>
      <c r="V165" s="132">
        <v>-0.64935064935064934</v>
      </c>
      <c r="W165" s="103">
        <v>0.64935064935064934</v>
      </c>
    </row>
    <row r="166" spans="1:23" x14ac:dyDescent="0.15">
      <c r="A166" s="103" t="s">
        <v>16</v>
      </c>
      <c r="B166" s="103" t="s">
        <v>606</v>
      </c>
      <c r="C166" s="103" t="s">
        <v>970</v>
      </c>
      <c r="D166" s="103" t="s">
        <v>403</v>
      </c>
      <c r="E166" s="103" t="s">
        <v>148</v>
      </c>
      <c r="F166" s="103" t="s">
        <v>967</v>
      </c>
      <c r="G166" s="103">
        <v>0</v>
      </c>
      <c r="H166" s="120" t="s">
        <v>374</v>
      </c>
      <c r="I166" s="132" t="s">
        <v>580</v>
      </c>
      <c r="J166" s="132">
        <v>1196.7</v>
      </c>
      <c r="K166" s="132">
        <v>1249.63624</v>
      </c>
      <c r="L166" s="132">
        <v>52.936239999999998</v>
      </c>
      <c r="M166" s="132">
        <v>52.936239999999998</v>
      </c>
      <c r="N166" s="132">
        <v>1.7318806676606509</v>
      </c>
      <c r="O166" s="132">
        <f t="shared" si="4"/>
        <v>1.7318806676606509</v>
      </c>
      <c r="P166" s="132">
        <v>4.4235180078549341</v>
      </c>
      <c r="Q166" s="132">
        <v>4.4235180078549341</v>
      </c>
      <c r="R166" s="132">
        <v>1269.4494400000001</v>
      </c>
      <c r="S166" s="132">
        <v>72.74944000000005</v>
      </c>
      <c r="T166" s="132">
        <v>72.74944000000005</v>
      </c>
      <c r="U166" s="132">
        <v>1.8677587269439877</v>
      </c>
      <c r="V166" s="132">
        <v>6.0791710537310975</v>
      </c>
      <c r="W166" s="113">
        <v>6.0791710537310975</v>
      </c>
    </row>
    <row r="167" spans="1:23" x14ac:dyDescent="0.15">
      <c r="A167" s="103" t="s">
        <v>16</v>
      </c>
      <c r="B167" s="127" t="s">
        <v>811</v>
      </c>
      <c r="C167" s="24" t="s">
        <v>976</v>
      </c>
      <c r="D167" s="24" t="s">
        <v>824</v>
      </c>
      <c r="E167" s="24" t="s">
        <v>148</v>
      </c>
      <c r="F167" s="103" t="s">
        <v>968</v>
      </c>
      <c r="G167" s="103">
        <v>1</v>
      </c>
      <c r="H167" s="124" t="s">
        <v>374</v>
      </c>
      <c r="I167" s="27" t="s">
        <v>580</v>
      </c>
      <c r="J167" s="34">
        <v>1774</v>
      </c>
      <c r="K167" s="132">
        <v>1720.5438555285875</v>
      </c>
      <c r="L167" s="132">
        <v>-53.456144471412472</v>
      </c>
      <c r="M167" s="132">
        <v>53.456144471412472</v>
      </c>
      <c r="N167" s="132">
        <v>1.7360468897754386</v>
      </c>
      <c r="O167" s="132">
        <f t="shared" si="4"/>
        <v>-1.7360468897754386</v>
      </c>
      <c r="P167" s="132">
        <v>-3.0133114132701504</v>
      </c>
      <c r="Q167" s="143">
        <v>3.0133114132701504</v>
      </c>
      <c r="R167" s="33">
        <v>1639.1613639294715</v>
      </c>
      <c r="S167" s="143">
        <v>-134.83863607052854</v>
      </c>
      <c r="T167" s="143">
        <v>134.83863607052854</v>
      </c>
      <c r="U167" s="132">
        <v>2.1330233122548763</v>
      </c>
      <c r="V167" s="132">
        <v>-7.6008250321605715</v>
      </c>
      <c r="W167" s="103">
        <v>7.6008250321605715</v>
      </c>
    </row>
    <row r="168" spans="1:23" x14ac:dyDescent="0.15">
      <c r="A168" s="103" t="s">
        <v>16</v>
      </c>
      <c r="B168" s="127" t="s">
        <v>666</v>
      </c>
      <c r="C168" s="24" t="s">
        <v>980</v>
      </c>
      <c r="D168" s="24" t="s">
        <v>403</v>
      </c>
      <c r="E168" s="24" t="s">
        <v>82</v>
      </c>
      <c r="F168" s="103" t="s">
        <v>968</v>
      </c>
      <c r="G168" s="103">
        <v>1</v>
      </c>
      <c r="H168" s="124" t="s">
        <v>374</v>
      </c>
      <c r="I168" s="48" t="s">
        <v>580</v>
      </c>
      <c r="J168" s="34">
        <v>1207.3</v>
      </c>
      <c r="K168" s="132">
        <v>1153.7548714184543</v>
      </c>
      <c r="L168" s="132">
        <v>-53.545128581545669</v>
      </c>
      <c r="M168" s="132">
        <v>53.545128581545669</v>
      </c>
      <c r="N168" s="132">
        <v>1.7367559698716701</v>
      </c>
      <c r="O168" s="132">
        <f t="shared" si="4"/>
        <v>-1.7367559698716701</v>
      </c>
      <c r="P168" s="132">
        <v>-4.4351137730096637</v>
      </c>
      <c r="Q168" s="143">
        <v>4.4351137730096637</v>
      </c>
      <c r="R168" s="33">
        <v>1146.7</v>
      </c>
      <c r="S168" s="143">
        <v>-60.599999999999909</v>
      </c>
      <c r="T168" s="143">
        <v>60.599999999999909</v>
      </c>
      <c r="U168" s="132">
        <v>1.7895807121644247</v>
      </c>
      <c r="V168" s="132">
        <v>-5.0194649217261587</v>
      </c>
      <c r="W168" s="103">
        <v>5.0194649217261587</v>
      </c>
    </row>
    <row r="169" spans="1:23" x14ac:dyDescent="0.15">
      <c r="A169" s="103" t="s">
        <v>16</v>
      </c>
      <c r="B169" s="127" t="s">
        <v>617</v>
      </c>
      <c r="C169" s="103" t="s">
        <v>971</v>
      </c>
      <c r="D169" s="24" t="s">
        <v>403</v>
      </c>
      <c r="E169" s="24" t="s">
        <v>82</v>
      </c>
      <c r="F169" s="103" t="s">
        <v>968</v>
      </c>
      <c r="G169" s="103">
        <v>1</v>
      </c>
      <c r="H169" s="124" t="s">
        <v>293</v>
      </c>
      <c r="I169" s="27" t="s">
        <v>580</v>
      </c>
      <c r="J169" s="34">
        <v>2030</v>
      </c>
      <c r="K169" s="132">
        <v>1976.3675626210538</v>
      </c>
      <c r="L169" s="132">
        <v>-53.632437378946179</v>
      </c>
      <c r="M169" s="132">
        <v>53.632437378946179</v>
      </c>
      <c r="N169" s="132">
        <v>1.7374505766195312</v>
      </c>
      <c r="O169" s="132">
        <f t="shared" si="4"/>
        <v>-1.7374505766195312</v>
      </c>
      <c r="P169" s="132">
        <v>-2.6419919891106494</v>
      </c>
      <c r="Q169" s="143">
        <v>2.6419919891106494</v>
      </c>
      <c r="R169" s="33">
        <v>1902.7788756594887</v>
      </c>
      <c r="S169" s="143">
        <v>-127.22112434051132</v>
      </c>
      <c r="T169" s="143">
        <v>127.22112434051132</v>
      </c>
      <c r="U169" s="132">
        <v>2.1079595807893208</v>
      </c>
      <c r="V169" s="132">
        <v>-6.2670504601237109</v>
      </c>
      <c r="W169" s="103">
        <v>6.2670504601237109</v>
      </c>
    </row>
    <row r="170" spans="1:23" x14ac:dyDescent="0.15">
      <c r="A170" s="103" t="s">
        <v>16</v>
      </c>
      <c r="B170" s="103" t="s">
        <v>809</v>
      </c>
      <c r="C170" s="103" t="s">
        <v>971</v>
      </c>
      <c r="D170" s="103" t="s">
        <v>824</v>
      </c>
      <c r="E170" s="103" t="s">
        <v>148</v>
      </c>
      <c r="F170" s="103" t="s">
        <v>968</v>
      </c>
      <c r="G170" s="103">
        <v>1</v>
      </c>
      <c r="H170" s="120" t="s">
        <v>374</v>
      </c>
      <c r="I170" s="132" t="s">
        <v>580</v>
      </c>
      <c r="J170" s="132">
        <v>1333</v>
      </c>
      <c r="K170" s="132">
        <v>1388.2628581693255</v>
      </c>
      <c r="L170" s="132">
        <v>55.262858169325455</v>
      </c>
      <c r="M170" s="132">
        <v>55.262858169325455</v>
      </c>
      <c r="N170" s="132">
        <v>1.7502217906737785</v>
      </c>
      <c r="O170" s="132">
        <f t="shared" si="4"/>
        <v>1.7502217906737785</v>
      </c>
      <c r="P170" s="132">
        <v>4.1457508003995089</v>
      </c>
      <c r="Q170" s="132">
        <v>4.1457508003995089</v>
      </c>
      <c r="R170" s="132">
        <v>1391.6150726418284</v>
      </c>
      <c r="S170" s="132">
        <v>58.615072641828419</v>
      </c>
      <c r="T170" s="132">
        <v>58.615072641828419</v>
      </c>
      <c r="U170" s="132">
        <v>1.775356077484983</v>
      </c>
      <c r="V170" s="132">
        <v>4.3972297555760251</v>
      </c>
      <c r="W170" s="113">
        <v>4.3972297555760251</v>
      </c>
    </row>
    <row r="171" spans="1:23" x14ac:dyDescent="0.15">
      <c r="A171" s="103" t="s">
        <v>16</v>
      </c>
      <c r="B171" s="126" t="s">
        <v>814</v>
      </c>
      <c r="C171" s="103" t="s">
        <v>971</v>
      </c>
      <c r="D171" s="24" t="s">
        <v>824</v>
      </c>
      <c r="E171" s="24" t="s">
        <v>148</v>
      </c>
      <c r="F171" s="103" t="s">
        <v>968</v>
      </c>
      <c r="G171" s="103">
        <v>1</v>
      </c>
      <c r="H171" s="124" t="s">
        <v>374</v>
      </c>
      <c r="I171" s="45" t="s">
        <v>580</v>
      </c>
      <c r="J171" s="34">
        <v>1408</v>
      </c>
      <c r="K171" s="132">
        <v>1465.7645382725773</v>
      </c>
      <c r="L171" s="132">
        <v>57.764538272577283</v>
      </c>
      <c r="M171" s="132">
        <v>57.764538272577283</v>
      </c>
      <c r="N171" s="132">
        <v>1.7691153281432275</v>
      </c>
      <c r="O171" s="132">
        <f t="shared" si="4"/>
        <v>1.7691153281432275</v>
      </c>
      <c r="P171" s="132">
        <v>4.1025950477682729</v>
      </c>
      <c r="Q171" s="143">
        <v>4.1025950477682729</v>
      </c>
      <c r="R171" s="33">
        <v>1437.7457719827225</v>
      </c>
      <c r="S171" s="143">
        <v>29.745771982722545</v>
      </c>
      <c r="T171" s="143">
        <v>29.745771982722545</v>
      </c>
      <c r="U171" s="33">
        <v>1.4877854020359751</v>
      </c>
      <c r="V171" s="132">
        <v>2.1126258510456353</v>
      </c>
      <c r="W171" s="113">
        <v>2.1126258510456353</v>
      </c>
    </row>
    <row r="172" spans="1:23" x14ac:dyDescent="0.15">
      <c r="A172" s="103" t="s">
        <v>16</v>
      </c>
      <c r="B172" s="127" t="s">
        <v>244</v>
      </c>
      <c r="C172" s="103" t="s">
        <v>979</v>
      </c>
      <c r="D172" s="24" t="s">
        <v>403</v>
      </c>
      <c r="E172" s="24" t="s">
        <v>82</v>
      </c>
      <c r="F172" s="103" t="s">
        <v>967</v>
      </c>
      <c r="G172" s="103">
        <v>0</v>
      </c>
      <c r="H172" s="124" t="s">
        <v>374</v>
      </c>
      <c r="I172" s="24" t="s">
        <v>580</v>
      </c>
      <c r="J172" s="34">
        <v>1199.5</v>
      </c>
      <c r="K172" s="132">
        <v>1140.5263157894735</v>
      </c>
      <c r="L172" s="132">
        <v>-58.973684210526471</v>
      </c>
      <c r="M172" s="132">
        <v>58.973684210526471</v>
      </c>
      <c r="N172" s="132">
        <v>1.7779607285635666</v>
      </c>
      <c r="O172" s="132">
        <f t="shared" si="4"/>
        <v>-1.7779607285635666</v>
      </c>
      <c r="P172" s="132">
        <v>-4.9165222351418487</v>
      </c>
      <c r="Q172" s="143">
        <v>4.9165222351418487</v>
      </c>
      <c r="R172" s="33">
        <v>1126.0914182663319</v>
      </c>
      <c r="S172" s="143">
        <v>-73.408581733668143</v>
      </c>
      <c r="T172" s="143">
        <v>73.408581733668143</v>
      </c>
      <c r="U172" s="132">
        <v>1.871623026737367</v>
      </c>
      <c r="V172" s="132">
        <v>-6.1199317827151436</v>
      </c>
      <c r="W172" s="103">
        <v>6.1199317827151436</v>
      </c>
    </row>
    <row r="173" spans="1:23" x14ac:dyDescent="0.15">
      <c r="A173" s="103" t="s">
        <v>16</v>
      </c>
      <c r="B173" s="127" t="s">
        <v>666</v>
      </c>
      <c r="C173" s="103" t="s">
        <v>971</v>
      </c>
      <c r="D173" s="24" t="s">
        <v>403</v>
      </c>
      <c r="E173" s="24" t="s">
        <v>82</v>
      </c>
      <c r="F173" s="103" t="s">
        <v>968</v>
      </c>
      <c r="G173" s="103">
        <v>1</v>
      </c>
      <c r="H173" s="124" t="s">
        <v>374</v>
      </c>
      <c r="I173" s="27" t="s">
        <v>580</v>
      </c>
      <c r="J173" s="34">
        <v>1207.3</v>
      </c>
      <c r="K173" s="132">
        <v>1148.2310147513863</v>
      </c>
      <c r="L173" s="132">
        <v>-59.068985248613672</v>
      </c>
      <c r="M173" s="132">
        <v>59.068985248613672</v>
      </c>
      <c r="N173" s="132">
        <v>1.778650295429127</v>
      </c>
      <c r="O173" s="132">
        <f t="shared" si="4"/>
        <v>-1.778650295429127</v>
      </c>
      <c r="P173" s="132">
        <v>-4.8926518055672723</v>
      </c>
      <c r="Q173" s="143">
        <v>4.8926518055672723</v>
      </c>
      <c r="R173" s="33">
        <v>1120.9761400780551</v>
      </c>
      <c r="S173" s="143">
        <v>-86.323859921944859</v>
      </c>
      <c r="T173" s="143">
        <v>86.323859921944859</v>
      </c>
      <c r="U173" s="132">
        <v>1.941132924308649</v>
      </c>
      <c r="V173" s="132">
        <v>-7.1501581977921695</v>
      </c>
      <c r="W173" s="103">
        <v>7.1501581977921695</v>
      </c>
    </row>
    <row r="174" spans="1:23" x14ac:dyDescent="0.15">
      <c r="A174" s="103" t="s">
        <v>16</v>
      </c>
      <c r="B174" s="127" t="s">
        <v>604</v>
      </c>
      <c r="C174" s="103" t="s">
        <v>971</v>
      </c>
      <c r="D174" s="24" t="s">
        <v>403</v>
      </c>
      <c r="E174" s="24" t="s">
        <v>96</v>
      </c>
      <c r="F174" s="103" t="s">
        <v>968</v>
      </c>
      <c r="G174" s="103">
        <v>1</v>
      </c>
      <c r="H174" s="124" t="s">
        <v>293</v>
      </c>
      <c r="I174" s="27" t="s">
        <v>580</v>
      </c>
      <c r="J174" s="34">
        <v>1985.9</v>
      </c>
      <c r="K174" s="132">
        <v>1925.8555088398368</v>
      </c>
      <c r="L174" s="132">
        <v>-60.044491160163261</v>
      </c>
      <c r="M174" s="132">
        <v>60.044491160163261</v>
      </c>
      <c r="N174" s="132">
        <v>1.785646477999314</v>
      </c>
      <c r="O174" s="132">
        <f t="shared" si="4"/>
        <v>-1.785646477999314</v>
      </c>
      <c r="P174" s="132">
        <v>-3.0235405186647495</v>
      </c>
      <c r="Q174" s="143">
        <v>3.0235405186647495</v>
      </c>
      <c r="R174" s="33">
        <v>1863.0750056593945</v>
      </c>
      <c r="S174" s="143">
        <v>-122.8249943406056</v>
      </c>
      <c r="T174" s="143">
        <v>122.8249943406056</v>
      </c>
      <c r="U174" s="132">
        <v>2.0928083168051592</v>
      </c>
      <c r="V174" s="132">
        <v>-6.1848529301881054</v>
      </c>
      <c r="W174" s="103">
        <v>6.1848529301881054</v>
      </c>
    </row>
    <row r="175" spans="1:23" x14ac:dyDescent="0.15">
      <c r="A175" s="103" t="s">
        <v>16</v>
      </c>
      <c r="B175" s="127" t="s">
        <v>811</v>
      </c>
      <c r="C175" s="24" t="s">
        <v>980</v>
      </c>
      <c r="D175" s="24" t="s">
        <v>824</v>
      </c>
      <c r="E175" s="24" t="s">
        <v>148</v>
      </c>
      <c r="F175" s="103" t="s">
        <v>968</v>
      </c>
      <c r="G175" s="103">
        <v>1</v>
      </c>
      <c r="H175" s="124" t="s">
        <v>374</v>
      </c>
      <c r="I175" s="27" t="s">
        <v>580</v>
      </c>
      <c r="J175" s="34">
        <v>1774</v>
      </c>
      <c r="K175" s="132">
        <v>1834.2461723148485</v>
      </c>
      <c r="L175" s="132">
        <v>60.246172314848536</v>
      </c>
      <c r="M175" s="132">
        <v>60.246172314848536</v>
      </c>
      <c r="N175" s="132">
        <v>1.7870789519021351</v>
      </c>
      <c r="O175" s="132">
        <f t="shared" si="4"/>
        <v>1.7870789519021351</v>
      </c>
      <c r="P175" s="132">
        <v>3.3960638283454641</v>
      </c>
      <c r="Q175" s="143">
        <v>3.3960638283454641</v>
      </c>
      <c r="R175" s="33">
        <v>1700</v>
      </c>
      <c r="S175" s="143">
        <v>-74</v>
      </c>
      <c r="T175" s="143">
        <v>74</v>
      </c>
      <c r="U175" s="132">
        <v>1.8750612633917001</v>
      </c>
      <c r="V175" s="132">
        <v>-4.1713641488162345</v>
      </c>
      <c r="W175" s="103">
        <v>4.1713641488162345</v>
      </c>
    </row>
    <row r="176" spans="1:23" x14ac:dyDescent="0.15">
      <c r="A176" s="103" t="s">
        <v>16</v>
      </c>
      <c r="B176" s="103" t="s">
        <v>810</v>
      </c>
      <c r="C176" s="103" t="s">
        <v>971</v>
      </c>
      <c r="D176" s="103" t="s">
        <v>824</v>
      </c>
      <c r="E176" s="103" t="s">
        <v>148</v>
      </c>
      <c r="F176" s="103" t="s">
        <v>968</v>
      </c>
      <c r="G176" s="103">
        <v>1</v>
      </c>
      <c r="H176" s="120" t="s">
        <v>374</v>
      </c>
      <c r="I176" s="132" t="s">
        <v>580</v>
      </c>
      <c r="J176" s="132">
        <v>1622</v>
      </c>
      <c r="K176" s="132">
        <v>1682.5035739070624</v>
      </c>
      <c r="L176" s="132">
        <v>60.503573907062446</v>
      </c>
      <c r="M176" s="132">
        <v>60.503573907062446</v>
      </c>
      <c r="N176" s="132">
        <v>1.7889003528976757</v>
      </c>
      <c r="O176" s="132">
        <f t="shared" si="4"/>
        <v>1.7889003528976757</v>
      </c>
      <c r="P176" s="132">
        <v>3.7301833481542817</v>
      </c>
      <c r="Q176" s="132">
        <v>3.7301833481542817</v>
      </c>
      <c r="R176" s="132">
        <v>1641.7294229318225</v>
      </c>
      <c r="S176" s="132">
        <v>19.729422931822455</v>
      </c>
      <c r="T176" s="132">
        <v>19.729422931822455</v>
      </c>
      <c r="U176" s="132">
        <v>1.3165872123199334</v>
      </c>
      <c r="V176" s="132">
        <v>1.2163639292122352</v>
      </c>
      <c r="W176" s="113">
        <v>1.2163639292122352</v>
      </c>
    </row>
    <row r="177" spans="1:23" x14ac:dyDescent="0.15">
      <c r="A177" s="103" t="s">
        <v>16</v>
      </c>
      <c r="B177" s="126" t="s">
        <v>605</v>
      </c>
      <c r="C177" s="24" t="s">
        <v>976</v>
      </c>
      <c r="D177" s="24" t="s">
        <v>403</v>
      </c>
      <c r="E177" s="24" t="s">
        <v>82</v>
      </c>
      <c r="F177" s="103" t="s">
        <v>968</v>
      </c>
      <c r="G177" s="103">
        <v>1</v>
      </c>
      <c r="H177" s="124" t="s">
        <v>374</v>
      </c>
      <c r="I177" s="45" t="s">
        <v>580</v>
      </c>
      <c r="J177" s="34">
        <v>1348</v>
      </c>
      <c r="K177" s="132">
        <v>1408.7849635100606</v>
      </c>
      <c r="L177" s="132">
        <v>60.784963510060606</v>
      </c>
      <c r="M177" s="132">
        <v>60.784963510060606</v>
      </c>
      <c r="N177" s="132">
        <v>1.7908827945196815</v>
      </c>
      <c r="O177" s="132">
        <f t="shared" si="4"/>
        <v>1.7908827945196815</v>
      </c>
      <c r="P177" s="132">
        <v>4.5092702900638431</v>
      </c>
      <c r="Q177" s="143">
        <v>4.5092702900638431</v>
      </c>
      <c r="R177" s="33">
        <v>1375.8202549252126</v>
      </c>
      <c r="S177" s="143">
        <v>27.820254925212566</v>
      </c>
      <c r="T177" s="143">
        <v>27.820254925212566</v>
      </c>
      <c r="U177" s="33">
        <v>1.4596978179812137</v>
      </c>
      <c r="V177" s="132">
        <v>2.0638171309504871</v>
      </c>
      <c r="W177" s="103">
        <v>2.0638171309504871</v>
      </c>
    </row>
    <row r="178" spans="1:23" x14ac:dyDescent="0.15">
      <c r="A178" s="103" t="s">
        <v>16</v>
      </c>
      <c r="B178" s="103" t="s">
        <v>615</v>
      </c>
      <c r="C178" s="103" t="s">
        <v>970</v>
      </c>
      <c r="D178" s="103" t="s">
        <v>403</v>
      </c>
      <c r="E178" s="103" t="s">
        <v>148</v>
      </c>
      <c r="F178" s="103" t="s">
        <v>967</v>
      </c>
      <c r="G178" s="103">
        <v>0</v>
      </c>
      <c r="H178" s="120" t="s">
        <v>374</v>
      </c>
      <c r="I178" s="132" t="s">
        <v>580</v>
      </c>
      <c r="J178" s="132">
        <v>1168</v>
      </c>
      <c r="K178" s="132">
        <v>1228.846305</v>
      </c>
      <c r="L178" s="132">
        <v>60.846305000000029</v>
      </c>
      <c r="M178" s="132">
        <v>60.846305000000029</v>
      </c>
      <c r="N178" s="132">
        <v>1.7913137578689955</v>
      </c>
      <c r="O178" s="132">
        <f t="shared" si="4"/>
        <v>1.7913137578689955</v>
      </c>
      <c r="P178" s="132">
        <v>5.2094439212328796</v>
      </c>
      <c r="Q178" s="132">
        <v>5.2094439212328796</v>
      </c>
      <c r="R178" s="132">
        <v>1211.217613</v>
      </c>
      <c r="S178" s="132">
        <v>43.217613000000028</v>
      </c>
      <c r="T178" s="132">
        <v>43.217613000000028</v>
      </c>
      <c r="U178" s="132">
        <v>1.6455952943505914</v>
      </c>
      <c r="V178" s="132">
        <v>3.7001380993150708</v>
      </c>
      <c r="W178" s="113">
        <v>3.7001380993150708</v>
      </c>
    </row>
    <row r="179" spans="1:23" x14ac:dyDescent="0.15">
      <c r="A179" s="103" t="s">
        <v>16</v>
      </c>
      <c r="B179" s="127" t="s">
        <v>817</v>
      </c>
      <c r="C179" s="24" t="s">
        <v>980</v>
      </c>
      <c r="D179" s="24" t="s">
        <v>824</v>
      </c>
      <c r="E179" s="24" t="s">
        <v>148</v>
      </c>
      <c r="F179" s="103" t="s">
        <v>968</v>
      </c>
      <c r="G179" s="103">
        <v>1</v>
      </c>
      <c r="H179" s="124" t="s">
        <v>374</v>
      </c>
      <c r="I179" s="31" t="s">
        <v>580</v>
      </c>
      <c r="J179" s="34">
        <v>1495</v>
      </c>
      <c r="K179" s="132">
        <v>1556.8560094002207</v>
      </c>
      <c r="L179" s="132">
        <v>61.856009400220728</v>
      </c>
      <c r="M179" s="132">
        <v>61.856009400220728</v>
      </c>
      <c r="N179" s="132">
        <v>1.798346805086305</v>
      </c>
      <c r="O179" s="132">
        <f t="shared" si="4"/>
        <v>1.798346805086305</v>
      </c>
      <c r="P179" s="132">
        <v>4.1375257123893467</v>
      </c>
      <c r="Q179" s="143">
        <v>4.1375257123893467</v>
      </c>
      <c r="R179" s="33">
        <v>1480</v>
      </c>
      <c r="S179" s="143">
        <v>-15</v>
      </c>
      <c r="T179" s="143">
        <v>15</v>
      </c>
      <c r="U179" s="132">
        <v>1.2041199826559248</v>
      </c>
      <c r="V179" s="132">
        <v>-1.0033444816053512</v>
      </c>
      <c r="W179" s="103">
        <v>1.0033444816053512</v>
      </c>
    </row>
    <row r="180" spans="1:23" x14ac:dyDescent="0.15">
      <c r="A180" s="103" t="s">
        <v>16</v>
      </c>
      <c r="B180" s="127" t="s">
        <v>823</v>
      </c>
      <c r="C180" s="103" t="s">
        <v>971</v>
      </c>
      <c r="D180" s="24" t="s">
        <v>824</v>
      </c>
      <c r="E180" s="24" t="s">
        <v>148</v>
      </c>
      <c r="F180" s="103" t="s">
        <v>968</v>
      </c>
      <c r="G180" s="103">
        <v>1</v>
      </c>
      <c r="H180" s="124" t="s">
        <v>374</v>
      </c>
      <c r="I180" s="31" t="s">
        <v>580</v>
      </c>
      <c r="J180" s="34">
        <v>1780</v>
      </c>
      <c r="K180" s="132">
        <v>1843.2563887480742</v>
      </c>
      <c r="L180" s="132">
        <v>63.256388748074187</v>
      </c>
      <c r="M180" s="132">
        <v>63.256388748074187</v>
      </c>
      <c r="N180" s="132">
        <v>1.8079163142616494</v>
      </c>
      <c r="O180" s="132">
        <f t="shared" si="4"/>
        <v>1.8079163142616494</v>
      </c>
      <c r="P180" s="132">
        <v>3.5537297049479881</v>
      </c>
      <c r="Q180" s="143">
        <v>3.5537297049479881</v>
      </c>
      <c r="R180" s="33">
        <v>1765.7111609607616</v>
      </c>
      <c r="S180" s="143">
        <v>-14.288839039238383</v>
      </c>
      <c r="T180" s="143">
        <v>14.288839039238383</v>
      </c>
      <c r="U180" s="132">
        <v>1.1843745084342163</v>
      </c>
      <c r="V180" s="132">
        <v>-0.80274376624934729</v>
      </c>
      <c r="W180" s="103">
        <v>0.80274376624934729</v>
      </c>
    </row>
    <row r="181" spans="1:23" x14ac:dyDescent="0.15">
      <c r="A181" s="103" t="s">
        <v>16</v>
      </c>
      <c r="B181" s="103" t="s">
        <v>666</v>
      </c>
      <c r="C181" s="103" t="s">
        <v>970</v>
      </c>
      <c r="D181" s="103" t="s">
        <v>403</v>
      </c>
      <c r="E181" s="103" t="s">
        <v>82</v>
      </c>
      <c r="F181" s="103" t="s">
        <v>967</v>
      </c>
      <c r="G181" s="103">
        <v>0</v>
      </c>
      <c r="H181" s="120" t="s">
        <v>374</v>
      </c>
      <c r="I181" s="132" t="s">
        <v>580</v>
      </c>
      <c r="J181" s="132">
        <v>1207.3</v>
      </c>
      <c r="K181" s="132">
        <v>1143.27187</v>
      </c>
      <c r="L181" s="132">
        <v>-64.028129999999919</v>
      </c>
      <c r="M181" s="132">
        <v>64.028129999999919</v>
      </c>
      <c r="N181" s="132">
        <v>1.8131012652741108</v>
      </c>
      <c r="O181" s="132">
        <f t="shared" si="4"/>
        <v>-1.8131012652741108</v>
      </c>
      <c r="P181" s="132">
        <v>-5.3034150583947586</v>
      </c>
      <c r="Q181" s="132">
        <v>5.3034150583947586</v>
      </c>
      <c r="R181" s="132">
        <v>1117.4982459999999</v>
      </c>
      <c r="S181" s="132">
        <v>-89.801754000000074</v>
      </c>
      <c r="T181" s="132">
        <v>89.801754000000074</v>
      </c>
      <c r="U181" s="132">
        <v>1.958094237785005</v>
      </c>
      <c r="V181" s="132">
        <v>-7.4382302658825541</v>
      </c>
      <c r="W181" s="113">
        <v>7.4382302658825541</v>
      </c>
    </row>
    <row r="182" spans="1:23" x14ac:dyDescent="0.15">
      <c r="A182" s="103" t="s">
        <v>16</v>
      </c>
      <c r="B182" s="127" t="s">
        <v>606</v>
      </c>
      <c r="C182" s="103" t="s">
        <v>971</v>
      </c>
      <c r="D182" s="24" t="s">
        <v>403</v>
      </c>
      <c r="E182" s="24" t="s">
        <v>148</v>
      </c>
      <c r="F182" s="103" t="s">
        <v>968</v>
      </c>
      <c r="G182" s="103">
        <v>1</v>
      </c>
      <c r="H182" s="124" t="s">
        <v>374</v>
      </c>
      <c r="I182" s="31" t="s">
        <v>580</v>
      </c>
      <c r="J182" s="34">
        <v>1196.7</v>
      </c>
      <c r="K182" s="132">
        <v>1261.50947262774</v>
      </c>
      <c r="L182" s="132">
        <v>64.809472627739979</v>
      </c>
      <c r="M182" s="132">
        <v>64.809472627739979</v>
      </c>
      <c r="N182" s="132">
        <v>1.8182884105419783</v>
      </c>
      <c r="O182" s="132">
        <f t="shared" si="4"/>
        <v>1.8182884105419783</v>
      </c>
      <c r="P182" s="132">
        <v>5.4156825125545227</v>
      </c>
      <c r="Q182" s="143">
        <v>5.4156825125545227</v>
      </c>
      <c r="R182" s="33">
        <v>1280.5607403491567</v>
      </c>
      <c r="S182" s="143">
        <v>83.860740349156686</v>
      </c>
      <c r="T182" s="143">
        <v>83.860740349156686</v>
      </c>
      <c r="U182" s="132">
        <v>1.9287068163553067</v>
      </c>
      <c r="V182" s="132">
        <v>7.0076661109013694</v>
      </c>
      <c r="W182" s="103">
        <v>7.0076661109013694</v>
      </c>
    </row>
    <row r="183" spans="1:23" x14ac:dyDescent="0.15">
      <c r="A183" s="103" t="s">
        <v>16</v>
      </c>
      <c r="B183" s="127" t="s">
        <v>810</v>
      </c>
      <c r="C183" s="24" t="s">
        <v>976</v>
      </c>
      <c r="D183" s="24" t="s">
        <v>824</v>
      </c>
      <c r="E183" s="24" t="s">
        <v>148</v>
      </c>
      <c r="F183" s="103" t="s">
        <v>968</v>
      </c>
      <c r="G183" s="103">
        <v>1</v>
      </c>
      <c r="H183" s="124" t="s">
        <v>374</v>
      </c>
      <c r="I183" s="27" t="s">
        <v>580</v>
      </c>
      <c r="J183" s="34">
        <v>1622</v>
      </c>
      <c r="K183" s="132">
        <v>1557.1717168838918</v>
      </c>
      <c r="L183" s="132">
        <v>-64.828283116108196</v>
      </c>
      <c r="M183" s="132">
        <v>64.828283116108196</v>
      </c>
      <c r="N183" s="132">
        <v>1.8184125282969441</v>
      </c>
      <c r="O183" s="132">
        <f t="shared" si="4"/>
        <v>-1.8184125282969441</v>
      </c>
      <c r="P183" s="132">
        <v>-3.9968115361349073</v>
      </c>
      <c r="Q183" s="143">
        <v>3.9968115361349073</v>
      </c>
      <c r="R183" s="33">
        <v>1526.0058345868642</v>
      </c>
      <c r="S183" s="143">
        <v>-95.994165413135761</v>
      </c>
      <c r="T183" s="143">
        <v>95.994165413135761</v>
      </c>
      <c r="U183" s="132">
        <v>1.9867456105024224</v>
      </c>
      <c r="V183" s="132">
        <v>-5.9182592733129322</v>
      </c>
      <c r="W183" s="103">
        <v>5.9182592733129322</v>
      </c>
    </row>
    <row r="184" spans="1:23" x14ac:dyDescent="0.15">
      <c r="A184" s="103" t="s">
        <v>16</v>
      </c>
      <c r="B184" s="127" t="s">
        <v>415</v>
      </c>
      <c r="C184" s="103" t="s">
        <v>971</v>
      </c>
      <c r="D184" s="24" t="s">
        <v>458</v>
      </c>
      <c r="E184" s="24" t="s">
        <v>82</v>
      </c>
      <c r="F184" s="103" t="s">
        <v>968</v>
      </c>
      <c r="G184" s="103">
        <v>1</v>
      </c>
      <c r="H184" s="124" t="s">
        <v>203</v>
      </c>
      <c r="I184" s="31" t="s">
        <v>581</v>
      </c>
      <c r="J184" s="34">
        <v>2790</v>
      </c>
      <c r="K184" s="132">
        <v>2724.7123728262141</v>
      </c>
      <c r="L184" s="132">
        <v>-65.28762717378595</v>
      </c>
      <c r="M184" s="132">
        <v>65.28762717378595</v>
      </c>
      <c r="N184" s="132">
        <v>1.821432473327758</v>
      </c>
      <c r="O184" s="132">
        <f t="shared" si="4"/>
        <v>-1.821432473327758</v>
      </c>
      <c r="P184" s="132">
        <v>-2.3400583216410733</v>
      </c>
      <c r="Q184" s="143">
        <v>2.3400583216410733</v>
      </c>
      <c r="R184" s="33">
        <v>2612.1403616933349</v>
      </c>
      <c r="S184" s="143">
        <v>-177.85963830666515</v>
      </c>
      <c r="T184" s="143">
        <v>177.85963830666515</v>
      </c>
      <c r="U184" s="132">
        <v>2.252512348178668</v>
      </c>
      <c r="V184" s="132">
        <v>-6.3748974303464214</v>
      </c>
      <c r="W184" s="103">
        <v>6.3748974303464214</v>
      </c>
    </row>
    <row r="185" spans="1:23" x14ac:dyDescent="0.15">
      <c r="A185" s="103" t="s">
        <v>16</v>
      </c>
      <c r="B185" s="127" t="s">
        <v>606</v>
      </c>
      <c r="C185" s="24" t="s">
        <v>980</v>
      </c>
      <c r="D185" s="24" t="s">
        <v>403</v>
      </c>
      <c r="E185" s="24" t="s">
        <v>148</v>
      </c>
      <c r="F185" s="103" t="s">
        <v>968</v>
      </c>
      <c r="G185" s="103">
        <v>1</v>
      </c>
      <c r="H185" s="124" t="s">
        <v>374</v>
      </c>
      <c r="I185" s="27" t="s">
        <v>580</v>
      </c>
      <c r="J185" s="34">
        <v>1196.7</v>
      </c>
      <c r="K185" s="132">
        <v>1262.5061319827278</v>
      </c>
      <c r="L185" s="132">
        <v>65.80613198272772</v>
      </c>
      <c r="M185" s="132">
        <v>65.80613198272772</v>
      </c>
      <c r="N185" s="132">
        <v>1.8248163272066642</v>
      </c>
      <c r="O185" s="132">
        <f t="shared" si="4"/>
        <v>1.8248163272066642</v>
      </c>
      <c r="P185" s="132">
        <v>5.4989664897407637</v>
      </c>
      <c r="Q185" s="143">
        <v>5.4989664897407637</v>
      </c>
      <c r="R185" s="33">
        <v>1288</v>
      </c>
      <c r="S185" s="143">
        <v>91.299999999999955</v>
      </c>
      <c r="T185" s="143">
        <v>91.299999999999955</v>
      </c>
      <c r="U185" s="132">
        <v>1.9652017010259117</v>
      </c>
      <c r="V185" s="132">
        <v>7.6293139466867181</v>
      </c>
      <c r="W185" s="103">
        <v>7.6293139466867181</v>
      </c>
    </row>
    <row r="186" spans="1:23" x14ac:dyDescent="0.15">
      <c r="A186" s="103" t="s">
        <v>16</v>
      </c>
      <c r="B186" s="127" t="s">
        <v>63</v>
      </c>
      <c r="C186" s="103" t="s">
        <v>979</v>
      </c>
      <c r="D186" s="24" t="s">
        <v>403</v>
      </c>
      <c r="E186" s="24" t="s">
        <v>82</v>
      </c>
      <c r="F186" s="103" t="s">
        <v>967</v>
      </c>
      <c r="G186" s="103">
        <v>0</v>
      </c>
      <c r="H186" s="124" t="s">
        <v>494</v>
      </c>
      <c r="I186" s="27" t="s">
        <v>580</v>
      </c>
      <c r="J186" s="34">
        <v>633</v>
      </c>
      <c r="K186" s="132">
        <v>698.94736842105272</v>
      </c>
      <c r="L186" s="132">
        <v>65.947368421052715</v>
      </c>
      <c r="M186" s="132">
        <v>65.947368421052715</v>
      </c>
      <c r="N186" s="132">
        <v>1.8257335103595667</v>
      </c>
      <c r="O186" s="132">
        <f t="shared" si="4"/>
        <v>1.8257335103595667</v>
      </c>
      <c r="P186" s="132">
        <v>10.418225658934078</v>
      </c>
      <c r="Q186" s="143">
        <v>10.418225658934078</v>
      </c>
      <c r="R186" s="33">
        <v>630.01387622042398</v>
      </c>
      <c r="S186" s="143">
        <v>-2.9861237795760189</v>
      </c>
      <c r="T186" s="143">
        <v>2.9861237795760189</v>
      </c>
      <c r="U186" s="132">
        <v>0.60055078055417888</v>
      </c>
      <c r="V186" s="132">
        <v>-0.47174151336114045</v>
      </c>
      <c r="W186" s="103">
        <v>0.47174151336114045</v>
      </c>
    </row>
    <row r="187" spans="1:23" x14ac:dyDescent="0.15">
      <c r="A187" s="103" t="s">
        <v>16</v>
      </c>
      <c r="B187" s="103" t="s">
        <v>50</v>
      </c>
      <c r="C187" s="103" t="s">
        <v>970</v>
      </c>
      <c r="D187" s="103" t="s">
        <v>403</v>
      </c>
      <c r="E187" s="103" t="s">
        <v>82</v>
      </c>
      <c r="F187" s="103" t="s">
        <v>967</v>
      </c>
      <c r="G187" s="103">
        <v>0</v>
      </c>
      <c r="H187" s="120" t="s">
        <v>203</v>
      </c>
      <c r="I187" s="132" t="s">
        <v>581</v>
      </c>
      <c r="J187" s="132">
        <v>2873</v>
      </c>
      <c r="K187" s="132">
        <v>2939.2159999999999</v>
      </c>
      <c r="L187" s="132">
        <v>66.215999999999894</v>
      </c>
      <c r="M187" s="132">
        <v>66.215999999999894</v>
      </c>
      <c r="N187" s="132">
        <v>1.8274726641939161</v>
      </c>
      <c r="O187" s="132">
        <f t="shared" si="4"/>
        <v>1.8274726641939161</v>
      </c>
      <c r="P187" s="132">
        <v>2.3047685346327844</v>
      </c>
      <c r="Q187" s="132">
        <v>2.3047685346327844</v>
      </c>
      <c r="R187" s="132">
        <v>2820.1474000000003</v>
      </c>
      <c r="S187" s="132">
        <v>-52.852599999999711</v>
      </c>
      <c r="T187" s="132">
        <v>52.852599999999711</v>
      </c>
      <c r="U187" s="132">
        <v>1.731206675849309</v>
      </c>
      <c r="V187" s="132">
        <v>-1.8396310476853364</v>
      </c>
      <c r="W187" s="113">
        <v>1.8396310476853364</v>
      </c>
    </row>
    <row r="188" spans="1:23" x14ac:dyDescent="0.15">
      <c r="A188" s="103" t="s">
        <v>16</v>
      </c>
      <c r="B188" s="127" t="s">
        <v>252</v>
      </c>
      <c r="C188" s="103" t="s">
        <v>975</v>
      </c>
      <c r="D188" s="24" t="s">
        <v>403</v>
      </c>
      <c r="E188" s="24" t="s">
        <v>82</v>
      </c>
      <c r="F188" s="103" t="s">
        <v>967</v>
      </c>
      <c r="G188" s="103">
        <v>0</v>
      </c>
      <c r="H188" s="124" t="s">
        <v>374</v>
      </c>
      <c r="I188" s="27" t="s">
        <v>580</v>
      </c>
      <c r="J188" s="34">
        <v>1193.83</v>
      </c>
      <c r="K188" s="132">
        <v>1127.0984000000001</v>
      </c>
      <c r="L188" s="132">
        <v>-66.731599999999844</v>
      </c>
      <c r="M188" s="132">
        <v>66.731599999999844</v>
      </c>
      <c r="N188" s="132">
        <v>1.8307913349148444</v>
      </c>
      <c r="O188" s="132">
        <f t="shared" si="4"/>
        <v>-1.8307913349148444</v>
      </c>
      <c r="P188" s="132">
        <v>-5.5897070772220374</v>
      </c>
      <c r="Q188" s="143">
        <v>5.5897070772220374</v>
      </c>
      <c r="R188" s="33">
        <v>1122.7496000000001</v>
      </c>
      <c r="S188" s="143">
        <v>-71.080399999999827</v>
      </c>
      <c r="T188" s="143">
        <v>71.080399999999827</v>
      </c>
      <c r="U188" s="132">
        <v>1.8578171880335852</v>
      </c>
      <c r="V188" s="132">
        <v>-5.953980047410421</v>
      </c>
      <c r="W188" s="103">
        <v>5.953980047410421</v>
      </c>
    </row>
    <row r="189" spans="1:23" x14ac:dyDescent="0.15">
      <c r="A189" s="103" t="s">
        <v>16</v>
      </c>
      <c r="B189" s="103" t="s">
        <v>520</v>
      </c>
      <c r="C189" s="103" t="s">
        <v>970</v>
      </c>
      <c r="D189" s="103" t="s">
        <v>401</v>
      </c>
      <c r="E189" s="103" t="s">
        <v>82</v>
      </c>
      <c r="F189" s="103" t="s">
        <v>967</v>
      </c>
      <c r="G189" s="103">
        <v>0</v>
      </c>
      <c r="H189" s="120" t="s">
        <v>494</v>
      </c>
      <c r="I189" s="132" t="s">
        <v>580</v>
      </c>
      <c r="J189" s="132">
        <v>770</v>
      </c>
      <c r="K189" s="132">
        <v>701.2059999999999</v>
      </c>
      <c r="L189" s="132">
        <v>-68.794000000000096</v>
      </c>
      <c r="M189" s="132">
        <v>68.794000000000096</v>
      </c>
      <c r="N189" s="132">
        <v>1.8438180891146581</v>
      </c>
      <c r="O189" s="132">
        <f t="shared" si="4"/>
        <v>-1.8438180891146581</v>
      </c>
      <c r="P189" s="132">
        <v>-8.9342857142857266</v>
      </c>
      <c r="Q189" s="132">
        <v>8.9342857142857266</v>
      </c>
      <c r="R189" s="132">
        <v>707.02570000000003</v>
      </c>
      <c r="S189" s="132">
        <v>-62.974299999999971</v>
      </c>
      <c r="T189" s="132">
        <v>62.974299999999971</v>
      </c>
      <c r="U189" s="132">
        <v>1.8060055425810981</v>
      </c>
      <c r="V189" s="132">
        <v>-8.1784805194805159</v>
      </c>
      <c r="W189" s="133">
        <v>8.1784805194805159</v>
      </c>
    </row>
    <row r="190" spans="1:23" x14ac:dyDescent="0.15">
      <c r="A190" s="103" t="s">
        <v>16</v>
      </c>
      <c r="B190" s="126" t="s">
        <v>521</v>
      </c>
      <c r="C190" s="103" t="s">
        <v>975</v>
      </c>
      <c r="D190" s="24" t="s">
        <v>401</v>
      </c>
      <c r="E190" s="24" t="s">
        <v>82</v>
      </c>
      <c r="F190" s="103" t="s">
        <v>967</v>
      </c>
      <c r="G190" s="103">
        <v>0</v>
      </c>
      <c r="H190" s="128" t="s">
        <v>494</v>
      </c>
      <c r="I190" s="49" t="s">
        <v>580</v>
      </c>
      <c r="J190" s="34">
        <v>716</v>
      </c>
      <c r="K190" s="132">
        <v>786.5</v>
      </c>
      <c r="L190" s="132">
        <v>70.5</v>
      </c>
      <c r="M190" s="132">
        <v>70.5</v>
      </c>
      <c r="N190" s="132">
        <v>1.8543060418010806</v>
      </c>
      <c r="O190" s="132">
        <f t="shared" si="4"/>
        <v>1.8543060418010806</v>
      </c>
      <c r="P190" s="132">
        <v>9.8463687150837984</v>
      </c>
      <c r="Q190" s="143">
        <v>9.8463687150837984</v>
      </c>
      <c r="R190" s="33">
        <v>779.3</v>
      </c>
      <c r="S190" s="143">
        <v>63.299999999999955</v>
      </c>
      <c r="T190" s="143">
        <v>63.299999999999955</v>
      </c>
      <c r="U190" s="132">
        <v>1.8082109729242217</v>
      </c>
      <c r="V190" s="132">
        <v>8.8407821229050221</v>
      </c>
      <c r="W190" s="103">
        <v>8.8407821229050221</v>
      </c>
    </row>
    <row r="191" spans="1:23" x14ac:dyDescent="0.15">
      <c r="A191" s="103" t="s">
        <v>16</v>
      </c>
      <c r="B191" s="127" t="s">
        <v>520</v>
      </c>
      <c r="C191" s="103" t="s">
        <v>971</v>
      </c>
      <c r="D191" s="24" t="s">
        <v>401</v>
      </c>
      <c r="E191" s="24" t="s">
        <v>82</v>
      </c>
      <c r="F191" s="103" t="s">
        <v>968</v>
      </c>
      <c r="G191" s="103">
        <v>1</v>
      </c>
      <c r="H191" s="124" t="s">
        <v>494</v>
      </c>
      <c r="I191" s="27" t="s">
        <v>580</v>
      </c>
      <c r="J191" s="34">
        <v>770</v>
      </c>
      <c r="K191" s="132">
        <v>699.39566246509185</v>
      </c>
      <c r="L191" s="132">
        <v>-70.604337534908154</v>
      </c>
      <c r="M191" s="132">
        <v>70.604337534908154</v>
      </c>
      <c r="N191" s="132">
        <v>1.8549393311125841</v>
      </c>
      <c r="O191" s="132">
        <f t="shared" si="4"/>
        <v>-1.8549393311125841</v>
      </c>
      <c r="P191" s="132">
        <v>-9.1693944850530062</v>
      </c>
      <c r="Q191" s="143">
        <v>9.1693944850530062</v>
      </c>
      <c r="R191" s="33">
        <v>705.09617923544602</v>
      </c>
      <c r="S191" s="143">
        <v>-64.903820764553984</v>
      </c>
      <c r="T191" s="143">
        <v>64.903820764553984</v>
      </c>
      <c r="U191" s="132">
        <v>1.8189105934841707</v>
      </c>
      <c r="V191" s="132">
        <v>-8.4290676317602582</v>
      </c>
      <c r="W191" s="103">
        <v>8.4290676317602582</v>
      </c>
    </row>
    <row r="192" spans="1:23" x14ac:dyDescent="0.15">
      <c r="A192" s="103" t="s">
        <v>16</v>
      </c>
      <c r="B192" s="103" t="s">
        <v>822</v>
      </c>
      <c r="C192" s="103" t="s">
        <v>970</v>
      </c>
      <c r="D192" s="103" t="s">
        <v>824</v>
      </c>
      <c r="E192" s="103" t="s">
        <v>148</v>
      </c>
      <c r="F192" s="103" t="s">
        <v>967</v>
      </c>
      <c r="G192" s="103">
        <v>0</v>
      </c>
      <c r="H192" s="120" t="s">
        <v>374</v>
      </c>
      <c r="I192" s="132" t="s">
        <v>580</v>
      </c>
      <c r="J192" s="132">
        <v>1744</v>
      </c>
      <c r="K192" s="132">
        <v>1672.9734999999998</v>
      </c>
      <c r="L192" s="132">
        <v>-71.026500000000169</v>
      </c>
      <c r="M192" s="132">
        <v>71.026500000000169</v>
      </c>
      <c r="N192" s="132">
        <v>1.8574923115194693</v>
      </c>
      <c r="O192" s="132">
        <f t="shared" si="4"/>
        <v>-1.8574923115194693</v>
      </c>
      <c r="P192" s="132">
        <v>-4.0726204128440466</v>
      </c>
      <c r="Q192" s="132">
        <v>4.0726204128440466</v>
      </c>
      <c r="R192" s="132">
        <v>1685.6215</v>
      </c>
      <c r="S192" s="132">
        <v>-58.378500000000031</v>
      </c>
      <c r="T192" s="132">
        <v>58.378500000000031</v>
      </c>
      <c r="U192" s="132">
        <v>1.7736292223952392</v>
      </c>
      <c r="V192" s="132">
        <v>-3.3473910550458732</v>
      </c>
      <c r="W192" s="133">
        <v>3.3473910550458732</v>
      </c>
    </row>
    <row r="193" spans="1:23" x14ac:dyDescent="0.15">
      <c r="A193" s="103" t="s">
        <v>16</v>
      </c>
      <c r="B193" s="127" t="s">
        <v>615</v>
      </c>
      <c r="C193" s="103" t="s">
        <v>971</v>
      </c>
      <c r="D193" s="24" t="s">
        <v>403</v>
      </c>
      <c r="E193" s="24" t="s">
        <v>148</v>
      </c>
      <c r="F193" s="103" t="s">
        <v>968</v>
      </c>
      <c r="G193" s="103">
        <v>1</v>
      </c>
      <c r="H193" s="124" t="s">
        <v>374</v>
      </c>
      <c r="I193" s="27" t="s">
        <v>580</v>
      </c>
      <c r="J193" s="34">
        <v>1168</v>
      </c>
      <c r="K193" s="132">
        <v>1239.224468225784</v>
      </c>
      <c r="L193" s="132">
        <v>71.224468225783994</v>
      </c>
      <c r="M193" s="132">
        <v>71.224468225783994</v>
      </c>
      <c r="N193" s="132">
        <v>1.858684352905188</v>
      </c>
      <c r="O193" s="132">
        <f t="shared" si="4"/>
        <v>1.858684352905188</v>
      </c>
      <c r="P193" s="132">
        <v>6.0979852933034238</v>
      </c>
      <c r="Q193" s="143">
        <v>6.0979852933034238</v>
      </c>
      <c r="R193" s="33">
        <v>1219.0863453087607</v>
      </c>
      <c r="S193" s="143">
        <v>51.086345308760656</v>
      </c>
      <c r="T193" s="143">
        <v>51.086345308760656</v>
      </c>
      <c r="U193" s="132">
        <v>1.7167238857889808</v>
      </c>
      <c r="V193" s="132">
        <v>4.3738309339692343</v>
      </c>
      <c r="W193" s="103">
        <v>4.3738309339692343</v>
      </c>
    </row>
    <row r="194" spans="1:23" x14ac:dyDescent="0.15">
      <c r="A194" s="103" t="s">
        <v>16</v>
      </c>
      <c r="B194" s="127" t="s">
        <v>813</v>
      </c>
      <c r="C194" s="24" t="s">
        <v>976</v>
      </c>
      <c r="D194" s="24" t="s">
        <v>824</v>
      </c>
      <c r="E194" s="24" t="s">
        <v>148</v>
      </c>
      <c r="F194" s="103" t="s">
        <v>968</v>
      </c>
      <c r="G194" s="103">
        <v>1</v>
      </c>
      <c r="H194" s="124" t="s">
        <v>374</v>
      </c>
      <c r="I194" s="31" t="s">
        <v>580</v>
      </c>
      <c r="J194" s="34">
        <v>1427</v>
      </c>
      <c r="K194" s="132">
        <v>1355.1321401946566</v>
      </c>
      <c r="L194" s="132">
        <v>-71.867859805343414</v>
      </c>
      <c r="M194" s="132">
        <v>71.867859805343414</v>
      </c>
      <c r="N194" s="132">
        <v>1.8625360140921159</v>
      </c>
      <c r="O194" s="132">
        <f t="shared" si="4"/>
        <v>-1.8625360140921159</v>
      </c>
      <c r="P194" s="132">
        <v>-5.0362901054900782</v>
      </c>
      <c r="Q194" s="143">
        <v>5.0362901054900782</v>
      </c>
      <c r="R194" s="33">
        <v>1347.6183966598242</v>
      </c>
      <c r="S194" s="143">
        <v>-79.381603340175843</v>
      </c>
      <c r="T194" s="143">
        <v>79.381603340175843</v>
      </c>
      <c r="U194" s="132">
        <v>1.9051566646433551</v>
      </c>
      <c r="V194" s="132">
        <v>-5.5628313482954344</v>
      </c>
      <c r="W194" s="103">
        <v>5.5628313482954344</v>
      </c>
    </row>
    <row r="195" spans="1:23" x14ac:dyDescent="0.15">
      <c r="A195" s="103" t="s">
        <v>16</v>
      </c>
      <c r="B195" s="126" t="s">
        <v>606</v>
      </c>
      <c r="C195" s="103" t="s">
        <v>979</v>
      </c>
      <c r="D195" s="24" t="s">
        <v>403</v>
      </c>
      <c r="E195" s="24" t="s">
        <v>148</v>
      </c>
      <c r="F195" s="103" t="s">
        <v>967</v>
      </c>
      <c r="G195" s="103">
        <v>0</v>
      </c>
      <c r="H195" s="124" t="s">
        <v>374</v>
      </c>
      <c r="I195" s="31" t="s">
        <v>580</v>
      </c>
      <c r="J195" s="34">
        <v>1196.7</v>
      </c>
      <c r="K195" s="132">
        <v>1269.0526315789473</v>
      </c>
      <c r="L195" s="132">
        <v>72.352631578947239</v>
      </c>
      <c r="M195" s="132">
        <v>72.352631578947239</v>
      </c>
      <c r="N195" s="132">
        <v>1.8654156990888366</v>
      </c>
      <c r="O195" s="132">
        <f t="shared" si="4"/>
        <v>1.8654156990888366</v>
      </c>
      <c r="P195" s="132">
        <v>6.0460124992853039</v>
      </c>
      <c r="Q195" s="143">
        <v>6.0460124992853039</v>
      </c>
      <c r="R195" s="33">
        <v>1294.9311190563394</v>
      </c>
      <c r="S195" s="143">
        <v>98.231119056339367</v>
      </c>
      <c r="T195" s="143">
        <v>98.231119056339367</v>
      </c>
      <c r="U195" s="132">
        <v>1.996647889040172</v>
      </c>
      <c r="V195" s="132">
        <v>8.2084999629263287</v>
      </c>
      <c r="W195" s="103">
        <v>8.2084999629263287</v>
      </c>
    </row>
    <row r="196" spans="1:23" x14ac:dyDescent="0.15">
      <c r="A196" s="103" t="s">
        <v>16</v>
      </c>
      <c r="B196" s="127" t="s">
        <v>615</v>
      </c>
      <c r="C196" s="24" t="s">
        <v>980</v>
      </c>
      <c r="D196" s="24" t="s">
        <v>403</v>
      </c>
      <c r="E196" s="24" t="s">
        <v>148</v>
      </c>
      <c r="F196" s="103" t="s">
        <v>968</v>
      </c>
      <c r="G196" s="103">
        <v>1</v>
      </c>
      <c r="H196" s="124" t="s">
        <v>374</v>
      </c>
      <c r="I196" s="27" t="s">
        <v>580</v>
      </c>
      <c r="J196" s="34">
        <v>1168</v>
      </c>
      <c r="K196" s="132">
        <v>1241.1458559890302</v>
      </c>
      <c r="L196" s="132">
        <v>73.145855989030224</v>
      </c>
      <c r="M196" s="132">
        <v>73.145855989030224</v>
      </c>
      <c r="N196" s="132">
        <v>1.8700868833294799</v>
      </c>
      <c r="O196" s="132">
        <f t="shared" si="4"/>
        <v>1.8700868833294799</v>
      </c>
      <c r="P196" s="132">
        <v>6.2624876702936838</v>
      </c>
      <c r="Q196" s="143">
        <v>6.2624876702936838</v>
      </c>
      <c r="R196" s="33">
        <v>1233.8499999999999</v>
      </c>
      <c r="S196" s="143">
        <v>65.849999999999909</v>
      </c>
      <c r="T196" s="143">
        <v>65.849999999999909</v>
      </c>
      <c r="U196" s="132">
        <v>1.8251014115980027</v>
      </c>
      <c r="V196" s="132">
        <v>5.6378424657534172</v>
      </c>
      <c r="W196" s="103">
        <v>5.6378424657534172</v>
      </c>
    </row>
    <row r="197" spans="1:23" x14ac:dyDescent="0.15">
      <c r="A197" s="103" t="s">
        <v>16</v>
      </c>
      <c r="B197" s="127" t="s">
        <v>521</v>
      </c>
      <c r="C197" s="103" t="s">
        <v>979</v>
      </c>
      <c r="D197" s="24" t="s">
        <v>401</v>
      </c>
      <c r="E197" s="24" t="s">
        <v>82</v>
      </c>
      <c r="F197" s="103" t="s">
        <v>967</v>
      </c>
      <c r="G197" s="103">
        <v>0</v>
      </c>
      <c r="H197" s="124" t="s">
        <v>494</v>
      </c>
      <c r="I197" s="27" t="s">
        <v>580</v>
      </c>
      <c r="J197" s="34">
        <v>716</v>
      </c>
      <c r="K197" s="132">
        <v>789.47368421052636</v>
      </c>
      <c r="L197" s="132">
        <v>73.473684210526358</v>
      </c>
      <c r="M197" s="132">
        <v>73.473684210526358</v>
      </c>
      <c r="N197" s="132">
        <v>1.8720028389074803</v>
      </c>
      <c r="O197" s="132">
        <f t="shared" si="4"/>
        <v>1.8720028389074803</v>
      </c>
      <c r="P197" s="132">
        <v>10.261687738900328</v>
      </c>
      <c r="Q197" s="143">
        <v>10.261687738900328</v>
      </c>
      <c r="R197" s="33">
        <v>724.81549576321549</v>
      </c>
      <c r="S197" s="143">
        <v>8.8154957632154947</v>
      </c>
      <c r="T197" s="143">
        <v>8.8154957632154947</v>
      </c>
      <c r="U197" s="132">
        <v>0.99191223993106692</v>
      </c>
      <c r="V197" s="132">
        <v>1.2312144920692032</v>
      </c>
      <c r="W197" s="103">
        <v>1.2312144920692032</v>
      </c>
    </row>
    <row r="198" spans="1:23" x14ac:dyDescent="0.15">
      <c r="A198" s="103" t="s">
        <v>16</v>
      </c>
      <c r="B198" s="127" t="s">
        <v>821</v>
      </c>
      <c r="C198" s="103" t="s">
        <v>971</v>
      </c>
      <c r="D198" s="24" t="s">
        <v>824</v>
      </c>
      <c r="E198" s="24" t="s">
        <v>148</v>
      </c>
      <c r="F198" s="103" t="s">
        <v>968</v>
      </c>
      <c r="G198" s="103">
        <v>1</v>
      </c>
      <c r="H198" s="124" t="s">
        <v>293</v>
      </c>
      <c r="I198" s="27" t="s">
        <v>580</v>
      </c>
      <c r="J198" s="34">
        <v>1980</v>
      </c>
      <c r="K198" s="132">
        <v>2054.5140000140445</v>
      </c>
      <c r="L198" s="132">
        <v>74.514000014044541</v>
      </c>
      <c r="M198" s="132">
        <v>74.514000014044541</v>
      </c>
      <c r="N198" s="132">
        <v>1.8780274756715016</v>
      </c>
      <c r="O198" s="132">
        <f t="shared" si="4"/>
        <v>1.8780274756715016</v>
      </c>
      <c r="P198" s="132">
        <v>3.7633333340426538</v>
      </c>
      <c r="Q198" s="143">
        <v>3.7633333340426538</v>
      </c>
      <c r="R198" s="33">
        <v>1986.8354671230959</v>
      </c>
      <c r="S198" s="143">
        <v>6.8354671230958957</v>
      </c>
      <c r="T198" s="143">
        <v>6.8354671230958957</v>
      </c>
      <c r="U198" s="132">
        <v>0.89406489269173439</v>
      </c>
      <c r="V198" s="132">
        <v>0.34522561227757048</v>
      </c>
      <c r="W198" s="103">
        <v>0.34522561227757048</v>
      </c>
    </row>
    <row r="199" spans="1:23" x14ac:dyDescent="0.15">
      <c r="A199" s="103" t="s">
        <v>16</v>
      </c>
      <c r="B199" s="127" t="s">
        <v>816</v>
      </c>
      <c r="C199" s="24" t="s">
        <v>980</v>
      </c>
      <c r="D199" s="24" t="s">
        <v>824</v>
      </c>
      <c r="E199" s="24" t="s">
        <v>148</v>
      </c>
      <c r="F199" s="103" t="s">
        <v>968</v>
      </c>
      <c r="G199" s="103">
        <v>1</v>
      </c>
      <c r="H199" s="124" t="s">
        <v>374</v>
      </c>
      <c r="I199" s="31" t="s">
        <v>580</v>
      </c>
      <c r="J199" s="34">
        <v>1476</v>
      </c>
      <c r="K199" s="132">
        <v>1550.6248929617627</v>
      </c>
      <c r="L199" s="132">
        <v>74.624892961762725</v>
      </c>
      <c r="M199" s="132">
        <v>74.624892961762725</v>
      </c>
      <c r="N199" s="132">
        <v>1.87866477296765</v>
      </c>
      <c r="O199" s="132">
        <f t="shared" si="4"/>
        <v>1.87866477296765</v>
      </c>
      <c r="P199" s="132">
        <v>5.0558870570299952</v>
      </c>
      <c r="Q199" s="143">
        <v>5.0558870570299952</v>
      </c>
      <c r="R199" s="33">
        <v>1550</v>
      </c>
      <c r="S199" s="143">
        <v>74</v>
      </c>
      <c r="T199" s="143">
        <v>74</v>
      </c>
      <c r="U199" s="132">
        <v>1.8750612633917001</v>
      </c>
      <c r="V199" s="132">
        <v>5.0135501355013554</v>
      </c>
      <c r="W199" s="103">
        <v>5.0135501355013554</v>
      </c>
    </row>
    <row r="200" spans="1:23" x14ac:dyDescent="0.15">
      <c r="A200" s="103" t="s">
        <v>16</v>
      </c>
      <c r="B200" s="126" t="s">
        <v>817</v>
      </c>
      <c r="C200" s="103" t="s">
        <v>971</v>
      </c>
      <c r="D200" s="24" t="s">
        <v>824</v>
      </c>
      <c r="E200" s="24" t="s">
        <v>148</v>
      </c>
      <c r="F200" s="103" t="s">
        <v>968</v>
      </c>
      <c r="G200" s="103">
        <v>1</v>
      </c>
      <c r="H200" s="124" t="s">
        <v>374</v>
      </c>
      <c r="I200" s="45" t="s">
        <v>580</v>
      </c>
      <c r="J200" s="34">
        <v>1495</v>
      </c>
      <c r="K200" s="132">
        <v>1570.2062239578543</v>
      </c>
      <c r="L200" s="132">
        <v>75.206223957854263</v>
      </c>
      <c r="M200" s="132">
        <v>75.206223957854263</v>
      </c>
      <c r="N200" s="132">
        <v>1.881990442732868</v>
      </c>
      <c r="O200" s="132">
        <f t="shared" si="4"/>
        <v>1.881990442732868</v>
      </c>
      <c r="P200" s="132">
        <v>5.0305166526992817</v>
      </c>
      <c r="Q200" s="143">
        <v>5.0305166526992817</v>
      </c>
      <c r="R200" s="33">
        <v>1501.4826643084625</v>
      </c>
      <c r="S200" s="143">
        <v>6.4826643084625175</v>
      </c>
      <c r="T200" s="143">
        <v>6.4826643084625175</v>
      </c>
      <c r="U200" s="33">
        <v>0.87405626209427156</v>
      </c>
      <c r="V200" s="132">
        <v>0.43362303066638913</v>
      </c>
      <c r="W200" s="103">
        <v>0.43362303066638913</v>
      </c>
    </row>
    <row r="201" spans="1:23" x14ac:dyDescent="0.15">
      <c r="A201" s="103" t="s">
        <v>16</v>
      </c>
      <c r="B201" s="127" t="s">
        <v>715</v>
      </c>
      <c r="C201" s="103" t="s">
        <v>971</v>
      </c>
      <c r="D201" s="24" t="s">
        <v>458</v>
      </c>
      <c r="E201" s="24" t="s">
        <v>82</v>
      </c>
      <c r="F201" s="103" t="s">
        <v>968</v>
      </c>
      <c r="G201" s="103">
        <v>1</v>
      </c>
      <c r="H201" s="124" t="s">
        <v>293</v>
      </c>
      <c r="I201" s="27" t="s">
        <v>580</v>
      </c>
      <c r="J201" s="34">
        <v>1940</v>
      </c>
      <c r="K201" s="132">
        <v>1863.5262199907938</v>
      </c>
      <c r="L201" s="132">
        <v>-76.473780009206166</v>
      </c>
      <c r="M201" s="132">
        <v>76.473780009206166</v>
      </c>
      <c r="N201" s="132">
        <v>1.8891547460672882</v>
      </c>
      <c r="O201" s="132">
        <f t="shared" si="4"/>
        <v>-1.8891547460672882</v>
      </c>
      <c r="P201" s="132">
        <v>-3.9419474231549572</v>
      </c>
      <c r="Q201" s="143">
        <v>3.9419474231549572</v>
      </c>
      <c r="R201" s="33">
        <v>1813.238954147982</v>
      </c>
      <c r="S201" s="143">
        <v>-126.76104585201801</v>
      </c>
      <c r="T201" s="143">
        <v>126.76104585201801</v>
      </c>
      <c r="U201" s="132">
        <v>2.1063984582799353</v>
      </c>
      <c r="V201" s="132">
        <v>-6.5340745284545365</v>
      </c>
      <c r="W201" s="103">
        <v>6.5340745284545365</v>
      </c>
    </row>
    <row r="202" spans="1:23" x14ac:dyDescent="0.15">
      <c r="A202" s="103" t="s">
        <v>16</v>
      </c>
      <c r="B202" s="127" t="s">
        <v>825</v>
      </c>
      <c r="C202" s="103" t="s">
        <v>975</v>
      </c>
      <c r="D202" s="24" t="s">
        <v>403</v>
      </c>
      <c r="E202" s="24" t="s">
        <v>82</v>
      </c>
      <c r="F202" s="103" t="s">
        <v>967</v>
      </c>
      <c r="G202" s="103">
        <v>0</v>
      </c>
      <c r="H202" s="124" t="s">
        <v>494</v>
      </c>
      <c r="I202" s="31" t="s">
        <v>580</v>
      </c>
      <c r="J202" s="34">
        <v>660.93000000000006</v>
      </c>
      <c r="K202" s="132">
        <v>737.54</v>
      </c>
      <c r="L202" s="132">
        <v>76.6099999999999</v>
      </c>
      <c r="M202" s="132">
        <v>76.6099999999999</v>
      </c>
      <c r="N202" s="132">
        <v>1.8899176834362053</v>
      </c>
      <c r="O202" s="132">
        <f t="shared" si="4"/>
        <v>1.8899176834362053</v>
      </c>
      <c r="P202" s="132">
        <v>11.591242642942504</v>
      </c>
      <c r="Q202" s="143">
        <v>11.591242642942504</v>
      </c>
      <c r="R202" s="33">
        <v>725.48</v>
      </c>
      <c r="S202" s="143">
        <v>64.549999999999955</v>
      </c>
      <c r="T202" s="143">
        <v>64.549999999999955</v>
      </c>
      <c r="U202" s="132">
        <v>1.8165726960261028</v>
      </c>
      <c r="V202" s="132">
        <v>9.7665410860454127</v>
      </c>
      <c r="W202" s="103">
        <v>9.7665410860454127</v>
      </c>
    </row>
    <row r="203" spans="1:23" x14ac:dyDescent="0.15">
      <c r="A203" s="103" t="s">
        <v>16</v>
      </c>
      <c r="B203" s="127" t="s">
        <v>823</v>
      </c>
      <c r="C203" s="24" t="s">
        <v>976</v>
      </c>
      <c r="D203" s="24" t="s">
        <v>824</v>
      </c>
      <c r="E203" s="24" t="s">
        <v>148</v>
      </c>
      <c r="F203" s="103" t="s">
        <v>968</v>
      </c>
      <c r="G203" s="103">
        <v>1</v>
      </c>
      <c r="H203" s="124" t="s">
        <v>374</v>
      </c>
      <c r="I203" s="48" t="s">
        <v>580</v>
      </c>
      <c r="J203" s="34">
        <v>1780</v>
      </c>
      <c r="K203" s="132">
        <v>1702.2697966189126</v>
      </c>
      <c r="L203" s="132">
        <v>-77.730203381087449</v>
      </c>
      <c r="M203" s="132">
        <v>77.730203381087449</v>
      </c>
      <c r="N203" s="132">
        <v>1.8961413733418027</v>
      </c>
      <c r="O203" s="132">
        <f t="shared" si="4"/>
        <v>-1.8961413733418027</v>
      </c>
      <c r="P203" s="132">
        <v>-4.3668653584880586</v>
      </c>
      <c r="Q203" s="143">
        <v>4.3668653584880586</v>
      </c>
      <c r="R203" s="33">
        <v>1644.8512396692463</v>
      </c>
      <c r="S203" s="143">
        <v>-135.1487603307537</v>
      </c>
      <c r="T203" s="143">
        <v>135.1487603307537</v>
      </c>
      <c r="U203" s="132">
        <v>2.134013691331774</v>
      </c>
      <c r="V203" s="132">
        <v>-7.5926269848738039</v>
      </c>
      <c r="W203" s="103">
        <v>7.5926269848738039</v>
      </c>
    </row>
    <row r="204" spans="1:23" x14ac:dyDescent="0.15">
      <c r="A204" s="103" t="s">
        <v>16</v>
      </c>
      <c r="B204" s="127" t="s">
        <v>821</v>
      </c>
      <c r="C204" s="103" t="s">
        <v>979</v>
      </c>
      <c r="D204" s="24" t="s">
        <v>824</v>
      </c>
      <c r="E204" s="24" t="s">
        <v>148</v>
      </c>
      <c r="F204" s="103" t="s">
        <v>967</v>
      </c>
      <c r="G204" s="103">
        <v>0</v>
      </c>
      <c r="H204" s="124" t="s">
        <v>293</v>
      </c>
      <c r="I204" s="27" t="s">
        <v>580</v>
      </c>
      <c r="J204" s="34">
        <v>1980</v>
      </c>
      <c r="K204" s="132">
        <v>1900</v>
      </c>
      <c r="L204" s="132">
        <v>-80</v>
      </c>
      <c r="M204" s="132">
        <v>80</v>
      </c>
      <c r="N204" s="132">
        <v>1.9084850188786497</v>
      </c>
      <c r="O204" s="132">
        <f t="shared" si="4"/>
        <v>-1.9084850188786497</v>
      </c>
      <c r="P204" s="132">
        <v>-4.0404040404040407</v>
      </c>
      <c r="Q204" s="143">
        <v>4.0404040404040407</v>
      </c>
      <c r="R204" s="33">
        <v>2018.0890298581351</v>
      </c>
      <c r="S204" s="143">
        <v>38.089029858135063</v>
      </c>
      <c r="T204" s="143">
        <v>38.089029858135063</v>
      </c>
      <c r="U204" s="132">
        <v>1.5920548919086612</v>
      </c>
      <c r="V204" s="132">
        <v>1.923688376673488</v>
      </c>
      <c r="W204" s="103">
        <v>1.923688376673488</v>
      </c>
    </row>
    <row r="205" spans="1:23" x14ac:dyDescent="0.15">
      <c r="A205" s="103" t="s">
        <v>16</v>
      </c>
      <c r="B205" s="127" t="s">
        <v>714</v>
      </c>
      <c r="C205" s="103" t="s">
        <v>971</v>
      </c>
      <c r="D205" s="24" t="s">
        <v>458</v>
      </c>
      <c r="E205" s="24" t="s">
        <v>82</v>
      </c>
      <c r="F205" s="103" t="s">
        <v>968</v>
      </c>
      <c r="G205" s="103">
        <v>1</v>
      </c>
      <c r="H205" s="124" t="s">
        <v>293</v>
      </c>
      <c r="I205" s="31" t="s">
        <v>580</v>
      </c>
      <c r="J205" s="34">
        <v>1890</v>
      </c>
      <c r="K205" s="132">
        <v>1809.5587731770622</v>
      </c>
      <c r="L205" s="132">
        <v>-80.441226822937779</v>
      </c>
      <c r="M205" s="132">
        <v>80.441226822937779</v>
      </c>
      <c r="N205" s="132">
        <v>1.9108443072129573</v>
      </c>
      <c r="O205" s="132">
        <f t="shared" si="4"/>
        <v>-1.9108443072129573</v>
      </c>
      <c r="P205" s="132">
        <v>-4.2561495673512049</v>
      </c>
      <c r="Q205" s="143">
        <v>4.2561495673512049</v>
      </c>
      <c r="R205" s="33">
        <v>1825.1458180929744</v>
      </c>
      <c r="S205" s="143">
        <v>-64.854181907025577</v>
      </c>
      <c r="T205" s="143">
        <v>64.854181907025577</v>
      </c>
      <c r="U205" s="132">
        <v>1.8185833589709663</v>
      </c>
      <c r="V205" s="132">
        <v>-3.4314381961389193</v>
      </c>
      <c r="W205" s="103">
        <v>3.4314381961389193</v>
      </c>
    </row>
    <row r="206" spans="1:23" x14ac:dyDescent="0.15">
      <c r="A206" s="103" t="s">
        <v>16</v>
      </c>
      <c r="B206" s="116" t="s">
        <v>615</v>
      </c>
      <c r="C206" s="103" t="s">
        <v>979</v>
      </c>
      <c r="D206" s="24" t="s">
        <v>403</v>
      </c>
      <c r="E206" s="24" t="s">
        <v>148</v>
      </c>
      <c r="F206" s="103" t="s">
        <v>967</v>
      </c>
      <c r="G206" s="103">
        <v>0</v>
      </c>
      <c r="H206" s="120" t="s">
        <v>374</v>
      </c>
      <c r="I206" s="27" t="s">
        <v>580</v>
      </c>
      <c r="J206" s="34">
        <v>1168</v>
      </c>
      <c r="K206" s="132">
        <v>1250.4736842105262</v>
      </c>
      <c r="L206" s="132">
        <v>82.473684210526244</v>
      </c>
      <c r="M206" s="132">
        <v>82.473684210526244</v>
      </c>
      <c r="N206" s="132">
        <v>1.9215495820287556</v>
      </c>
      <c r="O206" s="132">
        <f t="shared" si="4"/>
        <v>1.9215495820287556</v>
      </c>
      <c r="P206" s="132">
        <v>7.0611031002162878</v>
      </c>
      <c r="Q206" s="143">
        <v>7.0611031002162878</v>
      </c>
      <c r="R206" s="33">
        <v>1232.1528076849429</v>
      </c>
      <c r="S206" s="143">
        <v>64.1528076849429</v>
      </c>
      <c r="T206" s="143">
        <v>64.1528076849429</v>
      </c>
      <c r="U206" s="132">
        <v>1.8139331358706103</v>
      </c>
      <c r="V206" s="132">
        <v>5.4925349045327829</v>
      </c>
      <c r="W206" s="103">
        <v>5.4925349045327829</v>
      </c>
    </row>
    <row r="207" spans="1:23" x14ac:dyDescent="0.15">
      <c r="A207" s="103" t="s">
        <v>16</v>
      </c>
      <c r="B207" s="127" t="s">
        <v>244</v>
      </c>
      <c r="C207" s="24" t="s">
        <v>980</v>
      </c>
      <c r="D207" s="24" t="s">
        <v>403</v>
      </c>
      <c r="E207" s="24" t="s">
        <v>82</v>
      </c>
      <c r="F207" s="103" t="s">
        <v>968</v>
      </c>
      <c r="G207" s="103">
        <v>1</v>
      </c>
      <c r="H207" s="124" t="s">
        <v>374</v>
      </c>
      <c r="I207" s="27" t="s">
        <v>580</v>
      </c>
      <c r="J207" s="34">
        <v>1199.5</v>
      </c>
      <c r="K207" s="132">
        <v>1115.7795661753992</v>
      </c>
      <c r="L207" s="132">
        <v>-83.720433824600832</v>
      </c>
      <c r="M207" s="132">
        <v>83.720433824600832</v>
      </c>
      <c r="N207" s="132">
        <v>1.927988170979833</v>
      </c>
      <c r="O207" s="132">
        <f t="shared" si="4"/>
        <v>-1.927988170979833</v>
      </c>
      <c r="P207" s="132">
        <v>-6.9796109899625547</v>
      </c>
      <c r="Q207" s="143">
        <v>6.9796109899625547</v>
      </c>
      <c r="R207" s="33">
        <v>1141.5</v>
      </c>
      <c r="S207" s="143">
        <v>-58</v>
      </c>
      <c r="T207" s="143">
        <v>58</v>
      </c>
      <c r="U207" s="132">
        <v>1.7708520116421442</v>
      </c>
      <c r="V207" s="132">
        <v>-4.8353480616923719</v>
      </c>
      <c r="W207" s="103">
        <v>4.8353480616923719</v>
      </c>
    </row>
    <row r="208" spans="1:23" x14ac:dyDescent="0.15">
      <c r="A208" s="103" t="s">
        <v>16</v>
      </c>
      <c r="B208" s="127" t="s">
        <v>820</v>
      </c>
      <c r="C208" s="103" t="s">
        <v>979</v>
      </c>
      <c r="D208" s="24" t="s">
        <v>824</v>
      </c>
      <c r="E208" s="24" t="s">
        <v>148</v>
      </c>
      <c r="F208" s="103" t="s">
        <v>967</v>
      </c>
      <c r="G208" s="103">
        <v>0</v>
      </c>
      <c r="H208" s="124" t="s">
        <v>374</v>
      </c>
      <c r="I208" s="27" t="s">
        <v>580</v>
      </c>
      <c r="J208" s="34">
        <v>1416</v>
      </c>
      <c r="K208" s="132">
        <v>1500</v>
      </c>
      <c r="L208" s="132">
        <v>84</v>
      </c>
      <c r="M208" s="132">
        <v>84</v>
      </c>
      <c r="N208" s="132">
        <v>1.9294189257142926</v>
      </c>
      <c r="O208" s="132">
        <f t="shared" si="4"/>
        <v>1.9294189257142926</v>
      </c>
      <c r="P208" s="132">
        <v>5.9322033898305087</v>
      </c>
      <c r="Q208" s="143">
        <v>5.9322033898305087</v>
      </c>
      <c r="R208" s="33">
        <v>1520.7814934297262</v>
      </c>
      <c r="S208" s="143">
        <v>104.7814934297262</v>
      </c>
      <c r="T208" s="143">
        <v>104.7814934297262</v>
      </c>
      <c r="U208" s="132">
        <v>2.024409694122848</v>
      </c>
      <c r="V208" s="132">
        <v>7.3998229823252961</v>
      </c>
      <c r="W208" s="103">
        <v>7.3998229823252961</v>
      </c>
    </row>
    <row r="209" spans="1:23" x14ac:dyDescent="0.15">
      <c r="A209" s="103" t="s">
        <v>16</v>
      </c>
      <c r="B209" s="127" t="s">
        <v>821</v>
      </c>
      <c r="C209" s="24" t="s">
        <v>976</v>
      </c>
      <c r="D209" s="24" t="s">
        <v>824</v>
      </c>
      <c r="E209" s="24" t="s">
        <v>148</v>
      </c>
      <c r="F209" s="103" t="s">
        <v>968</v>
      </c>
      <c r="G209" s="103">
        <v>1</v>
      </c>
      <c r="H209" s="124" t="s">
        <v>293</v>
      </c>
      <c r="I209" s="27" t="s">
        <v>580</v>
      </c>
      <c r="J209" s="34">
        <v>1980</v>
      </c>
      <c r="K209" s="132">
        <v>1892.5028552179774</v>
      </c>
      <c r="L209" s="132">
        <v>-87.497144782022588</v>
      </c>
      <c r="M209" s="132">
        <v>87.497144782022588</v>
      </c>
      <c r="N209" s="132">
        <v>1.9469292591112108</v>
      </c>
      <c r="O209" s="132">
        <f t="shared" si="4"/>
        <v>-1.9469292591112108</v>
      </c>
      <c r="P209" s="132">
        <v>-4.4190477162637674</v>
      </c>
      <c r="Q209" s="143">
        <v>4.4190477162637674</v>
      </c>
      <c r="R209" s="33">
        <v>1857.4293739379859</v>
      </c>
      <c r="S209" s="143">
        <v>-122.57062606201407</v>
      </c>
      <c r="T209" s="143">
        <v>122.57062606201407</v>
      </c>
      <c r="U209" s="132">
        <v>2.0919152470045517</v>
      </c>
      <c r="V209" s="132">
        <v>-6.1904356596976804</v>
      </c>
      <c r="W209" s="103">
        <v>6.1904356596976804</v>
      </c>
    </row>
    <row r="210" spans="1:23" x14ac:dyDescent="0.15">
      <c r="A210" s="103" t="s">
        <v>16</v>
      </c>
      <c r="B210" s="126" t="s">
        <v>816</v>
      </c>
      <c r="C210" s="103" t="s">
        <v>971</v>
      </c>
      <c r="D210" s="24" t="s">
        <v>824</v>
      </c>
      <c r="E210" s="24" t="s">
        <v>148</v>
      </c>
      <c r="F210" s="103" t="s">
        <v>968</v>
      </c>
      <c r="G210" s="103">
        <v>1</v>
      </c>
      <c r="H210" s="128" t="s">
        <v>374</v>
      </c>
      <c r="I210" s="49" t="s">
        <v>580</v>
      </c>
      <c r="J210" s="34">
        <v>1476</v>
      </c>
      <c r="K210" s="132">
        <v>1563.6425247087732</v>
      </c>
      <c r="L210" s="132">
        <v>87.64252470877318</v>
      </c>
      <c r="M210" s="132">
        <v>87.64252470877318</v>
      </c>
      <c r="N210" s="132">
        <v>1.9476421170986338</v>
      </c>
      <c r="O210" s="132">
        <f t="shared" si="4"/>
        <v>1.9476421170986338</v>
      </c>
      <c r="P210" s="132">
        <v>5.9378404274236569</v>
      </c>
      <c r="Q210" s="143">
        <v>5.9378404274236569</v>
      </c>
      <c r="R210" s="33">
        <v>1583.1004800668854</v>
      </c>
      <c r="S210" s="143">
        <v>107.10048006688544</v>
      </c>
      <c r="T210" s="143">
        <v>107.10048006688544</v>
      </c>
      <c r="U210" s="132">
        <v>2.0338276226298722</v>
      </c>
      <c r="V210" s="132">
        <v>7.2561300858323463</v>
      </c>
      <c r="W210" s="113">
        <v>7.2561300858323463</v>
      </c>
    </row>
    <row r="211" spans="1:23" x14ac:dyDescent="0.15">
      <c r="A211" s="103" t="s">
        <v>16</v>
      </c>
      <c r="B211" s="127" t="s">
        <v>808</v>
      </c>
      <c r="C211" s="24" t="s">
        <v>976</v>
      </c>
      <c r="D211" s="24" t="s">
        <v>824</v>
      </c>
      <c r="E211" s="24" t="s">
        <v>148</v>
      </c>
      <c r="F211" s="103" t="s">
        <v>968</v>
      </c>
      <c r="G211" s="103">
        <v>1</v>
      </c>
      <c r="H211" s="124" t="s">
        <v>374</v>
      </c>
      <c r="I211" s="27" t="s">
        <v>580</v>
      </c>
      <c r="J211" s="34">
        <v>1450</v>
      </c>
      <c r="K211" s="132">
        <v>1361.0124660855174</v>
      </c>
      <c r="L211" s="132">
        <v>-88.987533914482583</v>
      </c>
      <c r="M211" s="132">
        <v>88.987533914482583</v>
      </c>
      <c r="N211" s="132">
        <v>1.9541823502489404</v>
      </c>
      <c r="O211" s="132">
        <f t="shared" si="4"/>
        <v>-1.9541823502489404</v>
      </c>
      <c r="P211" s="132">
        <v>-6.1370713044470753</v>
      </c>
      <c r="Q211" s="143">
        <v>6.1370713044470753</v>
      </c>
      <c r="R211" s="33">
        <v>1380.8062681629879</v>
      </c>
      <c r="S211" s="143">
        <v>-69.193731837012137</v>
      </c>
      <c r="T211" s="143">
        <v>69.193731837012137</v>
      </c>
      <c r="U211" s="132">
        <v>1.846298332213302</v>
      </c>
      <c r="V211" s="132">
        <v>-4.771981506000837</v>
      </c>
      <c r="W211" s="103">
        <v>4.771981506000837</v>
      </c>
    </row>
    <row r="212" spans="1:23" x14ac:dyDescent="0.15">
      <c r="A212" s="103" t="s">
        <v>16</v>
      </c>
      <c r="B212" s="103" t="s">
        <v>811</v>
      </c>
      <c r="C212" s="103" t="s">
        <v>971</v>
      </c>
      <c r="D212" s="103" t="s">
        <v>824</v>
      </c>
      <c r="E212" s="103" t="s">
        <v>148</v>
      </c>
      <c r="F212" s="103" t="s">
        <v>968</v>
      </c>
      <c r="G212" s="103">
        <v>1</v>
      </c>
      <c r="H212" s="120" t="s">
        <v>374</v>
      </c>
      <c r="I212" s="132" t="s">
        <v>580</v>
      </c>
      <c r="J212" s="132">
        <v>1774</v>
      </c>
      <c r="K212" s="132">
        <v>1863.5262199907938</v>
      </c>
      <c r="L212" s="132">
        <v>89.526219990793834</v>
      </c>
      <c r="M212" s="132">
        <v>89.526219990793834</v>
      </c>
      <c r="N212" s="132">
        <v>1.9567743863661498</v>
      </c>
      <c r="O212" s="132">
        <f t="shared" si="4"/>
        <v>1.9567743863661498</v>
      </c>
      <c r="P212" s="132">
        <v>5.0465738439004415</v>
      </c>
      <c r="Q212" s="132">
        <v>5.0465738439004415</v>
      </c>
      <c r="R212" s="132">
        <v>1759.781501063999</v>
      </c>
      <c r="S212" s="132">
        <v>-14.218498936000969</v>
      </c>
      <c r="T212" s="132">
        <v>14.218498936000969</v>
      </c>
      <c r="U212" s="132">
        <v>1.1823718182715646</v>
      </c>
      <c r="V212" s="132">
        <v>-0.80149373934616508</v>
      </c>
      <c r="W212" s="113">
        <v>0.80149373934616508</v>
      </c>
    </row>
    <row r="213" spans="1:23" x14ac:dyDescent="0.15">
      <c r="A213" s="103" t="s">
        <v>16</v>
      </c>
      <c r="B213" s="127" t="s">
        <v>617</v>
      </c>
      <c r="C213" s="24" t="s">
        <v>980</v>
      </c>
      <c r="D213" s="24" t="s">
        <v>403</v>
      </c>
      <c r="E213" s="24" t="s">
        <v>82</v>
      </c>
      <c r="F213" s="103" t="s">
        <v>968</v>
      </c>
      <c r="G213" s="103">
        <v>1</v>
      </c>
      <c r="H213" s="124" t="s">
        <v>293</v>
      </c>
      <c r="I213" s="27" t="s">
        <v>580</v>
      </c>
      <c r="J213" s="34">
        <v>2030</v>
      </c>
      <c r="K213" s="132">
        <v>1940.4469803376135</v>
      </c>
      <c r="L213" s="132">
        <v>-89.553019662386532</v>
      </c>
      <c r="M213" s="132">
        <v>89.553019662386532</v>
      </c>
      <c r="N213" s="132">
        <v>1.9569029372657094</v>
      </c>
      <c r="O213" s="132">
        <f t="shared" si="4"/>
        <v>-1.9569029372657094</v>
      </c>
      <c r="P213" s="132">
        <v>-4.4114788011027857</v>
      </c>
      <c r="Q213" s="143">
        <v>4.4114788011027857</v>
      </c>
      <c r="R213" s="33">
        <v>1820</v>
      </c>
      <c r="S213" s="143">
        <v>-210</v>
      </c>
      <c r="T213" s="143">
        <v>210</v>
      </c>
      <c r="U213" s="132">
        <v>2.3242824552976926</v>
      </c>
      <c r="V213" s="132">
        <v>-10.344827586206897</v>
      </c>
      <c r="W213" s="103">
        <v>10.344827586206897</v>
      </c>
    </row>
    <row r="214" spans="1:23" x14ac:dyDescent="0.15">
      <c r="A214" s="103" t="s">
        <v>16</v>
      </c>
      <c r="B214" s="127" t="s">
        <v>244</v>
      </c>
      <c r="C214" s="103" t="s">
        <v>971</v>
      </c>
      <c r="D214" s="24" t="s">
        <v>403</v>
      </c>
      <c r="E214" s="24" t="s">
        <v>82</v>
      </c>
      <c r="F214" s="103" t="s">
        <v>968</v>
      </c>
      <c r="G214" s="103">
        <v>1</v>
      </c>
      <c r="H214" s="124" t="s">
        <v>374</v>
      </c>
      <c r="I214" s="27" t="s">
        <v>580</v>
      </c>
      <c r="J214" s="34">
        <v>1199.5</v>
      </c>
      <c r="K214" s="132">
        <v>1108.7844990949895</v>
      </c>
      <c r="L214" s="132">
        <v>-90.715500905010458</v>
      </c>
      <c r="M214" s="132">
        <v>90.715500905010458</v>
      </c>
      <c r="N214" s="132">
        <v>1.9624427423067923</v>
      </c>
      <c r="O214" s="132">
        <f t="shared" si="4"/>
        <v>-1.9624427423067923</v>
      </c>
      <c r="P214" s="132">
        <v>-7.562776232180946</v>
      </c>
      <c r="Q214" s="143">
        <v>7.562776232180946</v>
      </c>
      <c r="R214" s="33">
        <v>1115.1555945183222</v>
      </c>
      <c r="S214" s="143">
        <v>-84.344405481677768</v>
      </c>
      <c r="T214" s="143">
        <v>84.344405481677768</v>
      </c>
      <c r="U214" s="132">
        <v>1.9311750574007274</v>
      </c>
      <c r="V214" s="132">
        <v>-7.0316303027659668</v>
      </c>
      <c r="W214" s="103">
        <v>7.0316303027659668</v>
      </c>
    </row>
    <row r="215" spans="1:23" x14ac:dyDescent="0.15">
      <c r="A215" s="103" t="s">
        <v>16</v>
      </c>
      <c r="B215" s="126" t="s">
        <v>50</v>
      </c>
      <c r="C215" s="24" t="s">
        <v>976</v>
      </c>
      <c r="D215" s="24" t="s">
        <v>403</v>
      </c>
      <c r="E215" s="24" t="s">
        <v>82</v>
      </c>
      <c r="F215" s="103" t="s">
        <v>968</v>
      </c>
      <c r="G215" s="103">
        <v>1</v>
      </c>
      <c r="H215" s="124" t="s">
        <v>203</v>
      </c>
      <c r="I215" s="45" t="s">
        <v>581</v>
      </c>
      <c r="J215" s="34">
        <v>2873</v>
      </c>
      <c r="K215" s="132">
        <v>2963.9410457496956</v>
      </c>
      <c r="L215" s="132">
        <v>90.941045749695604</v>
      </c>
      <c r="M215" s="132">
        <v>90.941045749695604</v>
      </c>
      <c r="N215" s="132">
        <v>1.9635094391656438</v>
      </c>
      <c r="O215" s="132">
        <f t="shared" si="4"/>
        <v>1.9635094391656438</v>
      </c>
      <c r="P215" s="132">
        <v>3.1653688043750647</v>
      </c>
      <c r="Q215" s="143">
        <v>3.1653688043750647</v>
      </c>
      <c r="R215" s="33">
        <v>2866.4431563906969</v>
      </c>
      <c r="S215" s="143">
        <v>-6.5568436093030869</v>
      </c>
      <c r="T215" s="143">
        <v>6.5568436093030869</v>
      </c>
      <c r="U215" s="33">
        <v>0.87834043448196863</v>
      </c>
      <c r="V215" s="132">
        <v>-0.22822288929004828</v>
      </c>
      <c r="W215" s="103">
        <v>0.22822288929004828</v>
      </c>
    </row>
    <row r="216" spans="1:23" x14ac:dyDescent="0.15">
      <c r="A216" s="103" t="s">
        <v>16</v>
      </c>
      <c r="B216" s="103" t="s">
        <v>820</v>
      </c>
      <c r="C216" s="103" t="s">
        <v>970</v>
      </c>
      <c r="D216" s="103" t="s">
        <v>824</v>
      </c>
      <c r="E216" s="103" t="s">
        <v>148</v>
      </c>
      <c r="F216" s="103" t="s">
        <v>967</v>
      </c>
      <c r="G216" s="103">
        <v>0</v>
      </c>
      <c r="H216" s="120" t="s">
        <v>374</v>
      </c>
      <c r="I216" s="132" t="s">
        <v>580</v>
      </c>
      <c r="J216" s="132">
        <v>1416</v>
      </c>
      <c r="K216" s="132">
        <v>1508.0674999999999</v>
      </c>
      <c r="L216" s="132">
        <v>92.067499999999882</v>
      </c>
      <c r="M216" s="132">
        <v>92.067499999999882</v>
      </c>
      <c r="N216" s="132">
        <v>1.9687980479540388</v>
      </c>
      <c r="O216" s="132">
        <f t="shared" si="4"/>
        <v>1.9687980479540388</v>
      </c>
      <c r="P216" s="132">
        <v>6.5019420903954721</v>
      </c>
      <c r="Q216" s="132">
        <v>6.5019420903954721</v>
      </c>
      <c r="R216" s="132">
        <v>1475.9223999999999</v>
      </c>
      <c r="S216" s="132">
        <v>59.922399999999925</v>
      </c>
      <c r="T216" s="132">
        <v>59.922399999999925</v>
      </c>
      <c r="U216" s="132">
        <v>1.7847770037616044</v>
      </c>
      <c r="V216" s="132">
        <v>4.2318079096045143</v>
      </c>
      <c r="W216" s="133">
        <v>4.2318079096045143</v>
      </c>
    </row>
    <row r="217" spans="1:23" x14ac:dyDescent="0.15">
      <c r="A217" s="103" t="s">
        <v>16</v>
      </c>
      <c r="B217" s="127" t="s">
        <v>604</v>
      </c>
      <c r="C217" s="24" t="s">
        <v>980</v>
      </c>
      <c r="D217" s="24" t="s">
        <v>403</v>
      </c>
      <c r="E217" s="24" t="s">
        <v>96</v>
      </c>
      <c r="F217" s="103" t="s">
        <v>968</v>
      </c>
      <c r="G217" s="103">
        <v>1</v>
      </c>
      <c r="H217" s="124" t="s">
        <v>293</v>
      </c>
      <c r="I217" s="27" t="s">
        <v>580</v>
      </c>
      <c r="J217" s="34">
        <v>1985.9</v>
      </c>
      <c r="K217" s="132">
        <v>1892.9403350308869</v>
      </c>
      <c r="L217" s="132">
        <v>-92.959664969113192</v>
      </c>
      <c r="M217" s="132">
        <v>92.959664969113192</v>
      </c>
      <c r="N217" s="132">
        <v>1.9729414595495358</v>
      </c>
      <c r="O217" s="132">
        <f t="shared" si="4"/>
        <v>-1.9729414595495358</v>
      </c>
      <c r="P217" s="132">
        <v>-4.6809841869738245</v>
      </c>
      <c r="Q217" s="143">
        <v>4.6809841869738245</v>
      </c>
      <c r="R217" s="33">
        <v>1786.8</v>
      </c>
      <c r="S217" s="143">
        <v>-199.10000000000014</v>
      </c>
      <c r="T217" s="143">
        <v>199.10000000000014</v>
      </c>
      <c r="U217" s="132">
        <v>2.3012470886362117</v>
      </c>
      <c r="V217" s="132">
        <v>-10.025681051412464</v>
      </c>
      <c r="W217" s="103">
        <v>10.025681051412464</v>
      </c>
    </row>
    <row r="218" spans="1:23" x14ac:dyDescent="0.15">
      <c r="A218" s="103" t="s">
        <v>16</v>
      </c>
      <c r="B218" s="103" t="s">
        <v>244</v>
      </c>
      <c r="C218" s="103" t="s">
        <v>970</v>
      </c>
      <c r="D218" s="103" t="s">
        <v>403</v>
      </c>
      <c r="E218" s="103" t="s">
        <v>82</v>
      </c>
      <c r="F218" s="103" t="s">
        <v>967</v>
      </c>
      <c r="G218" s="103">
        <v>0</v>
      </c>
      <c r="H218" s="120" t="s">
        <v>374</v>
      </c>
      <c r="I218" s="132" t="s">
        <v>580</v>
      </c>
      <c r="J218" s="132">
        <v>1199.5</v>
      </c>
      <c r="K218" s="132">
        <v>1105.8146499999998</v>
      </c>
      <c r="L218" s="132">
        <v>-93.685350000000199</v>
      </c>
      <c r="M218" s="132">
        <v>93.685350000000199</v>
      </c>
      <c r="N218" s="132">
        <v>1.9762827888624046</v>
      </c>
      <c r="O218" s="132">
        <f t="shared" si="4"/>
        <v>-1.9762827888624046</v>
      </c>
      <c r="P218" s="132">
        <v>-7.810366819508145</v>
      </c>
      <c r="Q218" s="132">
        <v>7.810366819508145</v>
      </c>
      <c r="R218" s="132">
        <v>1111.9062699999999</v>
      </c>
      <c r="S218" s="132">
        <v>-87.59373000000005</v>
      </c>
      <c r="T218" s="132">
        <v>87.59373000000005</v>
      </c>
      <c r="U218" s="132">
        <v>1.9474029868672207</v>
      </c>
      <c r="V218" s="132">
        <v>-7.302520216756986</v>
      </c>
      <c r="W218" s="113">
        <v>7.302520216756986</v>
      </c>
    </row>
    <row r="219" spans="1:23" x14ac:dyDescent="0.15">
      <c r="A219" s="103" t="s">
        <v>16</v>
      </c>
      <c r="B219" s="127" t="s">
        <v>819</v>
      </c>
      <c r="C219" s="24" t="s">
        <v>980</v>
      </c>
      <c r="D219" s="24" t="s">
        <v>824</v>
      </c>
      <c r="E219" s="24" t="s">
        <v>148</v>
      </c>
      <c r="F219" s="103" t="s">
        <v>968</v>
      </c>
      <c r="G219" s="103">
        <v>1</v>
      </c>
      <c r="H219" s="124" t="s">
        <v>374</v>
      </c>
      <c r="I219" s="27" t="s">
        <v>580</v>
      </c>
      <c r="J219" s="34">
        <v>1830</v>
      </c>
      <c r="K219" s="132">
        <v>1923.7598018103718</v>
      </c>
      <c r="L219" s="132">
        <v>93.759801810371755</v>
      </c>
      <c r="M219" s="132">
        <v>93.759801810371755</v>
      </c>
      <c r="N219" s="132">
        <v>1.9766241437270473</v>
      </c>
      <c r="O219" s="132">
        <f t="shared" si="4"/>
        <v>1.9766241437270473</v>
      </c>
      <c r="P219" s="132">
        <v>5.1234864377252327</v>
      </c>
      <c r="Q219" s="143">
        <v>5.1234864377252327</v>
      </c>
      <c r="R219" s="33">
        <v>1835</v>
      </c>
      <c r="S219" s="143">
        <v>5</v>
      </c>
      <c r="T219" s="143">
        <v>5</v>
      </c>
      <c r="U219" s="132">
        <v>0.77815125038364363</v>
      </c>
      <c r="V219" s="132">
        <v>0.27322404371584702</v>
      </c>
      <c r="W219" s="103">
        <v>0.27322404371584702</v>
      </c>
    </row>
    <row r="220" spans="1:23" x14ac:dyDescent="0.15">
      <c r="A220" s="103" t="s">
        <v>16</v>
      </c>
      <c r="B220" s="127" t="s">
        <v>50</v>
      </c>
      <c r="C220" s="103" t="s">
        <v>979</v>
      </c>
      <c r="D220" s="24" t="s">
        <v>403</v>
      </c>
      <c r="E220" s="24" t="s">
        <v>82</v>
      </c>
      <c r="F220" s="103" t="s">
        <v>967</v>
      </c>
      <c r="G220" s="103">
        <v>0</v>
      </c>
      <c r="H220" s="124" t="s">
        <v>203</v>
      </c>
      <c r="I220" s="48" t="s">
        <v>581</v>
      </c>
      <c r="J220" s="34">
        <v>2873</v>
      </c>
      <c r="K220" s="132">
        <v>2778.9473684210525</v>
      </c>
      <c r="L220" s="132">
        <v>-94.052631578947512</v>
      </c>
      <c r="M220" s="132">
        <v>94.052631578947512</v>
      </c>
      <c r="N220" s="132">
        <v>1.9779641450246588</v>
      </c>
      <c r="O220" s="132">
        <f t="shared" ref="O220:O283" si="5">SIGN(L220)*N220</f>
        <v>-1.9779641450246588</v>
      </c>
      <c r="P220" s="132">
        <v>-3.2736732188982773</v>
      </c>
      <c r="Q220" s="143">
        <v>3.2736732188982773</v>
      </c>
      <c r="R220" s="33">
        <v>3088.2624209563223</v>
      </c>
      <c r="S220" s="143">
        <v>215.26242095632233</v>
      </c>
      <c r="T220" s="143">
        <v>215.26242095632233</v>
      </c>
      <c r="U220" s="132">
        <v>2.3349810604044885</v>
      </c>
      <c r="V220" s="132">
        <v>7.4926007990366275</v>
      </c>
      <c r="W220" s="103">
        <v>7.4926007990366275</v>
      </c>
    </row>
    <row r="221" spans="1:23" x14ac:dyDescent="0.15">
      <c r="A221" s="103" t="s">
        <v>16</v>
      </c>
      <c r="B221" s="127" t="s">
        <v>607</v>
      </c>
      <c r="C221" s="24" t="s">
        <v>976</v>
      </c>
      <c r="D221" s="24" t="s">
        <v>403</v>
      </c>
      <c r="E221" s="24" t="s">
        <v>148</v>
      </c>
      <c r="F221" s="103" t="s">
        <v>968</v>
      </c>
      <c r="G221" s="103">
        <v>1</v>
      </c>
      <c r="H221" s="124" t="s">
        <v>374</v>
      </c>
      <c r="I221" s="27" t="s">
        <v>580</v>
      </c>
      <c r="J221" s="34">
        <v>1439.3</v>
      </c>
      <c r="K221" s="132">
        <v>1343.383164031814</v>
      </c>
      <c r="L221" s="132">
        <v>-95.916835968185978</v>
      </c>
      <c r="M221" s="132">
        <v>95.916835968185978</v>
      </c>
      <c r="N221" s="132">
        <v>1.9863992273393074</v>
      </c>
      <c r="O221" s="132">
        <f t="shared" si="5"/>
        <v>-1.9863992273393074</v>
      </c>
      <c r="P221" s="132">
        <v>-6.6641308947534208</v>
      </c>
      <c r="Q221" s="143">
        <v>6.6641308947534208</v>
      </c>
      <c r="R221" s="33">
        <v>1312.9047980084247</v>
      </c>
      <c r="S221" s="143">
        <v>-126.39520199157528</v>
      </c>
      <c r="T221" s="143">
        <v>126.39520199157528</v>
      </c>
      <c r="U221" s="132">
        <v>2.1051530717369928</v>
      </c>
      <c r="V221" s="132">
        <v>-8.7817134712412468</v>
      </c>
      <c r="W221" s="103">
        <v>8.7817134712412468</v>
      </c>
    </row>
    <row r="222" spans="1:23" x14ac:dyDescent="0.15">
      <c r="A222" s="103" t="s">
        <v>16</v>
      </c>
      <c r="B222" s="127" t="s">
        <v>822</v>
      </c>
      <c r="C222" s="103" t="s">
        <v>979</v>
      </c>
      <c r="D222" s="24" t="s">
        <v>824</v>
      </c>
      <c r="E222" s="24" t="s">
        <v>148</v>
      </c>
      <c r="F222" s="103" t="s">
        <v>967</v>
      </c>
      <c r="G222" s="103">
        <v>0</v>
      </c>
      <c r="H222" s="124" t="s">
        <v>374</v>
      </c>
      <c r="I222" s="31" t="s">
        <v>580</v>
      </c>
      <c r="J222" s="34">
        <v>1744</v>
      </c>
      <c r="K222" s="132">
        <v>1647.3684210526314</v>
      </c>
      <c r="L222" s="132">
        <v>-96.631578947368553</v>
      </c>
      <c r="M222" s="132">
        <v>96.631578947368553</v>
      </c>
      <c r="N222" s="132">
        <v>1.9895903129982364</v>
      </c>
      <c r="O222" s="132">
        <f t="shared" si="5"/>
        <v>-1.9895903129982364</v>
      </c>
      <c r="P222" s="132">
        <v>-5.5408015451472785</v>
      </c>
      <c r="Q222" s="143">
        <v>5.5408015451472785</v>
      </c>
      <c r="R222" s="33">
        <v>1754.9273846890353</v>
      </c>
      <c r="S222" s="143">
        <v>10.927384689035307</v>
      </c>
      <c r="T222" s="143">
        <v>10.927384689035307</v>
      </c>
      <c r="U222" s="132">
        <v>1.0765452266010964</v>
      </c>
      <c r="V222" s="132">
        <v>0.62657022299514376</v>
      </c>
      <c r="W222" s="103">
        <v>0.62657022299514376</v>
      </c>
    </row>
    <row r="223" spans="1:23" x14ac:dyDescent="0.15">
      <c r="A223" s="103" t="s">
        <v>16</v>
      </c>
      <c r="B223" s="127" t="s">
        <v>825</v>
      </c>
      <c r="C223" s="103" t="s">
        <v>979</v>
      </c>
      <c r="D223" s="24" t="s">
        <v>403</v>
      </c>
      <c r="E223" s="24" t="s">
        <v>82</v>
      </c>
      <c r="F223" s="103" t="s">
        <v>967</v>
      </c>
      <c r="G223" s="103">
        <v>0</v>
      </c>
      <c r="H223" s="124" t="s">
        <v>494</v>
      </c>
      <c r="I223" s="27" t="s">
        <v>580</v>
      </c>
      <c r="J223" s="34">
        <v>660.93000000000006</v>
      </c>
      <c r="K223" s="132">
        <v>757.8947368421052</v>
      </c>
      <c r="L223" s="132">
        <v>96.96473684210514</v>
      </c>
      <c r="M223" s="132">
        <v>96.96473684210514</v>
      </c>
      <c r="N223" s="132">
        <v>1.9910697761939187</v>
      </c>
      <c r="O223" s="132">
        <f t="shared" si="5"/>
        <v>1.9910697761939187</v>
      </c>
      <c r="P223" s="132">
        <v>14.670954086227759</v>
      </c>
      <c r="Q223" s="143">
        <v>14.670954086227759</v>
      </c>
      <c r="R223" s="33">
        <v>687.85348614163593</v>
      </c>
      <c r="S223" s="143">
        <v>26.923486141635863</v>
      </c>
      <c r="T223" s="143">
        <v>26.923486141635863</v>
      </c>
      <c r="U223" s="132">
        <v>1.4459696373595159</v>
      </c>
      <c r="V223" s="132">
        <v>4.0735760430962218</v>
      </c>
      <c r="W223" s="103">
        <v>4.0735760430962218</v>
      </c>
    </row>
    <row r="224" spans="1:23" x14ac:dyDescent="0.15">
      <c r="A224" s="103" t="s">
        <v>16</v>
      </c>
      <c r="B224" s="127" t="s">
        <v>58</v>
      </c>
      <c r="C224" s="24" t="s">
        <v>980</v>
      </c>
      <c r="D224" s="24" t="s">
        <v>403</v>
      </c>
      <c r="E224" s="24" t="s">
        <v>900</v>
      </c>
      <c r="F224" s="103" t="s">
        <v>968</v>
      </c>
      <c r="G224" s="103">
        <v>1</v>
      </c>
      <c r="H224" s="124" t="s">
        <v>203</v>
      </c>
      <c r="I224" s="27" t="s">
        <v>581</v>
      </c>
      <c r="J224" s="34">
        <v>2949</v>
      </c>
      <c r="K224" s="132">
        <v>2850.1859543022465</v>
      </c>
      <c r="L224" s="132">
        <v>-98.8140456977535</v>
      </c>
      <c r="M224" s="132">
        <v>98.8140456977535</v>
      </c>
      <c r="N224" s="132">
        <v>1.9991916589208278</v>
      </c>
      <c r="O224" s="132">
        <f t="shared" si="5"/>
        <v>-1.9991916589208278</v>
      </c>
      <c r="P224" s="132">
        <v>-3.3507645201001526</v>
      </c>
      <c r="Q224" s="143">
        <v>3.3507645201001526</v>
      </c>
      <c r="R224" s="33">
        <v>2543</v>
      </c>
      <c r="S224" s="143">
        <v>-406</v>
      </c>
      <c r="T224" s="143">
        <v>406</v>
      </c>
      <c r="U224" s="132">
        <v>2.6095944092252199</v>
      </c>
      <c r="V224" s="132">
        <v>-13.767378772465243</v>
      </c>
      <c r="W224" s="103">
        <v>13.767378772465243</v>
      </c>
    </row>
    <row r="225" spans="1:23" x14ac:dyDescent="0.15">
      <c r="A225" s="103" t="s">
        <v>16</v>
      </c>
      <c r="B225" s="131" t="s">
        <v>815</v>
      </c>
      <c r="C225" s="24" t="s">
        <v>976</v>
      </c>
      <c r="D225" s="24" t="s">
        <v>824</v>
      </c>
      <c r="E225" s="24" t="s">
        <v>148</v>
      </c>
      <c r="F225" s="103" t="s">
        <v>968</v>
      </c>
      <c r="G225" s="103">
        <v>1</v>
      </c>
      <c r="H225" s="124" t="s">
        <v>374</v>
      </c>
      <c r="I225" s="27" t="s">
        <v>580</v>
      </c>
      <c r="J225" s="34">
        <v>1651</v>
      </c>
      <c r="K225" s="132">
        <v>1551.1692125003165</v>
      </c>
      <c r="L225" s="132">
        <v>-99.830787499683538</v>
      </c>
      <c r="M225" s="132">
        <v>99.830787499683538</v>
      </c>
      <c r="N225" s="132">
        <v>2.0035931590906721</v>
      </c>
      <c r="O225" s="132">
        <f t="shared" si="5"/>
        <v>-2.0035931590906721</v>
      </c>
      <c r="P225" s="132">
        <v>-6.0466860993145692</v>
      </c>
      <c r="Q225" s="143">
        <v>6.0466860993145692</v>
      </c>
      <c r="R225" s="33">
        <v>1503.5245489485635</v>
      </c>
      <c r="S225" s="143">
        <v>-147.47545105143649</v>
      </c>
      <c r="T225" s="143">
        <v>147.47545105143649</v>
      </c>
      <c r="U225" s="132">
        <v>2.1716546532880212</v>
      </c>
      <c r="V225" s="132">
        <v>-8.9324924925158395</v>
      </c>
      <c r="W225" s="103">
        <v>8.9324924925158395</v>
      </c>
    </row>
    <row r="226" spans="1:23" x14ac:dyDescent="0.15">
      <c r="A226" s="103" t="s">
        <v>16</v>
      </c>
      <c r="B226" s="126" t="s">
        <v>254</v>
      </c>
      <c r="C226" s="24" t="s">
        <v>976</v>
      </c>
      <c r="D226" s="24" t="s">
        <v>403</v>
      </c>
      <c r="E226" s="24" t="s">
        <v>82</v>
      </c>
      <c r="F226" s="103" t="s">
        <v>968</v>
      </c>
      <c r="G226" s="103">
        <v>1</v>
      </c>
      <c r="H226" s="124" t="s">
        <v>374</v>
      </c>
      <c r="I226" s="45" t="s">
        <v>580</v>
      </c>
      <c r="J226" s="34">
        <v>1176.5999999999999</v>
      </c>
      <c r="K226" s="132">
        <v>1276.6574136349632</v>
      </c>
      <c r="L226" s="132">
        <v>100.05741363496327</v>
      </c>
      <c r="M226" s="132">
        <v>100.05741363496327</v>
      </c>
      <c r="N226" s="132">
        <v>2.0045681791343792</v>
      </c>
      <c r="O226" s="132">
        <f t="shared" si="5"/>
        <v>2.0045681791343792</v>
      </c>
      <c r="P226" s="132">
        <v>8.5039447250521221</v>
      </c>
      <c r="Q226" s="143">
        <v>8.5039447250521221</v>
      </c>
      <c r="R226" s="33">
        <v>1241.389931394322</v>
      </c>
      <c r="S226" s="143">
        <v>64.789931394322139</v>
      </c>
      <c r="T226" s="143">
        <v>64.789931394322139</v>
      </c>
      <c r="U226" s="33">
        <v>1.8181594335155489</v>
      </c>
      <c r="V226" s="132">
        <v>5.5065384492879605</v>
      </c>
      <c r="W226" s="103">
        <v>5.5065384492879605</v>
      </c>
    </row>
    <row r="227" spans="1:23" x14ac:dyDescent="0.15">
      <c r="A227" s="103" t="s">
        <v>16</v>
      </c>
      <c r="B227" s="127" t="s">
        <v>715</v>
      </c>
      <c r="C227" s="24" t="s">
        <v>980</v>
      </c>
      <c r="D227" s="24" t="s">
        <v>458</v>
      </c>
      <c r="E227" s="24" t="s">
        <v>82</v>
      </c>
      <c r="F227" s="103" t="s">
        <v>968</v>
      </c>
      <c r="G227" s="103">
        <v>1</v>
      </c>
      <c r="H227" s="124" t="s">
        <v>293</v>
      </c>
      <c r="I227" s="27" t="s">
        <v>580</v>
      </c>
      <c r="J227" s="34">
        <v>1940</v>
      </c>
      <c r="K227" s="132">
        <v>1834.2461723148485</v>
      </c>
      <c r="L227" s="132">
        <v>-105.75382768515146</v>
      </c>
      <c r="M227" s="132">
        <v>105.75382768515146</v>
      </c>
      <c r="N227" s="132">
        <v>2.028383455713338</v>
      </c>
      <c r="O227" s="132">
        <f t="shared" si="5"/>
        <v>-2.028383455713338</v>
      </c>
      <c r="P227" s="132">
        <v>-5.4512282311933742</v>
      </c>
      <c r="Q227" s="143">
        <v>5.4512282311933742</v>
      </c>
      <c r="R227" s="33">
        <v>1745</v>
      </c>
      <c r="S227" s="143">
        <v>-195</v>
      </c>
      <c r="T227" s="143">
        <v>195</v>
      </c>
      <c r="U227" s="132">
        <v>2.2922560713564759</v>
      </c>
      <c r="V227" s="132">
        <v>-10.051546391752577</v>
      </c>
      <c r="W227" s="103">
        <v>10.051546391752577</v>
      </c>
    </row>
    <row r="228" spans="1:23" x14ac:dyDescent="0.15">
      <c r="A228" s="103" t="s">
        <v>16</v>
      </c>
      <c r="B228" s="127" t="s">
        <v>714</v>
      </c>
      <c r="C228" s="24" t="s">
        <v>980</v>
      </c>
      <c r="D228" s="24" t="s">
        <v>458</v>
      </c>
      <c r="E228" s="24" t="s">
        <v>82</v>
      </c>
      <c r="F228" s="103" t="s">
        <v>968</v>
      </c>
      <c r="G228" s="103">
        <v>1</v>
      </c>
      <c r="H228" s="124" t="s">
        <v>293</v>
      </c>
      <c r="I228" s="27" t="s">
        <v>580</v>
      </c>
      <c r="J228" s="34">
        <v>1890</v>
      </c>
      <c r="K228" s="132">
        <v>1783.3586472756149</v>
      </c>
      <c r="L228" s="132">
        <v>-106.64135272438511</v>
      </c>
      <c r="M228" s="132">
        <v>106.64135272438511</v>
      </c>
      <c r="N228" s="132">
        <v>2.0319791468866311</v>
      </c>
      <c r="O228" s="132">
        <f t="shared" si="5"/>
        <v>-2.0319791468866311</v>
      </c>
      <c r="P228" s="132">
        <v>-5.6423996150468314</v>
      </c>
      <c r="Q228" s="143">
        <v>5.6423996150468314</v>
      </c>
      <c r="R228" s="33">
        <v>1755</v>
      </c>
      <c r="S228" s="143">
        <v>-135</v>
      </c>
      <c r="T228" s="143">
        <v>135</v>
      </c>
      <c r="U228" s="132">
        <v>2.1335389083702174</v>
      </c>
      <c r="V228" s="132">
        <v>-7.1428571428571432</v>
      </c>
      <c r="W228" s="103">
        <v>7.1428571428571432</v>
      </c>
    </row>
    <row r="229" spans="1:23" x14ac:dyDescent="0.15">
      <c r="A229" s="103" t="s">
        <v>16</v>
      </c>
      <c r="B229" s="127" t="s">
        <v>520</v>
      </c>
      <c r="C229" s="24" t="s">
        <v>976</v>
      </c>
      <c r="D229" s="24" t="s">
        <v>401</v>
      </c>
      <c r="E229" s="24" t="s">
        <v>82</v>
      </c>
      <c r="F229" s="103" t="s">
        <v>968</v>
      </c>
      <c r="G229" s="103">
        <v>1</v>
      </c>
      <c r="H229" s="124" t="s">
        <v>494</v>
      </c>
      <c r="I229" s="27" t="s">
        <v>580</v>
      </c>
      <c r="J229" s="34">
        <v>770</v>
      </c>
      <c r="K229" s="132">
        <v>660.88454193669293</v>
      </c>
      <c r="L229" s="132">
        <v>-109.11545806330707</v>
      </c>
      <c r="M229" s="132">
        <v>109.11545806330707</v>
      </c>
      <c r="N229" s="132">
        <v>2.0418482897288932</v>
      </c>
      <c r="O229" s="132">
        <f t="shared" si="5"/>
        <v>-2.0418482897288932</v>
      </c>
      <c r="P229" s="132">
        <v>-14.170838709520398</v>
      </c>
      <c r="Q229" s="143">
        <v>14.170838709520398</v>
      </c>
      <c r="R229" s="33">
        <v>638.92098705588671</v>
      </c>
      <c r="S229" s="143">
        <v>-131.07901294411329</v>
      </c>
      <c r="T229" s="143">
        <v>131.07901294411329</v>
      </c>
      <c r="U229" s="132">
        <v>2.1208338146874546</v>
      </c>
      <c r="V229" s="132">
        <v>-17.023248434300427</v>
      </c>
      <c r="W229" s="103">
        <v>17.023248434300427</v>
      </c>
    </row>
    <row r="230" spans="1:23" x14ac:dyDescent="0.15">
      <c r="A230" s="103" t="s">
        <v>16</v>
      </c>
      <c r="B230" s="127" t="s">
        <v>812</v>
      </c>
      <c r="C230" s="24" t="s">
        <v>980</v>
      </c>
      <c r="D230" s="24" t="s">
        <v>824</v>
      </c>
      <c r="E230" s="24" t="s">
        <v>148</v>
      </c>
      <c r="F230" s="103" t="s">
        <v>968</v>
      </c>
      <c r="G230" s="103">
        <v>1</v>
      </c>
      <c r="H230" s="124" t="s">
        <v>374</v>
      </c>
      <c r="I230" s="27" t="s">
        <v>580</v>
      </c>
      <c r="J230" s="34">
        <v>1911</v>
      </c>
      <c r="K230" s="132">
        <v>2020.2981186219599</v>
      </c>
      <c r="L230" s="132">
        <v>109.29811862195993</v>
      </c>
      <c r="M230" s="132">
        <v>109.29811862195993</v>
      </c>
      <c r="N230" s="132">
        <v>2.0425681046517079</v>
      </c>
      <c r="O230" s="132">
        <f t="shared" si="5"/>
        <v>2.0425681046517079</v>
      </c>
      <c r="P230" s="132">
        <v>5.7194201267378295</v>
      </c>
      <c r="Q230" s="143">
        <v>5.7194201267378295</v>
      </c>
      <c r="R230" s="33">
        <v>1925</v>
      </c>
      <c r="S230" s="143">
        <v>14</v>
      </c>
      <c r="T230" s="143">
        <v>14</v>
      </c>
      <c r="U230" s="132">
        <v>1.1760912590556813</v>
      </c>
      <c r="V230" s="132">
        <v>0.73260073260073255</v>
      </c>
      <c r="W230" s="103">
        <v>0.73260073260073255</v>
      </c>
    </row>
    <row r="231" spans="1:23" x14ac:dyDescent="0.15">
      <c r="A231" s="103" t="s">
        <v>16</v>
      </c>
      <c r="B231" s="127" t="s">
        <v>820</v>
      </c>
      <c r="C231" s="24" t="s">
        <v>980</v>
      </c>
      <c r="D231" s="24" t="s">
        <v>824</v>
      </c>
      <c r="E231" s="24" t="s">
        <v>148</v>
      </c>
      <c r="F231" s="103" t="s">
        <v>968</v>
      </c>
      <c r="G231" s="103">
        <v>1</v>
      </c>
      <c r="H231" s="124" t="s">
        <v>374</v>
      </c>
      <c r="I231" s="31" t="s">
        <v>580</v>
      </c>
      <c r="J231" s="34">
        <v>1416</v>
      </c>
      <c r="K231" s="132">
        <v>1531.9519590256568</v>
      </c>
      <c r="L231" s="132">
        <v>115.95195902565683</v>
      </c>
      <c r="M231" s="132">
        <v>115.95195902565683</v>
      </c>
      <c r="N231" s="132">
        <v>2.0680075009370227</v>
      </c>
      <c r="O231" s="132">
        <f t="shared" si="5"/>
        <v>2.0680075009370227</v>
      </c>
      <c r="P231" s="132">
        <v>8.1886976713034478</v>
      </c>
      <c r="Q231" s="143">
        <v>8.1886976713034478</v>
      </c>
      <c r="R231" s="33">
        <v>1480</v>
      </c>
      <c r="S231" s="143">
        <v>64</v>
      </c>
      <c r="T231" s="143">
        <v>64</v>
      </c>
      <c r="U231" s="132">
        <v>1.8129133566428555</v>
      </c>
      <c r="V231" s="132">
        <v>4.5197740112994351</v>
      </c>
      <c r="W231" s="103">
        <v>4.5197740112994351</v>
      </c>
    </row>
    <row r="232" spans="1:23" x14ac:dyDescent="0.15">
      <c r="A232" s="103" t="s">
        <v>16</v>
      </c>
      <c r="B232" s="127" t="s">
        <v>820</v>
      </c>
      <c r="C232" s="103" t="s">
        <v>971</v>
      </c>
      <c r="D232" s="24" t="s">
        <v>824</v>
      </c>
      <c r="E232" s="24" t="s">
        <v>148</v>
      </c>
      <c r="F232" s="103" t="s">
        <v>968</v>
      </c>
      <c r="G232" s="103">
        <v>1</v>
      </c>
      <c r="H232" s="124" t="s">
        <v>374</v>
      </c>
      <c r="I232" s="27" t="s">
        <v>580</v>
      </c>
      <c r="J232" s="34">
        <v>1416</v>
      </c>
      <c r="K232" s="132">
        <v>1543.9799802271154</v>
      </c>
      <c r="L232" s="132">
        <v>127.97998022711545</v>
      </c>
      <c r="M232" s="132">
        <v>127.97998022711545</v>
      </c>
      <c r="N232" s="132">
        <v>2.1105223060231304</v>
      </c>
      <c r="O232" s="132">
        <f t="shared" si="5"/>
        <v>2.1105223060231304</v>
      </c>
      <c r="P232" s="132">
        <v>9.0381341968301872</v>
      </c>
      <c r="Q232" s="143">
        <v>9.0381341968301872</v>
      </c>
      <c r="R232" s="33">
        <v>1501.4826643084625</v>
      </c>
      <c r="S232" s="143">
        <v>85.482664308462518</v>
      </c>
      <c r="T232" s="143">
        <v>85.482664308462518</v>
      </c>
      <c r="U232" s="132">
        <v>1.9369290606473772</v>
      </c>
      <c r="V232" s="132">
        <v>6.0369113212191046</v>
      </c>
      <c r="W232" s="103">
        <v>6.0369113212191046</v>
      </c>
    </row>
    <row r="233" spans="1:23" x14ac:dyDescent="0.15">
      <c r="A233" s="103" t="s">
        <v>16</v>
      </c>
      <c r="B233" s="126" t="s">
        <v>819</v>
      </c>
      <c r="C233" s="103" t="s">
        <v>971</v>
      </c>
      <c r="D233" s="24" t="s">
        <v>824</v>
      </c>
      <c r="E233" s="24" t="s">
        <v>148</v>
      </c>
      <c r="F233" s="103" t="s">
        <v>968</v>
      </c>
      <c r="G233" s="103">
        <v>1</v>
      </c>
      <c r="H233" s="124" t="s">
        <v>374</v>
      </c>
      <c r="I233" s="45" t="s">
        <v>580</v>
      </c>
      <c r="J233" s="34">
        <v>1830</v>
      </c>
      <c r="K233" s="132">
        <v>1958.6183624525531</v>
      </c>
      <c r="L233" s="132">
        <v>128.61836245255313</v>
      </c>
      <c r="M233" s="132">
        <v>128.61836245255313</v>
      </c>
      <c r="N233" s="132">
        <v>2.1126665304459982</v>
      </c>
      <c r="O233" s="132">
        <f t="shared" si="5"/>
        <v>2.1126665304459982</v>
      </c>
      <c r="P233" s="132">
        <v>7.0283258170794056</v>
      </c>
      <c r="Q233" s="143">
        <v>7.0283258170794056</v>
      </c>
      <c r="R233" s="33">
        <v>1920.752054830602</v>
      </c>
      <c r="S233" s="143">
        <v>90.752054830601992</v>
      </c>
      <c r="T233" s="143">
        <v>90.752054830601992</v>
      </c>
      <c r="U233" s="33">
        <v>1.9626157992630777</v>
      </c>
      <c r="V233" s="132">
        <v>4.9591286792678684</v>
      </c>
      <c r="W233" s="103">
        <v>4.9591286792678684</v>
      </c>
    </row>
    <row r="234" spans="1:23" x14ac:dyDescent="0.15">
      <c r="A234" s="103" t="s">
        <v>16</v>
      </c>
      <c r="B234" s="127" t="s">
        <v>244</v>
      </c>
      <c r="C234" s="103" t="s">
        <v>975</v>
      </c>
      <c r="D234" s="24" t="s">
        <v>403</v>
      </c>
      <c r="E234" s="24" t="s">
        <v>82</v>
      </c>
      <c r="F234" s="103" t="s">
        <v>967</v>
      </c>
      <c r="G234" s="103">
        <v>0</v>
      </c>
      <c r="H234" s="124" t="s">
        <v>374</v>
      </c>
      <c r="I234" s="31" t="s">
        <v>580</v>
      </c>
      <c r="J234" s="34">
        <v>1199.5</v>
      </c>
      <c r="K234" s="132">
        <v>1330.7719999999999</v>
      </c>
      <c r="L234" s="132">
        <v>131.27199999999993</v>
      </c>
      <c r="M234" s="132">
        <v>131.27199999999993</v>
      </c>
      <c r="N234" s="132">
        <v>2.1214679202836964</v>
      </c>
      <c r="O234" s="132">
        <f t="shared" si="5"/>
        <v>2.1214679202836964</v>
      </c>
      <c r="P234" s="132">
        <v>10.943893288870358</v>
      </c>
      <c r="Q234" s="143">
        <v>10.943893288870358</v>
      </c>
      <c r="R234" s="33">
        <v>1343.24</v>
      </c>
      <c r="S234" s="143">
        <v>143.74</v>
      </c>
      <c r="T234" s="143">
        <v>143.74</v>
      </c>
      <c r="U234" s="132">
        <v>2.1605885682900348</v>
      </c>
      <c r="V234" s="132">
        <v>11.983326385994165</v>
      </c>
      <c r="W234" s="103">
        <v>11.983326385994165</v>
      </c>
    </row>
    <row r="235" spans="1:23" x14ac:dyDescent="0.15">
      <c r="A235" s="103" t="s">
        <v>16</v>
      </c>
      <c r="B235" s="127" t="s">
        <v>605</v>
      </c>
      <c r="C235" s="103" t="s">
        <v>979</v>
      </c>
      <c r="D235" s="24" t="s">
        <v>403</v>
      </c>
      <c r="E235" s="24" t="s">
        <v>82</v>
      </c>
      <c r="F235" s="103" t="s">
        <v>967</v>
      </c>
      <c r="G235" s="103">
        <v>0</v>
      </c>
      <c r="H235" s="124" t="s">
        <v>374</v>
      </c>
      <c r="I235" s="31" t="s">
        <v>580</v>
      </c>
      <c r="J235" s="34">
        <v>1348</v>
      </c>
      <c r="K235" s="132">
        <v>1479.4736842105265</v>
      </c>
      <c r="L235" s="132">
        <v>131.47368421052647</v>
      </c>
      <c r="M235" s="132">
        <v>131.47368421052647</v>
      </c>
      <c r="N235" s="132">
        <v>2.1221296145955342</v>
      </c>
      <c r="O235" s="132">
        <f t="shared" si="5"/>
        <v>2.1221296145955342</v>
      </c>
      <c r="P235" s="132">
        <v>9.7532406684366819</v>
      </c>
      <c r="Q235" s="143">
        <v>9.7532406684366819</v>
      </c>
      <c r="R235" s="33">
        <v>1503.5560107131544</v>
      </c>
      <c r="S235" s="143">
        <v>155.55601071315436</v>
      </c>
      <c r="T235" s="143">
        <v>155.55601071315436</v>
      </c>
      <c r="U235" s="132">
        <v>2.194669746302619</v>
      </c>
      <c r="V235" s="132">
        <v>11.539763406020352</v>
      </c>
      <c r="W235" s="103">
        <v>11.539763406020352</v>
      </c>
    </row>
    <row r="236" spans="1:23" x14ac:dyDescent="0.15">
      <c r="A236" s="103" t="s">
        <v>16</v>
      </c>
      <c r="B236" s="127" t="s">
        <v>666</v>
      </c>
      <c r="C236" s="24" t="s">
        <v>976</v>
      </c>
      <c r="D236" s="24" t="s">
        <v>403</v>
      </c>
      <c r="E236" s="24" t="s">
        <v>82</v>
      </c>
      <c r="F236" s="103" t="s">
        <v>968</v>
      </c>
      <c r="G236" s="103">
        <v>1</v>
      </c>
      <c r="H236" s="124" t="s">
        <v>374</v>
      </c>
      <c r="I236" s="31" t="s">
        <v>580</v>
      </c>
      <c r="J236" s="34">
        <v>1207.3</v>
      </c>
      <c r="K236" s="132">
        <v>1072.3500025985393</v>
      </c>
      <c r="L236" s="132">
        <v>-134.94999740146068</v>
      </c>
      <c r="M236" s="132">
        <v>134.94999740146068</v>
      </c>
      <c r="N236" s="132">
        <v>2.1333792036224426</v>
      </c>
      <c r="O236" s="132">
        <f t="shared" si="5"/>
        <v>-2.1333792036224426</v>
      </c>
      <c r="P236" s="132">
        <v>-11.177834622832824</v>
      </c>
      <c r="Q236" s="143">
        <v>11.177834622832824</v>
      </c>
      <c r="R236" s="33">
        <v>1030.0536855407076</v>
      </c>
      <c r="S236" s="143">
        <v>-177.24631445929231</v>
      </c>
      <c r="T236" s="143">
        <v>177.24631445929231</v>
      </c>
      <c r="U236" s="132">
        <v>2.251020558851871</v>
      </c>
      <c r="V236" s="132">
        <v>-14.681215477453184</v>
      </c>
      <c r="W236" s="103">
        <v>14.681215477453184</v>
      </c>
    </row>
    <row r="237" spans="1:23" x14ac:dyDescent="0.15">
      <c r="A237" s="103" t="s">
        <v>16</v>
      </c>
      <c r="B237" s="103" t="s">
        <v>605</v>
      </c>
      <c r="C237" s="103" t="s">
        <v>970</v>
      </c>
      <c r="D237" s="103" t="s">
        <v>403</v>
      </c>
      <c r="E237" s="103" t="s">
        <v>82</v>
      </c>
      <c r="F237" s="103" t="s">
        <v>967</v>
      </c>
      <c r="G237" s="103">
        <v>0</v>
      </c>
      <c r="H237" s="120" t="s">
        <v>374</v>
      </c>
      <c r="I237" s="132" t="s">
        <v>580</v>
      </c>
      <c r="J237" s="132">
        <v>1348</v>
      </c>
      <c r="K237" s="132">
        <v>1485.09845</v>
      </c>
      <c r="L237" s="132">
        <v>137.09844999999996</v>
      </c>
      <c r="M237" s="132">
        <v>137.09844999999996</v>
      </c>
      <c r="N237" s="132">
        <v>2.1401888041381918</v>
      </c>
      <c r="O237" s="132">
        <f t="shared" si="5"/>
        <v>2.1401888041381918</v>
      </c>
      <c r="P237" s="132">
        <v>10.170508160237386</v>
      </c>
      <c r="Q237" s="132">
        <v>10.170508160237386</v>
      </c>
      <c r="R237" s="132">
        <v>1460.3293900000001</v>
      </c>
      <c r="S237" s="132">
        <v>112.3293900000001</v>
      </c>
      <c r="T237" s="132">
        <v>112.3293900000001</v>
      </c>
      <c r="U237" s="132">
        <v>2.0543425511664051</v>
      </c>
      <c r="V237" s="132">
        <v>8.3330408011869501</v>
      </c>
      <c r="W237" s="113">
        <v>8.3330408011869501</v>
      </c>
    </row>
    <row r="238" spans="1:23" x14ac:dyDescent="0.15">
      <c r="A238" s="103" t="s">
        <v>16</v>
      </c>
      <c r="B238" s="103" t="s">
        <v>604</v>
      </c>
      <c r="C238" s="103" t="s">
        <v>970</v>
      </c>
      <c r="D238" s="103" t="s">
        <v>403</v>
      </c>
      <c r="E238" s="103" t="s">
        <v>96</v>
      </c>
      <c r="F238" s="103" t="s">
        <v>967</v>
      </c>
      <c r="G238" s="103">
        <v>0</v>
      </c>
      <c r="H238" s="120" t="s">
        <v>293</v>
      </c>
      <c r="I238" s="132" t="s">
        <v>580</v>
      </c>
      <c r="J238" s="132">
        <v>1985.9</v>
      </c>
      <c r="K238" s="132">
        <v>1844.888005</v>
      </c>
      <c r="L238" s="132">
        <v>-141.01199500000007</v>
      </c>
      <c r="M238" s="132">
        <v>141.01199500000007</v>
      </c>
      <c r="N238" s="132">
        <v>2.1523250284837654</v>
      </c>
      <c r="O238" s="132">
        <f t="shared" si="5"/>
        <v>-2.1523250284837654</v>
      </c>
      <c r="P238" s="132">
        <v>-7.1006593987612696</v>
      </c>
      <c r="Q238" s="132">
        <v>7.1006593987612696</v>
      </c>
      <c r="R238" s="132">
        <v>1805.848984</v>
      </c>
      <c r="S238" s="132">
        <v>-180.05101600000012</v>
      </c>
      <c r="T238" s="132">
        <v>180.05101600000012</v>
      </c>
      <c r="U238" s="132">
        <v>2.2578009662806506</v>
      </c>
      <c r="V238" s="132">
        <v>-9.0664694093358236</v>
      </c>
      <c r="W238" s="113">
        <v>9.0664694093358236</v>
      </c>
    </row>
    <row r="239" spans="1:23" x14ac:dyDescent="0.15">
      <c r="A239" s="103" t="s">
        <v>16</v>
      </c>
      <c r="B239" s="103" t="s">
        <v>617</v>
      </c>
      <c r="C239" s="103" t="s">
        <v>970</v>
      </c>
      <c r="D239" s="103" t="s">
        <v>403</v>
      </c>
      <c r="E239" s="103" t="s">
        <v>82</v>
      </c>
      <c r="F239" s="103" t="s">
        <v>967</v>
      </c>
      <c r="G239" s="103">
        <v>0</v>
      </c>
      <c r="H239" s="120" t="s">
        <v>293</v>
      </c>
      <c r="I239" s="132" t="s">
        <v>580</v>
      </c>
      <c r="J239" s="132">
        <v>2030</v>
      </c>
      <c r="K239" s="132">
        <v>1888.5291999999999</v>
      </c>
      <c r="L239" s="132">
        <v>-141.47080000000005</v>
      </c>
      <c r="M239" s="132">
        <v>141.47080000000005</v>
      </c>
      <c r="N239" s="132">
        <v>2.1537258629526956</v>
      </c>
      <c r="O239" s="132">
        <f t="shared" si="5"/>
        <v>-2.1537258629526956</v>
      </c>
      <c r="P239" s="132">
        <v>-6.9690049261083766</v>
      </c>
      <c r="Q239" s="132">
        <v>6.9690049261083766</v>
      </c>
      <c r="R239" s="132">
        <v>1841.5516</v>
      </c>
      <c r="S239" s="132">
        <v>-188.44839999999999</v>
      </c>
      <c r="T239" s="132">
        <v>188.44839999999999</v>
      </c>
      <c r="U239" s="132">
        <v>2.2774909417614193</v>
      </c>
      <c r="V239" s="132">
        <v>-9.2831724137931033</v>
      </c>
      <c r="W239" s="113">
        <v>9.2831724137931033</v>
      </c>
    </row>
    <row r="240" spans="1:23" x14ac:dyDescent="0.15">
      <c r="A240" s="103" t="s">
        <v>16</v>
      </c>
      <c r="B240" s="127" t="s">
        <v>822</v>
      </c>
      <c r="C240" s="24" t="s">
        <v>976</v>
      </c>
      <c r="D240" s="24" t="s">
        <v>824</v>
      </c>
      <c r="E240" s="24" t="s">
        <v>148</v>
      </c>
      <c r="F240" s="103" t="s">
        <v>968</v>
      </c>
      <c r="G240" s="103">
        <v>1</v>
      </c>
      <c r="H240" s="124" t="s">
        <v>374</v>
      </c>
      <c r="I240" s="27" t="s">
        <v>580</v>
      </c>
      <c r="J240" s="34">
        <v>1744</v>
      </c>
      <c r="K240" s="132">
        <v>1599.2875622869974</v>
      </c>
      <c r="L240" s="132">
        <v>-144.7124377130026</v>
      </c>
      <c r="M240" s="132">
        <v>144.7124377130026</v>
      </c>
      <c r="N240" s="132">
        <v>2.16349662383301</v>
      </c>
      <c r="O240" s="132">
        <f t="shared" si="5"/>
        <v>-2.16349662383301</v>
      </c>
      <c r="P240" s="132">
        <v>-8.2977315202409745</v>
      </c>
      <c r="Q240" s="143">
        <v>8.2977315202409745</v>
      </c>
      <c r="R240" s="33">
        <v>1610.757278726835</v>
      </c>
      <c r="S240" s="143">
        <v>-133.24272127316499</v>
      </c>
      <c r="T240" s="143">
        <v>133.24272127316499</v>
      </c>
      <c r="U240" s="132">
        <v>2.1278907472833479</v>
      </c>
      <c r="V240" s="132">
        <v>-7.6400642931860663</v>
      </c>
      <c r="W240" s="103">
        <v>7.6400642931860663</v>
      </c>
    </row>
    <row r="241" spans="1:24" x14ac:dyDescent="0.15">
      <c r="A241" s="103" t="s">
        <v>16</v>
      </c>
      <c r="B241" s="103" t="s">
        <v>714</v>
      </c>
      <c r="C241" s="103" t="s">
        <v>970</v>
      </c>
      <c r="D241" s="103" t="s">
        <v>458</v>
      </c>
      <c r="E241" s="103" t="s">
        <v>82</v>
      </c>
      <c r="F241" s="103" t="s">
        <v>967</v>
      </c>
      <c r="G241" s="103">
        <v>0</v>
      </c>
      <c r="H241" s="120" t="s">
        <v>293</v>
      </c>
      <c r="I241" s="132" t="s">
        <v>580</v>
      </c>
      <c r="J241" s="132">
        <v>1890</v>
      </c>
      <c r="K241" s="132">
        <v>1743.6475</v>
      </c>
      <c r="L241" s="132">
        <v>-146.35249999999996</v>
      </c>
      <c r="M241" s="132">
        <v>146.35249999999996</v>
      </c>
      <c r="N241" s="132">
        <v>2.1683575085401641</v>
      </c>
      <c r="O241" s="132">
        <f t="shared" si="5"/>
        <v>-2.1683575085401641</v>
      </c>
      <c r="P241" s="132">
        <v>-7.7435185185185169</v>
      </c>
      <c r="Q241" s="132">
        <v>7.7435185185185169</v>
      </c>
      <c r="R241" s="132">
        <v>1771.6518999999998</v>
      </c>
      <c r="S241" s="132">
        <v>-118.34810000000016</v>
      </c>
      <c r="T241" s="132">
        <v>118.34810000000016</v>
      </c>
      <c r="U241" s="132">
        <v>2.0768155095088083</v>
      </c>
      <c r="V241" s="132">
        <v>-6.2618042328042414</v>
      </c>
      <c r="W241" s="133">
        <v>6.2618042328042414</v>
      </c>
    </row>
    <row r="242" spans="1:24" x14ac:dyDescent="0.15">
      <c r="A242" s="103" t="s">
        <v>16</v>
      </c>
      <c r="B242" s="103" t="s">
        <v>715</v>
      </c>
      <c r="C242" s="103" t="s">
        <v>970</v>
      </c>
      <c r="D242" s="103" t="s">
        <v>458</v>
      </c>
      <c r="E242" s="103" t="s">
        <v>82</v>
      </c>
      <c r="F242" s="103" t="s">
        <v>967</v>
      </c>
      <c r="G242" s="103">
        <v>0</v>
      </c>
      <c r="H242" s="120" t="s">
        <v>293</v>
      </c>
      <c r="I242" s="132" t="s">
        <v>580</v>
      </c>
      <c r="J242" s="132">
        <v>1940</v>
      </c>
      <c r="K242" s="132">
        <v>1790.7635</v>
      </c>
      <c r="L242" s="132">
        <v>-149.23649999999998</v>
      </c>
      <c r="M242" s="132">
        <v>149.23649999999998</v>
      </c>
      <c r="N242" s="132">
        <v>2.1767754574540357</v>
      </c>
      <c r="O242" s="132">
        <f t="shared" si="5"/>
        <v>-2.1767754574540357</v>
      </c>
      <c r="P242" s="132">
        <v>-7.6926030927835036</v>
      </c>
      <c r="Q242" s="132">
        <v>7.6926030927835036</v>
      </c>
      <c r="R242" s="132">
        <v>1760.8980999999999</v>
      </c>
      <c r="S242" s="132">
        <v>-179.10190000000011</v>
      </c>
      <c r="T242" s="132">
        <v>179.10190000000011</v>
      </c>
      <c r="U242" s="132">
        <v>2.2555182944695229</v>
      </c>
      <c r="V242" s="132">
        <v>-9.2320567010309329</v>
      </c>
      <c r="W242" s="133">
        <v>9.2320567010309329</v>
      </c>
    </row>
    <row r="243" spans="1:24" x14ac:dyDescent="0.15">
      <c r="A243" s="103" t="s">
        <v>16</v>
      </c>
      <c r="B243" s="126" t="s">
        <v>812</v>
      </c>
      <c r="C243" s="103" t="s">
        <v>971</v>
      </c>
      <c r="D243" s="24" t="s">
        <v>824</v>
      </c>
      <c r="E243" s="24" t="s">
        <v>148</v>
      </c>
      <c r="F243" s="103" t="s">
        <v>968</v>
      </c>
      <c r="G243" s="103">
        <v>1</v>
      </c>
      <c r="H243" s="124" t="s">
        <v>374</v>
      </c>
      <c r="I243" s="45" t="s">
        <v>580</v>
      </c>
      <c r="J243" s="34">
        <v>1911</v>
      </c>
      <c r="K243" s="132">
        <v>2061.3937691405577</v>
      </c>
      <c r="L243" s="132">
        <v>150.39376914055765</v>
      </c>
      <c r="M243" s="132">
        <v>150.39376914055765</v>
      </c>
      <c r="N243" s="132">
        <v>2.1801080014285317</v>
      </c>
      <c r="O243" s="132">
        <f t="shared" si="5"/>
        <v>2.1801080014285317</v>
      </c>
      <c r="P243" s="132">
        <v>7.869898960782713</v>
      </c>
      <c r="Q243" s="143">
        <v>7.869898960782713</v>
      </c>
      <c r="R243" s="143">
        <v>2029.0348951623014</v>
      </c>
      <c r="S243" s="33">
        <v>118.03489516230138</v>
      </c>
      <c r="T243" s="143">
        <v>118.03489516230138</v>
      </c>
      <c r="U243" s="143">
        <v>2.0756742937866393</v>
      </c>
      <c r="V243" s="132">
        <v>6.1766036191680476</v>
      </c>
      <c r="W243" s="113">
        <v>6.1766036191680476</v>
      </c>
    </row>
    <row r="244" spans="1:24" x14ac:dyDescent="0.15">
      <c r="A244" s="103" t="s">
        <v>16</v>
      </c>
      <c r="B244" s="127" t="s">
        <v>415</v>
      </c>
      <c r="C244" s="24" t="s">
        <v>980</v>
      </c>
      <c r="D244" s="24" t="s">
        <v>458</v>
      </c>
      <c r="E244" s="24" t="s">
        <v>82</v>
      </c>
      <c r="F244" s="103" t="s">
        <v>968</v>
      </c>
      <c r="G244" s="103">
        <v>1</v>
      </c>
      <c r="H244" s="124" t="s">
        <v>203</v>
      </c>
      <c r="I244" s="27" t="s">
        <v>581</v>
      </c>
      <c r="J244" s="34">
        <v>2790</v>
      </c>
      <c r="K244" s="132">
        <v>2638.8333629791664</v>
      </c>
      <c r="L244" s="132">
        <v>-151.1666370208336</v>
      </c>
      <c r="M244" s="132">
        <v>151.1666370208336</v>
      </c>
      <c r="N244" s="132">
        <v>2.1823194425393324</v>
      </c>
      <c r="O244" s="132">
        <f t="shared" si="5"/>
        <v>-2.1823194425393324</v>
      </c>
      <c r="P244" s="132">
        <v>-5.4181590330047884</v>
      </c>
      <c r="Q244" s="143">
        <v>5.4181590330047884</v>
      </c>
      <c r="R244" s="33">
        <v>2400</v>
      </c>
      <c r="S244" s="143">
        <v>-390</v>
      </c>
      <c r="T244" s="143">
        <v>390</v>
      </c>
      <c r="U244" s="132">
        <v>2.5921767573958667</v>
      </c>
      <c r="V244" s="132">
        <v>-13.978494623655914</v>
      </c>
      <c r="W244" s="103">
        <v>13.978494623655914</v>
      </c>
    </row>
    <row r="245" spans="1:24" x14ac:dyDescent="0.15">
      <c r="A245" s="103" t="s">
        <v>16</v>
      </c>
      <c r="B245" s="127" t="s">
        <v>605</v>
      </c>
      <c r="C245" s="24" t="s">
        <v>980</v>
      </c>
      <c r="D245" s="24" t="s">
        <v>403</v>
      </c>
      <c r="E245" s="24" t="s">
        <v>82</v>
      </c>
      <c r="F245" s="103" t="s">
        <v>968</v>
      </c>
      <c r="G245" s="103">
        <v>1</v>
      </c>
      <c r="H245" s="124" t="s">
        <v>374</v>
      </c>
      <c r="I245" s="27" t="s">
        <v>580</v>
      </c>
      <c r="J245" s="34">
        <v>1348</v>
      </c>
      <c r="K245" s="132">
        <v>1507.7232836806754</v>
      </c>
      <c r="L245" s="132">
        <v>159.72328368067542</v>
      </c>
      <c r="M245" s="132">
        <v>159.72328368067542</v>
      </c>
      <c r="N245" s="132">
        <v>2.2060787967480926</v>
      </c>
      <c r="O245" s="132">
        <f t="shared" si="5"/>
        <v>2.2060787967480926</v>
      </c>
      <c r="P245" s="132">
        <v>11.848908284916574</v>
      </c>
      <c r="Q245" s="143">
        <v>11.848908284916574</v>
      </c>
      <c r="R245" s="33">
        <v>1465.5</v>
      </c>
      <c r="S245" s="143">
        <v>117.5</v>
      </c>
      <c r="T245" s="143">
        <v>117.5</v>
      </c>
      <c r="U245" s="132">
        <v>2.0737183503461227</v>
      </c>
      <c r="V245" s="132">
        <v>8.7166172106824931</v>
      </c>
      <c r="W245" s="103">
        <v>8.7166172106824931</v>
      </c>
    </row>
    <row r="246" spans="1:24" x14ac:dyDescent="0.15">
      <c r="A246" s="103" t="s">
        <v>16</v>
      </c>
      <c r="B246" s="126" t="s">
        <v>244</v>
      </c>
      <c r="C246" s="24" t="s">
        <v>976</v>
      </c>
      <c r="D246" s="24" t="s">
        <v>403</v>
      </c>
      <c r="E246" s="24" t="s">
        <v>82</v>
      </c>
      <c r="F246" s="103" t="s">
        <v>968</v>
      </c>
      <c r="G246" s="103">
        <v>1</v>
      </c>
      <c r="H246" s="124" t="s">
        <v>374</v>
      </c>
      <c r="I246" s="45" t="s">
        <v>580</v>
      </c>
      <c r="J246" s="34">
        <v>1199.5</v>
      </c>
      <c r="K246" s="132">
        <v>1036.3673569987454</v>
      </c>
      <c r="L246" s="132">
        <v>-163.13264300125456</v>
      </c>
      <c r="M246" s="132">
        <v>163.13264300125456</v>
      </c>
      <c r="N246" s="132">
        <v>2.2151949629268444</v>
      </c>
      <c r="O246" s="132">
        <f t="shared" si="5"/>
        <v>-2.2151949629268444</v>
      </c>
      <c r="P246" s="132">
        <v>-13.600053605773619</v>
      </c>
      <c r="Q246" s="143">
        <v>13.600053605773619</v>
      </c>
      <c r="R246" s="33">
        <v>1024.5445787979997</v>
      </c>
      <c r="S246" s="143">
        <v>-174.95542120200025</v>
      </c>
      <c r="T246" s="143">
        <v>174.95542120200025</v>
      </c>
      <c r="U246" s="33">
        <v>2.2454026520285222</v>
      </c>
      <c r="V246" s="132">
        <v>-14.585695806752835</v>
      </c>
      <c r="W246" s="103">
        <v>14.585695806752835</v>
      </c>
      <c r="X246" s="143"/>
    </row>
    <row r="247" spans="1:24" x14ac:dyDescent="0.15">
      <c r="A247" s="103" t="s">
        <v>16</v>
      </c>
      <c r="B247" s="127" t="s">
        <v>605</v>
      </c>
      <c r="C247" s="103" t="s">
        <v>971</v>
      </c>
      <c r="D247" s="24" t="s">
        <v>403</v>
      </c>
      <c r="E247" s="24" t="s">
        <v>82</v>
      </c>
      <c r="F247" s="103" t="s">
        <v>968</v>
      </c>
      <c r="G247" s="103">
        <v>1</v>
      </c>
      <c r="H247" s="124" t="s">
        <v>374</v>
      </c>
      <c r="I247" s="27" t="s">
        <v>580</v>
      </c>
      <c r="J247" s="34">
        <v>1348</v>
      </c>
      <c r="K247" s="132">
        <v>1518.4831721419689</v>
      </c>
      <c r="L247" s="132">
        <v>170.48317214196891</v>
      </c>
      <c r="M247" s="132">
        <v>170.48317214196891</v>
      </c>
      <c r="N247" s="132">
        <v>2.2342215086093602</v>
      </c>
      <c r="O247" s="132">
        <f t="shared" si="5"/>
        <v>2.2342215086093602</v>
      </c>
      <c r="P247" s="132">
        <v>12.64711959510155</v>
      </c>
      <c r="Q247" s="143">
        <v>12.64711959510155</v>
      </c>
      <c r="R247" s="33">
        <v>1484.6453244658092</v>
      </c>
      <c r="S247" s="143">
        <v>136.64532446580915</v>
      </c>
      <c r="T247" s="143">
        <v>136.64532446580915</v>
      </c>
      <c r="U247" s="132">
        <v>2.1387614638718437</v>
      </c>
      <c r="V247" s="132">
        <v>10.136893506365665</v>
      </c>
      <c r="W247" s="103">
        <v>10.136893506365665</v>
      </c>
    </row>
    <row r="248" spans="1:24" x14ac:dyDescent="0.15">
      <c r="A248" s="103" t="s">
        <v>16</v>
      </c>
      <c r="B248" s="27" t="s">
        <v>666</v>
      </c>
      <c r="C248" s="103" t="s">
        <v>975</v>
      </c>
      <c r="D248" s="24" t="s">
        <v>403</v>
      </c>
      <c r="E248" s="24" t="s">
        <v>82</v>
      </c>
      <c r="F248" s="103" t="s">
        <v>967</v>
      </c>
      <c r="G248" s="103">
        <v>0</v>
      </c>
      <c r="H248" s="124" t="s">
        <v>374</v>
      </c>
      <c r="I248" s="31" t="s">
        <v>580</v>
      </c>
      <c r="J248" s="34">
        <v>1207.3</v>
      </c>
      <c r="K248" s="132">
        <v>1382.6695999999999</v>
      </c>
      <c r="L248" s="132">
        <v>175.36959999999999</v>
      </c>
      <c r="M248" s="132">
        <v>175.36959999999999</v>
      </c>
      <c r="N248" s="132">
        <v>2.2464237299453731</v>
      </c>
      <c r="O248" s="132">
        <f t="shared" si="5"/>
        <v>2.2464237299453731</v>
      </c>
      <c r="P248" s="132">
        <v>14.525768243187278</v>
      </c>
      <c r="Q248" s="143">
        <v>14.525768243187278</v>
      </c>
      <c r="R248" s="33">
        <v>1351.3520000000001</v>
      </c>
      <c r="S248" s="143">
        <v>144.05200000000013</v>
      </c>
      <c r="T248" s="143">
        <v>144.05200000000013</v>
      </c>
      <c r="U248" s="132">
        <v>2.1615237213012182</v>
      </c>
      <c r="V248" s="132">
        <v>11.931748529777201</v>
      </c>
      <c r="W248" s="103">
        <v>11.931748529777201</v>
      </c>
    </row>
    <row r="249" spans="1:24" x14ac:dyDescent="0.15">
      <c r="A249" s="103" t="s">
        <v>16</v>
      </c>
      <c r="B249" s="103" t="s">
        <v>254</v>
      </c>
      <c r="C249" s="103" t="s">
        <v>970</v>
      </c>
      <c r="D249" s="103" t="s">
        <v>403</v>
      </c>
      <c r="E249" s="103" t="s">
        <v>82</v>
      </c>
      <c r="F249" s="103" t="s">
        <v>967</v>
      </c>
      <c r="G249" s="103">
        <v>0</v>
      </c>
      <c r="H249" s="120" t="s">
        <v>374</v>
      </c>
      <c r="I249" s="132" t="s">
        <v>580</v>
      </c>
      <c r="J249" s="132">
        <v>1176.5999999999999</v>
      </c>
      <c r="K249" s="132">
        <v>1352.5258049999998</v>
      </c>
      <c r="L249" s="132">
        <v>175.92580499999985</v>
      </c>
      <c r="M249" s="132">
        <v>175.92580499999985</v>
      </c>
      <c r="N249" s="132">
        <v>2.2477911802912138</v>
      </c>
      <c r="O249" s="132">
        <f t="shared" si="5"/>
        <v>2.2477911802912138</v>
      </c>
      <c r="P249" s="132">
        <v>14.952048699643028</v>
      </c>
      <c r="Q249" s="132">
        <v>14.952048699643028</v>
      </c>
      <c r="R249" s="132">
        <v>1328.8104159999998</v>
      </c>
      <c r="S249" s="132">
        <v>152.2104159999999</v>
      </c>
      <c r="T249" s="132">
        <v>152.2104159999999</v>
      </c>
      <c r="U249" s="132">
        <v>2.1852882917819065</v>
      </c>
      <c r="V249" s="132">
        <v>12.936462349141587</v>
      </c>
      <c r="W249" s="113">
        <v>12.936462349141587</v>
      </c>
    </row>
    <row r="250" spans="1:24" x14ac:dyDescent="0.15">
      <c r="A250" s="103" t="s">
        <v>16</v>
      </c>
      <c r="B250" s="125" t="s">
        <v>616</v>
      </c>
      <c r="C250" s="103" t="s">
        <v>975</v>
      </c>
      <c r="D250" s="24" t="s">
        <v>403</v>
      </c>
      <c r="E250" s="24" t="s">
        <v>82</v>
      </c>
      <c r="F250" s="103" t="s">
        <v>967</v>
      </c>
      <c r="G250" s="103">
        <v>0</v>
      </c>
      <c r="H250" s="124" t="s">
        <v>293</v>
      </c>
      <c r="I250" s="31" t="s">
        <v>580</v>
      </c>
      <c r="J250" s="34">
        <v>2298</v>
      </c>
      <c r="K250" s="132">
        <v>2475.62</v>
      </c>
      <c r="L250" s="132">
        <v>177.61999999999989</v>
      </c>
      <c r="M250" s="132">
        <v>177.61999999999989</v>
      </c>
      <c r="N250" s="132">
        <v>2.2519300850303683</v>
      </c>
      <c r="O250" s="132">
        <f t="shared" si="5"/>
        <v>2.2519300850303683</v>
      </c>
      <c r="P250" s="132">
        <v>7.729329852045252</v>
      </c>
      <c r="Q250" s="143">
        <v>7.729329852045252</v>
      </c>
      <c r="R250" s="33">
        <v>2446.16</v>
      </c>
      <c r="S250" s="143">
        <v>148.15999999999985</v>
      </c>
      <c r="T250" s="143">
        <v>148.15999999999985</v>
      </c>
      <c r="U250" s="132">
        <v>2.1736523746892691</v>
      </c>
      <c r="V250" s="132">
        <v>6.4473455178415948</v>
      </c>
      <c r="W250" s="103">
        <v>6.4473455178415948</v>
      </c>
    </row>
    <row r="251" spans="1:24" x14ac:dyDescent="0.15">
      <c r="A251" s="103" t="s">
        <v>16</v>
      </c>
      <c r="B251" s="127" t="s">
        <v>714</v>
      </c>
      <c r="C251" s="103" t="s">
        <v>979</v>
      </c>
      <c r="D251" s="24" t="s">
        <v>458</v>
      </c>
      <c r="E251" s="24" t="s">
        <v>82</v>
      </c>
      <c r="F251" s="103" t="s">
        <v>967</v>
      </c>
      <c r="G251" s="103">
        <v>0</v>
      </c>
      <c r="H251" s="124" t="s">
        <v>293</v>
      </c>
      <c r="I251" s="27" t="s">
        <v>580</v>
      </c>
      <c r="J251" s="34">
        <v>1890</v>
      </c>
      <c r="K251" s="132">
        <v>1710.5263157894738</v>
      </c>
      <c r="L251" s="132">
        <v>-179.47368421052624</v>
      </c>
      <c r="M251" s="132">
        <v>179.47368421052624</v>
      </c>
      <c r="N251" s="132">
        <v>2.2564138841621149</v>
      </c>
      <c r="O251" s="132">
        <f t="shared" si="5"/>
        <v>-2.2564138841621149</v>
      </c>
      <c r="P251" s="132">
        <v>-9.4959621275410715</v>
      </c>
      <c r="Q251" s="143">
        <v>9.4959621275410715</v>
      </c>
      <c r="R251" s="33">
        <v>1852.2629634430446</v>
      </c>
      <c r="S251" s="143">
        <v>-37.737036556955445</v>
      </c>
      <c r="T251" s="143">
        <v>37.737036556955445</v>
      </c>
      <c r="U251" s="132">
        <v>1.5881263934561576</v>
      </c>
      <c r="V251" s="132">
        <v>-1.9966686008971135</v>
      </c>
      <c r="W251" s="103">
        <v>1.9966686008971135</v>
      </c>
    </row>
    <row r="252" spans="1:24" x14ac:dyDescent="0.15">
      <c r="A252" s="103" t="s">
        <v>16</v>
      </c>
      <c r="B252" s="127" t="s">
        <v>254</v>
      </c>
      <c r="C252" s="103" t="s">
        <v>979</v>
      </c>
      <c r="D252" s="24" t="s">
        <v>403</v>
      </c>
      <c r="E252" s="24" t="s">
        <v>82</v>
      </c>
      <c r="F252" s="103" t="s">
        <v>967</v>
      </c>
      <c r="G252" s="103">
        <v>0</v>
      </c>
      <c r="H252" s="124" t="s">
        <v>374</v>
      </c>
      <c r="I252" s="27" t="s">
        <v>580</v>
      </c>
      <c r="J252" s="34">
        <v>1176.5999999999999</v>
      </c>
      <c r="K252" s="132">
        <v>1360.9999999999998</v>
      </c>
      <c r="L252" s="132">
        <v>184.39999999999986</v>
      </c>
      <c r="M252" s="132">
        <v>184.39999999999986</v>
      </c>
      <c r="N252" s="132">
        <v>2.268109729808478</v>
      </c>
      <c r="O252" s="132">
        <f t="shared" si="5"/>
        <v>2.268109729808478</v>
      </c>
      <c r="P252" s="132">
        <v>15.672276049634529</v>
      </c>
      <c r="Q252" s="143">
        <v>15.672276049634529</v>
      </c>
      <c r="R252" s="33">
        <v>1359.3546732567179</v>
      </c>
      <c r="S252" s="143">
        <v>182.75467325671798</v>
      </c>
      <c r="T252" s="143">
        <v>182.75467325671798</v>
      </c>
      <c r="U252" s="132">
        <v>2.2642383928925418</v>
      </c>
      <c r="V252" s="132">
        <v>15.532438658568587</v>
      </c>
      <c r="W252" s="103">
        <v>15.532438658568587</v>
      </c>
    </row>
    <row r="253" spans="1:24" x14ac:dyDescent="0.15">
      <c r="A253" s="103" t="s">
        <v>16</v>
      </c>
      <c r="B253" s="127" t="s">
        <v>252</v>
      </c>
      <c r="C253" s="103" t="s">
        <v>979</v>
      </c>
      <c r="D253" s="24" t="s">
        <v>403</v>
      </c>
      <c r="E253" s="24" t="s">
        <v>82</v>
      </c>
      <c r="F253" s="103" t="s">
        <v>967</v>
      </c>
      <c r="G253" s="103">
        <v>0</v>
      </c>
      <c r="H253" s="124" t="s">
        <v>374</v>
      </c>
      <c r="I253" s="27" t="s">
        <v>580</v>
      </c>
      <c r="J253" s="34">
        <v>1193.83</v>
      </c>
      <c r="K253" s="132">
        <v>1009.1578947368422</v>
      </c>
      <c r="L253" s="132">
        <v>-184.67210526315773</v>
      </c>
      <c r="M253" s="132">
        <v>184.67210526315773</v>
      </c>
      <c r="N253" s="132">
        <v>2.2687466617351397</v>
      </c>
      <c r="O253" s="132">
        <f t="shared" si="5"/>
        <v>-2.2687466617351397</v>
      </c>
      <c r="P253" s="132">
        <v>-15.468877919231192</v>
      </c>
      <c r="Q253" s="143">
        <v>15.468877919231192</v>
      </c>
      <c r="R253" s="33">
        <v>966.39439932648463</v>
      </c>
      <c r="S253" s="143">
        <v>-227.4356006735153</v>
      </c>
      <c r="T253" s="143">
        <v>227.4356006735153</v>
      </c>
      <c r="U253" s="132">
        <v>2.3587637877140004</v>
      </c>
      <c r="V253" s="132">
        <v>-19.05092020417608</v>
      </c>
      <c r="W253" s="103">
        <v>19.05092020417608</v>
      </c>
    </row>
    <row r="254" spans="1:24" x14ac:dyDescent="0.15">
      <c r="A254" s="103" t="s">
        <v>16</v>
      </c>
      <c r="B254" s="127" t="s">
        <v>604</v>
      </c>
      <c r="C254" s="103" t="s">
        <v>979</v>
      </c>
      <c r="D254" s="24" t="s">
        <v>403</v>
      </c>
      <c r="E254" s="24" t="s">
        <v>96</v>
      </c>
      <c r="F254" s="103" t="s">
        <v>967</v>
      </c>
      <c r="G254" s="103">
        <v>0</v>
      </c>
      <c r="H254" s="124" t="s">
        <v>293</v>
      </c>
      <c r="I254" s="27" t="s">
        <v>580</v>
      </c>
      <c r="J254" s="34">
        <v>1985.9</v>
      </c>
      <c r="K254" s="132">
        <v>1801</v>
      </c>
      <c r="L254" s="132">
        <v>-184.90000000000009</v>
      </c>
      <c r="M254" s="132">
        <v>184.90000000000009</v>
      </c>
      <c r="N254" s="132">
        <v>2.2692793897718988</v>
      </c>
      <c r="O254" s="132">
        <f t="shared" si="5"/>
        <v>-2.2692793897718988</v>
      </c>
      <c r="P254" s="132">
        <v>-9.3106400120852033</v>
      </c>
      <c r="Q254" s="143">
        <v>9.3106400120852033</v>
      </c>
      <c r="R254" s="33">
        <v>1891.1495824237591</v>
      </c>
      <c r="S254" s="143">
        <v>-94.750417576241034</v>
      </c>
      <c r="T254" s="143">
        <v>94.750417576241034</v>
      </c>
      <c r="U254" s="132">
        <v>1.9811406766423503</v>
      </c>
      <c r="V254" s="132">
        <v>-4.7711575394652819</v>
      </c>
      <c r="W254" s="103">
        <v>4.7711575394652819</v>
      </c>
    </row>
    <row r="255" spans="1:24" x14ac:dyDescent="0.15">
      <c r="A255" s="103" t="s">
        <v>16</v>
      </c>
      <c r="B255" s="127" t="s">
        <v>715</v>
      </c>
      <c r="C255" s="103" t="s">
        <v>979</v>
      </c>
      <c r="D255" s="24" t="s">
        <v>458</v>
      </c>
      <c r="E255" s="24" t="s">
        <v>82</v>
      </c>
      <c r="F255" s="103" t="s">
        <v>967</v>
      </c>
      <c r="G255" s="103">
        <v>0</v>
      </c>
      <c r="H255" s="124" t="s">
        <v>293</v>
      </c>
      <c r="I255" s="27" t="s">
        <v>580</v>
      </c>
      <c r="J255" s="34">
        <v>1940</v>
      </c>
      <c r="K255" s="132">
        <v>1752.6315789473683</v>
      </c>
      <c r="L255" s="132">
        <v>-187.36842105263167</v>
      </c>
      <c r="M255" s="132">
        <v>187.36842105263167</v>
      </c>
      <c r="N255" s="132">
        <v>2.2750080974371754</v>
      </c>
      <c r="O255" s="132">
        <f t="shared" si="5"/>
        <v>-2.2750080974371754</v>
      </c>
      <c r="P255" s="132">
        <v>-9.6581660336408088</v>
      </c>
      <c r="Q255" s="143">
        <v>9.6581660336408088</v>
      </c>
      <c r="R255" s="33">
        <v>1840.0572191156639</v>
      </c>
      <c r="S255" s="143">
        <v>-99.942780884336116</v>
      </c>
      <c r="T255" s="143">
        <v>99.942780884336116</v>
      </c>
      <c r="U255" s="132">
        <v>2.0040752649913465</v>
      </c>
      <c r="V255" s="132">
        <v>-5.1516897363059853</v>
      </c>
      <c r="W255" s="103">
        <v>5.1516897363059853</v>
      </c>
    </row>
    <row r="256" spans="1:24" x14ac:dyDescent="0.15">
      <c r="A256" s="103" t="s">
        <v>16</v>
      </c>
      <c r="B256" s="126" t="s">
        <v>617</v>
      </c>
      <c r="C256" s="103" t="s">
        <v>979</v>
      </c>
      <c r="D256" s="24" t="s">
        <v>403</v>
      </c>
      <c r="E256" s="24" t="s">
        <v>82</v>
      </c>
      <c r="F256" s="103" t="s">
        <v>967</v>
      </c>
      <c r="G256" s="103">
        <v>0</v>
      </c>
      <c r="H256" s="128" t="s">
        <v>293</v>
      </c>
      <c r="I256" s="49" t="s">
        <v>580</v>
      </c>
      <c r="J256" s="34">
        <v>2030</v>
      </c>
      <c r="K256" s="132">
        <v>1840</v>
      </c>
      <c r="L256" s="132">
        <v>-190</v>
      </c>
      <c r="M256" s="132">
        <v>190</v>
      </c>
      <c r="N256" s="132">
        <v>2.2810333672477277</v>
      </c>
      <c r="O256" s="132">
        <f t="shared" si="5"/>
        <v>-2.2810333672477277</v>
      </c>
      <c r="P256" s="132">
        <v>-9.3596059113300498</v>
      </c>
      <c r="Q256" s="143">
        <v>9.3596059113300498</v>
      </c>
      <c r="R256" s="33">
        <v>1931.8642693260022</v>
      </c>
      <c r="S256" s="143">
        <v>-98.135730673997841</v>
      </c>
      <c r="T256" s="143">
        <v>98.135730673997841</v>
      </c>
      <c r="U256" s="132">
        <v>1.9962302118795174</v>
      </c>
      <c r="V256" s="132">
        <v>-4.8342724469949676</v>
      </c>
      <c r="W256" s="103">
        <v>4.8342724469949676</v>
      </c>
    </row>
    <row r="257" spans="1:23" x14ac:dyDescent="0.15">
      <c r="A257" s="103" t="s">
        <v>16</v>
      </c>
      <c r="B257" s="127" t="s">
        <v>254</v>
      </c>
      <c r="C257" s="24" t="s">
        <v>980</v>
      </c>
      <c r="D257" s="24" t="s">
        <v>403</v>
      </c>
      <c r="E257" s="24" t="s">
        <v>82</v>
      </c>
      <c r="F257" s="103" t="s">
        <v>968</v>
      </c>
      <c r="G257" s="103">
        <v>1</v>
      </c>
      <c r="H257" s="124" t="s">
        <v>374</v>
      </c>
      <c r="I257" s="27" t="s">
        <v>580</v>
      </c>
      <c r="J257" s="34">
        <v>1176.5999999999999</v>
      </c>
      <c r="K257" s="132">
        <v>1368.9305337553819</v>
      </c>
      <c r="L257" s="132">
        <v>192.33053375538202</v>
      </c>
      <c r="M257" s="132">
        <v>192.33053375538202</v>
      </c>
      <c r="N257" s="132">
        <v>2.286300449963659</v>
      </c>
      <c r="O257" s="132">
        <f t="shared" si="5"/>
        <v>2.286300449963659</v>
      </c>
      <c r="P257" s="132">
        <v>16.346297276507059</v>
      </c>
      <c r="Q257" s="143">
        <v>16.346297276507059</v>
      </c>
      <c r="R257" s="33">
        <v>1343.1999999999998</v>
      </c>
      <c r="S257" s="143">
        <v>166.59999999999991</v>
      </c>
      <c r="T257" s="143">
        <v>166.59999999999991</v>
      </c>
      <c r="U257" s="132">
        <v>2.2242740142942576</v>
      </c>
      <c r="V257" s="132">
        <v>14.159442461329249</v>
      </c>
      <c r="W257" s="103">
        <v>14.159442461329249</v>
      </c>
    </row>
    <row r="258" spans="1:23" x14ac:dyDescent="0.15">
      <c r="A258" s="103" t="s">
        <v>16</v>
      </c>
      <c r="B258" s="127" t="s">
        <v>254</v>
      </c>
      <c r="C258" s="103" t="s">
        <v>971</v>
      </c>
      <c r="D258" s="24" t="s">
        <v>403</v>
      </c>
      <c r="E258" s="24" t="s">
        <v>82</v>
      </c>
      <c r="F258" s="103" t="s">
        <v>968</v>
      </c>
      <c r="G258" s="103">
        <v>1</v>
      </c>
      <c r="H258" s="124" t="s">
        <v>374</v>
      </c>
      <c r="I258" s="31" t="s">
        <v>580</v>
      </c>
      <c r="J258" s="34">
        <v>1176.5999999999999</v>
      </c>
      <c r="K258" s="132">
        <v>1372.7862562795128</v>
      </c>
      <c r="L258" s="132">
        <v>196.18625627951292</v>
      </c>
      <c r="M258" s="132">
        <v>196.18625627951292</v>
      </c>
      <c r="N258" s="132">
        <v>2.2948766416905144</v>
      </c>
      <c r="O258" s="132">
        <f t="shared" si="5"/>
        <v>2.2948766416905144</v>
      </c>
      <c r="P258" s="132">
        <v>16.673997644017756</v>
      </c>
      <c r="Q258" s="143">
        <v>16.673997644017756</v>
      </c>
      <c r="R258" s="33">
        <v>1343.6151495690942</v>
      </c>
      <c r="S258" s="143">
        <v>167.01514956909432</v>
      </c>
      <c r="T258" s="143">
        <v>167.01514956909432</v>
      </c>
      <c r="U258" s="132">
        <v>2.2253484429022192</v>
      </c>
      <c r="V258" s="132">
        <v>14.194726293480736</v>
      </c>
      <c r="W258" s="103">
        <v>14.194726293480736</v>
      </c>
    </row>
    <row r="259" spans="1:23" x14ac:dyDescent="0.15">
      <c r="A259" s="103" t="s">
        <v>16</v>
      </c>
      <c r="B259" s="127" t="s">
        <v>617</v>
      </c>
      <c r="C259" s="24" t="s">
        <v>976</v>
      </c>
      <c r="D259" s="24" t="s">
        <v>403</v>
      </c>
      <c r="E259" s="24" t="s">
        <v>82</v>
      </c>
      <c r="F259" s="103" t="s">
        <v>968</v>
      </c>
      <c r="G259" s="103">
        <v>1</v>
      </c>
      <c r="H259" s="124" t="s">
        <v>293</v>
      </c>
      <c r="I259" s="31" t="s">
        <v>580</v>
      </c>
      <c r="J259" s="34">
        <v>2030</v>
      </c>
      <c r="K259" s="132">
        <v>1822.1902519723778</v>
      </c>
      <c r="L259" s="132">
        <v>-207.80974802762216</v>
      </c>
      <c r="M259" s="132">
        <v>207.80974802762216</v>
      </c>
      <c r="N259" s="132">
        <v>2.3197507693100423</v>
      </c>
      <c r="O259" s="132">
        <f t="shared" si="5"/>
        <v>-2.3197507693100423</v>
      </c>
      <c r="P259" s="132">
        <v>-10.236933400375476</v>
      </c>
      <c r="Q259" s="143">
        <v>10.236933400375476</v>
      </c>
      <c r="R259" s="33">
        <v>1776.5329105268427</v>
      </c>
      <c r="S259" s="143">
        <v>-253.46708947315733</v>
      </c>
      <c r="T259" s="143">
        <v>253.46708947315733</v>
      </c>
      <c r="U259" s="132">
        <v>2.405631622490378</v>
      </c>
      <c r="V259" s="132">
        <v>-12.486063520845189</v>
      </c>
      <c r="W259" s="103">
        <v>12.486063520845189</v>
      </c>
    </row>
    <row r="260" spans="1:23" x14ac:dyDescent="0.15">
      <c r="A260" s="103" t="s">
        <v>16</v>
      </c>
      <c r="B260" s="126" t="s">
        <v>604</v>
      </c>
      <c r="C260" s="24" t="s">
        <v>976</v>
      </c>
      <c r="D260" s="24" t="s">
        <v>403</v>
      </c>
      <c r="E260" s="24" t="s">
        <v>96</v>
      </c>
      <c r="F260" s="103" t="s">
        <v>968</v>
      </c>
      <c r="G260" s="103">
        <v>1</v>
      </c>
      <c r="H260" s="128" t="s">
        <v>293</v>
      </c>
      <c r="I260" s="49" t="s">
        <v>580</v>
      </c>
      <c r="J260" s="34">
        <v>1985.9</v>
      </c>
      <c r="K260" s="132">
        <v>1776.7069426066694</v>
      </c>
      <c r="L260" s="132">
        <v>-209.19305739333072</v>
      </c>
      <c r="M260" s="132">
        <v>209.19305739333072</v>
      </c>
      <c r="N260" s="132">
        <v>2.3226183673270455</v>
      </c>
      <c r="O260" s="132">
        <f t="shared" si="5"/>
        <v>-2.3226183673270455</v>
      </c>
      <c r="P260" s="132">
        <v>-10.533916984406602</v>
      </c>
      <c r="Q260" s="143">
        <v>10.533916984406602</v>
      </c>
      <c r="R260" s="33">
        <v>1738.3588490010368</v>
      </c>
      <c r="S260" s="143">
        <v>-247.5411509989633</v>
      </c>
      <c r="T260" s="143">
        <v>247.5411509989633</v>
      </c>
      <c r="U260" s="132">
        <v>2.3953983052310681</v>
      </c>
      <c r="V260" s="132">
        <v>-12.464935344124241</v>
      </c>
      <c r="W260" s="103">
        <v>12.464935344124241</v>
      </c>
    </row>
    <row r="261" spans="1:23" x14ac:dyDescent="0.15">
      <c r="A261" s="103" t="s">
        <v>16</v>
      </c>
      <c r="B261" s="127" t="s">
        <v>714</v>
      </c>
      <c r="C261" s="24" t="s">
        <v>976</v>
      </c>
      <c r="D261" s="24" t="s">
        <v>458</v>
      </c>
      <c r="E261" s="24" t="s">
        <v>82</v>
      </c>
      <c r="F261" s="103" t="s">
        <v>968</v>
      </c>
      <c r="G261" s="103">
        <v>1</v>
      </c>
      <c r="H261" s="124" t="s">
        <v>293</v>
      </c>
      <c r="I261" s="27" t="s">
        <v>580</v>
      </c>
      <c r="J261" s="34">
        <v>1890</v>
      </c>
      <c r="K261" s="132">
        <v>1671.8795032376424</v>
      </c>
      <c r="L261" s="132">
        <v>-218.12049676235756</v>
      </c>
      <c r="M261" s="132">
        <v>218.12049676235756</v>
      </c>
      <c r="N261" s="132">
        <v>2.3406830038247026</v>
      </c>
      <c r="O261" s="132">
        <f t="shared" si="5"/>
        <v>-2.3406830038247026</v>
      </c>
      <c r="P261" s="132">
        <v>-11.540767024463364</v>
      </c>
      <c r="Q261" s="143">
        <v>11.540767024463364</v>
      </c>
      <c r="R261" s="33">
        <v>1701.9139631565849</v>
      </c>
      <c r="S261" s="143">
        <v>-188.08603684341506</v>
      </c>
      <c r="T261" s="143">
        <v>188.08603684341506</v>
      </c>
      <c r="U261" s="132">
        <v>2.2766594593275706</v>
      </c>
      <c r="V261" s="132">
        <v>-9.9516421610272516</v>
      </c>
      <c r="W261" s="103">
        <v>9.9516421610272516</v>
      </c>
    </row>
    <row r="262" spans="1:23" x14ac:dyDescent="0.15">
      <c r="A262" s="103" t="s">
        <v>16</v>
      </c>
      <c r="B262" s="127" t="s">
        <v>715</v>
      </c>
      <c r="C262" s="24" t="s">
        <v>976</v>
      </c>
      <c r="D262" s="24" t="s">
        <v>458</v>
      </c>
      <c r="E262" s="24" t="s">
        <v>82</v>
      </c>
      <c r="F262" s="103" t="s">
        <v>968</v>
      </c>
      <c r="G262" s="103">
        <v>1</v>
      </c>
      <c r="H262" s="124" t="s">
        <v>293</v>
      </c>
      <c r="I262" s="31" t="s">
        <v>580</v>
      </c>
      <c r="J262" s="34">
        <v>1940</v>
      </c>
      <c r="K262" s="132">
        <v>1720.5438555285875</v>
      </c>
      <c r="L262" s="132">
        <v>-219.45614447141247</v>
      </c>
      <c r="M262" s="132">
        <v>219.45614447141247</v>
      </c>
      <c r="N262" s="132">
        <v>2.3433222078248064</v>
      </c>
      <c r="O262" s="132">
        <f t="shared" si="5"/>
        <v>-2.3433222078248064</v>
      </c>
      <c r="P262" s="132">
        <v>-11.312172395433633</v>
      </c>
      <c r="Q262" s="143">
        <v>11.312172395433633</v>
      </c>
      <c r="R262" s="33">
        <v>1690.4777383073251</v>
      </c>
      <c r="S262" s="143">
        <v>-249.52226169267487</v>
      </c>
      <c r="T262" s="143">
        <v>249.52226169267487</v>
      </c>
      <c r="U262" s="132">
        <v>2.3988463238188862</v>
      </c>
      <c r="V262" s="132">
        <v>-12.861972252199736</v>
      </c>
      <c r="W262" s="103">
        <v>12.861972252199736</v>
      </c>
    </row>
    <row r="263" spans="1:23" x14ac:dyDescent="0.15">
      <c r="A263" s="103" t="s">
        <v>16</v>
      </c>
      <c r="B263" s="131" t="s">
        <v>252</v>
      </c>
      <c r="C263" s="24" t="s">
        <v>980</v>
      </c>
      <c r="D263" s="24" t="s">
        <v>403</v>
      </c>
      <c r="E263" s="24" t="s">
        <v>82</v>
      </c>
      <c r="F263" s="103" t="s">
        <v>968</v>
      </c>
      <c r="G263" s="103">
        <v>1</v>
      </c>
      <c r="H263" s="124" t="s">
        <v>374</v>
      </c>
      <c r="I263" s="27" t="s">
        <v>580</v>
      </c>
      <c r="J263" s="34">
        <v>1193.83</v>
      </c>
      <c r="K263" s="132">
        <v>968.47466423808146</v>
      </c>
      <c r="L263" s="132">
        <v>-225.35533576191847</v>
      </c>
      <c r="M263" s="132">
        <v>225.35533576191847</v>
      </c>
      <c r="N263" s="132">
        <v>2.3547907363600786</v>
      </c>
      <c r="O263" s="132">
        <f t="shared" si="5"/>
        <v>-2.3547907363600786</v>
      </c>
      <c r="P263" s="132">
        <v>-18.876668852509862</v>
      </c>
      <c r="Q263" s="143">
        <v>18.876668852509862</v>
      </c>
      <c r="R263" s="33">
        <v>1000.16</v>
      </c>
      <c r="S263" s="143">
        <v>-193.66999999999996</v>
      </c>
      <c r="T263" s="143">
        <v>193.66999999999996</v>
      </c>
      <c r="U263" s="132">
        <v>2.2892990288784163</v>
      </c>
      <c r="V263" s="132">
        <v>-16.222577753951565</v>
      </c>
      <c r="W263" s="103">
        <v>16.222577753951565</v>
      </c>
    </row>
    <row r="264" spans="1:23" x14ac:dyDescent="0.15">
      <c r="A264" s="103" t="s">
        <v>16</v>
      </c>
      <c r="B264" s="103" t="s">
        <v>252</v>
      </c>
      <c r="C264" s="103" t="s">
        <v>970</v>
      </c>
      <c r="D264" s="103" t="s">
        <v>403</v>
      </c>
      <c r="E264" s="103" t="s">
        <v>82</v>
      </c>
      <c r="F264" s="103" t="s">
        <v>967</v>
      </c>
      <c r="G264" s="103">
        <v>0</v>
      </c>
      <c r="H264" s="120" t="s">
        <v>374</v>
      </c>
      <c r="I264" s="132" t="s">
        <v>580</v>
      </c>
      <c r="J264" s="132">
        <v>1193.83</v>
      </c>
      <c r="K264" s="132">
        <v>958.8127300000001</v>
      </c>
      <c r="L264" s="132">
        <v>-235.01726999999983</v>
      </c>
      <c r="M264" s="132">
        <v>235.01726999999983</v>
      </c>
      <c r="N264" s="132">
        <v>2.372943782594211</v>
      </c>
      <c r="O264" s="132">
        <f t="shared" si="5"/>
        <v>-2.372943782594211</v>
      </c>
      <c r="P264" s="132">
        <v>-19.685991305294714</v>
      </c>
      <c r="Q264" s="132">
        <v>19.685991305294714</v>
      </c>
      <c r="R264" s="132">
        <v>959.91206080000018</v>
      </c>
      <c r="S264" s="132">
        <v>-233.91793919999975</v>
      </c>
      <c r="T264" s="132">
        <v>233.91793919999975</v>
      </c>
      <c r="U264" s="132">
        <v>2.3709161823718645</v>
      </c>
      <c r="V264" s="132">
        <v>-19.593906938173756</v>
      </c>
      <c r="W264" s="113">
        <v>19.593906938173756</v>
      </c>
    </row>
    <row r="265" spans="1:23" x14ac:dyDescent="0.15">
      <c r="A265" s="103" t="s">
        <v>16</v>
      </c>
      <c r="B265" s="125" t="s">
        <v>252</v>
      </c>
      <c r="C265" s="103" t="s">
        <v>971</v>
      </c>
      <c r="D265" s="24" t="s">
        <v>403</v>
      </c>
      <c r="E265" s="24" t="s">
        <v>82</v>
      </c>
      <c r="F265" s="103" t="s">
        <v>968</v>
      </c>
      <c r="G265" s="103">
        <v>1</v>
      </c>
      <c r="H265" s="124" t="s">
        <v>374</v>
      </c>
      <c r="I265" s="31" t="s">
        <v>580</v>
      </c>
      <c r="J265" s="34">
        <v>1193.83</v>
      </c>
      <c r="K265" s="132">
        <v>956.35685969261465</v>
      </c>
      <c r="L265" s="132">
        <v>-237.47314030738528</v>
      </c>
      <c r="M265" s="132">
        <v>237.47314030738528</v>
      </c>
      <c r="N265" s="132">
        <v>2.3774394707002826</v>
      </c>
      <c r="O265" s="132">
        <f t="shared" si="5"/>
        <v>-2.3774394707002826</v>
      </c>
      <c r="P265" s="132">
        <v>-19.891704874846948</v>
      </c>
      <c r="Q265" s="143">
        <v>19.891704874846948</v>
      </c>
      <c r="R265" s="33">
        <v>958.47797516019955</v>
      </c>
      <c r="S265" s="143">
        <v>-235.35202483980038</v>
      </c>
      <c r="T265" s="143">
        <v>235.35202483980038</v>
      </c>
      <c r="U265" s="132">
        <v>2.3735593272777531</v>
      </c>
      <c r="V265" s="132">
        <v>-19.714031716391812</v>
      </c>
      <c r="W265" s="103">
        <v>19.714031716391812</v>
      </c>
    </row>
    <row r="266" spans="1:23" x14ac:dyDescent="0.15">
      <c r="A266" s="103" t="s">
        <v>16</v>
      </c>
      <c r="B266" s="103" t="s">
        <v>58</v>
      </c>
      <c r="C266" s="103" t="s">
        <v>970</v>
      </c>
      <c r="D266" s="103" t="s">
        <v>403</v>
      </c>
      <c r="E266" s="103" t="s">
        <v>900</v>
      </c>
      <c r="F266" s="103" t="s">
        <v>967</v>
      </c>
      <c r="G266" s="103">
        <v>0</v>
      </c>
      <c r="H266" s="120" t="s">
        <v>203</v>
      </c>
      <c r="I266" s="132" t="s">
        <v>581</v>
      </c>
      <c r="J266" s="132">
        <v>2949</v>
      </c>
      <c r="K266" s="132">
        <v>2700.1023</v>
      </c>
      <c r="L266" s="132">
        <v>-248.89769999999999</v>
      </c>
      <c r="M266" s="132">
        <v>248.89769999999999</v>
      </c>
      <c r="N266" s="132">
        <v>2.397762258999979</v>
      </c>
      <c r="O266" s="132">
        <f t="shared" si="5"/>
        <v>-2.397762258999979</v>
      </c>
      <c r="P266" s="132">
        <v>-8.4400712105798572</v>
      </c>
      <c r="Q266" s="132">
        <v>8.4400712105798572</v>
      </c>
      <c r="R266" s="132">
        <v>2619.0513400000004</v>
      </c>
      <c r="S266" s="132">
        <v>-329.94865999999956</v>
      </c>
      <c r="T266" s="132">
        <v>329.94865999999956</v>
      </c>
      <c r="U266" s="132">
        <v>2.5197606269840227</v>
      </c>
      <c r="V266" s="132">
        <v>-11.188493048490999</v>
      </c>
      <c r="W266" s="113">
        <v>11.188493048490999</v>
      </c>
    </row>
    <row r="267" spans="1:23" x14ac:dyDescent="0.15">
      <c r="A267" s="103" t="s">
        <v>16</v>
      </c>
      <c r="B267" s="116" t="s">
        <v>58</v>
      </c>
      <c r="C267" s="24" t="s">
        <v>976</v>
      </c>
      <c r="D267" s="24" t="s">
        <v>403</v>
      </c>
      <c r="E267" s="24" t="s">
        <v>900</v>
      </c>
      <c r="F267" s="103" t="s">
        <v>968</v>
      </c>
      <c r="G267" s="103">
        <v>1</v>
      </c>
      <c r="H267" s="120" t="s">
        <v>203</v>
      </c>
      <c r="I267" s="27" t="s">
        <v>581</v>
      </c>
      <c r="J267" s="34">
        <v>2949</v>
      </c>
      <c r="K267" s="132">
        <v>2696.9315669929601</v>
      </c>
      <c r="L267" s="132">
        <v>-252.06843300703986</v>
      </c>
      <c r="M267" s="132">
        <v>252.06843300703986</v>
      </c>
      <c r="N267" s="132">
        <v>2.4032379759529992</v>
      </c>
      <c r="O267" s="132">
        <f t="shared" si="5"/>
        <v>-2.4032379759529992</v>
      </c>
      <c r="P267" s="132">
        <v>-8.5475901324869401</v>
      </c>
      <c r="Q267" s="143">
        <v>8.5475901324869401</v>
      </c>
      <c r="R267" s="33">
        <v>2636.2293869756254</v>
      </c>
      <c r="S267" s="143">
        <v>-312.7706130243746</v>
      </c>
      <c r="T267" s="143">
        <v>312.7706130243746</v>
      </c>
      <c r="U267" s="132">
        <v>2.4966122662139769</v>
      </c>
      <c r="V267" s="132">
        <v>-10.60598891232196</v>
      </c>
      <c r="W267" s="103">
        <v>10.60598891232196</v>
      </c>
    </row>
    <row r="268" spans="1:23" x14ac:dyDescent="0.15">
      <c r="A268" s="103" t="s">
        <v>16</v>
      </c>
      <c r="B268" s="127" t="s">
        <v>50</v>
      </c>
      <c r="C268" s="24" t="s">
        <v>980</v>
      </c>
      <c r="D268" s="24" t="s">
        <v>403</v>
      </c>
      <c r="E268" s="24" t="s">
        <v>82</v>
      </c>
      <c r="F268" s="103" t="s">
        <v>968</v>
      </c>
      <c r="G268" s="103">
        <v>1</v>
      </c>
      <c r="H268" s="124" t="s">
        <v>203</v>
      </c>
      <c r="I268" s="27" t="s">
        <v>581</v>
      </c>
      <c r="J268" s="34">
        <v>2873</v>
      </c>
      <c r="K268" s="132">
        <v>3126.6343271442265</v>
      </c>
      <c r="L268" s="132">
        <v>253.63432714422652</v>
      </c>
      <c r="M268" s="132">
        <v>253.63432714422652</v>
      </c>
      <c r="N268" s="132">
        <v>2.4059169503168327</v>
      </c>
      <c r="O268" s="132">
        <f t="shared" si="5"/>
        <v>2.4059169503168327</v>
      </c>
      <c r="P268" s="132">
        <v>8.8282049127819882</v>
      </c>
      <c r="Q268" s="143">
        <v>8.8282049127819882</v>
      </c>
      <c r="R268" s="33">
        <v>2730</v>
      </c>
      <c r="S268" s="143">
        <v>-143</v>
      </c>
      <c r="T268" s="143">
        <v>143</v>
      </c>
      <c r="U268" s="132">
        <v>2.1583624920952498</v>
      </c>
      <c r="V268" s="132">
        <v>-4.9773755656108598</v>
      </c>
      <c r="W268" s="103">
        <v>4.9773755656108598</v>
      </c>
    </row>
    <row r="269" spans="1:23" x14ac:dyDescent="0.15">
      <c r="A269" s="103" t="s">
        <v>16</v>
      </c>
      <c r="B269" s="131" t="s">
        <v>616</v>
      </c>
      <c r="C269" s="103" t="s">
        <v>971</v>
      </c>
      <c r="D269" s="24" t="s">
        <v>403</v>
      </c>
      <c r="E269" s="24" t="s">
        <v>82</v>
      </c>
      <c r="F269" s="103" t="s">
        <v>968</v>
      </c>
      <c r="G269" s="103">
        <v>1</v>
      </c>
      <c r="H269" s="124" t="s">
        <v>293</v>
      </c>
      <c r="I269" s="27" t="s">
        <v>580</v>
      </c>
      <c r="J269" s="34">
        <v>2298</v>
      </c>
      <c r="K269" s="132">
        <v>2027.034734565299</v>
      </c>
      <c r="L269" s="132">
        <v>-270.965265434701</v>
      </c>
      <c r="M269" s="132">
        <v>270.965265434701</v>
      </c>
      <c r="N269" s="132">
        <v>2.4345134408235132</v>
      </c>
      <c r="O269" s="132">
        <f t="shared" si="5"/>
        <v>-2.4345134408235132</v>
      </c>
      <c r="P269" s="132">
        <v>-11.791351846592732</v>
      </c>
      <c r="Q269" s="143">
        <v>11.791351846592732</v>
      </c>
      <c r="R269" s="33">
        <v>1936.946195992211</v>
      </c>
      <c r="S269" s="143">
        <v>-361.05380400778904</v>
      </c>
      <c r="T269" s="143">
        <v>361.05380400778904</v>
      </c>
      <c r="U269" s="132">
        <v>2.5587731148628845</v>
      </c>
      <c r="V269" s="132">
        <v>-15.711653786239731</v>
      </c>
      <c r="W269" s="103">
        <v>15.711653786239731</v>
      </c>
    </row>
    <row r="270" spans="1:23" x14ac:dyDescent="0.15">
      <c r="A270" s="103" t="s">
        <v>16</v>
      </c>
      <c r="B270" s="103" t="s">
        <v>415</v>
      </c>
      <c r="C270" s="103" t="s">
        <v>970</v>
      </c>
      <c r="D270" s="103" t="s">
        <v>458</v>
      </c>
      <c r="E270" s="103" t="s">
        <v>82</v>
      </c>
      <c r="F270" s="103" t="s">
        <v>967</v>
      </c>
      <c r="G270" s="103">
        <v>0</v>
      </c>
      <c r="H270" s="120" t="s">
        <v>203</v>
      </c>
      <c r="I270" s="132" t="s">
        <v>581</v>
      </c>
      <c r="J270" s="132">
        <v>2790</v>
      </c>
      <c r="K270" s="132">
        <v>2515.172</v>
      </c>
      <c r="L270" s="132">
        <v>-274.82799999999997</v>
      </c>
      <c r="M270" s="132">
        <v>274.82799999999997</v>
      </c>
      <c r="N270" s="132">
        <v>2.4406383504122156</v>
      </c>
      <c r="O270" s="132">
        <f t="shared" si="5"/>
        <v>-2.4406383504122156</v>
      </c>
      <c r="P270" s="132">
        <v>-9.8504659498207872</v>
      </c>
      <c r="Q270" s="132">
        <v>9.8504659498207872</v>
      </c>
      <c r="R270" s="132">
        <v>2465.2719999999999</v>
      </c>
      <c r="S270" s="132">
        <v>-324.72800000000007</v>
      </c>
      <c r="T270" s="132">
        <v>324.72800000000007</v>
      </c>
      <c r="U270" s="132">
        <v>2.5128550926846862</v>
      </c>
      <c r="V270" s="132">
        <v>-11.638996415770611</v>
      </c>
      <c r="W270" s="133">
        <v>11.638996415770611</v>
      </c>
    </row>
    <row r="271" spans="1:23" x14ac:dyDescent="0.15">
      <c r="A271" s="103" t="s">
        <v>16</v>
      </c>
      <c r="B271" s="126" t="s">
        <v>252</v>
      </c>
      <c r="C271" s="24" t="s">
        <v>976</v>
      </c>
      <c r="D271" s="24" t="s">
        <v>403</v>
      </c>
      <c r="E271" s="24" t="s">
        <v>82</v>
      </c>
      <c r="F271" s="103" t="s">
        <v>968</v>
      </c>
      <c r="G271" s="103">
        <v>1</v>
      </c>
      <c r="H271" s="128" t="s">
        <v>374</v>
      </c>
      <c r="I271" s="49" t="s">
        <v>580</v>
      </c>
      <c r="J271" s="34">
        <v>1193.83</v>
      </c>
      <c r="K271" s="132">
        <v>897.02911199142227</v>
      </c>
      <c r="L271" s="132">
        <v>-296.80088800857766</v>
      </c>
      <c r="M271" s="132">
        <v>296.80088800857766</v>
      </c>
      <c r="N271" s="132">
        <v>2.4739259884351306</v>
      </c>
      <c r="O271" s="132">
        <f t="shared" si="5"/>
        <v>-2.4739259884351306</v>
      </c>
      <c r="P271" s="132">
        <v>-24.861235520013544</v>
      </c>
      <c r="Q271" s="143">
        <v>24.861235520013544</v>
      </c>
      <c r="R271" s="33">
        <v>876.59100091937466</v>
      </c>
      <c r="S271" s="143">
        <v>-317.23899908062526</v>
      </c>
      <c r="T271" s="143">
        <v>317.23899908062526</v>
      </c>
      <c r="U271" s="132">
        <v>2.5027533998475899</v>
      </c>
      <c r="V271" s="132">
        <v>-26.573213864672965</v>
      </c>
      <c r="W271" s="103">
        <v>26.573213864672965</v>
      </c>
    </row>
    <row r="272" spans="1:23" x14ac:dyDescent="0.15">
      <c r="A272" s="103" t="s">
        <v>16</v>
      </c>
      <c r="B272" s="127" t="s">
        <v>415</v>
      </c>
      <c r="C272" s="24" t="s">
        <v>976</v>
      </c>
      <c r="D272" s="24" t="s">
        <v>458</v>
      </c>
      <c r="E272" s="24" t="s">
        <v>82</v>
      </c>
      <c r="F272" s="103" t="s">
        <v>968</v>
      </c>
      <c r="G272" s="103">
        <v>1</v>
      </c>
      <c r="H272" s="124" t="s">
        <v>203</v>
      </c>
      <c r="I272" s="24" t="s">
        <v>581</v>
      </c>
      <c r="J272" s="34">
        <v>2790</v>
      </c>
      <c r="K272" s="132">
        <v>2493.1385483301624</v>
      </c>
      <c r="L272" s="132">
        <v>-296.86145166983761</v>
      </c>
      <c r="M272" s="132">
        <v>296.86145166983761</v>
      </c>
      <c r="N272" s="132">
        <v>2.4740143017704805</v>
      </c>
      <c r="O272" s="132">
        <f t="shared" si="5"/>
        <v>-2.4740143017704805</v>
      </c>
      <c r="P272" s="132">
        <v>-10.640195400352603</v>
      </c>
      <c r="Q272" s="143">
        <v>10.640195400352603</v>
      </c>
      <c r="R272" s="33">
        <v>2462.216689172727</v>
      </c>
      <c r="S272" s="143">
        <v>-327.783310827273</v>
      </c>
      <c r="T272" s="143">
        <v>327.783310827273</v>
      </c>
      <c r="U272" s="132">
        <v>2.5169097644654097</v>
      </c>
      <c r="V272" s="132">
        <v>-11.748505764418388</v>
      </c>
      <c r="W272" s="103">
        <v>11.748505764418388</v>
      </c>
    </row>
    <row r="273" spans="1:23" x14ac:dyDescent="0.15">
      <c r="A273" s="103" t="s">
        <v>16</v>
      </c>
      <c r="B273" s="127" t="s">
        <v>616</v>
      </c>
      <c r="C273" s="24" t="s">
        <v>980</v>
      </c>
      <c r="D273" s="24" t="s">
        <v>403</v>
      </c>
      <c r="E273" s="24" t="s">
        <v>82</v>
      </c>
      <c r="F273" s="103" t="s">
        <v>968</v>
      </c>
      <c r="G273" s="103">
        <v>1</v>
      </c>
      <c r="H273" s="124" t="s">
        <v>293</v>
      </c>
      <c r="I273" s="27" t="s">
        <v>580</v>
      </c>
      <c r="J273" s="34">
        <v>2298</v>
      </c>
      <c r="K273" s="132">
        <v>1988.047557906825</v>
      </c>
      <c r="L273" s="132">
        <v>-309.95244209317502</v>
      </c>
      <c r="M273" s="132">
        <v>309.95244209317502</v>
      </c>
      <c r="N273" s="132">
        <v>2.4926939719339947</v>
      </c>
      <c r="O273" s="132">
        <f t="shared" si="5"/>
        <v>-2.4926939719339947</v>
      </c>
      <c r="P273" s="132">
        <v>-13.487921762105092</v>
      </c>
      <c r="Q273" s="143">
        <v>13.487921762105092</v>
      </c>
      <c r="R273" s="33">
        <v>1848.4999999999998</v>
      </c>
      <c r="S273" s="143">
        <v>-449.50000000000023</v>
      </c>
      <c r="T273" s="143">
        <v>449.50000000000023</v>
      </c>
      <c r="U273" s="132">
        <v>2.653694795315082</v>
      </c>
      <c r="V273" s="132">
        <v>-19.560487380330731</v>
      </c>
      <c r="W273" s="103">
        <v>19.560487380330731</v>
      </c>
    </row>
    <row r="274" spans="1:23" x14ac:dyDescent="0.15">
      <c r="A274" s="103" t="s">
        <v>16</v>
      </c>
      <c r="B274" s="126" t="s">
        <v>714</v>
      </c>
      <c r="C274" s="103" t="s">
        <v>975</v>
      </c>
      <c r="D274" s="24" t="s">
        <v>458</v>
      </c>
      <c r="E274" s="24" t="s">
        <v>82</v>
      </c>
      <c r="F274" s="103" t="s">
        <v>967</v>
      </c>
      <c r="G274" s="103">
        <v>0</v>
      </c>
      <c r="H274" s="124" t="s">
        <v>293</v>
      </c>
      <c r="I274" s="45" t="s">
        <v>580</v>
      </c>
      <c r="J274" s="34">
        <v>1890</v>
      </c>
      <c r="K274" s="132">
        <v>2214.5</v>
      </c>
      <c r="L274" s="132">
        <v>324.5</v>
      </c>
      <c r="M274" s="132">
        <v>324.5</v>
      </c>
      <c r="N274" s="132">
        <v>2.5125509929042109</v>
      </c>
      <c r="O274" s="132">
        <f t="shared" si="5"/>
        <v>2.5125509929042109</v>
      </c>
      <c r="P274" s="132">
        <v>17.169312169312171</v>
      </c>
      <c r="Q274" s="143">
        <v>17.169312169312171</v>
      </c>
      <c r="R274" s="33">
        <v>2300.2999999999997</v>
      </c>
      <c r="S274" s="143">
        <v>410.29999999999973</v>
      </c>
      <c r="T274" s="143">
        <v>410.29999999999973</v>
      </c>
      <c r="U274" s="33">
        <v>2.6141587095091747</v>
      </c>
      <c r="V274" s="132">
        <v>21.708994708994695</v>
      </c>
      <c r="W274" s="103">
        <v>21.708994708994695</v>
      </c>
    </row>
    <row r="275" spans="1:23" x14ac:dyDescent="0.15">
      <c r="A275" s="103" t="s">
        <v>16</v>
      </c>
      <c r="B275" s="127" t="s">
        <v>607</v>
      </c>
      <c r="C275" s="103" t="s">
        <v>975</v>
      </c>
      <c r="D275" s="24" t="s">
        <v>403</v>
      </c>
      <c r="E275" s="24" t="s">
        <v>148</v>
      </c>
      <c r="F275" s="103" t="s">
        <v>967</v>
      </c>
      <c r="G275" s="103">
        <v>0</v>
      </c>
      <c r="H275" s="124" t="s">
        <v>374</v>
      </c>
      <c r="I275" s="31" t="s">
        <v>580</v>
      </c>
      <c r="J275" s="34">
        <v>1439.3</v>
      </c>
      <c r="K275" s="132">
        <v>1765.6999999999998</v>
      </c>
      <c r="L275" s="132">
        <v>326.39999999999986</v>
      </c>
      <c r="M275" s="132">
        <v>326.39999999999986</v>
      </c>
      <c r="N275" s="132">
        <v>2.5150786750759226</v>
      </c>
      <c r="O275" s="132">
        <f t="shared" si="5"/>
        <v>2.5150786750759226</v>
      </c>
      <c r="P275" s="132">
        <v>22.677690544014443</v>
      </c>
      <c r="Q275" s="143">
        <v>22.677690544014443</v>
      </c>
      <c r="R275" s="33">
        <v>1759.7599999999998</v>
      </c>
      <c r="S275" s="143">
        <v>320.45999999999981</v>
      </c>
      <c r="T275" s="143">
        <v>320.45999999999981</v>
      </c>
      <c r="U275" s="132">
        <v>2.5071269403705476</v>
      </c>
      <c r="V275" s="132">
        <v>22.264989925658295</v>
      </c>
      <c r="W275" s="103">
        <v>22.264989925658295</v>
      </c>
    </row>
    <row r="276" spans="1:23" x14ac:dyDescent="0.15">
      <c r="A276" s="103" t="s">
        <v>16</v>
      </c>
      <c r="B276" s="127" t="s">
        <v>615</v>
      </c>
      <c r="C276" s="103" t="s">
        <v>975</v>
      </c>
      <c r="D276" s="24" t="s">
        <v>403</v>
      </c>
      <c r="E276" s="24" t="s">
        <v>148</v>
      </c>
      <c r="F276" s="103" t="s">
        <v>967</v>
      </c>
      <c r="G276" s="103">
        <v>0</v>
      </c>
      <c r="H276" s="124" t="s">
        <v>374</v>
      </c>
      <c r="I276" s="31" t="s">
        <v>580</v>
      </c>
      <c r="J276" s="34">
        <v>1168</v>
      </c>
      <c r="K276" s="132">
        <v>1501.2344000000001</v>
      </c>
      <c r="L276" s="132">
        <v>333.23440000000005</v>
      </c>
      <c r="M276" s="132">
        <v>333.23440000000005</v>
      </c>
      <c r="N276" s="132">
        <v>2.5240511462196684</v>
      </c>
      <c r="O276" s="132">
        <f t="shared" si="5"/>
        <v>2.5240511462196684</v>
      </c>
      <c r="P276" s="132">
        <v>28.530342465753428</v>
      </c>
      <c r="Q276" s="143">
        <v>28.530342465753428</v>
      </c>
      <c r="R276" s="33">
        <v>1487.306</v>
      </c>
      <c r="S276" s="143">
        <v>319.30600000000004</v>
      </c>
      <c r="T276" s="143">
        <v>319.30600000000004</v>
      </c>
      <c r="U276" s="132">
        <v>2.5055650739822282</v>
      </c>
      <c r="V276" s="132">
        <v>27.337842465753429</v>
      </c>
      <c r="W276" s="103">
        <v>27.337842465753429</v>
      </c>
    </row>
    <row r="277" spans="1:23" x14ac:dyDescent="0.15">
      <c r="A277" s="103" t="s">
        <v>16</v>
      </c>
      <c r="B277" s="127" t="s">
        <v>606</v>
      </c>
      <c r="C277" s="103" t="s">
        <v>975</v>
      </c>
      <c r="D277" s="24" t="s">
        <v>403</v>
      </c>
      <c r="E277" s="24" t="s">
        <v>148</v>
      </c>
      <c r="F277" s="103" t="s">
        <v>967</v>
      </c>
      <c r="G277" s="103">
        <v>0</v>
      </c>
      <c r="H277" s="124" t="s">
        <v>374</v>
      </c>
      <c r="I277" s="31" t="s">
        <v>580</v>
      </c>
      <c r="J277" s="34">
        <v>1196.7</v>
      </c>
      <c r="K277" s="132">
        <v>1530.0392000000002</v>
      </c>
      <c r="L277" s="132">
        <v>333.33920000000012</v>
      </c>
      <c r="M277" s="132">
        <v>333.33920000000012</v>
      </c>
      <c r="N277" s="132">
        <v>2.5241872989546144</v>
      </c>
      <c r="O277" s="132">
        <f t="shared" si="5"/>
        <v>2.5241872989546144</v>
      </c>
      <c r="P277" s="132">
        <v>27.854867552435874</v>
      </c>
      <c r="Q277" s="143">
        <v>27.854867552435874</v>
      </c>
      <c r="R277" s="33">
        <v>1571.7800000000002</v>
      </c>
      <c r="S277" s="143">
        <v>375.08000000000015</v>
      </c>
      <c r="T277" s="143">
        <v>375.08000000000015</v>
      </c>
      <c r="U277" s="132">
        <v>2.5752802381801962</v>
      </c>
      <c r="V277" s="132">
        <v>31.342859530375211</v>
      </c>
      <c r="W277" s="103">
        <v>31.342859530375211</v>
      </c>
    </row>
    <row r="278" spans="1:23" x14ac:dyDescent="0.15">
      <c r="A278" s="103" t="s">
        <v>16</v>
      </c>
      <c r="B278" s="126" t="s">
        <v>715</v>
      </c>
      <c r="C278" s="103" t="s">
        <v>975</v>
      </c>
      <c r="D278" s="24" t="s">
        <v>458</v>
      </c>
      <c r="E278" s="24" t="s">
        <v>82</v>
      </c>
      <c r="F278" s="103" t="s">
        <v>967</v>
      </c>
      <c r="G278" s="103">
        <v>0</v>
      </c>
      <c r="H278" s="124" t="s">
        <v>293</v>
      </c>
      <c r="I278" s="45" t="s">
        <v>580</v>
      </c>
      <c r="J278" s="34">
        <v>1940</v>
      </c>
      <c r="K278" s="132">
        <v>2279.7800000000002</v>
      </c>
      <c r="L278" s="132">
        <v>339.7800000000002</v>
      </c>
      <c r="M278" s="132">
        <v>339.7800000000002</v>
      </c>
      <c r="N278" s="132">
        <v>2.5324740985814125</v>
      </c>
      <c r="O278" s="132">
        <f t="shared" si="5"/>
        <v>2.5324740985814125</v>
      </c>
      <c r="P278" s="132">
        <v>17.514432989690732</v>
      </c>
      <c r="Q278" s="143">
        <v>17.514432989690732</v>
      </c>
      <c r="R278" s="33">
        <v>2284.6999999999998</v>
      </c>
      <c r="S278" s="143">
        <v>344.69999999999982</v>
      </c>
      <c r="T278" s="143">
        <v>344.69999999999982</v>
      </c>
      <c r="U278" s="33">
        <v>2.5386993795424067</v>
      </c>
      <c r="V278" s="132">
        <v>17.768041237113394</v>
      </c>
      <c r="W278" s="103">
        <v>17.768041237113394</v>
      </c>
    </row>
    <row r="279" spans="1:23" x14ac:dyDescent="0.15">
      <c r="A279" s="103" t="s">
        <v>16</v>
      </c>
      <c r="B279" s="127" t="s">
        <v>808</v>
      </c>
      <c r="C279" s="103" t="s">
        <v>975</v>
      </c>
      <c r="D279" s="24" t="s">
        <v>824</v>
      </c>
      <c r="E279" s="24" t="s">
        <v>148</v>
      </c>
      <c r="F279" s="103" t="s">
        <v>967</v>
      </c>
      <c r="G279" s="103">
        <v>0</v>
      </c>
      <c r="H279" s="124" t="s">
        <v>374</v>
      </c>
      <c r="I279" s="27" t="s">
        <v>580</v>
      </c>
      <c r="J279" s="34">
        <v>1450</v>
      </c>
      <c r="K279" s="132">
        <v>1790.1799999999998</v>
      </c>
      <c r="L279" s="132">
        <v>340.17999999999984</v>
      </c>
      <c r="M279" s="132">
        <v>340.17999999999984</v>
      </c>
      <c r="N279" s="132">
        <v>2.5329835648629619</v>
      </c>
      <c r="O279" s="132">
        <f t="shared" si="5"/>
        <v>2.5329835648629619</v>
      </c>
      <c r="P279" s="132">
        <v>23.460689655172402</v>
      </c>
      <c r="Q279" s="143">
        <v>23.460689655172402</v>
      </c>
      <c r="R279" s="33">
        <v>1855.6999999999998</v>
      </c>
      <c r="S279" s="143">
        <v>405.69999999999982</v>
      </c>
      <c r="T279" s="143">
        <v>405.69999999999982</v>
      </c>
      <c r="U279" s="132">
        <v>2.6092741724045876</v>
      </c>
      <c r="V279" s="132">
        <v>27.979310344827574</v>
      </c>
      <c r="W279" s="103">
        <v>27.979310344827574</v>
      </c>
    </row>
    <row r="280" spans="1:23" x14ac:dyDescent="0.15">
      <c r="A280" s="103" t="s">
        <v>16</v>
      </c>
      <c r="B280" s="127" t="s">
        <v>813</v>
      </c>
      <c r="C280" s="103" t="s">
        <v>975</v>
      </c>
      <c r="D280" s="24" t="s">
        <v>824</v>
      </c>
      <c r="E280" s="24" t="s">
        <v>148</v>
      </c>
      <c r="F280" s="103" t="s">
        <v>967</v>
      </c>
      <c r="G280" s="103">
        <v>0</v>
      </c>
      <c r="H280" s="124" t="s">
        <v>374</v>
      </c>
      <c r="I280" s="27" t="s">
        <v>580</v>
      </c>
      <c r="J280" s="34">
        <v>1427</v>
      </c>
      <c r="K280" s="132">
        <v>1782.02</v>
      </c>
      <c r="L280" s="132">
        <v>355.02</v>
      </c>
      <c r="M280" s="132">
        <v>355.02</v>
      </c>
      <c r="N280" s="132">
        <v>2.5514743958539468</v>
      </c>
      <c r="O280" s="132">
        <f t="shared" si="5"/>
        <v>2.5514743958539468</v>
      </c>
      <c r="P280" s="132">
        <v>24.878766643307639</v>
      </c>
      <c r="Q280" s="143">
        <v>24.878766643307639</v>
      </c>
      <c r="R280" s="33">
        <v>1808.9</v>
      </c>
      <c r="S280" s="143">
        <v>381.90000000000009</v>
      </c>
      <c r="T280" s="143">
        <v>381.90000000000009</v>
      </c>
      <c r="U280" s="132">
        <v>2.5830853663476878</v>
      </c>
      <c r="V280" s="132">
        <v>26.762438682550812</v>
      </c>
      <c r="W280" s="103">
        <v>26.762438682550812</v>
      </c>
    </row>
    <row r="281" spans="1:23" x14ac:dyDescent="0.15">
      <c r="A281" s="103" t="s">
        <v>16</v>
      </c>
      <c r="B281" s="127" t="s">
        <v>818</v>
      </c>
      <c r="C281" s="103" t="s">
        <v>975</v>
      </c>
      <c r="D281" s="24" t="s">
        <v>824</v>
      </c>
      <c r="E281" s="24" t="s">
        <v>148</v>
      </c>
      <c r="F281" s="103" t="s">
        <v>967</v>
      </c>
      <c r="G281" s="103">
        <v>0</v>
      </c>
      <c r="H281" s="124" t="s">
        <v>374</v>
      </c>
      <c r="I281" s="27" t="s">
        <v>580</v>
      </c>
      <c r="J281" s="34">
        <v>1360</v>
      </c>
      <c r="K281" s="132">
        <v>1716.7400000000002</v>
      </c>
      <c r="L281" s="132">
        <v>356.74000000000024</v>
      </c>
      <c r="M281" s="132">
        <v>356.74000000000024</v>
      </c>
      <c r="N281" s="132">
        <v>2.5535675026539857</v>
      </c>
      <c r="O281" s="132">
        <f t="shared" si="5"/>
        <v>2.5535675026539857</v>
      </c>
      <c r="P281" s="132">
        <v>26.230882352941194</v>
      </c>
      <c r="Q281" s="143">
        <v>26.230882352941194</v>
      </c>
      <c r="R281" s="33">
        <v>1723.1</v>
      </c>
      <c r="S281" s="143">
        <v>363.09999999999991</v>
      </c>
      <c r="T281" s="143">
        <v>363.09999999999991</v>
      </c>
      <c r="U281" s="132">
        <v>2.5612206789339438</v>
      </c>
      <c r="V281" s="132">
        <v>26.698529411764699</v>
      </c>
      <c r="W281" s="103">
        <v>26.698529411764699</v>
      </c>
    </row>
    <row r="282" spans="1:23" x14ac:dyDescent="0.15">
      <c r="A282" s="103" t="s">
        <v>16</v>
      </c>
      <c r="B282" s="127" t="s">
        <v>809</v>
      </c>
      <c r="C282" s="103" t="s">
        <v>975</v>
      </c>
      <c r="D282" s="24" t="s">
        <v>824</v>
      </c>
      <c r="E282" s="24" t="s">
        <v>148</v>
      </c>
      <c r="F282" s="103" t="s">
        <v>967</v>
      </c>
      <c r="G282" s="103">
        <v>0</v>
      </c>
      <c r="H282" s="124" t="s">
        <v>374</v>
      </c>
      <c r="I282" s="27" t="s">
        <v>580</v>
      </c>
      <c r="J282" s="34">
        <v>1333</v>
      </c>
      <c r="K282" s="132">
        <v>1692.2600000000002</v>
      </c>
      <c r="L282" s="132">
        <v>359.26000000000022</v>
      </c>
      <c r="M282" s="132">
        <v>359.26000000000022</v>
      </c>
      <c r="N282" s="132">
        <v>2.556616044682539</v>
      </c>
      <c r="O282" s="132">
        <f t="shared" si="5"/>
        <v>2.556616044682539</v>
      </c>
      <c r="P282" s="132">
        <v>26.95123780945238</v>
      </c>
      <c r="Q282" s="143">
        <v>26.95123780945238</v>
      </c>
      <c r="R282" s="33">
        <v>1723.1</v>
      </c>
      <c r="S282" s="143">
        <v>390.09999999999991</v>
      </c>
      <c r="T282" s="143">
        <v>390.09999999999991</v>
      </c>
      <c r="U282" s="132">
        <v>2.5922878159521305</v>
      </c>
      <c r="V282" s="132">
        <v>29.264816204051009</v>
      </c>
      <c r="W282" s="103">
        <v>29.264816204051009</v>
      </c>
    </row>
    <row r="283" spans="1:23" x14ac:dyDescent="0.15">
      <c r="A283" s="103" t="s">
        <v>16</v>
      </c>
      <c r="B283" s="103" t="s">
        <v>616</v>
      </c>
      <c r="C283" s="103" t="s">
        <v>970</v>
      </c>
      <c r="D283" s="103" t="s">
        <v>403</v>
      </c>
      <c r="E283" s="103" t="s">
        <v>82</v>
      </c>
      <c r="F283" s="103" t="s">
        <v>967</v>
      </c>
      <c r="G283" s="103">
        <v>0</v>
      </c>
      <c r="H283" s="120" t="s">
        <v>293</v>
      </c>
      <c r="I283" s="132" t="s">
        <v>580</v>
      </c>
      <c r="J283" s="132">
        <v>2298</v>
      </c>
      <c r="K283" s="132">
        <v>1932.1115</v>
      </c>
      <c r="L283" s="132">
        <v>-365.88850000000002</v>
      </c>
      <c r="M283" s="132">
        <v>365.88850000000002</v>
      </c>
      <c r="N283" s="132">
        <v>2.5645340991508383</v>
      </c>
      <c r="O283" s="132">
        <f t="shared" si="5"/>
        <v>-2.5645340991508383</v>
      </c>
      <c r="P283" s="132">
        <v>-15.922040905134903</v>
      </c>
      <c r="Q283" s="132">
        <v>15.922040905134903</v>
      </c>
      <c r="R283" s="132">
        <v>1872.1999299999998</v>
      </c>
      <c r="S283" s="132">
        <v>-425.80007000000023</v>
      </c>
      <c r="T283" s="132">
        <v>425.80007000000023</v>
      </c>
      <c r="U283" s="132">
        <v>2.6302244819816059</v>
      </c>
      <c r="V283" s="132">
        <v>-18.529158833768506</v>
      </c>
      <c r="W283" s="113">
        <v>18.529158833768506</v>
      </c>
    </row>
    <row r="284" spans="1:23" x14ac:dyDescent="0.15">
      <c r="A284" s="103" t="s">
        <v>16</v>
      </c>
      <c r="B284" s="127" t="s">
        <v>604</v>
      </c>
      <c r="C284" s="103" t="s">
        <v>975</v>
      </c>
      <c r="D284" s="24" t="s">
        <v>403</v>
      </c>
      <c r="E284" s="24" t="s">
        <v>96</v>
      </c>
      <c r="F284" s="103" t="s">
        <v>967</v>
      </c>
      <c r="G284" s="103">
        <v>0</v>
      </c>
      <c r="H284" s="124" t="s">
        <v>293</v>
      </c>
      <c r="I284" s="31" t="s">
        <v>580</v>
      </c>
      <c r="J284" s="34">
        <v>1985.9</v>
      </c>
      <c r="K284" s="132">
        <v>2354.7703999999999</v>
      </c>
      <c r="L284" s="132">
        <v>368.87039999999979</v>
      </c>
      <c r="M284" s="132">
        <v>368.87039999999979</v>
      </c>
      <c r="N284" s="132">
        <v>2.5680495769735838</v>
      </c>
      <c r="O284" s="132">
        <f t="shared" ref="O284:O347" si="6">SIGN(L284)*N284</f>
        <v>2.5680495769735838</v>
      </c>
      <c r="P284" s="132">
        <v>18.574470013595839</v>
      </c>
      <c r="Q284" s="143">
        <v>18.574470013595839</v>
      </c>
      <c r="R284" s="33">
        <v>2349.9079999999999</v>
      </c>
      <c r="S284" s="143">
        <v>364.00799999999981</v>
      </c>
      <c r="T284" s="143">
        <v>364.00799999999981</v>
      </c>
      <c r="U284" s="132">
        <v>2.5623023831353255</v>
      </c>
      <c r="V284" s="132">
        <v>18.329623848129302</v>
      </c>
      <c r="W284" s="103">
        <v>18.329623848129302</v>
      </c>
    </row>
    <row r="285" spans="1:23" x14ac:dyDescent="0.15">
      <c r="A285" s="103" t="s">
        <v>16</v>
      </c>
      <c r="B285" s="126" t="s">
        <v>822</v>
      </c>
      <c r="C285" s="103" t="s">
        <v>975</v>
      </c>
      <c r="D285" s="24" t="s">
        <v>824</v>
      </c>
      <c r="E285" s="24" t="s">
        <v>148</v>
      </c>
      <c r="F285" s="103" t="s">
        <v>967</v>
      </c>
      <c r="G285" s="103">
        <v>0</v>
      </c>
      <c r="H285" s="124" t="s">
        <v>374</v>
      </c>
      <c r="I285" s="31" t="s">
        <v>580</v>
      </c>
      <c r="J285" s="34">
        <v>1744</v>
      </c>
      <c r="K285" s="132">
        <v>2116.58</v>
      </c>
      <c r="L285" s="132">
        <v>372.57999999999993</v>
      </c>
      <c r="M285" s="132">
        <v>372.57999999999993</v>
      </c>
      <c r="N285" s="132">
        <v>2.5723836177664654</v>
      </c>
      <c r="O285" s="132">
        <f t="shared" si="6"/>
        <v>2.5723836177664654</v>
      </c>
      <c r="P285" s="132">
        <v>21.363532110091739</v>
      </c>
      <c r="Q285" s="143">
        <v>21.363532110091739</v>
      </c>
      <c r="R285" s="33">
        <v>2175.5</v>
      </c>
      <c r="S285" s="143">
        <v>431.5</v>
      </c>
      <c r="T285" s="143">
        <v>431.5</v>
      </c>
      <c r="U285" s="132">
        <v>2.635986111800833</v>
      </c>
      <c r="V285" s="132">
        <v>24.74197247706422</v>
      </c>
      <c r="W285" s="103">
        <v>24.74197247706422</v>
      </c>
    </row>
    <row r="286" spans="1:23" x14ac:dyDescent="0.15">
      <c r="A286" s="103" t="s">
        <v>16</v>
      </c>
      <c r="B286" s="27" t="s">
        <v>50</v>
      </c>
      <c r="C286" s="103" t="s">
        <v>971</v>
      </c>
      <c r="D286" s="24" t="s">
        <v>403</v>
      </c>
      <c r="E286" s="24" t="s">
        <v>82</v>
      </c>
      <c r="F286" s="103" t="s">
        <v>968</v>
      </c>
      <c r="G286" s="103">
        <v>1</v>
      </c>
      <c r="H286" s="124" t="s">
        <v>203</v>
      </c>
      <c r="I286" s="31" t="s">
        <v>581</v>
      </c>
      <c r="J286" s="34">
        <v>2873</v>
      </c>
      <c r="K286" s="132">
        <v>3252.8553174465833</v>
      </c>
      <c r="L286" s="132">
        <v>379.85531744658329</v>
      </c>
      <c r="M286" s="132">
        <v>379.85531744658329</v>
      </c>
      <c r="N286" s="132">
        <v>2.5807600235281631</v>
      </c>
      <c r="O286" s="132">
        <f t="shared" si="6"/>
        <v>2.5807600235281631</v>
      </c>
      <c r="P286" s="132">
        <v>13.221556472209651</v>
      </c>
      <c r="Q286" s="143">
        <v>13.221556472209651</v>
      </c>
      <c r="R286" s="33">
        <v>3027.4937094150023</v>
      </c>
      <c r="S286" s="143">
        <v>154.49370941500229</v>
      </c>
      <c r="T286" s="143">
        <v>154.49370941500229</v>
      </c>
      <c r="U286" s="132">
        <v>2.1917128240920309</v>
      </c>
      <c r="V286" s="132">
        <v>5.3774350649148026</v>
      </c>
      <c r="W286" s="103">
        <v>5.3774350649148026</v>
      </c>
    </row>
    <row r="287" spans="1:23" x14ac:dyDescent="0.15">
      <c r="A287" s="103" t="s">
        <v>16</v>
      </c>
      <c r="B287" s="127" t="s">
        <v>814</v>
      </c>
      <c r="C287" s="103" t="s">
        <v>975</v>
      </c>
      <c r="D287" s="24" t="s">
        <v>824</v>
      </c>
      <c r="E287" s="24" t="s">
        <v>148</v>
      </c>
      <c r="F287" s="103" t="s">
        <v>967</v>
      </c>
      <c r="G287" s="103">
        <v>0</v>
      </c>
      <c r="H287" s="124" t="s">
        <v>374</v>
      </c>
      <c r="I287" s="48" t="s">
        <v>580</v>
      </c>
      <c r="J287" s="34">
        <v>1408</v>
      </c>
      <c r="K287" s="132">
        <v>1790.1799999999998</v>
      </c>
      <c r="L287" s="132">
        <v>382.17999999999984</v>
      </c>
      <c r="M287" s="132">
        <v>382.17999999999984</v>
      </c>
      <c r="N287" s="132">
        <v>2.5834028330883614</v>
      </c>
      <c r="O287" s="132">
        <f t="shared" si="6"/>
        <v>2.5834028330883614</v>
      </c>
      <c r="P287" s="132">
        <v>27.143465909090899</v>
      </c>
      <c r="Q287" s="143">
        <v>27.143465909090899</v>
      </c>
      <c r="R287" s="33">
        <v>1785.5</v>
      </c>
      <c r="S287" s="143">
        <v>377.5</v>
      </c>
      <c r="T287" s="143">
        <v>377.5</v>
      </c>
      <c r="U287" s="132">
        <v>2.5780658838360915</v>
      </c>
      <c r="V287" s="132">
        <v>26.811079545454547</v>
      </c>
      <c r="W287" s="103">
        <v>26.811079545454547</v>
      </c>
    </row>
    <row r="288" spans="1:23" x14ac:dyDescent="0.15">
      <c r="A288" s="103" t="s">
        <v>16</v>
      </c>
      <c r="B288" s="127" t="s">
        <v>58</v>
      </c>
      <c r="C288" s="103" t="s">
        <v>979</v>
      </c>
      <c r="D288" s="24" t="s">
        <v>403</v>
      </c>
      <c r="E288" s="24" t="s">
        <v>900</v>
      </c>
      <c r="F288" s="103" t="s">
        <v>967</v>
      </c>
      <c r="G288" s="103">
        <v>0</v>
      </c>
      <c r="H288" s="124" t="s">
        <v>203</v>
      </c>
      <c r="I288" s="27" t="s">
        <v>581</v>
      </c>
      <c r="J288" s="34">
        <v>2949</v>
      </c>
      <c r="K288" s="132">
        <v>2565.2631578947367</v>
      </c>
      <c r="L288" s="132">
        <v>-383.73684210526335</v>
      </c>
      <c r="M288" s="132">
        <v>383.73684210526335</v>
      </c>
      <c r="N288" s="132">
        <v>2.5851637760050319</v>
      </c>
      <c r="O288" s="132">
        <f t="shared" si="6"/>
        <v>-2.5851637760050319</v>
      </c>
      <c r="P288" s="132">
        <v>-13.01243954239618</v>
      </c>
      <c r="Q288" s="143">
        <v>13.01243954239618</v>
      </c>
      <c r="R288" s="33">
        <v>2844.8524929169162</v>
      </c>
      <c r="S288" s="143">
        <v>-104.14750708308384</v>
      </c>
      <c r="T288" s="143">
        <v>104.14750708308384</v>
      </c>
      <c r="U288" s="132">
        <v>2.0217989805611447</v>
      </c>
      <c r="V288" s="132">
        <v>-3.5316211286227142</v>
      </c>
      <c r="W288" s="103">
        <v>3.5316211286227142</v>
      </c>
    </row>
    <row r="289" spans="1:23" x14ac:dyDescent="0.15">
      <c r="A289" s="103" t="s">
        <v>16</v>
      </c>
      <c r="B289" s="127" t="s">
        <v>617</v>
      </c>
      <c r="C289" s="103" t="s">
        <v>975</v>
      </c>
      <c r="D289" s="24" t="s">
        <v>403</v>
      </c>
      <c r="E289" s="24" t="s">
        <v>82</v>
      </c>
      <c r="F289" s="103" t="s">
        <v>967</v>
      </c>
      <c r="G289" s="103">
        <v>0</v>
      </c>
      <c r="H289" s="124" t="s">
        <v>293</v>
      </c>
      <c r="I289" s="27" t="s">
        <v>580</v>
      </c>
      <c r="J289" s="34">
        <v>2030</v>
      </c>
      <c r="K289" s="132">
        <v>2415.2360000000003</v>
      </c>
      <c r="L289" s="132">
        <v>385.23600000000033</v>
      </c>
      <c r="M289" s="132">
        <v>385.23600000000033</v>
      </c>
      <c r="N289" s="132">
        <v>2.5868527507294887</v>
      </c>
      <c r="O289" s="132">
        <f t="shared" si="6"/>
        <v>2.5868527507294887</v>
      </c>
      <c r="P289" s="132">
        <v>18.977142857142873</v>
      </c>
      <c r="Q289" s="143">
        <v>18.977142857142873</v>
      </c>
      <c r="R289" s="33">
        <v>2401.6999999999998</v>
      </c>
      <c r="S289" s="143">
        <v>371.69999999999982</v>
      </c>
      <c r="T289" s="143">
        <v>371.69999999999982</v>
      </c>
      <c r="U289" s="132">
        <v>2.5713593927538394</v>
      </c>
      <c r="V289" s="132">
        <v>18.310344827586199</v>
      </c>
      <c r="W289" s="103">
        <v>18.310344827586199</v>
      </c>
    </row>
    <row r="290" spans="1:23" x14ac:dyDescent="0.15">
      <c r="A290" s="103" t="s">
        <v>16</v>
      </c>
      <c r="B290" s="127" t="s">
        <v>415</v>
      </c>
      <c r="C290" s="103" t="s">
        <v>979</v>
      </c>
      <c r="D290" s="24" t="s">
        <v>458</v>
      </c>
      <c r="E290" s="24" t="s">
        <v>82</v>
      </c>
      <c r="F290" s="103" t="s">
        <v>967</v>
      </c>
      <c r="G290" s="103">
        <v>0</v>
      </c>
      <c r="H290" s="124" t="s">
        <v>203</v>
      </c>
      <c r="I290" s="27" t="s">
        <v>581</v>
      </c>
      <c r="J290" s="34">
        <v>2790</v>
      </c>
      <c r="K290" s="132">
        <v>2400</v>
      </c>
      <c r="L290" s="132">
        <v>-390</v>
      </c>
      <c r="M290" s="132">
        <v>390</v>
      </c>
      <c r="N290" s="132">
        <v>2.5921767573958667</v>
      </c>
      <c r="O290" s="132">
        <f t="shared" si="6"/>
        <v>-2.5921767573958667</v>
      </c>
      <c r="P290" s="132">
        <v>-13.978494623655914</v>
      </c>
      <c r="Q290" s="143">
        <v>13.978494623655914</v>
      </c>
      <c r="R290" s="33">
        <v>2660.5928574732825</v>
      </c>
      <c r="S290" s="143">
        <v>-129.40714252671751</v>
      </c>
      <c r="T290" s="143">
        <v>129.40714252671751</v>
      </c>
      <c r="U290" s="132">
        <v>2.1153013787807944</v>
      </c>
      <c r="V290" s="132">
        <v>-4.6382488360830649</v>
      </c>
      <c r="W290" s="103">
        <v>4.6382488360830649</v>
      </c>
    </row>
    <row r="291" spans="1:23" x14ac:dyDescent="0.15">
      <c r="A291" s="103" t="s">
        <v>16</v>
      </c>
      <c r="B291" s="127" t="s">
        <v>815</v>
      </c>
      <c r="C291" s="103" t="s">
        <v>975</v>
      </c>
      <c r="D291" s="24" t="s">
        <v>824</v>
      </c>
      <c r="E291" s="24" t="s">
        <v>148</v>
      </c>
      <c r="F291" s="103" t="s">
        <v>967</v>
      </c>
      <c r="G291" s="103">
        <v>0</v>
      </c>
      <c r="H291" s="124" t="s">
        <v>374</v>
      </c>
      <c r="I291" s="27" t="s">
        <v>580</v>
      </c>
      <c r="J291" s="34">
        <v>1651</v>
      </c>
      <c r="K291" s="132">
        <v>2051.3000000000002</v>
      </c>
      <c r="L291" s="132">
        <v>400.30000000000018</v>
      </c>
      <c r="M291" s="132">
        <v>400.30000000000018</v>
      </c>
      <c r="N291" s="132">
        <v>2.6034691597338391</v>
      </c>
      <c r="O291" s="132">
        <f t="shared" si="6"/>
        <v>2.6034691597338391</v>
      </c>
      <c r="P291" s="132">
        <v>24.245911568746223</v>
      </c>
      <c r="Q291" s="143">
        <v>24.245911568746223</v>
      </c>
      <c r="R291" s="33">
        <v>2027.2999999999997</v>
      </c>
      <c r="S291" s="143">
        <v>376.29999999999973</v>
      </c>
      <c r="T291" s="143">
        <v>376.29999999999973</v>
      </c>
      <c r="U291" s="132">
        <v>2.5766868052009952</v>
      </c>
      <c r="V291" s="132">
        <v>22.792247122955768</v>
      </c>
      <c r="W291" s="103">
        <v>22.792247122955768</v>
      </c>
    </row>
    <row r="292" spans="1:23" x14ac:dyDescent="0.15">
      <c r="A292" s="103" t="s">
        <v>16</v>
      </c>
      <c r="B292" s="126" t="s">
        <v>616</v>
      </c>
      <c r="C292" s="103" t="s">
        <v>979</v>
      </c>
      <c r="D292" s="24" t="s">
        <v>403</v>
      </c>
      <c r="E292" s="24" t="s">
        <v>82</v>
      </c>
      <c r="F292" s="103" t="s">
        <v>967</v>
      </c>
      <c r="G292" s="103">
        <v>0</v>
      </c>
      <c r="H292" s="128" t="s">
        <v>293</v>
      </c>
      <c r="I292" s="49" t="s">
        <v>580</v>
      </c>
      <c r="J292" s="34">
        <v>2298</v>
      </c>
      <c r="K292" s="132">
        <v>1878.9473684210527</v>
      </c>
      <c r="L292" s="132">
        <v>-419.05263157894728</v>
      </c>
      <c r="M292" s="132">
        <v>419.05263157894728</v>
      </c>
      <c r="N292" s="132">
        <v>2.6233037098556378</v>
      </c>
      <c r="O292" s="132">
        <f t="shared" si="6"/>
        <v>-2.6233037098556378</v>
      </c>
      <c r="P292" s="132">
        <v>-18.235536622234431</v>
      </c>
      <c r="Q292" s="143">
        <v>18.235536622234431</v>
      </c>
      <c r="R292" s="33">
        <v>1966.9083477704689</v>
      </c>
      <c r="S292" s="143">
        <v>-331.09165222953106</v>
      </c>
      <c r="T292" s="143">
        <v>331.09165222953106</v>
      </c>
      <c r="U292" s="132">
        <v>2.5212579588979454</v>
      </c>
      <c r="V292" s="132">
        <v>-14.407817764557485</v>
      </c>
      <c r="W292" s="103">
        <v>14.407817764557485</v>
      </c>
    </row>
    <row r="293" spans="1:23" x14ac:dyDescent="0.15">
      <c r="A293" s="103" t="s">
        <v>16</v>
      </c>
      <c r="B293" s="127" t="s">
        <v>817</v>
      </c>
      <c r="C293" s="103" t="s">
        <v>975</v>
      </c>
      <c r="D293" s="24" t="s">
        <v>824</v>
      </c>
      <c r="E293" s="24" t="s">
        <v>148</v>
      </c>
      <c r="F293" s="103" t="s">
        <v>967</v>
      </c>
      <c r="G293" s="103">
        <v>0</v>
      </c>
      <c r="H293" s="124" t="s">
        <v>374</v>
      </c>
      <c r="I293" s="24" t="s">
        <v>580</v>
      </c>
      <c r="J293" s="34">
        <v>1495</v>
      </c>
      <c r="K293" s="132">
        <v>1920.7400000000002</v>
      </c>
      <c r="L293" s="132">
        <v>425.74000000000024</v>
      </c>
      <c r="M293" s="132">
        <v>425.74000000000024</v>
      </c>
      <c r="N293" s="132">
        <v>2.630163352878268</v>
      </c>
      <c r="O293" s="132">
        <f t="shared" si="6"/>
        <v>2.630163352878268</v>
      </c>
      <c r="P293" s="132">
        <v>28.477591973244163</v>
      </c>
      <c r="Q293" s="143">
        <v>28.477591973244163</v>
      </c>
      <c r="R293" s="33">
        <v>1871.2999999999997</v>
      </c>
      <c r="S293" s="143">
        <v>376.29999999999973</v>
      </c>
      <c r="T293" s="143">
        <v>376.29999999999973</v>
      </c>
      <c r="U293" s="132">
        <v>2.5766868052009952</v>
      </c>
      <c r="V293" s="132">
        <v>25.170568561872891</v>
      </c>
      <c r="W293" s="103">
        <v>25.170568561872891</v>
      </c>
    </row>
    <row r="294" spans="1:23" x14ac:dyDescent="0.15">
      <c r="A294" s="103" t="s">
        <v>16</v>
      </c>
      <c r="B294" s="127" t="s">
        <v>616</v>
      </c>
      <c r="C294" s="24" t="s">
        <v>976</v>
      </c>
      <c r="D294" s="24" t="s">
        <v>403</v>
      </c>
      <c r="E294" s="24" t="s">
        <v>82</v>
      </c>
      <c r="F294" s="103" t="s">
        <v>968</v>
      </c>
      <c r="G294" s="103">
        <v>1</v>
      </c>
      <c r="H294" s="124" t="s">
        <v>293</v>
      </c>
      <c r="I294" s="27" t="s">
        <v>580</v>
      </c>
      <c r="J294" s="34">
        <v>2298</v>
      </c>
      <c r="K294" s="132">
        <v>1867.7856053343689</v>
      </c>
      <c r="L294" s="132">
        <v>-430.21439466563106</v>
      </c>
      <c r="M294" s="132">
        <v>430.21439466563106</v>
      </c>
      <c r="N294" s="132">
        <v>2.6346932499048141</v>
      </c>
      <c r="O294" s="132">
        <f t="shared" si="6"/>
        <v>-2.6346932499048141</v>
      </c>
      <c r="P294" s="132">
        <v>-18.721253031576634</v>
      </c>
      <c r="Q294" s="143">
        <v>18.721253031576634</v>
      </c>
      <c r="R294" s="33">
        <v>1809.4029807816969</v>
      </c>
      <c r="S294" s="143">
        <v>-488.5970192183031</v>
      </c>
      <c r="T294" s="143">
        <v>488.5970192183031</v>
      </c>
      <c r="U294" s="132">
        <v>2.6898387650586986</v>
      </c>
      <c r="V294" s="132">
        <v>-21.261837215766018</v>
      </c>
      <c r="W294" s="103">
        <v>21.261837215766018</v>
      </c>
    </row>
    <row r="295" spans="1:23" x14ac:dyDescent="0.15">
      <c r="A295" s="103" t="s">
        <v>16</v>
      </c>
      <c r="B295" s="127" t="s">
        <v>816</v>
      </c>
      <c r="C295" s="103" t="s">
        <v>975</v>
      </c>
      <c r="D295" s="24" t="s">
        <v>824</v>
      </c>
      <c r="E295" s="24" t="s">
        <v>148</v>
      </c>
      <c r="F295" s="103" t="s">
        <v>967</v>
      </c>
      <c r="G295" s="103">
        <v>0</v>
      </c>
      <c r="H295" s="124" t="s">
        <v>374</v>
      </c>
      <c r="I295" s="27" t="s">
        <v>580</v>
      </c>
      <c r="J295" s="34">
        <v>1476</v>
      </c>
      <c r="K295" s="132">
        <v>1912.58</v>
      </c>
      <c r="L295" s="132">
        <v>436.57999999999993</v>
      </c>
      <c r="M295" s="132">
        <v>436.57999999999993</v>
      </c>
      <c r="N295" s="132">
        <v>2.6410574639466415</v>
      </c>
      <c r="O295" s="132">
        <f t="shared" si="6"/>
        <v>2.6410574639466415</v>
      </c>
      <c r="P295" s="132">
        <v>29.578590785907853</v>
      </c>
      <c r="Q295" s="143">
        <v>29.578590785907853</v>
      </c>
      <c r="R295" s="33">
        <v>1980.5</v>
      </c>
      <c r="S295" s="143">
        <v>504.5</v>
      </c>
      <c r="T295" s="143">
        <v>504.5</v>
      </c>
      <c r="U295" s="132">
        <v>2.7037211599270199</v>
      </c>
      <c r="V295" s="132">
        <v>34.180216802168019</v>
      </c>
      <c r="W295" s="103">
        <v>34.180216802168019</v>
      </c>
    </row>
    <row r="296" spans="1:23" x14ac:dyDescent="0.15">
      <c r="A296" s="103" t="s">
        <v>16</v>
      </c>
      <c r="B296" s="127" t="s">
        <v>810</v>
      </c>
      <c r="C296" s="103" t="s">
        <v>975</v>
      </c>
      <c r="D296" s="24" t="s">
        <v>824</v>
      </c>
      <c r="E296" s="24" t="s">
        <v>148</v>
      </c>
      <c r="F296" s="103" t="s">
        <v>967</v>
      </c>
      <c r="G296" s="103">
        <v>0</v>
      </c>
      <c r="H296" s="124" t="s">
        <v>374</v>
      </c>
      <c r="I296" s="27" t="s">
        <v>580</v>
      </c>
      <c r="J296" s="34">
        <v>1622</v>
      </c>
      <c r="K296" s="132">
        <v>2059.46</v>
      </c>
      <c r="L296" s="132">
        <v>437.46000000000004</v>
      </c>
      <c r="M296" s="132">
        <v>437.46000000000004</v>
      </c>
      <c r="N296" s="132">
        <v>2.6419299795226938</v>
      </c>
      <c r="O296" s="132">
        <f t="shared" si="6"/>
        <v>2.6419299795226938</v>
      </c>
      <c r="P296" s="132">
        <v>26.970406905055487</v>
      </c>
      <c r="Q296" s="143">
        <v>26.970406905055487</v>
      </c>
      <c r="R296" s="33">
        <v>2058.5</v>
      </c>
      <c r="S296" s="143">
        <v>436.5</v>
      </c>
      <c r="T296" s="143">
        <v>436.5</v>
      </c>
      <c r="U296" s="132">
        <v>2.6409780573583319</v>
      </c>
      <c r="V296" s="132">
        <v>26.911220715166461</v>
      </c>
      <c r="W296" s="103">
        <v>26.911220715166461</v>
      </c>
    </row>
    <row r="297" spans="1:23" x14ac:dyDescent="0.15">
      <c r="A297" s="103" t="s">
        <v>16</v>
      </c>
      <c r="B297" s="116" t="s">
        <v>820</v>
      </c>
      <c r="C297" s="103" t="s">
        <v>975</v>
      </c>
      <c r="D297" s="24" t="s">
        <v>824</v>
      </c>
      <c r="E297" s="24" t="s">
        <v>148</v>
      </c>
      <c r="F297" s="103" t="s">
        <v>967</v>
      </c>
      <c r="G297" s="103">
        <v>0</v>
      </c>
      <c r="H297" s="120" t="s">
        <v>374</v>
      </c>
      <c r="I297" s="27" t="s">
        <v>580</v>
      </c>
      <c r="J297" s="34">
        <v>1416</v>
      </c>
      <c r="K297" s="132">
        <v>1888.1</v>
      </c>
      <c r="L297" s="132">
        <v>472.09999999999991</v>
      </c>
      <c r="M297" s="132">
        <v>472.09999999999991</v>
      </c>
      <c r="N297" s="132">
        <v>2.6749529480485652</v>
      </c>
      <c r="O297" s="132">
        <f t="shared" si="6"/>
        <v>2.6749529480485652</v>
      </c>
      <c r="P297" s="132">
        <v>33.340395480225986</v>
      </c>
      <c r="Q297" s="143">
        <v>33.340395480225986</v>
      </c>
      <c r="R297" s="33">
        <v>1871.2999999999997</v>
      </c>
      <c r="S297" s="143">
        <v>455.29999999999973</v>
      </c>
      <c r="T297" s="143">
        <v>455.29999999999973</v>
      </c>
      <c r="U297" s="132">
        <v>2.6592504687726608</v>
      </c>
      <c r="V297" s="132">
        <v>32.153954802259868</v>
      </c>
      <c r="W297" s="103">
        <v>32.153954802259868</v>
      </c>
    </row>
    <row r="298" spans="1:23" x14ac:dyDescent="0.15">
      <c r="A298" s="103" t="s">
        <v>16</v>
      </c>
      <c r="B298" s="126" t="s">
        <v>823</v>
      </c>
      <c r="C298" s="103" t="s">
        <v>975</v>
      </c>
      <c r="D298" s="24" t="s">
        <v>824</v>
      </c>
      <c r="E298" s="24" t="s">
        <v>148</v>
      </c>
      <c r="F298" s="103" t="s">
        <v>967</v>
      </c>
      <c r="G298" s="103">
        <v>0</v>
      </c>
      <c r="H298" s="124" t="s">
        <v>374</v>
      </c>
      <c r="I298" s="45" t="s">
        <v>580</v>
      </c>
      <c r="J298" s="34">
        <v>1780</v>
      </c>
      <c r="K298" s="132">
        <v>2255.3000000000002</v>
      </c>
      <c r="L298" s="132">
        <v>475.30000000000018</v>
      </c>
      <c r="M298" s="132">
        <v>475.30000000000018</v>
      </c>
      <c r="N298" s="132">
        <v>2.6778805815115905</v>
      </c>
      <c r="O298" s="132">
        <f t="shared" si="6"/>
        <v>2.6778805815115905</v>
      </c>
      <c r="P298" s="132">
        <v>26.702247191011246</v>
      </c>
      <c r="Q298" s="143">
        <v>26.702247191011246</v>
      </c>
      <c r="R298" s="33">
        <v>2222.2999999999997</v>
      </c>
      <c r="S298" s="143">
        <v>442.29999999999973</v>
      </c>
      <c r="T298" s="143">
        <v>442.29999999999973</v>
      </c>
      <c r="U298" s="33">
        <v>2.6466977312993341</v>
      </c>
      <c r="V298" s="132">
        <v>24.848314606741557</v>
      </c>
      <c r="W298" s="103">
        <v>24.848314606741557</v>
      </c>
    </row>
    <row r="299" spans="1:23" x14ac:dyDescent="0.15">
      <c r="A299" s="103" t="s">
        <v>16</v>
      </c>
      <c r="B299" s="126" t="s">
        <v>415</v>
      </c>
      <c r="C299" s="103" t="s">
        <v>975</v>
      </c>
      <c r="D299" s="24" t="s">
        <v>458</v>
      </c>
      <c r="E299" s="24" t="s">
        <v>82</v>
      </c>
      <c r="F299" s="103" t="s">
        <v>967</v>
      </c>
      <c r="G299" s="103">
        <v>0</v>
      </c>
      <c r="H299" s="124" t="s">
        <v>203</v>
      </c>
      <c r="I299" s="45" t="s">
        <v>581</v>
      </c>
      <c r="J299" s="34">
        <v>2790</v>
      </c>
      <c r="K299" s="132">
        <v>3283.46</v>
      </c>
      <c r="L299" s="132">
        <v>493.46000000000004</v>
      </c>
      <c r="M299" s="132">
        <v>493.46000000000004</v>
      </c>
      <c r="N299" s="132">
        <v>2.6941311645238679</v>
      </c>
      <c r="O299" s="132">
        <f t="shared" si="6"/>
        <v>2.6941311645238679</v>
      </c>
      <c r="P299" s="132">
        <v>17.68673835125448</v>
      </c>
      <c r="Q299" s="143">
        <v>17.68673835125448</v>
      </c>
      <c r="R299" s="33">
        <v>3306.5</v>
      </c>
      <c r="S299" s="143">
        <v>516.5</v>
      </c>
      <c r="T299" s="143">
        <v>516.5</v>
      </c>
      <c r="U299" s="33">
        <v>2.7139103541289553</v>
      </c>
      <c r="V299" s="132">
        <v>18.512544802867385</v>
      </c>
      <c r="W299" s="103">
        <v>18.512544802867385</v>
      </c>
    </row>
    <row r="300" spans="1:23" x14ac:dyDescent="0.15">
      <c r="A300" s="103" t="s">
        <v>16</v>
      </c>
      <c r="B300" s="127" t="s">
        <v>254</v>
      </c>
      <c r="C300" s="103" t="s">
        <v>975</v>
      </c>
      <c r="D300" s="24" t="s">
        <v>403</v>
      </c>
      <c r="E300" s="24" t="s">
        <v>82</v>
      </c>
      <c r="F300" s="103" t="s">
        <v>967</v>
      </c>
      <c r="G300" s="103">
        <v>0</v>
      </c>
      <c r="H300" s="124" t="s">
        <v>374</v>
      </c>
      <c r="I300" s="27" t="s">
        <v>580</v>
      </c>
      <c r="J300" s="34">
        <v>1176.5999999999999</v>
      </c>
      <c r="K300" s="132">
        <v>1672.5944</v>
      </c>
      <c r="L300" s="132">
        <v>495.99440000000004</v>
      </c>
      <c r="M300" s="132">
        <v>495.99440000000004</v>
      </c>
      <c r="N300" s="132">
        <v>2.6963514952468119</v>
      </c>
      <c r="O300" s="132">
        <f t="shared" si="6"/>
        <v>2.6963514952468119</v>
      </c>
      <c r="P300" s="132">
        <v>42.154886962434141</v>
      </c>
      <c r="Q300" s="143">
        <v>42.154886962434141</v>
      </c>
      <c r="R300" s="33">
        <v>1657.8919999999998</v>
      </c>
      <c r="S300" s="143">
        <v>481.29199999999992</v>
      </c>
      <c r="T300" s="143">
        <v>481.29199999999992</v>
      </c>
      <c r="U300" s="132">
        <v>2.683310058138614</v>
      </c>
      <c r="V300" s="132">
        <v>40.905320414754371</v>
      </c>
      <c r="W300" s="103">
        <v>40.905320414754371</v>
      </c>
    </row>
    <row r="301" spans="1:23" x14ac:dyDescent="0.15">
      <c r="A301" s="103" t="s">
        <v>16</v>
      </c>
      <c r="B301" s="127" t="s">
        <v>811</v>
      </c>
      <c r="C301" s="103" t="s">
        <v>975</v>
      </c>
      <c r="D301" s="24" t="s">
        <v>824</v>
      </c>
      <c r="E301" s="24" t="s">
        <v>148</v>
      </c>
      <c r="F301" s="103" t="s">
        <v>967</v>
      </c>
      <c r="G301" s="103">
        <v>0</v>
      </c>
      <c r="H301" s="124" t="s">
        <v>374</v>
      </c>
      <c r="I301" s="27" t="s">
        <v>580</v>
      </c>
      <c r="J301" s="34">
        <v>1774</v>
      </c>
      <c r="K301" s="132">
        <v>2279.7800000000002</v>
      </c>
      <c r="L301" s="132">
        <v>505.7800000000002</v>
      </c>
      <c r="M301" s="132">
        <v>505.7800000000002</v>
      </c>
      <c r="N301" s="132">
        <v>2.7048194671801697</v>
      </c>
      <c r="O301" s="132">
        <f t="shared" si="6"/>
        <v>2.7048194671801697</v>
      </c>
      <c r="P301" s="132">
        <v>28.510710259301028</v>
      </c>
      <c r="Q301" s="143">
        <v>28.510710259301028</v>
      </c>
      <c r="R301" s="33">
        <v>2214.5</v>
      </c>
      <c r="S301" s="143">
        <v>440.5</v>
      </c>
      <c r="T301" s="143">
        <v>440.5</v>
      </c>
      <c r="U301" s="132">
        <v>2.6449307079135873</v>
      </c>
      <c r="V301" s="132">
        <v>24.830890642615557</v>
      </c>
      <c r="W301" s="103">
        <v>24.830890642615557</v>
      </c>
    </row>
    <row r="302" spans="1:23" x14ac:dyDescent="0.15">
      <c r="A302" s="103" t="s">
        <v>16</v>
      </c>
      <c r="B302" s="127" t="s">
        <v>605</v>
      </c>
      <c r="C302" s="103" t="s">
        <v>975</v>
      </c>
      <c r="D302" s="24" t="s">
        <v>403</v>
      </c>
      <c r="E302" s="24" t="s">
        <v>82</v>
      </c>
      <c r="F302" s="103" t="s">
        <v>967</v>
      </c>
      <c r="G302" s="103">
        <v>0</v>
      </c>
      <c r="H302" s="124" t="s">
        <v>374</v>
      </c>
      <c r="I302" s="27" t="s">
        <v>580</v>
      </c>
      <c r="J302" s="34">
        <v>1348</v>
      </c>
      <c r="K302" s="132">
        <v>1856.2760000000003</v>
      </c>
      <c r="L302" s="132">
        <v>508.27600000000029</v>
      </c>
      <c r="M302" s="132">
        <v>508.27600000000029</v>
      </c>
      <c r="N302" s="132">
        <v>2.7069532102167062</v>
      </c>
      <c r="O302" s="132">
        <f t="shared" si="6"/>
        <v>2.7069532102167062</v>
      </c>
      <c r="P302" s="132">
        <v>37.705934718100913</v>
      </c>
      <c r="Q302" s="143">
        <v>37.705934718100913</v>
      </c>
      <c r="R302" s="33">
        <v>1848.6800000000003</v>
      </c>
      <c r="S302" s="143">
        <v>500.68000000000029</v>
      </c>
      <c r="T302" s="143">
        <v>500.68000000000029</v>
      </c>
      <c r="U302" s="132">
        <v>2.7004267877672938</v>
      </c>
      <c r="V302" s="132">
        <v>37.142433234421389</v>
      </c>
      <c r="W302" s="103">
        <v>37.142433234421389</v>
      </c>
    </row>
    <row r="303" spans="1:23" x14ac:dyDescent="0.15">
      <c r="A303" s="103" t="s">
        <v>16</v>
      </c>
      <c r="B303" s="126" t="s">
        <v>821</v>
      </c>
      <c r="C303" s="103" t="s">
        <v>975</v>
      </c>
      <c r="D303" s="24" t="s">
        <v>824</v>
      </c>
      <c r="E303" s="24" t="s">
        <v>148</v>
      </c>
      <c r="F303" s="103" t="s">
        <v>967</v>
      </c>
      <c r="G303" s="103">
        <v>0</v>
      </c>
      <c r="H303" s="124" t="s">
        <v>293</v>
      </c>
      <c r="I303" s="45" t="s">
        <v>580</v>
      </c>
      <c r="J303" s="34">
        <v>1980</v>
      </c>
      <c r="K303" s="132">
        <v>2508.2600000000002</v>
      </c>
      <c r="L303" s="132">
        <v>528.26000000000022</v>
      </c>
      <c r="M303" s="132">
        <v>528.26000000000022</v>
      </c>
      <c r="N303" s="132">
        <v>2.7236690724614836</v>
      </c>
      <c r="O303" s="132">
        <f t="shared" si="6"/>
        <v>2.7236690724614836</v>
      </c>
      <c r="P303" s="132">
        <v>26.679797979797989</v>
      </c>
      <c r="Q303" s="143">
        <v>26.679797979797989</v>
      </c>
      <c r="R303" s="33">
        <v>2510.9</v>
      </c>
      <c r="S303" s="143">
        <v>530.90000000000009</v>
      </c>
      <c r="T303" s="143">
        <v>530.90000000000009</v>
      </c>
      <c r="U303" s="33">
        <v>2.7258299903205803</v>
      </c>
      <c r="V303" s="132">
        <v>26.813131313131318</v>
      </c>
      <c r="W303" s="103">
        <v>26.813131313131318</v>
      </c>
    </row>
    <row r="304" spans="1:23" x14ac:dyDescent="0.15">
      <c r="A304" s="103" t="s">
        <v>16</v>
      </c>
      <c r="B304" s="127" t="s">
        <v>819</v>
      </c>
      <c r="C304" s="103" t="s">
        <v>975</v>
      </c>
      <c r="D304" s="24" t="s">
        <v>824</v>
      </c>
      <c r="E304" s="24" t="s">
        <v>148</v>
      </c>
      <c r="F304" s="103" t="s">
        <v>967</v>
      </c>
      <c r="G304" s="103">
        <v>0</v>
      </c>
      <c r="H304" s="124" t="s">
        <v>374</v>
      </c>
      <c r="I304" s="31" t="s">
        <v>580</v>
      </c>
      <c r="J304" s="34">
        <v>1830</v>
      </c>
      <c r="K304" s="132">
        <v>2394.02</v>
      </c>
      <c r="L304" s="132">
        <v>564.02</v>
      </c>
      <c r="M304" s="132">
        <v>564.02</v>
      </c>
      <c r="N304" s="132">
        <v>2.7520638208033485</v>
      </c>
      <c r="O304" s="132">
        <f t="shared" si="6"/>
        <v>2.7520638208033485</v>
      </c>
      <c r="P304" s="132">
        <v>30.820765027322405</v>
      </c>
      <c r="Q304" s="143">
        <v>30.820765027322405</v>
      </c>
      <c r="R304" s="33">
        <v>2425.1</v>
      </c>
      <c r="S304" s="143">
        <v>595.09999999999991</v>
      </c>
      <c r="T304" s="143">
        <v>595.09999999999991</v>
      </c>
      <c r="U304" s="132">
        <v>2.7753191218294777</v>
      </c>
      <c r="V304" s="132">
        <v>32.519125683060103</v>
      </c>
      <c r="W304" s="103">
        <v>32.519125683060103</v>
      </c>
    </row>
    <row r="305" spans="1:23" x14ac:dyDescent="0.15">
      <c r="A305" s="103" t="s">
        <v>16</v>
      </c>
      <c r="B305" s="127" t="s">
        <v>58</v>
      </c>
      <c r="C305" s="103" t="s">
        <v>975</v>
      </c>
      <c r="D305" s="24" t="s">
        <v>403</v>
      </c>
      <c r="E305" s="24" t="s">
        <v>900</v>
      </c>
      <c r="F305" s="103" t="s">
        <v>967</v>
      </c>
      <c r="G305" s="103">
        <v>0</v>
      </c>
      <c r="H305" s="124" t="s">
        <v>203</v>
      </c>
      <c r="I305" s="27" t="s">
        <v>581</v>
      </c>
      <c r="J305" s="34">
        <v>2949</v>
      </c>
      <c r="K305" s="132">
        <v>3539.6839999999997</v>
      </c>
      <c r="L305" s="132">
        <v>590.68399999999974</v>
      </c>
      <c r="M305" s="132">
        <v>590.68399999999974</v>
      </c>
      <c r="N305" s="132">
        <v>2.7720898254783615</v>
      </c>
      <c r="O305" s="132">
        <f t="shared" si="6"/>
        <v>2.7720898254783615</v>
      </c>
      <c r="P305" s="132">
        <v>20.029976263140039</v>
      </c>
      <c r="Q305" s="143">
        <v>20.029976263140039</v>
      </c>
      <c r="R305" s="33">
        <v>3529.58</v>
      </c>
      <c r="S305" s="143">
        <v>580.57999999999993</v>
      </c>
      <c r="T305" s="143">
        <v>580.57999999999993</v>
      </c>
      <c r="U305" s="132">
        <v>2.7646094631209501</v>
      </c>
      <c r="V305" s="132">
        <v>19.687351644625295</v>
      </c>
      <c r="W305" s="103">
        <v>19.687351644625295</v>
      </c>
    </row>
    <row r="306" spans="1:23" x14ac:dyDescent="0.15">
      <c r="A306" s="103" t="s">
        <v>16</v>
      </c>
      <c r="B306" s="127" t="s">
        <v>812</v>
      </c>
      <c r="C306" s="103" t="s">
        <v>975</v>
      </c>
      <c r="D306" s="24" t="s">
        <v>824</v>
      </c>
      <c r="E306" s="24" t="s">
        <v>148</v>
      </c>
      <c r="F306" s="103" t="s">
        <v>967</v>
      </c>
      <c r="G306" s="103">
        <v>0</v>
      </c>
      <c r="H306" s="124" t="s">
        <v>374</v>
      </c>
      <c r="I306" s="27" t="s">
        <v>580</v>
      </c>
      <c r="J306" s="34">
        <v>1911</v>
      </c>
      <c r="K306" s="132">
        <v>2516.42</v>
      </c>
      <c r="L306" s="132">
        <v>605.42000000000007</v>
      </c>
      <c r="M306" s="132">
        <v>605.42000000000007</v>
      </c>
      <c r="N306" s="132">
        <v>2.7827735160844265</v>
      </c>
      <c r="O306" s="132">
        <f t="shared" si="6"/>
        <v>2.7827735160844265</v>
      </c>
      <c r="P306" s="132">
        <v>31.680795395081113</v>
      </c>
      <c r="Q306" s="143">
        <v>31.680795395081113</v>
      </c>
      <c r="R306" s="33">
        <v>2565.5</v>
      </c>
      <c r="S306" s="143">
        <v>654.5</v>
      </c>
      <c r="T306" s="143">
        <v>654.5</v>
      </c>
      <c r="U306" s="132">
        <v>2.8165726960261033</v>
      </c>
      <c r="V306" s="132">
        <v>34.249084249084248</v>
      </c>
      <c r="W306" s="103">
        <v>34.249084249084248</v>
      </c>
    </row>
    <row r="307" spans="1:23" x14ac:dyDescent="0.15">
      <c r="A307" s="103" t="s">
        <v>16</v>
      </c>
      <c r="B307" s="127" t="s">
        <v>50</v>
      </c>
      <c r="C307" s="103" t="s">
        <v>975</v>
      </c>
      <c r="D307" s="24" t="s">
        <v>403</v>
      </c>
      <c r="E307" s="24" t="s">
        <v>82</v>
      </c>
      <c r="F307" s="103" t="s">
        <v>967</v>
      </c>
      <c r="G307" s="103">
        <v>0</v>
      </c>
      <c r="H307" s="124" t="s">
        <v>203</v>
      </c>
      <c r="I307" s="31" t="s">
        <v>581</v>
      </c>
      <c r="J307" s="34">
        <v>2873</v>
      </c>
      <c r="K307" s="132">
        <v>3870.9800000000005</v>
      </c>
      <c r="L307" s="132">
        <v>997.98000000000047</v>
      </c>
      <c r="M307" s="132">
        <v>997.98000000000047</v>
      </c>
      <c r="N307" s="132">
        <v>2.999556793554726</v>
      </c>
      <c r="O307" s="132">
        <f t="shared" si="6"/>
        <v>2.999556793554726</v>
      </c>
      <c r="P307" s="132">
        <v>34.736512356421876</v>
      </c>
      <c r="Q307" s="143">
        <v>34.736512356421876</v>
      </c>
      <c r="R307" s="33">
        <v>3821.3</v>
      </c>
      <c r="S307" s="143">
        <v>948.30000000000018</v>
      </c>
      <c r="T307" s="143">
        <v>948.30000000000018</v>
      </c>
      <c r="U307" s="132">
        <v>2.9774034808734346</v>
      </c>
      <c r="V307" s="132">
        <v>33.007309432648803</v>
      </c>
      <c r="W307" s="103">
        <v>33.007309432648803</v>
      </c>
    </row>
    <row r="308" spans="1:23" ht="16" x14ac:dyDescent="0.2">
      <c r="A308" s="103" t="s">
        <v>19</v>
      </c>
      <c r="B308" t="s">
        <v>845</v>
      </c>
      <c r="C308" s="103" t="s">
        <v>970</v>
      </c>
      <c r="D308" s="224" t="s">
        <v>824</v>
      </c>
      <c r="E308" s="35" t="s">
        <v>148</v>
      </c>
      <c r="F308" s="103" t="s">
        <v>967</v>
      </c>
      <c r="G308" s="103">
        <v>0</v>
      </c>
      <c r="H308" s="225" t="s">
        <v>494</v>
      </c>
      <c r="I308" s="35" t="s">
        <v>580</v>
      </c>
      <c r="J308" s="35">
        <v>1059</v>
      </c>
      <c r="K308" s="147">
        <v>1059.2253000000001</v>
      </c>
      <c r="L308" s="34">
        <v>0.22530000000006112</v>
      </c>
      <c r="M308" s="56">
        <v>0.22530000000006112</v>
      </c>
      <c r="N308" s="56">
        <v>8.824243351159361E-2</v>
      </c>
      <c r="O308" s="132">
        <f t="shared" si="6"/>
        <v>8.824243351159361E-2</v>
      </c>
      <c r="P308" s="56">
        <v>2.1274787535416537E-2</v>
      </c>
      <c r="Q308" s="143">
        <v>2.1274787535416537E-2</v>
      </c>
      <c r="R308" s="143">
        <v>1034.8250000000003</v>
      </c>
      <c r="S308" s="34">
        <v>-24.174999999999727</v>
      </c>
      <c r="T308" s="56">
        <v>24.174999999999727</v>
      </c>
      <c r="U308" s="56">
        <v>1.4009694792256508</v>
      </c>
      <c r="V308" s="56">
        <v>-2.2828139754485104</v>
      </c>
      <c r="W308" s="33">
        <v>2.2828139754485104</v>
      </c>
    </row>
    <row r="309" spans="1:23" ht="15" x14ac:dyDescent="0.2">
      <c r="A309" s="103" t="s">
        <v>19</v>
      </c>
      <c r="B309" t="s">
        <v>893</v>
      </c>
      <c r="C309" s="103" t="s">
        <v>975</v>
      </c>
      <c r="D309" s="224" t="s">
        <v>824</v>
      </c>
      <c r="E309" s="35" t="s">
        <v>148</v>
      </c>
      <c r="F309" s="103" t="s">
        <v>967</v>
      </c>
      <c r="G309" s="103">
        <v>0</v>
      </c>
      <c r="H309" s="35" t="s">
        <v>374</v>
      </c>
      <c r="I309" s="35" t="s">
        <v>580</v>
      </c>
      <c r="J309" s="35">
        <v>1274</v>
      </c>
      <c r="K309">
        <v>1273.7546</v>
      </c>
      <c r="L309" s="34">
        <v>-0.24540000000001783</v>
      </c>
      <c r="M309" s="56">
        <v>0.24540000000001783</v>
      </c>
      <c r="N309" s="56">
        <v>9.5308861385387397E-2</v>
      </c>
      <c r="O309" s="132">
        <f t="shared" si="6"/>
        <v>-9.5308861385387397E-2</v>
      </c>
      <c r="P309" s="56">
        <v>-1.9262166405024948E-2</v>
      </c>
      <c r="Q309" s="143">
        <v>1.9262166405024948E-2</v>
      </c>
      <c r="R309" s="143">
        <v>1270.4657999999999</v>
      </c>
      <c r="S309" s="34">
        <v>-3.5342000000000553</v>
      </c>
      <c r="T309" s="56">
        <v>3.5342000000000553</v>
      </c>
      <c r="U309" s="56">
        <v>0.65650067260142442</v>
      </c>
      <c r="V309" s="56">
        <v>-0.27740973312402317</v>
      </c>
      <c r="W309" s="33">
        <v>0.27740973312402317</v>
      </c>
    </row>
    <row r="310" spans="1:23" ht="15" x14ac:dyDescent="0.2">
      <c r="A310" s="103" t="s">
        <v>19</v>
      </c>
      <c r="B310" t="s">
        <v>838</v>
      </c>
      <c r="C310" s="103" t="s">
        <v>975</v>
      </c>
      <c r="D310" s="224" t="s">
        <v>824</v>
      </c>
      <c r="E310" s="35" t="s">
        <v>148</v>
      </c>
      <c r="F310" s="103" t="s">
        <v>967</v>
      </c>
      <c r="G310" s="103">
        <v>0</v>
      </c>
      <c r="H310" s="35" t="s">
        <v>374</v>
      </c>
      <c r="I310" s="35" t="s">
        <v>580</v>
      </c>
      <c r="J310" s="35">
        <v>2285</v>
      </c>
      <c r="K310">
        <v>2284.5859999999998</v>
      </c>
      <c r="L310" s="34">
        <v>-0.41400000000021464</v>
      </c>
      <c r="M310" s="56">
        <v>0.41400000000021464</v>
      </c>
      <c r="N310" s="56">
        <v>0.15044940946094654</v>
      </c>
      <c r="O310" s="132">
        <f t="shared" si="6"/>
        <v>-0.15044940946094654</v>
      </c>
      <c r="P310" s="56">
        <v>-1.8118161925611144E-2</v>
      </c>
      <c r="Q310" s="143">
        <v>1.8118161925611144E-2</v>
      </c>
      <c r="R310" s="143">
        <v>2323.3599999999997</v>
      </c>
      <c r="S310" s="34">
        <v>38.359999999999673</v>
      </c>
      <c r="T310" s="56">
        <v>38.359999999999673</v>
      </c>
      <c r="U310" s="56">
        <v>1.5950550897593003</v>
      </c>
      <c r="V310" s="56">
        <v>1.6787746170678193</v>
      </c>
      <c r="W310" s="33">
        <v>1.6787746170678193</v>
      </c>
    </row>
    <row r="311" spans="1:23" ht="16" x14ac:dyDescent="0.2">
      <c r="A311" s="103" t="s">
        <v>19</v>
      </c>
      <c r="B311" t="s">
        <v>868</v>
      </c>
      <c r="C311" s="103" t="s">
        <v>979</v>
      </c>
      <c r="D311" s="224" t="s">
        <v>824</v>
      </c>
      <c r="E311" s="35" t="s">
        <v>148</v>
      </c>
      <c r="F311" s="103" t="s">
        <v>967</v>
      </c>
      <c r="G311" s="103">
        <v>0</v>
      </c>
      <c r="H311" s="35" t="s">
        <v>374</v>
      </c>
      <c r="I311" s="35" t="s">
        <v>580</v>
      </c>
      <c r="J311" s="35">
        <v>1530</v>
      </c>
      <c r="K311" s="147">
        <v>1530.4347826086955</v>
      </c>
      <c r="L311" s="34">
        <v>0.43478260869551377</v>
      </c>
      <c r="M311" s="56">
        <v>0.43478260869551377</v>
      </c>
      <c r="N311" s="56">
        <v>0.15678610386025271</v>
      </c>
      <c r="O311" s="132">
        <f t="shared" si="6"/>
        <v>0.15678610386025271</v>
      </c>
      <c r="P311" s="56">
        <v>2.8417163967027044E-2</v>
      </c>
      <c r="Q311" s="143">
        <v>2.8417163967027044E-2</v>
      </c>
      <c r="R311" s="143">
        <v>1562.5</v>
      </c>
      <c r="S311" s="34">
        <v>32.5</v>
      </c>
      <c r="T311" s="56">
        <v>32.5</v>
      </c>
      <c r="U311" s="56">
        <v>1.5250448070368452</v>
      </c>
      <c r="V311" s="56">
        <v>2.1241830065359477</v>
      </c>
      <c r="W311" s="33">
        <v>2.1241830065359477</v>
      </c>
    </row>
    <row r="312" spans="1:23" ht="15" x14ac:dyDescent="0.2">
      <c r="A312" s="103" t="s">
        <v>19</v>
      </c>
      <c r="B312" s="28" t="s">
        <v>424</v>
      </c>
      <c r="C312" s="224" t="s">
        <v>977</v>
      </c>
      <c r="D312" s="35" t="s">
        <v>458</v>
      </c>
      <c r="E312" s="208" t="s">
        <v>82</v>
      </c>
      <c r="F312" s="103" t="s">
        <v>968</v>
      </c>
      <c r="G312" s="103">
        <v>1</v>
      </c>
      <c r="H312" s="35" t="s">
        <v>374</v>
      </c>
      <c r="I312" s="35" t="s">
        <v>580</v>
      </c>
      <c r="J312" s="35">
        <v>1800</v>
      </c>
      <c r="K312" s="141">
        <v>1799.4631499056293</v>
      </c>
      <c r="L312" s="34">
        <v>-0.5368500943707204</v>
      </c>
      <c r="M312" s="56">
        <v>0.5368500943707204</v>
      </c>
      <c r="N312" s="56">
        <v>0.18663150812264134</v>
      </c>
      <c r="O312" s="132">
        <f t="shared" si="6"/>
        <v>-0.18663150812264134</v>
      </c>
      <c r="P312" s="56">
        <v>-2.9825005242817799E-2</v>
      </c>
      <c r="Q312" s="143">
        <v>2.9825005242817799E-2</v>
      </c>
      <c r="R312" s="143">
        <v>1827.9839349751801</v>
      </c>
      <c r="S312" s="34">
        <v>27.983934975180091</v>
      </c>
      <c r="T312" s="56">
        <v>27.983934975180091</v>
      </c>
      <c r="U312" s="56">
        <v>1.462157346697466</v>
      </c>
      <c r="V312" s="56">
        <v>1.5546630541766717</v>
      </c>
      <c r="W312" s="33">
        <v>1.5546630541766717</v>
      </c>
    </row>
    <row r="313" spans="1:23" ht="15" x14ac:dyDescent="0.2">
      <c r="A313" s="103" t="s">
        <v>19</v>
      </c>
      <c r="B313" s="206" t="s">
        <v>593</v>
      </c>
      <c r="C313" s="224" t="s">
        <v>977</v>
      </c>
      <c r="D313" s="35" t="s">
        <v>403</v>
      </c>
      <c r="E313" s="35" t="s">
        <v>82</v>
      </c>
      <c r="F313" s="103" t="s">
        <v>968</v>
      </c>
      <c r="G313" s="103">
        <v>1</v>
      </c>
      <c r="H313" s="35" t="s">
        <v>374</v>
      </c>
      <c r="I313" s="35" t="s">
        <v>580</v>
      </c>
      <c r="J313" s="35">
        <v>1284.8</v>
      </c>
      <c r="K313" s="141">
        <v>1285.7601518983245</v>
      </c>
      <c r="L313" s="34">
        <v>0.96015189832451142</v>
      </c>
      <c r="M313" s="56">
        <v>0.96015189832451142</v>
      </c>
      <c r="N313" s="56">
        <v>0.2922897275034263</v>
      </c>
      <c r="O313" s="132">
        <f t="shared" si="6"/>
        <v>0.2922897275034263</v>
      </c>
      <c r="P313" s="56">
        <v>7.4731623468595229E-2</v>
      </c>
      <c r="Q313" s="143">
        <v>7.4731623468595229E-2</v>
      </c>
      <c r="R313" s="143">
        <v>1274.2308133896881</v>
      </c>
      <c r="S313" s="34">
        <v>-10.569186610311817</v>
      </c>
      <c r="T313" s="56">
        <v>10.569186610311817</v>
      </c>
      <c r="U313" s="56">
        <v>1.0633028262749264</v>
      </c>
      <c r="V313" s="56">
        <v>-0.82263283081505434</v>
      </c>
      <c r="W313" s="33">
        <v>0.82263283081505434</v>
      </c>
    </row>
    <row r="314" spans="1:23" ht="16" x14ac:dyDescent="0.2">
      <c r="A314" s="103" t="s">
        <v>19</v>
      </c>
      <c r="B314" t="s">
        <v>879</v>
      </c>
      <c r="C314" s="103" t="s">
        <v>971</v>
      </c>
      <c r="D314" s="224" t="s">
        <v>824</v>
      </c>
      <c r="E314" s="35" t="s">
        <v>148</v>
      </c>
      <c r="F314" s="103" t="s">
        <v>968</v>
      </c>
      <c r="G314" s="103">
        <v>1</v>
      </c>
      <c r="H314" s="35" t="s">
        <v>374</v>
      </c>
      <c r="I314" s="35" t="s">
        <v>580</v>
      </c>
      <c r="J314" s="35">
        <v>1550</v>
      </c>
      <c r="K314" s="147">
        <v>1551.0333685373969</v>
      </c>
      <c r="L314" s="34">
        <v>1.0333685373968819</v>
      </c>
      <c r="M314" s="56">
        <v>1.0333685373968819</v>
      </c>
      <c r="N314" s="56">
        <v>0.30821609937218114</v>
      </c>
      <c r="O314" s="132">
        <f t="shared" si="6"/>
        <v>0.30821609937218114</v>
      </c>
      <c r="P314" s="56">
        <v>6.6668937896573036E-2</v>
      </c>
      <c r="Q314" s="143">
        <v>6.6668937896573036E-2</v>
      </c>
      <c r="R314" s="143">
        <v>1757.003615057326</v>
      </c>
      <c r="S314" s="34">
        <v>207.00361505732599</v>
      </c>
      <c r="T314" s="56">
        <v>207.00361505732599</v>
      </c>
      <c r="U314" s="56">
        <v>2.3180708829714405</v>
      </c>
      <c r="V314" s="56">
        <v>13.355071939182322</v>
      </c>
      <c r="W314" s="33">
        <v>13.355071939182322</v>
      </c>
    </row>
    <row r="315" spans="1:23" ht="16" x14ac:dyDescent="0.2">
      <c r="A315" s="103" t="s">
        <v>19</v>
      </c>
      <c r="B315" t="s">
        <v>863</v>
      </c>
      <c r="C315" s="103" t="s">
        <v>979</v>
      </c>
      <c r="D315" s="224" t="s">
        <v>824</v>
      </c>
      <c r="E315" s="35" t="s">
        <v>148</v>
      </c>
      <c r="F315" s="103" t="s">
        <v>967</v>
      </c>
      <c r="G315" s="103">
        <v>0</v>
      </c>
      <c r="H315" s="225" t="s">
        <v>494</v>
      </c>
      <c r="I315" s="35" t="s">
        <v>580</v>
      </c>
      <c r="J315" s="35">
        <v>1110</v>
      </c>
      <c r="K315" s="147">
        <v>1108.695652173913</v>
      </c>
      <c r="L315" s="34">
        <v>-1.3043478260869961</v>
      </c>
      <c r="M315" s="56">
        <v>1.3043478260869961</v>
      </c>
      <c r="N315" s="56">
        <v>0.36254803358320364</v>
      </c>
      <c r="O315" s="132">
        <f t="shared" si="6"/>
        <v>-0.36254803358320364</v>
      </c>
      <c r="P315" s="56">
        <v>-0.11750881316099064</v>
      </c>
      <c r="Q315" s="143">
        <v>0.11750881316099064</v>
      </c>
      <c r="R315" s="143">
        <v>1104.1666666666667</v>
      </c>
      <c r="S315" s="34">
        <v>-5.8333333333332575</v>
      </c>
      <c r="T315" s="56">
        <v>5.8333333333332575</v>
      </c>
      <c r="U315" s="56">
        <v>0.83463260633608705</v>
      </c>
      <c r="V315" s="56">
        <v>-0.52552552552551868</v>
      </c>
      <c r="W315" s="33">
        <v>0.52552552552551868</v>
      </c>
    </row>
    <row r="316" spans="1:23" ht="16" x14ac:dyDescent="0.2">
      <c r="A316" s="103" t="s">
        <v>19</v>
      </c>
      <c r="B316" t="s">
        <v>852</v>
      </c>
      <c r="C316" s="103" t="s">
        <v>975</v>
      </c>
      <c r="D316" s="224" t="s">
        <v>824</v>
      </c>
      <c r="E316" s="35" t="s">
        <v>148</v>
      </c>
      <c r="F316" s="103" t="s">
        <v>967</v>
      </c>
      <c r="G316" s="103">
        <v>0</v>
      </c>
      <c r="H316" s="35" t="s">
        <v>374</v>
      </c>
      <c r="I316" s="35" t="s">
        <v>580</v>
      </c>
      <c r="J316" s="35">
        <v>1210</v>
      </c>
      <c r="K316" s="147">
        <v>1211.3576</v>
      </c>
      <c r="L316" s="34">
        <v>1.3576000000000477</v>
      </c>
      <c r="M316" s="56">
        <v>1.3576000000000477</v>
      </c>
      <c r="N316" s="56">
        <v>0.37247012284187753</v>
      </c>
      <c r="O316" s="132">
        <f t="shared" si="6"/>
        <v>0.37247012284187753</v>
      </c>
      <c r="P316" s="56">
        <v>0.11219834710744196</v>
      </c>
      <c r="Q316" s="143">
        <v>0.11219834710744196</v>
      </c>
      <c r="R316" s="143">
        <v>1222.425</v>
      </c>
      <c r="S316" s="34">
        <v>12.424999999999955</v>
      </c>
      <c r="T316" s="56">
        <v>12.424999999999955</v>
      </c>
      <c r="U316" s="56">
        <v>1.1279142943715919</v>
      </c>
      <c r="V316" s="56">
        <v>1.0268595041322277</v>
      </c>
      <c r="W316" s="33">
        <v>1.0268595041322277</v>
      </c>
    </row>
    <row r="317" spans="1:23" ht="16" x14ac:dyDescent="0.2">
      <c r="A317" s="103" t="s">
        <v>19</v>
      </c>
      <c r="B317" t="s">
        <v>872</v>
      </c>
      <c r="C317" s="224" t="s">
        <v>977</v>
      </c>
      <c r="D317" s="224" t="s">
        <v>824</v>
      </c>
      <c r="E317" s="35" t="s">
        <v>148</v>
      </c>
      <c r="F317" s="103" t="s">
        <v>968</v>
      </c>
      <c r="G317" s="103">
        <v>1</v>
      </c>
      <c r="H317" s="35" t="s">
        <v>374</v>
      </c>
      <c r="I317" s="35" t="s">
        <v>580</v>
      </c>
      <c r="J317" s="35">
        <v>1684</v>
      </c>
      <c r="K317" s="147">
        <v>1685.7125808519991</v>
      </c>
      <c r="L317" s="34">
        <v>1.7125808519990642</v>
      </c>
      <c r="M317" s="56">
        <v>1.7125808519990642</v>
      </c>
      <c r="N317" s="56">
        <v>0.43338269176118915</v>
      </c>
      <c r="O317" s="132">
        <f t="shared" si="6"/>
        <v>0.43338269176118915</v>
      </c>
      <c r="P317" s="56">
        <v>0.10169720023747413</v>
      </c>
      <c r="Q317" s="143">
        <v>0.10169720023747413</v>
      </c>
      <c r="R317" s="143">
        <v>1635.4643114388182</v>
      </c>
      <c r="S317" s="34">
        <v>-48.535688561181814</v>
      </c>
      <c r="T317" s="56">
        <v>48.535688561181814</v>
      </c>
      <c r="U317" s="56">
        <v>1.6949182041963062</v>
      </c>
      <c r="V317" s="56">
        <v>-2.8821667791675663</v>
      </c>
      <c r="W317" s="33">
        <v>2.8821667791675663</v>
      </c>
    </row>
    <row r="318" spans="1:23" ht="15" x14ac:dyDescent="0.2">
      <c r="A318" s="103" t="s">
        <v>19</v>
      </c>
      <c r="B318" t="s">
        <v>893</v>
      </c>
      <c r="C318" s="224" t="s">
        <v>974</v>
      </c>
      <c r="D318" s="224" t="s">
        <v>824</v>
      </c>
      <c r="E318" s="35" t="s">
        <v>148</v>
      </c>
      <c r="F318" s="103" t="s">
        <v>967</v>
      </c>
      <c r="G318" s="103">
        <v>0</v>
      </c>
      <c r="H318" s="35" t="s">
        <v>374</v>
      </c>
      <c r="I318" s="35" t="s">
        <v>580</v>
      </c>
      <c r="J318" s="35">
        <v>1274</v>
      </c>
      <c r="K318">
        <v>1275.7302999999999</v>
      </c>
      <c r="L318" s="34">
        <v>1.7302999999999429</v>
      </c>
      <c r="M318" s="56">
        <v>1.7302999999999429</v>
      </c>
      <c r="N318" s="56">
        <v>0.43621036908704552</v>
      </c>
      <c r="O318" s="132">
        <f t="shared" si="6"/>
        <v>0.43621036908704552</v>
      </c>
      <c r="P318" s="56">
        <v>0.13581632653060777</v>
      </c>
      <c r="Q318" s="143">
        <v>0.13581632653060777</v>
      </c>
      <c r="R318" s="143">
        <v>1192.5009</v>
      </c>
      <c r="S318" s="34">
        <v>-81.499099999999999</v>
      </c>
      <c r="T318" s="56">
        <v>81.499099999999999</v>
      </c>
      <c r="U318" s="56">
        <v>1.9164492107660982</v>
      </c>
      <c r="V318" s="56">
        <v>-6.397103610675039</v>
      </c>
      <c r="W318" s="33">
        <v>6.397103610675039</v>
      </c>
    </row>
    <row r="319" spans="1:23" ht="15" x14ac:dyDescent="0.2">
      <c r="A319" s="103" t="s">
        <v>19</v>
      </c>
      <c r="B319" t="s">
        <v>895</v>
      </c>
      <c r="C319" s="24" t="s">
        <v>980</v>
      </c>
      <c r="D319" s="224" t="s">
        <v>824</v>
      </c>
      <c r="E319" s="35" t="s">
        <v>148</v>
      </c>
      <c r="F319" s="103" t="s">
        <v>968</v>
      </c>
      <c r="G319" s="103">
        <v>1</v>
      </c>
      <c r="H319" s="35" t="s">
        <v>494</v>
      </c>
      <c r="I319" s="35" t="s">
        <v>580</v>
      </c>
      <c r="J319" s="35">
        <v>1185</v>
      </c>
      <c r="K319">
        <v>1183.241125745011</v>
      </c>
      <c r="L319" s="34">
        <v>-1.7588742549889957</v>
      </c>
      <c r="M319" s="56">
        <v>1.7588742549889957</v>
      </c>
      <c r="N319" s="56">
        <v>0.44073190649262767</v>
      </c>
      <c r="O319" s="132">
        <f t="shared" si="6"/>
        <v>-0.44073190649262767</v>
      </c>
      <c r="P319" s="56">
        <v>-0.14842820717206714</v>
      </c>
      <c r="Q319" s="143">
        <v>0.14842820717206714</v>
      </c>
      <c r="R319" s="143">
        <v>1172.1918757434262</v>
      </c>
      <c r="S319" s="34">
        <v>-12.808124256573819</v>
      </c>
      <c r="T319" s="56">
        <v>12.808124256573819</v>
      </c>
      <c r="U319" s="56">
        <v>1.140134686518697</v>
      </c>
      <c r="V319" s="56">
        <v>-1.0808543676433602</v>
      </c>
      <c r="W319" s="33">
        <v>1.0808543676433602</v>
      </c>
    </row>
    <row r="320" spans="1:23" ht="15" x14ac:dyDescent="0.2">
      <c r="A320" s="103" t="s">
        <v>19</v>
      </c>
      <c r="B320" t="s">
        <v>895</v>
      </c>
      <c r="C320" s="103" t="s">
        <v>979</v>
      </c>
      <c r="D320" s="224" t="s">
        <v>824</v>
      </c>
      <c r="E320" s="35" t="s">
        <v>148</v>
      </c>
      <c r="F320" s="103" t="s">
        <v>967</v>
      </c>
      <c r="G320" s="103">
        <v>0</v>
      </c>
      <c r="H320" s="35" t="s">
        <v>494</v>
      </c>
      <c r="I320" s="35" t="s">
        <v>580</v>
      </c>
      <c r="J320" s="35">
        <v>1185</v>
      </c>
      <c r="K320">
        <v>1186.9565217391305</v>
      </c>
      <c r="L320" s="34">
        <v>1.9565217391304941</v>
      </c>
      <c r="M320" s="56">
        <v>1.9565217391304941</v>
      </c>
      <c r="N320" s="56">
        <v>0.47078107668865216</v>
      </c>
      <c r="O320" s="132">
        <f t="shared" si="6"/>
        <v>0.47078107668865216</v>
      </c>
      <c r="P320" s="56">
        <v>0.16510731975784759</v>
      </c>
      <c r="Q320" s="143">
        <v>0.16510731975784759</v>
      </c>
      <c r="R320" s="143">
        <v>1187.5</v>
      </c>
      <c r="S320" s="34">
        <v>2.5</v>
      </c>
      <c r="T320" s="56">
        <v>2.5</v>
      </c>
      <c r="U320" s="56">
        <v>0.54406804435027567</v>
      </c>
      <c r="V320" s="56">
        <v>0.2109704641350211</v>
      </c>
      <c r="W320" s="33">
        <v>0.2109704641350211</v>
      </c>
    </row>
    <row r="321" spans="1:23" ht="15" x14ac:dyDescent="0.2">
      <c r="A321" s="103" t="s">
        <v>19</v>
      </c>
      <c r="B321" s="206" t="s">
        <v>593</v>
      </c>
      <c r="C321" s="24" t="s">
        <v>980</v>
      </c>
      <c r="D321" s="35" t="s">
        <v>403</v>
      </c>
      <c r="E321" s="35" t="s">
        <v>82</v>
      </c>
      <c r="F321" s="103" t="s">
        <v>968</v>
      </c>
      <c r="G321" s="103">
        <v>1</v>
      </c>
      <c r="H321" s="35" t="s">
        <v>374</v>
      </c>
      <c r="I321" s="35" t="s">
        <v>580</v>
      </c>
      <c r="J321" s="35">
        <v>1284.8</v>
      </c>
      <c r="K321" s="141">
        <v>1282.6296293605014</v>
      </c>
      <c r="L321" s="34">
        <v>-2.1703706394985147</v>
      </c>
      <c r="M321" s="56">
        <v>2.1703706394985147</v>
      </c>
      <c r="N321" s="56">
        <v>0.50111003738479332</v>
      </c>
      <c r="O321" s="132">
        <f t="shared" si="6"/>
        <v>-0.50111003738479332</v>
      </c>
      <c r="P321" s="56">
        <v>-0.16892673096968516</v>
      </c>
      <c r="Q321" s="143">
        <v>0.16892673096968516</v>
      </c>
      <c r="R321" s="143">
        <v>1270.7597778984134</v>
      </c>
      <c r="S321" s="34">
        <v>-14.040222101586551</v>
      </c>
      <c r="T321" s="56">
        <v>14.040222101586551</v>
      </c>
      <c r="U321" s="56">
        <v>1.177254249605441</v>
      </c>
      <c r="V321" s="56">
        <v>-1.0927943727884926</v>
      </c>
      <c r="W321" s="33">
        <v>1.0927943727884926</v>
      </c>
    </row>
    <row r="322" spans="1:23" ht="16" x14ac:dyDescent="0.2">
      <c r="A322" s="103" t="s">
        <v>19</v>
      </c>
      <c r="B322" t="s">
        <v>849</v>
      </c>
      <c r="C322" s="103" t="s">
        <v>975</v>
      </c>
      <c r="D322" s="224" t="s">
        <v>824</v>
      </c>
      <c r="E322" s="35" t="s">
        <v>148</v>
      </c>
      <c r="F322" s="103" t="s">
        <v>967</v>
      </c>
      <c r="G322" s="103">
        <v>0</v>
      </c>
      <c r="H322" s="35" t="s">
        <v>374</v>
      </c>
      <c r="I322" s="35" t="s">
        <v>580</v>
      </c>
      <c r="J322" s="35">
        <v>1413</v>
      </c>
      <c r="K322" s="147">
        <v>1415.1877999999999</v>
      </c>
      <c r="L322" s="34">
        <v>2.1877999999999247</v>
      </c>
      <c r="M322" s="56">
        <v>2.1877999999999247</v>
      </c>
      <c r="N322" s="56">
        <v>0.50349106629337059</v>
      </c>
      <c r="O322" s="132">
        <f t="shared" si="6"/>
        <v>0.50349106629337059</v>
      </c>
      <c r="P322" s="56">
        <v>0.15483368719036975</v>
      </c>
      <c r="Q322" s="143">
        <v>0.15483368719036975</v>
      </c>
      <c r="R322" s="143">
        <v>1430.6018000000001</v>
      </c>
      <c r="S322" s="34">
        <v>17.601800000000139</v>
      </c>
      <c r="T322" s="56">
        <v>17.601800000000139</v>
      </c>
      <c r="U322" s="56">
        <v>1.2695549706826625</v>
      </c>
      <c r="V322" s="56">
        <v>1.2457041755131026</v>
      </c>
      <c r="W322" s="33">
        <v>1.2457041755131026</v>
      </c>
    </row>
    <row r="323" spans="1:23" ht="15" x14ac:dyDescent="0.2">
      <c r="A323" s="103" t="s">
        <v>19</v>
      </c>
      <c r="B323" s="28" t="s">
        <v>433</v>
      </c>
      <c r="C323" s="224" t="s">
        <v>974</v>
      </c>
      <c r="D323" s="35" t="s">
        <v>458</v>
      </c>
      <c r="E323" s="208" t="s">
        <v>82</v>
      </c>
      <c r="F323" s="103" t="s">
        <v>967</v>
      </c>
      <c r="G323" s="103">
        <v>0</v>
      </c>
      <c r="H323" s="35" t="s">
        <v>374</v>
      </c>
      <c r="I323" s="35" t="s">
        <v>580</v>
      </c>
      <c r="J323" s="35">
        <v>1520</v>
      </c>
      <c r="K323" s="141">
        <v>1517.5936999999999</v>
      </c>
      <c r="L323" s="34">
        <v>-2.4063000000001011</v>
      </c>
      <c r="M323" s="56">
        <v>2.4063000000001011</v>
      </c>
      <c r="N323" s="56">
        <v>0.53228289453881428</v>
      </c>
      <c r="O323" s="132">
        <f t="shared" si="6"/>
        <v>-0.53228289453881428</v>
      </c>
      <c r="P323" s="56">
        <v>-0.15830921052632244</v>
      </c>
      <c r="Q323" s="143">
        <v>0.15830921052632244</v>
      </c>
      <c r="R323" s="143">
        <v>1422.1664999999998</v>
      </c>
      <c r="S323" s="34">
        <v>-97.833500000000186</v>
      </c>
      <c r="T323" s="56">
        <v>97.833500000000186</v>
      </c>
      <c r="U323" s="56">
        <v>1.9949041753484371</v>
      </c>
      <c r="V323" s="56">
        <v>-6.4364144736842226</v>
      </c>
      <c r="W323" s="33">
        <v>6.4364144736842226</v>
      </c>
    </row>
    <row r="324" spans="1:23" ht="16" x14ac:dyDescent="0.2">
      <c r="A324" s="103" t="s">
        <v>19</v>
      </c>
      <c r="B324" t="s">
        <v>855</v>
      </c>
      <c r="C324" s="24" t="s">
        <v>980</v>
      </c>
      <c r="D324" s="224" t="s">
        <v>824</v>
      </c>
      <c r="E324" s="35" t="s">
        <v>148</v>
      </c>
      <c r="F324" s="103" t="s">
        <v>968</v>
      </c>
      <c r="G324" s="103">
        <v>1</v>
      </c>
      <c r="H324" s="225" t="s">
        <v>494</v>
      </c>
      <c r="I324" s="35" t="s">
        <v>580</v>
      </c>
      <c r="J324" s="35">
        <v>980</v>
      </c>
      <c r="K324" s="147">
        <v>982.40851291107163</v>
      </c>
      <c r="L324" s="34">
        <v>2.4085129110716252</v>
      </c>
      <c r="M324" s="56">
        <v>2.4085129110716252</v>
      </c>
      <c r="N324" s="56">
        <v>0.53256494339727178</v>
      </c>
      <c r="O324" s="132">
        <f t="shared" si="6"/>
        <v>0.53256494339727178</v>
      </c>
      <c r="P324" s="56">
        <v>0.24576662357873727</v>
      </c>
      <c r="Q324" s="143">
        <v>0.24576662357873727</v>
      </c>
      <c r="R324" s="143">
        <v>976.92000445357928</v>
      </c>
      <c r="S324" s="34">
        <v>-3.0799955464207187</v>
      </c>
      <c r="T324" s="56">
        <v>3.0799955464207187</v>
      </c>
      <c r="U324" s="56">
        <v>0.61065968902959511</v>
      </c>
      <c r="V324" s="56">
        <v>-0.31428525983884886</v>
      </c>
      <c r="W324" s="33">
        <v>0.31428525983884886</v>
      </c>
    </row>
    <row r="325" spans="1:23" ht="16" x14ac:dyDescent="0.2">
      <c r="A325" s="103" t="s">
        <v>19</v>
      </c>
      <c r="B325" t="s">
        <v>844</v>
      </c>
      <c r="C325" s="103" t="s">
        <v>979</v>
      </c>
      <c r="D325" s="224" t="s">
        <v>824</v>
      </c>
      <c r="E325" s="35" t="s">
        <v>148</v>
      </c>
      <c r="F325" s="103" t="s">
        <v>967</v>
      </c>
      <c r="G325" s="103">
        <v>0</v>
      </c>
      <c r="H325" s="225" t="s">
        <v>494</v>
      </c>
      <c r="I325" s="35" t="s">
        <v>580</v>
      </c>
      <c r="J325" s="35">
        <v>1028</v>
      </c>
      <c r="K325" s="147">
        <v>1030.4347826086955</v>
      </c>
      <c r="L325" s="34">
        <v>2.4347826086955138</v>
      </c>
      <c r="M325" s="56">
        <v>2.4347826086955138</v>
      </c>
      <c r="N325" s="56">
        <v>0.535899255272831</v>
      </c>
      <c r="O325" s="132">
        <f t="shared" si="6"/>
        <v>0.535899255272831</v>
      </c>
      <c r="P325" s="56">
        <v>0.23684655726610057</v>
      </c>
      <c r="Q325" s="143">
        <v>0.23684655726610057</v>
      </c>
      <c r="R325" s="143">
        <v>1033.3333333333335</v>
      </c>
      <c r="S325" s="34">
        <v>5.3333333333334849</v>
      </c>
      <c r="T325" s="56">
        <v>5.3333333333334849</v>
      </c>
      <c r="U325" s="56">
        <v>0.80163234623317692</v>
      </c>
      <c r="V325" s="56">
        <v>0.51880674448769304</v>
      </c>
      <c r="W325" s="33">
        <v>0.51880674448769304</v>
      </c>
    </row>
    <row r="326" spans="1:23" ht="16" x14ac:dyDescent="0.2">
      <c r="A326" s="103" t="s">
        <v>19</v>
      </c>
      <c r="B326" t="s">
        <v>860</v>
      </c>
      <c r="C326" s="103" t="s">
        <v>970</v>
      </c>
      <c r="D326" s="224" t="s">
        <v>824</v>
      </c>
      <c r="E326" s="35" t="s">
        <v>148</v>
      </c>
      <c r="F326" s="103" t="s">
        <v>967</v>
      </c>
      <c r="G326" s="103">
        <v>0</v>
      </c>
      <c r="H326" s="35" t="s">
        <v>494</v>
      </c>
      <c r="I326" s="35" t="s">
        <v>580</v>
      </c>
      <c r="J326" s="35">
        <v>1029</v>
      </c>
      <c r="K326" s="147">
        <v>1026.4659000000001</v>
      </c>
      <c r="L326" s="34">
        <v>-2.534099999999853</v>
      </c>
      <c r="M326" s="56">
        <v>2.534099999999853</v>
      </c>
      <c r="N326" s="56">
        <v>0.54827883403143751</v>
      </c>
      <c r="O326" s="132">
        <f t="shared" si="6"/>
        <v>-0.54827883403143751</v>
      </c>
      <c r="P326" s="56">
        <v>-0.24626822157432973</v>
      </c>
      <c r="Q326" s="143">
        <v>0.24626822157432973</v>
      </c>
      <c r="R326" s="143">
        <v>1006.88</v>
      </c>
      <c r="S326" s="34">
        <v>-22.120000000000005</v>
      </c>
      <c r="T326" s="56">
        <v>22.120000000000005</v>
      </c>
      <c r="U326" s="56">
        <v>1.3639878297484915</v>
      </c>
      <c r="V326" s="56">
        <v>-2.1496598639455788</v>
      </c>
      <c r="W326" s="33">
        <v>2.1496598639455788</v>
      </c>
    </row>
    <row r="327" spans="1:23" ht="16" x14ac:dyDescent="0.2">
      <c r="A327" s="103" t="s">
        <v>19</v>
      </c>
      <c r="B327" t="s">
        <v>872</v>
      </c>
      <c r="C327" s="103" t="s">
        <v>975</v>
      </c>
      <c r="D327" s="224" t="s">
        <v>824</v>
      </c>
      <c r="E327" s="35" t="s">
        <v>148</v>
      </c>
      <c r="F327" s="103" t="s">
        <v>967</v>
      </c>
      <c r="G327" s="103">
        <v>0</v>
      </c>
      <c r="H327" s="35" t="s">
        <v>374</v>
      </c>
      <c r="I327" s="35" t="s">
        <v>580</v>
      </c>
      <c r="J327" s="35">
        <v>1684</v>
      </c>
      <c r="K327" s="147">
        <v>1681.415</v>
      </c>
      <c r="L327" s="34">
        <v>-2.5850000000000364</v>
      </c>
      <c r="M327" s="56">
        <v>2.5850000000000364</v>
      </c>
      <c r="N327" s="56">
        <v>0.55448916000382331</v>
      </c>
      <c r="O327" s="132">
        <f t="shared" si="6"/>
        <v>-0.55448916000382331</v>
      </c>
      <c r="P327" s="56">
        <v>-0.15350356294537032</v>
      </c>
      <c r="Q327" s="143">
        <v>0.15350356294537032</v>
      </c>
      <c r="R327" s="143">
        <v>1658.7956000000001</v>
      </c>
      <c r="S327" s="34">
        <v>-25.20439999999985</v>
      </c>
      <c r="T327" s="56">
        <v>25.20439999999985</v>
      </c>
      <c r="U327" s="56">
        <v>1.4183742201472791</v>
      </c>
      <c r="V327" s="56">
        <v>-1.4966983372921527</v>
      </c>
      <c r="W327" s="33">
        <v>1.4966983372921527</v>
      </c>
    </row>
    <row r="328" spans="1:23" ht="16" x14ac:dyDescent="0.2">
      <c r="A328" s="103" t="s">
        <v>19</v>
      </c>
      <c r="B328" t="s">
        <v>855</v>
      </c>
      <c r="C328" s="103" t="s">
        <v>970</v>
      </c>
      <c r="D328" s="224" t="s">
        <v>824</v>
      </c>
      <c r="E328" s="35" t="s">
        <v>148</v>
      </c>
      <c r="F328" s="103" t="s">
        <v>967</v>
      </c>
      <c r="G328" s="103">
        <v>0</v>
      </c>
      <c r="H328" s="225" t="s">
        <v>494</v>
      </c>
      <c r="I328" s="35" t="s">
        <v>580</v>
      </c>
      <c r="J328" s="35">
        <v>980</v>
      </c>
      <c r="K328" s="147">
        <v>977.32679999999993</v>
      </c>
      <c r="L328" s="34">
        <v>-2.6732000000000653</v>
      </c>
      <c r="M328" s="56">
        <v>2.6732000000000653</v>
      </c>
      <c r="N328" s="56">
        <v>0.56504457564496724</v>
      </c>
      <c r="O328" s="132">
        <f t="shared" si="6"/>
        <v>-0.56504457564496724</v>
      </c>
      <c r="P328" s="56">
        <v>-0.2727755102040883</v>
      </c>
      <c r="Q328" s="143">
        <v>0.2727755102040883</v>
      </c>
      <c r="R328" s="143">
        <v>967.75700000000018</v>
      </c>
      <c r="S328" s="34">
        <v>-12.242999999999824</v>
      </c>
      <c r="T328" s="56">
        <v>12.242999999999824</v>
      </c>
      <c r="U328" s="56">
        <v>1.1219863790508326</v>
      </c>
      <c r="V328" s="56">
        <v>-1.2492857142856963</v>
      </c>
      <c r="W328" s="33">
        <v>1.2492857142856963</v>
      </c>
    </row>
    <row r="329" spans="1:23" ht="15" x14ac:dyDescent="0.2">
      <c r="A329" s="103" t="s">
        <v>19</v>
      </c>
      <c r="B329" s="28" t="s">
        <v>327</v>
      </c>
      <c r="C329" s="224" t="s">
        <v>977</v>
      </c>
      <c r="D329" s="208" t="s">
        <v>403</v>
      </c>
      <c r="E329" s="35" t="s">
        <v>82</v>
      </c>
      <c r="F329" s="103" t="s">
        <v>968</v>
      </c>
      <c r="G329" s="103">
        <v>1</v>
      </c>
      <c r="H329" s="35" t="s">
        <v>374</v>
      </c>
      <c r="I329" s="35" t="s">
        <v>580</v>
      </c>
      <c r="J329" s="35">
        <v>1217.5999999999999</v>
      </c>
      <c r="K329" s="141">
        <v>1214.8733190097039</v>
      </c>
      <c r="L329" s="34">
        <v>-2.7266809902960176</v>
      </c>
      <c r="M329" s="56">
        <v>2.7266809902960176</v>
      </c>
      <c r="N329" s="56">
        <v>0.57132221806005334</v>
      </c>
      <c r="O329" s="132">
        <f t="shared" si="6"/>
        <v>-0.57132221806005334</v>
      </c>
      <c r="P329" s="56">
        <v>-0.22393897752102643</v>
      </c>
      <c r="Q329" s="143">
        <v>0.22393897752102643</v>
      </c>
      <c r="R329" s="143">
        <v>1218.7660492844673</v>
      </c>
      <c r="S329" s="34">
        <v>1.1660492844673627</v>
      </c>
      <c r="T329" s="56">
        <v>1.1660492844673627</v>
      </c>
      <c r="U329" s="56">
        <v>0.33566833397384138</v>
      </c>
      <c r="V329" s="56">
        <v>9.5766202732207845E-2</v>
      </c>
      <c r="W329" s="33">
        <v>9.5766202732207845E-2</v>
      </c>
    </row>
    <row r="330" spans="1:23" ht="15" x14ac:dyDescent="0.2">
      <c r="A330" s="103" t="s">
        <v>19</v>
      </c>
      <c r="B330" s="28" t="s">
        <v>424</v>
      </c>
      <c r="C330" s="224" t="s">
        <v>978</v>
      </c>
      <c r="D330" s="35" t="s">
        <v>458</v>
      </c>
      <c r="E330" s="208" t="s">
        <v>82</v>
      </c>
      <c r="F330" s="103" t="s">
        <v>968</v>
      </c>
      <c r="G330" s="103">
        <v>1</v>
      </c>
      <c r="H330" s="35" t="s">
        <v>374</v>
      </c>
      <c r="I330" s="35" t="s">
        <v>580</v>
      </c>
      <c r="J330" s="35">
        <v>1800</v>
      </c>
      <c r="K330" s="141">
        <v>1802.8659335287884</v>
      </c>
      <c r="L330" s="34">
        <v>2.865933528788446</v>
      </c>
      <c r="M330" s="56">
        <v>2.865933528788446</v>
      </c>
      <c r="N330" s="56">
        <v>0.58725438245803807</v>
      </c>
      <c r="O330" s="132">
        <f t="shared" si="6"/>
        <v>0.58725438245803807</v>
      </c>
      <c r="P330" s="56">
        <v>0.15921852937713588</v>
      </c>
      <c r="Q330" s="143">
        <v>0.15921852937713588</v>
      </c>
      <c r="R330" s="143">
        <v>1830.5523248619311</v>
      </c>
      <c r="S330" s="34">
        <v>30.552324861931083</v>
      </c>
      <c r="T330" s="56">
        <v>30.552324861931083</v>
      </c>
      <c r="U330" s="56">
        <v>1.4990313647690323</v>
      </c>
      <c r="V330" s="56">
        <v>1.6973513812183936</v>
      </c>
      <c r="W330" s="33">
        <v>1.6973513812183936</v>
      </c>
    </row>
    <row r="331" spans="1:23" ht="16" x14ac:dyDescent="0.2">
      <c r="A331" s="103" t="s">
        <v>19</v>
      </c>
      <c r="B331" t="s">
        <v>860</v>
      </c>
      <c r="C331" s="24" t="s">
        <v>980</v>
      </c>
      <c r="D331" s="224" t="s">
        <v>824</v>
      </c>
      <c r="E331" s="35" t="s">
        <v>148</v>
      </c>
      <c r="F331" s="103" t="s">
        <v>968</v>
      </c>
      <c r="G331" s="103">
        <v>1</v>
      </c>
      <c r="H331" s="35" t="s">
        <v>494</v>
      </c>
      <c r="I331" s="35" t="s">
        <v>580</v>
      </c>
      <c r="J331" s="35">
        <v>1029</v>
      </c>
      <c r="K331" s="147">
        <v>1026.088523212542</v>
      </c>
      <c r="L331" s="34">
        <v>-2.9114767874580139</v>
      </c>
      <c r="M331" s="56">
        <v>2.9114767874580139</v>
      </c>
      <c r="N331" s="56">
        <v>0.59234075728207991</v>
      </c>
      <c r="O331" s="132">
        <f t="shared" si="6"/>
        <v>-0.59234075728207991</v>
      </c>
      <c r="P331" s="56">
        <v>-0.28294235057901007</v>
      </c>
      <c r="Q331" s="143">
        <v>0.28294235057901007</v>
      </c>
      <c r="R331" s="143">
        <v>1009.1517135026892</v>
      </c>
      <c r="S331" s="34">
        <v>-19.848286497310824</v>
      </c>
      <c r="T331" s="56">
        <v>19.848286497310824</v>
      </c>
      <c r="U331" s="56">
        <v>1.3190703664875736</v>
      </c>
      <c r="V331" s="56">
        <v>-1.9288908160651919</v>
      </c>
      <c r="W331" s="33">
        <v>1.9288908160651919</v>
      </c>
    </row>
    <row r="332" spans="1:23" ht="16" x14ac:dyDescent="0.2">
      <c r="A332" s="103" t="s">
        <v>19</v>
      </c>
      <c r="B332" t="s">
        <v>857</v>
      </c>
      <c r="C332" s="224" t="s">
        <v>977</v>
      </c>
      <c r="D332" s="224" t="s">
        <v>824</v>
      </c>
      <c r="E332" s="35" t="s">
        <v>148</v>
      </c>
      <c r="F332" s="103" t="s">
        <v>968</v>
      </c>
      <c r="G332" s="103">
        <v>1</v>
      </c>
      <c r="H332" s="225" t="s">
        <v>494</v>
      </c>
      <c r="I332" s="35" t="s">
        <v>580</v>
      </c>
      <c r="J332" s="35">
        <v>1022</v>
      </c>
      <c r="K332" s="147">
        <v>1018.9905652774856</v>
      </c>
      <c r="L332" s="34">
        <v>-3.0094347225143565</v>
      </c>
      <c r="M332" s="56">
        <v>3.0094347225143565</v>
      </c>
      <c r="N332" s="56">
        <v>0.60308314713443167</v>
      </c>
      <c r="O332" s="132">
        <f t="shared" si="6"/>
        <v>-0.60308314713443167</v>
      </c>
      <c r="P332" s="56">
        <v>-0.2944652370366298</v>
      </c>
      <c r="Q332" s="143">
        <v>0.2944652370366298</v>
      </c>
      <c r="R332" s="143">
        <v>1007.9019283954028</v>
      </c>
      <c r="S332" s="34">
        <v>-14.09807160459718</v>
      </c>
      <c r="T332" s="56">
        <v>14.09807160459718</v>
      </c>
      <c r="U332" s="56">
        <v>1.1789214807392467</v>
      </c>
      <c r="V332" s="56">
        <v>-1.379459061115184</v>
      </c>
      <c r="W332" s="33">
        <v>1.379459061115184</v>
      </c>
    </row>
    <row r="333" spans="1:23" ht="16" x14ac:dyDescent="0.2">
      <c r="A333" s="103" t="s">
        <v>19</v>
      </c>
      <c r="B333" t="s">
        <v>874</v>
      </c>
      <c r="C333" s="224" t="s">
        <v>978</v>
      </c>
      <c r="D333" s="224" t="s">
        <v>824</v>
      </c>
      <c r="E333" s="35" t="s">
        <v>148</v>
      </c>
      <c r="F333" s="103" t="s">
        <v>968</v>
      </c>
      <c r="G333" s="103">
        <v>1</v>
      </c>
      <c r="H333" s="35" t="s">
        <v>374</v>
      </c>
      <c r="I333" s="35" t="s">
        <v>580</v>
      </c>
      <c r="J333" s="35">
        <v>1540</v>
      </c>
      <c r="K333" s="147">
        <v>1543.0195689310374</v>
      </c>
      <c r="L333" s="34">
        <v>3.0195689310373837</v>
      </c>
      <c r="M333" s="56">
        <v>3.0195689310373837</v>
      </c>
      <c r="N333" s="56">
        <v>0.60417948071881977</v>
      </c>
      <c r="O333" s="132">
        <f t="shared" si="6"/>
        <v>0.60417948071881977</v>
      </c>
      <c r="P333" s="56">
        <v>0.19607590461281713</v>
      </c>
      <c r="Q333" s="143">
        <v>0.19607590461281713</v>
      </c>
      <c r="R333" s="143">
        <v>1537.6827799731977</v>
      </c>
      <c r="S333" s="34">
        <v>-2.3172200268022607</v>
      </c>
      <c r="T333" s="56">
        <v>2.3172200268022607</v>
      </c>
      <c r="U333" s="56">
        <v>0.52077427865151638</v>
      </c>
      <c r="V333" s="56">
        <v>-0.15046883290923771</v>
      </c>
      <c r="W333" s="33">
        <v>0.15046883290923771</v>
      </c>
    </row>
    <row r="334" spans="1:23" ht="15" x14ac:dyDescent="0.2">
      <c r="A334" s="103" t="s">
        <v>19</v>
      </c>
      <c r="B334" s="28" t="s">
        <v>282</v>
      </c>
      <c r="C334" s="224" t="s">
        <v>977</v>
      </c>
      <c r="D334" s="208" t="s">
        <v>403</v>
      </c>
      <c r="E334" s="35" t="s">
        <v>96</v>
      </c>
      <c r="F334" s="103" t="s">
        <v>968</v>
      </c>
      <c r="G334" s="103">
        <v>1</v>
      </c>
      <c r="H334" s="35" t="s">
        <v>494</v>
      </c>
      <c r="I334" s="35" t="s">
        <v>580</v>
      </c>
      <c r="J334" s="35">
        <v>872.2</v>
      </c>
      <c r="K334" s="141">
        <v>869.09092075164517</v>
      </c>
      <c r="L334" s="34">
        <v>-3.1090792483548739</v>
      </c>
      <c r="M334" s="56">
        <v>3.1090792483548739</v>
      </c>
      <c r="N334" s="56">
        <v>0.61374451721498213</v>
      </c>
      <c r="O334" s="132">
        <f t="shared" si="6"/>
        <v>-0.61374451721498213</v>
      </c>
      <c r="P334" s="56">
        <v>-0.35646402755731182</v>
      </c>
      <c r="Q334" s="143">
        <v>0.35646402755731182</v>
      </c>
      <c r="R334" s="143">
        <v>860.73794527110567</v>
      </c>
      <c r="S334" s="34">
        <v>-11.462054728894373</v>
      </c>
      <c r="T334" s="56">
        <v>11.462054728894373</v>
      </c>
      <c r="U334" s="56">
        <v>1.0955896541892158</v>
      </c>
      <c r="V334" s="56">
        <v>-1.3141544059727552</v>
      </c>
      <c r="W334" s="33">
        <v>1.3141544059727552</v>
      </c>
    </row>
    <row r="335" spans="1:23" ht="16" x14ac:dyDescent="0.2">
      <c r="A335" s="103" t="s">
        <v>19</v>
      </c>
      <c r="B335" t="s">
        <v>845</v>
      </c>
      <c r="C335" s="24" t="s">
        <v>980</v>
      </c>
      <c r="D335" s="224" t="s">
        <v>824</v>
      </c>
      <c r="E335" s="35" t="s">
        <v>148</v>
      </c>
      <c r="F335" s="103" t="s">
        <v>968</v>
      </c>
      <c r="G335" s="103">
        <v>1</v>
      </c>
      <c r="H335" s="225" t="s">
        <v>494</v>
      </c>
      <c r="I335" s="35" t="s">
        <v>580</v>
      </c>
      <c r="J335" s="35">
        <v>1059</v>
      </c>
      <c r="K335" s="147">
        <v>1055.3389518967106</v>
      </c>
      <c r="L335" s="34">
        <v>-3.6610481032894313</v>
      </c>
      <c r="M335" s="56">
        <v>3.6610481032894313</v>
      </c>
      <c r="N335" s="56">
        <v>0.66848358499337956</v>
      </c>
      <c r="O335" s="132">
        <f t="shared" si="6"/>
        <v>-0.66848358499337956</v>
      </c>
      <c r="P335" s="56">
        <v>-0.34570803619352514</v>
      </c>
      <c r="Q335" s="143">
        <v>0.34570803619352514</v>
      </c>
      <c r="R335" s="143">
        <v>1032.2537238943391</v>
      </c>
      <c r="S335" s="34">
        <v>-26.746276105660854</v>
      </c>
      <c r="T335" s="56">
        <v>26.746276105660854</v>
      </c>
      <c r="U335" s="56">
        <v>1.4432047036645885</v>
      </c>
      <c r="V335" s="56">
        <v>-2.5256162517149061</v>
      </c>
      <c r="W335" s="33">
        <v>2.5256162517149061</v>
      </c>
    </row>
    <row r="336" spans="1:23" ht="16" x14ac:dyDescent="0.2">
      <c r="A336" s="103" t="s">
        <v>19</v>
      </c>
      <c r="B336" t="s">
        <v>867</v>
      </c>
      <c r="C336" s="224" t="s">
        <v>974</v>
      </c>
      <c r="D336" s="224" t="s">
        <v>824</v>
      </c>
      <c r="E336" s="35" t="s">
        <v>148</v>
      </c>
      <c r="F336" s="103" t="s">
        <v>967</v>
      </c>
      <c r="G336" s="103">
        <v>0</v>
      </c>
      <c r="H336" s="35" t="s">
        <v>374</v>
      </c>
      <c r="I336" s="35" t="s">
        <v>580</v>
      </c>
      <c r="J336" s="35">
        <v>1842</v>
      </c>
      <c r="K336" s="147">
        <v>1838.3256000000001</v>
      </c>
      <c r="L336" s="34">
        <v>-3.6743999999998778</v>
      </c>
      <c r="M336" s="56">
        <v>3.6743999999998778</v>
      </c>
      <c r="N336" s="56">
        <v>0.66972587330219979</v>
      </c>
      <c r="O336" s="132">
        <f t="shared" si="6"/>
        <v>-0.66972587330219979</v>
      </c>
      <c r="P336" s="56">
        <v>-0.19947882736155689</v>
      </c>
      <c r="Q336" s="143">
        <v>0.19947882736155689</v>
      </c>
      <c r="R336" s="143">
        <v>1757.0954999999999</v>
      </c>
      <c r="S336" s="34">
        <v>-84.904500000000098</v>
      </c>
      <c r="T336" s="56">
        <v>84.904500000000098</v>
      </c>
      <c r="U336" s="56">
        <v>1.9340159144014433</v>
      </c>
      <c r="V336" s="56">
        <v>-4.6093648208469107</v>
      </c>
      <c r="W336" s="33">
        <v>4.6093648208469107</v>
      </c>
    </row>
    <row r="337" spans="1:23" ht="16" x14ac:dyDescent="0.2">
      <c r="A337" s="103" t="s">
        <v>19</v>
      </c>
      <c r="B337" t="s">
        <v>841</v>
      </c>
      <c r="C337" s="103" t="s">
        <v>970</v>
      </c>
      <c r="D337" s="224" t="s">
        <v>824</v>
      </c>
      <c r="E337" s="35" t="s">
        <v>148</v>
      </c>
      <c r="F337" s="103" t="s">
        <v>967</v>
      </c>
      <c r="G337" s="103">
        <v>0</v>
      </c>
      <c r="H337" s="35" t="s">
        <v>374</v>
      </c>
      <c r="I337" s="35" t="s">
        <v>580</v>
      </c>
      <c r="J337" s="35">
        <v>1325</v>
      </c>
      <c r="K337" s="147">
        <v>1321.3004999999998</v>
      </c>
      <c r="L337" s="34">
        <v>-3.699500000000171</v>
      </c>
      <c r="M337" s="56">
        <v>3.699500000000171</v>
      </c>
      <c r="N337" s="56">
        <v>0.67205165393740218</v>
      </c>
      <c r="O337" s="132">
        <f t="shared" si="6"/>
        <v>-0.67205165393740218</v>
      </c>
      <c r="P337" s="56">
        <v>-0.27920754716982421</v>
      </c>
      <c r="Q337" s="143">
        <v>0.27920754716982421</v>
      </c>
      <c r="R337" s="143">
        <v>1342.2200000000003</v>
      </c>
      <c r="S337" s="34">
        <v>17.220000000000255</v>
      </c>
      <c r="T337" s="56">
        <v>17.220000000000255</v>
      </c>
      <c r="U337" s="56">
        <v>1.2605483726369855</v>
      </c>
      <c r="V337" s="56">
        <v>1.2996226415094532</v>
      </c>
      <c r="W337" s="33">
        <v>1.2996226415094532</v>
      </c>
    </row>
    <row r="338" spans="1:23" ht="16" x14ac:dyDescent="0.2">
      <c r="A338" s="103" t="s">
        <v>19</v>
      </c>
      <c r="B338" t="s">
        <v>846</v>
      </c>
      <c r="C338" s="103" t="s">
        <v>970</v>
      </c>
      <c r="D338" s="224" t="s">
        <v>824</v>
      </c>
      <c r="E338" s="35" t="s">
        <v>148</v>
      </c>
      <c r="F338" s="103" t="s">
        <v>967</v>
      </c>
      <c r="G338" s="103">
        <v>0</v>
      </c>
      <c r="H338" s="35" t="s">
        <v>374</v>
      </c>
      <c r="I338" s="35" t="s">
        <v>580</v>
      </c>
      <c r="J338" s="35">
        <v>1312</v>
      </c>
      <c r="K338" s="147">
        <v>1315.8406</v>
      </c>
      <c r="L338" s="34">
        <v>3.8405999999999949</v>
      </c>
      <c r="M338" s="56">
        <v>3.8405999999999949</v>
      </c>
      <c r="N338" s="56">
        <v>0.68489919646652542</v>
      </c>
      <c r="O338" s="132">
        <f t="shared" si="6"/>
        <v>0.68489919646652542</v>
      </c>
      <c r="P338" s="56">
        <v>0.29272865853658497</v>
      </c>
      <c r="Q338" s="143">
        <v>0.29272865853658497</v>
      </c>
      <c r="R338" s="143">
        <v>1325.453</v>
      </c>
      <c r="S338" s="34">
        <v>13.452999999999975</v>
      </c>
      <c r="T338" s="56">
        <v>13.452999999999975</v>
      </c>
      <c r="U338" s="56">
        <v>1.1599580026785181</v>
      </c>
      <c r="V338" s="56">
        <v>1.0253810975609736</v>
      </c>
      <c r="W338" s="33">
        <v>1.0253810975609736</v>
      </c>
    </row>
    <row r="339" spans="1:23" ht="15" x14ac:dyDescent="0.2">
      <c r="A339" s="103" t="s">
        <v>19</v>
      </c>
      <c r="B339" t="s">
        <v>887</v>
      </c>
      <c r="C339" s="224" t="s">
        <v>977</v>
      </c>
      <c r="D339" s="224" t="s">
        <v>824</v>
      </c>
      <c r="E339" s="35" t="s">
        <v>148</v>
      </c>
      <c r="F339" s="103" t="s">
        <v>968</v>
      </c>
      <c r="G339" s="103">
        <v>1</v>
      </c>
      <c r="H339" s="225" t="s">
        <v>494</v>
      </c>
      <c r="I339" s="35" t="s">
        <v>580</v>
      </c>
      <c r="J339" s="35">
        <v>1056</v>
      </c>
      <c r="K339">
        <v>1052.053600132547</v>
      </c>
      <c r="L339" s="34">
        <v>-3.9463998674530103</v>
      </c>
      <c r="M339" s="56">
        <v>3.9463998674530103</v>
      </c>
      <c r="N339" s="56">
        <v>0.69428922185317798</v>
      </c>
      <c r="O339" s="132">
        <f t="shared" si="6"/>
        <v>-0.69428922185317798</v>
      </c>
      <c r="P339" s="56">
        <v>-0.37371210866032295</v>
      </c>
      <c r="Q339" s="143">
        <v>0.37371210866032295</v>
      </c>
      <c r="R339" s="143">
        <v>1052.7526776168315</v>
      </c>
      <c r="S339" s="34">
        <v>-3.2473223831684663</v>
      </c>
      <c r="T339" s="56">
        <v>3.2473223831684663</v>
      </c>
      <c r="U339" s="56">
        <v>0.62811522635857464</v>
      </c>
      <c r="V339" s="56">
        <v>-0.30751158931519568</v>
      </c>
      <c r="W339" s="33">
        <v>0.30751158931519568</v>
      </c>
    </row>
    <row r="340" spans="1:23" ht="16" x14ac:dyDescent="0.2">
      <c r="A340" s="103" t="s">
        <v>19</v>
      </c>
      <c r="B340" t="s">
        <v>849</v>
      </c>
      <c r="C340" s="103" t="s">
        <v>970</v>
      </c>
      <c r="D340" s="224" t="s">
        <v>824</v>
      </c>
      <c r="E340" s="35" t="s">
        <v>148</v>
      </c>
      <c r="F340" s="103" t="s">
        <v>967</v>
      </c>
      <c r="G340" s="103">
        <v>0</v>
      </c>
      <c r="H340" s="35" t="s">
        <v>374</v>
      </c>
      <c r="I340" s="35" t="s">
        <v>580</v>
      </c>
      <c r="J340" s="35">
        <v>1413</v>
      </c>
      <c r="K340" s="147">
        <v>1408.6588999999999</v>
      </c>
      <c r="L340" s="34">
        <v>-4.3411000000000968</v>
      </c>
      <c r="M340" s="56">
        <v>4.3411000000000968</v>
      </c>
      <c r="N340" s="56">
        <v>0.72763070922576911</v>
      </c>
      <c r="O340" s="132">
        <f t="shared" si="6"/>
        <v>-0.72763070922576911</v>
      </c>
      <c r="P340" s="56">
        <v>-0.30722576079264663</v>
      </c>
      <c r="Q340" s="143">
        <v>0.30722576079264663</v>
      </c>
      <c r="R340" s="143">
        <v>1437.2330000000002</v>
      </c>
      <c r="S340" s="34">
        <v>24.233000000000175</v>
      </c>
      <c r="T340" s="56">
        <v>24.233000000000175</v>
      </c>
      <c r="U340" s="56">
        <v>1.4019688876952026</v>
      </c>
      <c r="V340" s="56">
        <v>1.7150035385704299</v>
      </c>
      <c r="W340" s="33">
        <v>1.7150035385704299</v>
      </c>
    </row>
    <row r="341" spans="1:23" ht="16" x14ac:dyDescent="0.2">
      <c r="A341" s="103" t="s">
        <v>19</v>
      </c>
      <c r="B341" t="s">
        <v>873</v>
      </c>
      <c r="C341" s="224" t="s">
        <v>978</v>
      </c>
      <c r="D341" s="224" t="s">
        <v>824</v>
      </c>
      <c r="E341" s="35" t="s">
        <v>148</v>
      </c>
      <c r="F341" s="103" t="s">
        <v>968</v>
      </c>
      <c r="G341" s="103">
        <v>1</v>
      </c>
      <c r="H341" s="35" t="s">
        <v>374</v>
      </c>
      <c r="I341" s="35" t="s">
        <v>580</v>
      </c>
      <c r="J341" s="35">
        <v>1646</v>
      </c>
      <c r="K341" s="147">
        <v>1650.4308011518635</v>
      </c>
      <c r="L341" s="34">
        <v>4.430801151863534</v>
      </c>
      <c r="M341" s="56">
        <v>4.430801151863534</v>
      </c>
      <c r="N341" s="56">
        <v>0.73486390144308045</v>
      </c>
      <c r="O341" s="132">
        <f t="shared" si="6"/>
        <v>0.73486390144308045</v>
      </c>
      <c r="P341" s="56">
        <v>0.26918597520434595</v>
      </c>
      <c r="Q341" s="143">
        <v>0.26918597520434595</v>
      </c>
      <c r="R341" s="143">
        <v>1649.6638428362296</v>
      </c>
      <c r="S341" s="34">
        <v>3.6638428362296054</v>
      </c>
      <c r="T341" s="56">
        <v>3.6638428362296054</v>
      </c>
      <c r="U341" s="56">
        <v>0.66874390699360975</v>
      </c>
      <c r="V341" s="56">
        <v>0.22259069478916194</v>
      </c>
      <c r="W341" s="33">
        <v>0.22259069478916194</v>
      </c>
    </row>
    <row r="342" spans="1:23" ht="16" x14ac:dyDescent="0.2">
      <c r="A342" s="103" t="s">
        <v>19</v>
      </c>
      <c r="B342" t="s">
        <v>878</v>
      </c>
      <c r="C342" s="24" t="s">
        <v>980</v>
      </c>
      <c r="D342" s="224" t="s">
        <v>824</v>
      </c>
      <c r="E342" s="35" t="s">
        <v>148</v>
      </c>
      <c r="F342" s="103" t="s">
        <v>968</v>
      </c>
      <c r="G342" s="103">
        <v>1</v>
      </c>
      <c r="H342" s="35" t="s">
        <v>374</v>
      </c>
      <c r="I342" s="35" t="s">
        <v>580</v>
      </c>
      <c r="J342" s="35">
        <v>1520</v>
      </c>
      <c r="K342" s="147">
        <v>1515.5058092276211</v>
      </c>
      <c r="L342" s="34">
        <v>-4.4941907723789427</v>
      </c>
      <c r="M342" s="56">
        <v>4.4941907723789427</v>
      </c>
      <c r="N342" s="56">
        <v>0.73990373516336572</v>
      </c>
      <c r="O342" s="132">
        <f t="shared" si="6"/>
        <v>-0.73990373516336572</v>
      </c>
      <c r="P342" s="56">
        <v>-0.29567044555124622</v>
      </c>
      <c r="Q342" s="143">
        <v>0.29567044555124622</v>
      </c>
      <c r="R342" s="143">
        <v>1511.5355982677781</v>
      </c>
      <c r="S342" s="34">
        <v>-8.4644017322218588</v>
      </c>
      <c r="T342" s="56">
        <v>8.4644017322218588</v>
      </c>
      <c r="U342" s="56">
        <v>0.97609316636039245</v>
      </c>
      <c r="V342" s="56">
        <v>-0.55686853501459599</v>
      </c>
      <c r="W342" s="33">
        <v>0.55686853501459599</v>
      </c>
    </row>
    <row r="343" spans="1:23" ht="15" x14ac:dyDescent="0.2">
      <c r="A343" s="103" t="s">
        <v>19</v>
      </c>
      <c r="B343" s="218" t="s">
        <v>344</v>
      </c>
      <c r="C343" s="24" t="s">
        <v>980</v>
      </c>
      <c r="D343" s="208" t="s">
        <v>403</v>
      </c>
      <c r="E343" s="35" t="s">
        <v>82</v>
      </c>
      <c r="F343" s="103" t="s">
        <v>968</v>
      </c>
      <c r="G343" s="103">
        <v>1</v>
      </c>
      <c r="H343" s="35" t="s">
        <v>374</v>
      </c>
      <c r="I343" s="35" t="s">
        <v>580</v>
      </c>
      <c r="J343" s="35">
        <v>1427.7</v>
      </c>
      <c r="K343" s="141">
        <v>1423.1741847190051</v>
      </c>
      <c r="L343" s="34">
        <v>-4.5258152809949479</v>
      </c>
      <c r="M343" s="56">
        <v>4.5258152809949479</v>
      </c>
      <c r="N343" s="56">
        <v>0.74239636306593693</v>
      </c>
      <c r="O343" s="132">
        <f t="shared" si="6"/>
        <v>-0.74239636306593693</v>
      </c>
      <c r="P343" s="56">
        <v>-0.31700043993800853</v>
      </c>
      <c r="Q343" s="143">
        <v>0.31700043993800853</v>
      </c>
      <c r="R343" s="143">
        <v>1417.2777378294782</v>
      </c>
      <c r="S343" s="34">
        <v>-10.42226217052189</v>
      </c>
      <c r="T343" s="56">
        <v>10.42226217052189</v>
      </c>
      <c r="U343" s="56">
        <v>1.057752124127149</v>
      </c>
      <c r="V343" s="56">
        <v>-0.73000365416557322</v>
      </c>
      <c r="W343" s="33">
        <v>0.73000365416557322</v>
      </c>
    </row>
    <row r="344" spans="1:23" ht="16" x14ac:dyDescent="0.2">
      <c r="A344" s="103" t="s">
        <v>19</v>
      </c>
      <c r="B344" t="s">
        <v>868</v>
      </c>
      <c r="C344" s="103" t="s">
        <v>971</v>
      </c>
      <c r="D344" s="224" t="s">
        <v>824</v>
      </c>
      <c r="E344" s="35" t="s">
        <v>148</v>
      </c>
      <c r="F344" s="103" t="s">
        <v>968</v>
      </c>
      <c r="G344" s="103">
        <v>1</v>
      </c>
      <c r="H344" s="35" t="s">
        <v>374</v>
      </c>
      <c r="I344" s="35" t="s">
        <v>580</v>
      </c>
      <c r="J344" s="35">
        <v>1530</v>
      </c>
      <c r="K344" s="147">
        <v>1534.6326947976752</v>
      </c>
      <c r="L344" s="34">
        <v>4.6326947976751853</v>
      </c>
      <c r="M344" s="56">
        <v>4.6326947976751853</v>
      </c>
      <c r="N344" s="56">
        <v>0.7507162200305838</v>
      </c>
      <c r="O344" s="132">
        <f t="shared" si="6"/>
        <v>0.7507162200305838</v>
      </c>
      <c r="P344" s="56">
        <v>0.30279050965197291</v>
      </c>
      <c r="Q344" s="143">
        <v>0.30279050965197291</v>
      </c>
      <c r="R344" s="143">
        <v>1785.4740131564872</v>
      </c>
      <c r="S344" s="34">
        <v>255.47401315648722</v>
      </c>
      <c r="T344" s="56">
        <v>255.47401315648722</v>
      </c>
      <c r="U344" s="56">
        <v>2.4090433674420417</v>
      </c>
      <c r="V344" s="56">
        <v>16.697647918724652</v>
      </c>
      <c r="W344" s="33">
        <v>16.697647918724652</v>
      </c>
    </row>
    <row r="345" spans="1:23" ht="15" x14ac:dyDescent="0.2">
      <c r="A345" s="103" t="s">
        <v>19</v>
      </c>
      <c r="B345" t="s">
        <v>887</v>
      </c>
      <c r="C345" s="103" t="s">
        <v>979</v>
      </c>
      <c r="D345" s="224" t="s">
        <v>824</v>
      </c>
      <c r="E345" s="35" t="s">
        <v>148</v>
      </c>
      <c r="F345" s="103" t="s">
        <v>967</v>
      </c>
      <c r="G345" s="103">
        <v>0</v>
      </c>
      <c r="H345" s="225" t="s">
        <v>494</v>
      </c>
      <c r="I345" s="35" t="s">
        <v>580</v>
      </c>
      <c r="J345" s="35">
        <v>1056</v>
      </c>
      <c r="K345">
        <v>1060.8695652173913</v>
      </c>
      <c r="L345" s="34">
        <v>4.8695652173912549</v>
      </c>
      <c r="M345" s="56">
        <v>4.8695652173912549</v>
      </c>
      <c r="N345" s="56">
        <v>0.7686059324774096</v>
      </c>
      <c r="O345" s="132">
        <f t="shared" si="6"/>
        <v>0.7686059324774096</v>
      </c>
      <c r="P345" s="56">
        <v>0.46113306982871732</v>
      </c>
      <c r="Q345" s="143">
        <v>0.46113306982871732</v>
      </c>
      <c r="R345" s="143">
        <v>1070.8333333333335</v>
      </c>
      <c r="S345" s="34">
        <v>14.833333333333485</v>
      </c>
      <c r="T345" s="56">
        <v>14.833333333333485</v>
      </c>
      <c r="U345" s="56">
        <v>1.1995723549052082</v>
      </c>
      <c r="V345" s="56">
        <v>1.4046717171717316</v>
      </c>
      <c r="W345" s="33">
        <v>1.4046717171717316</v>
      </c>
    </row>
    <row r="346" spans="1:23" ht="15" x14ac:dyDescent="0.2">
      <c r="A346" s="103" t="s">
        <v>19</v>
      </c>
      <c r="B346" t="s">
        <v>895</v>
      </c>
      <c r="C346" s="224" t="s">
        <v>977</v>
      </c>
      <c r="D346" s="224" t="s">
        <v>824</v>
      </c>
      <c r="E346" s="35" t="s">
        <v>148</v>
      </c>
      <c r="F346" s="103" t="s">
        <v>968</v>
      </c>
      <c r="G346" s="103">
        <v>1</v>
      </c>
      <c r="H346" s="35" t="s">
        <v>494</v>
      </c>
      <c r="I346" s="35" t="s">
        <v>580</v>
      </c>
      <c r="J346" s="35">
        <v>1185</v>
      </c>
      <c r="K346">
        <v>1189.9854496754178</v>
      </c>
      <c r="L346" s="34">
        <v>4.9854496754178399</v>
      </c>
      <c r="M346" s="56">
        <v>4.9854496754178399</v>
      </c>
      <c r="N346" s="56">
        <v>0.77709678368419899</v>
      </c>
      <c r="O346" s="132">
        <f t="shared" si="6"/>
        <v>0.77709678368419899</v>
      </c>
      <c r="P346" s="56">
        <v>0.42071305277787679</v>
      </c>
      <c r="Q346" s="143">
        <v>0.42071305277787679</v>
      </c>
      <c r="R346" s="143">
        <v>1179.2191676723578</v>
      </c>
      <c r="S346" s="34">
        <v>-5.7808323276422016</v>
      </c>
      <c r="T346" s="56">
        <v>5.7808323276422016</v>
      </c>
      <c r="U346" s="56">
        <v>0.83128300553612078</v>
      </c>
      <c r="V346" s="56">
        <v>-0.48783395169976385</v>
      </c>
      <c r="W346" s="33">
        <v>0.48783395169976385</v>
      </c>
    </row>
    <row r="347" spans="1:23" ht="16" x14ac:dyDescent="0.2">
      <c r="A347" s="103" t="s">
        <v>19</v>
      </c>
      <c r="B347" t="s">
        <v>863</v>
      </c>
      <c r="C347" s="224" t="s">
        <v>977</v>
      </c>
      <c r="D347" s="224" t="s">
        <v>824</v>
      </c>
      <c r="E347" s="35" t="s">
        <v>148</v>
      </c>
      <c r="F347" s="103" t="s">
        <v>968</v>
      </c>
      <c r="G347" s="103">
        <v>1</v>
      </c>
      <c r="H347" s="225" t="s">
        <v>494</v>
      </c>
      <c r="I347" s="35" t="s">
        <v>580</v>
      </c>
      <c r="J347" s="35">
        <v>1110</v>
      </c>
      <c r="K347" s="147">
        <v>1104.1950738857709</v>
      </c>
      <c r="L347" s="34">
        <v>-5.8049261142291471</v>
      </c>
      <c r="M347" s="56">
        <v>5.8049261142291471</v>
      </c>
      <c r="N347" s="56">
        <v>0.83282341413056971</v>
      </c>
      <c r="O347" s="132">
        <f t="shared" si="6"/>
        <v>-0.83282341413056971</v>
      </c>
      <c r="P347" s="56">
        <v>-0.52296631659722048</v>
      </c>
      <c r="Q347" s="143">
        <v>0.52296631659722048</v>
      </c>
      <c r="R347" s="143">
        <v>1088.7557010352145</v>
      </c>
      <c r="S347" s="34">
        <v>-21.244298964785457</v>
      </c>
      <c r="T347" s="56">
        <v>21.244298964785457</v>
      </c>
      <c r="U347" s="56">
        <v>1.3472187233894015</v>
      </c>
      <c r="V347" s="56">
        <v>-1.9139008076383295</v>
      </c>
      <c r="W347" s="33">
        <v>1.9139008076383295</v>
      </c>
    </row>
    <row r="348" spans="1:23" ht="16" x14ac:dyDescent="0.2">
      <c r="A348" s="103" t="s">
        <v>19</v>
      </c>
      <c r="B348" t="s">
        <v>880</v>
      </c>
      <c r="C348" s="24" t="s">
        <v>980</v>
      </c>
      <c r="D348" s="224" t="s">
        <v>824</v>
      </c>
      <c r="E348" s="35" t="s">
        <v>148</v>
      </c>
      <c r="F348" s="103" t="s">
        <v>968</v>
      </c>
      <c r="G348" s="103">
        <v>1</v>
      </c>
      <c r="H348" s="35" t="s">
        <v>374</v>
      </c>
      <c r="I348" s="35" t="s">
        <v>580</v>
      </c>
      <c r="J348" s="35">
        <v>1695</v>
      </c>
      <c r="K348" s="147">
        <v>1700.8150471457745</v>
      </c>
      <c r="L348" s="34">
        <v>5.8150471457745425</v>
      </c>
      <c r="M348" s="56">
        <v>5.8150471457745425</v>
      </c>
      <c r="N348" s="56">
        <v>0.83346886458432501</v>
      </c>
      <c r="O348" s="132">
        <f t="shared" ref="O348:O411" si="7">SIGN(L348)*N348</f>
        <v>0.83346886458432501</v>
      </c>
      <c r="P348" s="56">
        <v>0.34307062806929456</v>
      </c>
      <c r="Q348" s="143">
        <v>0.34307062806929456</v>
      </c>
      <c r="R348" s="143">
        <v>1653.075334653186</v>
      </c>
      <c r="S348" s="34">
        <v>-41.924665346813981</v>
      </c>
      <c r="T348" s="56">
        <v>41.924665346813981</v>
      </c>
      <c r="U348" s="56">
        <v>1.6327069179599527</v>
      </c>
      <c r="V348" s="56">
        <v>-2.4734315838828307</v>
      </c>
      <c r="W348" s="33">
        <v>2.4734315838828307</v>
      </c>
    </row>
    <row r="349" spans="1:23" ht="16" x14ac:dyDescent="0.2">
      <c r="A349" s="103" t="s">
        <v>19</v>
      </c>
      <c r="B349" t="s">
        <v>869</v>
      </c>
      <c r="C349" s="24" t="s">
        <v>980</v>
      </c>
      <c r="D349" s="224" t="s">
        <v>824</v>
      </c>
      <c r="E349" s="35" t="s">
        <v>148</v>
      </c>
      <c r="F349" s="103" t="s">
        <v>968</v>
      </c>
      <c r="G349" s="103">
        <v>1</v>
      </c>
      <c r="H349" s="35" t="s">
        <v>374</v>
      </c>
      <c r="I349" s="35" t="s">
        <v>580</v>
      </c>
      <c r="J349" s="35">
        <v>1686</v>
      </c>
      <c r="K349" s="147">
        <v>1680.0945734339318</v>
      </c>
      <c r="L349" s="34">
        <v>-5.9054265660681722</v>
      </c>
      <c r="M349" s="56">
        <v>5.9054265660681722</v>
      </c>
      <c r="N349" s="56">
        <v>0.83919051123725796</v>
      </c>
      <c r="O349" s="132">
        <f t="shared" si="7"/>
        <v>-0.83919051123725796</v>
      </c>
      <c r="P349" s="56">
        <v>-0.35026254840261994</v>
      </c>
      <c r="Q349" s="143">
        <v>0.35026254840261994</v>
      </c>
      <c r="R349" s="143">
        <v>1677.6365442719857</v>
      </c>
      <c r="S349" s="34">
        <v>-8.3634557280142872</v>
      </c>
      <c r="T349" s="56">
        <v>8.3634557280142872</v>
      </c>
      <c r="U349" s="56">
        <v>0.97143616141183453</v>
      </c>
      <c r="V349" s="56">
        <v>-0.49605312740298263</v>
      </c>
      <c r="W349" s="33">
        <v>0.49605312740298263</v>
      </c>
    </row>
    <row r="350" spans="1:23" ht="16" x14ac:dyDescent="0.2">
      <c r="A350" s="103" t="s">
        <v>19</v>
      </c>
      <c r="B350" t="s">
        <v>879</v>
      </c>
      <c r="C350" s="103" t="s">
        <v>979</v>
      </c>
      <c r="D350" s="224" t="s">
        <v>824</v>
      </c>
      <c r="E350" s="35" t="s">
        <v>148</v>
      </c>
      <c r="F350" s="103" t="s">
        <v>967</v>
      </c>
      <c r="G350" s="103">
        <v>0</v>
      </c>
      <c r="H350" s="35" t="s">
        <v>374</v>
      </c>
      <c r="I350" s="35" t="s">
        <v>580</v>
      </c>
      <c r="J350" s="35">
        <v>1550</v>
      </c>
      <c r="K350" s="147">
        <v>1543.4782608695652</v>
      </c>
      <c r="L350" s="34">
        <v>-6.521739130434753</v>
      </c>
      <c r="M350" s="56">
        <v>6.521739130434753</v>
      </c>
      <c r="N350" s="56">
        <v>0.87631826711120087</v>
      </c>
      <c r="O350" s="132">
        <f t="shared" si="7"/>
        <v>-0.87631826711120087</v>
      </c>
      <c r="P350" s="56">
        <v>-0.42075736325385504</v>
      </c>
      <c r="Q350" s="143">
        <v>0.42075736325385504</v>
      </c>
      <c r="R350" s="143">
        <v>1541.6666666666667</v>
      </c>
      <c r="S350" s="34">
        <v>-8.3333333333332575</v>
      </c>
      <c r="T350" s="56">
        <v>8.3333333333332575</v>
      </c>
      <c r="U350" s="56">
        <v>0.97003677662255328</v>
      </c>
      <c r="V350" s="56">
        <v>-0.53763440860214562</v>
      </c>
      <c r="W350" s="33">
        <v>0.53763440860214562</v>
      </c>
    </row>
    <row r="351" spans="1:23" ht="16" x14ac:dyDescent="0.2">
      <c r="A351" s="103" t="s">
        <v>19</v>
      </c>
      <c r="B351" t="s">
        <v>872</v>
      </c>
      <c r="C351" s="224" t="s">
        <v>978</v>
      </c>
      <c r="D351" s="224" t="s">
        <v>824</v>
      </c>
      <c r="E351" s="35" t="s">
        <v>148</v>
      </c>
      <c r="F351" s="103" t="s">
        <v>968</v>
      </c>
      <c r="G351" s="103">
        <v>1</v>
      </c>
      <c r="H351" s="35" t="s">
        <v>374</v>
      </c>
      <c r="I351" s="35" t="s">
        <v>580</v>
      </c>
      <c r="J351" s="35">
        <v>1684</v>
      </c>
      <c r="K351" s="147">
        <v>1677.4782483335548</v>
      </c>
      <c r="L351" s="34">
        <v>-6.5217516664451978</v>
      </c>
      <c r="M351" s="56">
        <v>6.5217516664451978</v>
      </c>
      <c r="N351" s="56">
        <v>0.87631899092194854</v>
      </c>
      <c r="O351" s="132">
        <f t="shared" si="7"/>
        <v>-0.87631899092194854</v>
      </c>
      <c r="P351" s="56">
        <v>-0.38727741487204265</v>
      </c>
      <c r="Q351" s="143">
        <v>0.38727741487204265</v>
      </c>
      <c r="R351" s="143">
        <v>1618.9882095405933</v>
      </c>
      <c r="S351" s="34">
        <v>-65.011790459406711</v>
      </c>
      <c r="T351" s="56">
        <v>65.011790459406711</v>
      </c>
      <c r="U351" s="56">
        <v>1.8196215124227706</v>
      </c>
      <c r="V351" s="56">
        <v>-3.8605576282308025</v>
      </c>
      <c r="W351" s="33">
        <v>3.8605576282308025</v>
      </c>
    </row>
    <row r="352" spans="1:23" ht="15" x14ac:dyDescent="0.2">
      <c r="A352" s="103" t="s">
        <v>19</v>
      </c>
      <c r="B352" t="s">
        <v>894</v>
      </c>
      <c r="C352" s="103" t="s">
        <v>979</v>
      </c>
      <c r="D352" s="224" t="s">
        <v>824</v>
      </c>
      <c r="E352" s="35" t="s">
        <v>148</v>
      </c>
      <c r="F352" s="103" t="s">
        <v>967</v>
      </c>
      <c r="G352" s="103">
        <v>0</v>
      </c>
      <c r="H352" s="35" t="s">
        <v>494</v>
      </c>
      <c r="I352" s="35" t="s">
        <v>580</v>
      </c>
      <c r="J352" s="35">
        <v>1111</v>
      </c>
      <c r="K352">
        <v>1104.3478260869565</v>
      </c>
      <c r="L352" s="34">
        <v>-6.652173913043498</v>
      </c>
      <c r="M352" s="56">
        <v>6.652173913043498</v>
      </c>
      <c r="N352" s="56">
        <v>0.88378483179655809</v>
      </c>
      <c r="O352" s="132">
        <f t="shared" si="7"/>
        <v>-0.88378483179655809</v>
      </c>
      <c r="P352" s="56">
        <v>-0.5987555277266875</v>
      </c>
      <c r="Q352" s="143">
        <v>0.5987555277266875</v>
      </c>
      <c r="R352" s="143">
        <v>1100</v>
      </c>
      <c r="S352" s="34">
        <v>-11</v>
      </c>
      <c r="T352" s="56">
        <v>11</v>
      </c>
      <c r="U352" s="56">
        <v>1.0791812460476249</v>
      </c>
      <c r="V352" s="56">
        <v>-0.99009900990099009</v>
      </c>
      <c r="W352" s="33">
        <v>0.99009900990099009</v>
      </c>
    </row>
    <row r="353" spans="1:23" ht="15" x14ac:dyDescent="0.2">
      <c r="A353" s="103" t="s">
        <v>19</v>
      </c>
      <c r="B353" t="s">
        <v>888</v>
      </c>
      <c r="C353" s="224" t="s">
        <v>974</v>
      </c>
      <c r="D353" s="224" t="s">
        <v>824</v>
      </c>
      <c r="E353" s="35" t="s">
        <v>148</v>
      </c>
      <c r="F353" s="103" t="s">
        <v>967</v>
      </c>
      <c r="G353" s="103">
        <v>0</v>
      </c>
      <c r="H353" s="35" t="s">
        <v>374</v>
      </c>
      <c r="I353" s="35" t="s">
        <v>580</v>
      </c>
      <c r="J353" s="35">
        <v>2150</v>
      </c>
      <c r="K353">
        <v>2143.2838000000002</v>
      </c>
      <c r="L353" s="34">
        <v>-6.7161999999998443</v>
      </c>
      <c r="M353" s="56">
        <v>6.7161999999998443</v>
      </c>
      <c r="N353" s="56">
        <v>0.88740347581096479</v>
      </c>
      <c r="O353" s="132">
        <f t="shared" si="7"/>
        <v>-0.88740347581096479</v>
      </c>
      <c r="P353" s="56">
        <v>-0.31238139534882997</v>
      </c>
      <c r="Q353" s="143">
        <v>0.31238139534882997</v>
      </c>
      <c r="R353" s="143">
        <v>2001.1151999999997</v>
      </c>
      <c r="S353" s="34">
        <v>-148.88480000000027</v>
      </c>
      <c r="T353" s="56">
        <v>148.88480000000027</v>
      </c>
      <c r="U353" s="56">
        <v>2.1757575927493118</v>
      </c>
      <c r="V353" s="56">
        <v>-6.9248744186046638</v>
      </c>
      <c r="W353" s="33">
        <v>6.9248744186046638</v>
      </c>
    </row>
    <row r="354" spans="1:23" ht="16" x14ac:dyDescent="0.2">
      <c r="A354" s="103" t="s">
        <v>19</v>
      </c>
      <c r="B354" t="s">
        <v>865</v>
      </c>
      <c r="C354" s="224" t="s">
        <v>978</v>
      </c>
      <c r="D354" s="224" t="s">
        <v>824</v>
      </c>
      <c r="E354" s="35" t="s">
        <v>148</v>
      </c>
      <c r="F354" s="103" t="s">
        <v>968</v>
      </c>
      <c r="G354" s="103">
        <v>1</v>
      </c>
      <c r="H354" s="35" t="s">
        <v>374</v>
      </c>
      <c r="I354" s="35" t="s">
        <v>580</v>
      </c>
      <c r="J354" s="35">
        <v>1598</v>
      </c>
      <c r="K354" s="147">
        <v>1591.1986785327085</v>
      </c>
      <c r="L354" s="34">
        <v>-6.8013214672914728</v>
      </c>
      <c r="M354" s="56">
        <v>6.8013214672914728</v>
      </c>
      <c r="N354" s="56">
        <v>0.8921681741447034</v>
      </c>
      <c r="O354" s="132">
        <f t="shared" si="7"/>
        <v>-0.8921681741447034</v>
      </c>
      <c r="P354" s="56">
        <v>-0.42561460996817729</v>
      </c>
      <c r="Q354" s="143">
        <v>0.42561460996817729</v>
      </c>
      <c r="R354" s="143">
        <v>1573.164159116835</v>
      </c>
      <c r="S354" s="34">
        <v>-24.835840883165019</v>
      </c>
      <c r="T354" s="56">
        <v>24.835840883165019</v>
      </c>
      <c r="U354" s="56">
        <v>1.4122226011623256</v>
      </c>
      <c r="V354" s="56">
        <v>-1.5541827836774105</v>
      </c>
      <c r="W354" s="33">
        <v>1.5541827836774105</v>
      </c>
    </row>
    <row r="355" spans="1:23" ht="16" x14ac:dyDescent="0.2">
      <c r="A355" s="103" t="s">
        <v>19</v>
      </c>
      <c r="B355" t="s">
        <v>870</v>
      </c>
      <c r="C355" s="224" t="s">
        <v>978</v>
      </c>
      <c r="D355" s="224" t="s">
        <v>824</v>
      </c>
      <c r="E355" s="35" t="s">
        <v>148</v>
      </c>
      <c r="F355" s="103" t="s">
        <v>968</v>
      </c>
      <c r="G355" s="103">
        <v>1</v>
      </c>
      <c r="H355" s="35" t="s">
        <v>374</v>
      </c>
      <c r="I355" s="35" t="s">
        <v>580</v>
      </c>
      <c r="J355" s="35">
        <v>1582</v>
      </c>
      <c r="K355" s="147">
        <v>1575.110330090185</v>
      </c>
      <c r="L355" s="34">
        <v>-6.8896699098149838</v>
      </c>
      <c r="M355" s="56">
        <v>6.8896699098149838</v>
      </c>
      <c r="N355" s="56">
        <v>0.89705883345723625</v>
      </c>
      <c r="O355" s="132">
        <f t="shared" si="7"/>
        <v>-0.89705883345723625</v>
      </c>
      <c r="P355" s="56">
        <v>-0.43550378696681313</v>
      </c>
      <c r="Q355" s="143">
        <v>0.43550378696681313</v>
      </c>
      <c r="R355" s="143">
        <v>1568.0867834141272</v>
      </c>
      <c r="S355" s="34">
        <v>-13.91321658587276</v>
      </c>
      <c r="T355" s="56">
        <v>13.91321658587276</v>
      </c>
      <c r="U355" s="56">
        <v>1.1735713251989928</v>
      </c>
      <c r="V355" s="56">
        <v>-0.87947007496035146</v>
      </c>
      <c r="W355" s="33">
        <v>0.87947007496035146</v>
      </c>
    </row>
    <row r="356" spans="1:23" ht="15" x14ac:dyDescent="0.2">
      <c r="A356" s="103" t="s">
        <v>19</v>
      </c>
      <c r="B356" s="218" t="s">
        <v>344</v>
      </c>
      <c r="C356" s="224" t="s">
        <v>977</v>
      </c>
      <c r="D356" s="208" t="s">
        <v>403</v>
      </c>
      <c r="E356" s="35" t="s">
        <v>82</v>
      </c>
      <c r="F356" s="103" t="s">
        <v>968</v>
      </c>
      <c r="G356" s="103">
        <v>1</v>
      </c>
      <c r="H356" s="35" t="s">
        <v>374</v>
      </c>
      <c r="I356" s="35" t="s">
        <v>580</v>
      </c>
      <c r="J356" s="35">
        <v>1427.7</v>
      </c>
      <c r="K356" s="141">
        <v>1420.6903080373074</v>
      </c>
      <c r="L356" s="34">
        <v>-7.0096919626926137</v>
      </c>
      <c r="M356" s="56">
        <v>7.0096919626926137</v>
      </c>
      <c r="N356" s="56">
        <v>0.90361581427709348</v>
      </c>
      <c r="O356" s="132">
        <f t="shared" si="7"/>
        <v>-0.90361581427709348</v>
      </c>
      <c r="P356" s="56">
        <v>-0.49097793392817912</v>
      </c>
      <c r="Q356" s="143">
        <v>0.49097793392817912</v>
      </c>
      <c r="R356" s="143">
        <v>1414.9214765094398</v>
      </c>
      <c r="S356" s="34">
        <v>-12.778523490560247</v>
      </c>
      <c r="T356" s="56">
        <v>12.778523490560247</v>
      </c>
      <c r="U356" s="56">
        <v>1.139202680978092</v>
      </c>
      <c r="V356" s="56">
        <v>-0.89504262033762316</v>
      </c>
      <c r="W356" s="33">
        <v>0.89504262033762316</v>
      </c>
    </row>
    <row r="357" spans="1:23" ht="15" x14ac:dyDescent="0.2">
      <c r="A357" s="103" t="s">
        <v>19</v>
      </c>
      <c r="B357" s="28" t="s">
        <v>301</v>
      </c>
      <c r="C357" s="103" t="s">
        <v>975</v>
      </c>
      <c r="D357" s="208" t="s">
        <v>403</v>
      </c>
      <c r="E357" s="35" t="s">
        <v>82</v>
      </c>
      <c r="F357" s="103" t="s">
        <v>967</v>
      </c>
      <c r="G357" s="103">
        <v>0</v>
      </c>
      <c r="H357" s="35" t="s">
        <v>374</v>
      </c>
      <c r="I357" s="35" t="s">
        <v>580</v>
      </c>
      <c r="J357" s="35">
        <v>1300</v>
      </c>
      <c r="K357" s="141">
        <v>1307.0329999999999</v>
      </c>
      <c r="L357" s="34">
        <v>7.0329999999999018</v>
      </c>
      <c r="M357" s="56">
        <v>7.0329999999999018</v>
      </c>
      <c r="N357" s="56">
        <v>0.90487776696339928</v>
      </c>
      <c r="O357" s="132">
        <f t="shared" si="7"/>
        <v>0.90487776696339928</v>
      </c>
      <c r="P357" s="56">
        <v>0.54099999999999249</v>
      </c>
      <c r="Q357" s="143">
        <v>0.54099999999999249</v>
      </c>
      <c r="R357" s="143">
        <v>1322.51</v>
      </c>
      <c r="S357" s="34">
        <v>22.509999999999991</v>
      </c>
      <c r="T357" s="56">
        <v>22.509999999999991</v>
      </c>
      <c r="U357" s="56">
        <v>1.3712526291249392</v>
      </c>
      <c r="V357" s="56">
        <v>1.7315384615384608</v>
      </c>
      <c r="W357" s="33">
        <v>1.7315384615384608</v>
      </c>
    </row>
    <row r="358" spans="1:23" ht="16" x14ac:dyDescent="0.2">
      <c r="A358" s="103" t="s">
        <v>19</v>
      </c>
      <c r="B358" t="s">
        <v>863</v>
      </c>
      <c r="C358" s="103" t="s">
        <v>970</v>
      </c>
      <c r="D358" s="224" t="s">
        <v>824</v>
      </c>
      <c r="E358" s="35" t="s">
        <v>148</v>
      </c>
      <c r="F358" s="103" t="s">
        <v>967</v>
      </c>
      <c r="G358" s="103">
        <v>0</v>
      </c>
      <c r="H358" s="225" t="s">
        <v>494</v>
      </c>
      <c r="I358" s="35" t="s">
        <v>580</v>
      </c>
      <c r="J358" s="35">
        <v>1110</v>
      </c>
      <c r="K358" s="147">
        <v>1102.9045000000001</v>
      </c>
      <c r="L358" s="34">
        <v>-7.0954999999999018</v>
      </c>
      <c r="M358" s="56">
        <v>7.0954999999999018</v>
      </c>
      <c r="N358" s="56">
        <v>0.90824367712088983</v>
      </c>
      <c r="O358" s="132">
        <f t="shared" si="7"/>
        <v>-0.90824367712088983</v>
      </c>
      <c r="P358" s="56">
        <v>-0.63923423423422543</v>
      </c>
      <c r="Q358" s="143">
        <v>0.63923423423422543</v>
      </c>
      <c r="R358" s="143">
        <v>1090.7150000000001</v>
      </c>
      <c r="S358" s="34">
        <v>-19.284999999999854</v>
      </c>
      <c r="T358" s="56">
        <v>19.284999999999854</v>
      </c>
      <c r="U358" s="56">
        <v>1.3071750120403418</v>
      </c>
      <c r="V358" s="56">
        <v>-1.7373873873873742</v>
      </c>
      <c r="W358" s="33">
        <v>1.7373873873873742</v>
      </c>
    </row>
    <row r="359" spans="1:23" ht="16" x14ac:dyDescent="0.2">
      <c r="A359" s="103" t="s">
        <v>19</v>
      </c>
      <c r="B359" t="s">
        <v>845</v>
      </c>
      <c r="C359" s="224" t="s">
        <v>977</v>
      </c>
      <c r="D359" s="224" t="s">
        <v>824</v>
      </c>
      <c r="E359" s="35" t="s">
        <v>148</v>
      </c>
      <c r="F359" s="103" t="s">
        <v>968</v>
      </c>
      <c r="G359" s="103">
        <v>1</v>
      </c>
      <c r="H359" s="225" t="s">
        <v>494</v>
      </c>
      <c r="I359" s="35" t="s">
        <v>580</v>
      </c>
      <c r="J359" s="35">
        <v>1059</v>
      </c>
      <c r="K359" s="147">
        <v>1066.2518190500787</v>
      </c>
      <c r="L359" s="34">
        <v>7.2518190500786659</v>
      </c>
      <c r="M359" s="56">
        <v>7.2518190500786659</v>
      </c>
      <c r="N359" s="56">
        <v>0.91654969598386227</v>
      </c>
      <c r="O359" s="132">
        <f t="shared" si="7"/>
        <v>0.91654969598386227</v>
      </c>
      <c r="P359" s="56">
        <v>0.68477989141441609</v>
      </c>
      <c r="Q359" s="143">
        <v>0.68477989141441609</v>
      </c>
      <c r="R359" s="143">
        <v>1043.7687649486713</v>
      </c>
      <c r="S359" s="34">
        <v>-15.231235051328667</v>
      </c>
      <c r="T359" s="56">
        <v>15.231235051328667</v>
      </c>
      <c r="U359" s="56">
        <v>1.2103515669962683</v>
      </c>
      <c r="V359" s="56">
        <v>-1.4382658216552093</v>
      </c>
      <c r="W359" s="33">
        <v>1.4382658216552093</v>
      </c>
    </row>
    <row r="360" spans="1:23" ht="15" x14ac:dyDescent="0.2">
      <c r="A360" s="103" t="s">
        <v>19</v>
      </c>
      <c r="B360" s="28" t="s">
        <v>327</v>
      </c>
      <c r="C360" s="103" t="s">
        <v>979</v>
      </c>
      <c r="D360" s="208" t="s">
        <v>403</v>
      </c>
      <c r="E360" s="35" t="s">
        <v>82</v>
      </c>
      <c r="F360" s="103" t="s">
        <v>967</v>
      </c>
      <c r="G360" s="103">
        <v>0</v>
      </c>
      <c r="H360" s="35" t="s">
        <v>374</v>
      </c>
      <c r="I360" s="35" t="s">
        <v>580</v>
      </c>
      <c r="J360" s="35">
        <v>1217.5999999999999</v>
      </c>
      <c r="K360" s="141">
        <v>1209.5652173913043</v>
      </c>
      <c r="L360" s="34">
        <v>-8.0347826086956502</v>
      </c>
      <c r="M360" s="56">
        <v>8.0347826086956502</v>
      </c>
      <c r="N360" s="56">
        <v>0.95591770720356561</v>
      </c>
      <c r="O360" s="132">
        <f t="shared" si="7"/>
        <v>-0.95591770720356561</v>
      </c>
      <c r="P360" s="56">
        <v>-0.65988687653545097</v>
      </c>
      <c r="Q360" s="143">
        <v>0.65988687653545097</v>
      </c>
      <c r="R360" s="143">
        <v>1223.75</v>
      </c>
      <c r="S360" s="34">
        <v>6.1500000000000909</v>
      </c>
      <c r="T360" s="56">
        <v>6.1500000000000909</v>
      </c>
      <c r="U360" s="56">
        <v>0.85430604180108616</v>
      </c>
      <c r="V360" s="56">
        <v>0.5050919842312821</v>
      </c>
      <c r="W360" s="33">
        <v>0.5050919842312821</v>
      </c>
    </row>
    <row r="361" spans="1:23" ht="16" x14ac:dyDescent="0.2">
      <c r="A361" s="103" t="s">
        <v>19</v>
      </c>
      <c r="B361" t="s">
        <v>882</v>
      </c>
      <c r="C361" s="103" t="s">
        <v>979</v>
      </c>
      <c r="D361" s="224" t="s">
        <v>824</v>
      </c>
      <c r="E361" s="35" t="s">
        <v>148</v>
      </c>
      <c r="F361" s="103" t="s">
        <v>967</v>
      </c>
      <c r="G361" s="103">
        <v>0</v>
      </c>
      <c r="H361" s="35" t="s">
        <v>374</v>
      </c>
      <c r="I361" s="35" t="s">
        <v>580</v>
      </c>
      <c r="J361" s="35">
        <v>1643</v>
      </c>
      <c r="K361" s="147">
        <v>1634.782608695652</v>
      </c>
      <c r="L361" s="34">
        <v>-8.2173913043479843</v>
      </c>
      <c r="M361" s="56">
        <v>8.2173913043479843</v>
      </c>
      <c r="N361" s="56">
        <v>0.96460802491116604</v>
      </c>
      <c r="O361" s="132">
        <f t="shared" si="7"/>
        <v>-0.96460802491116604</v>
      </c>
      <c r="P361" s="56">
        <v>-0.50014554499987729</v>
      </c>
      <c r="Q361" s="143">
        <v>0.50014554499987729</v>
      </c>
      <c r="R361" s="143">
        <v>1633.3333333333335</v>
      </c>
      <c r="S361" s="34">
        <v>-9.6666666666665151</v>
      </c>
      <c r="T361" s="56">
        <v>9.6666666666665151</v>
      </c>
      <c r="U361" s="56">
        <v>1.0280287236002374</v>
      </c>
      <c r="V361" s="56">
        <v>-0.58835463582875924</v>
      </c>
      <c r="W361" s="33">
        <v>0.58835463582875924</v>
      </c>
    </row>
    <row r="362" spans="1:23" ht="16" x14ac:dyDescent="0.2">
      <c r="A362" s="103" t="s">
        <v>19</v>
      </c>
      <c r="B362" t="s">
        <v>857</v>
      </c>
      <c r="C362" s="103" t="s">
        <v>979</v>
      </c>
      <c r="D362" s="224" t="s">
        <v>824</v>
      </c>
      <c r="E362" s="35" t="s">
        <v>148</v>
      </c>
      <c r="F362" s="103" t="s">
        <v>967</v>
      </c>
      <c r="G362" s="103">
        <v>0</v>
      </c>
      <c r="H362" s="225" t="s">
        <v>494</v>
      </c>
      <c r="I362" s="35" t="s">
        <v>580</v>
      </c>
      <c r="J362" s="35">
        <v>1022</v>
      </c>
      <c r="K362" s="147">
        <v>1030.4347826086955</v>
      </c>
      <c r="L362" s="34">
        <v>8.4347826086955138</v>
      </c>
      <c r="M362" s="56">
        <v>8.4347826086955138</v>
      </c>
      <c r="N362" s="56">
        <v>0.97473189783093028</v>
      </c>
      <c r="O362" s="132">
        <f t="shared" si="7"/>
        <v>0.97473189783093028</v>
      </c>
      <c r="P362" s="56">
        <v>0.82532119458860209</v>
      </c>
      <c r="Q362" s="143">
        <v>0.82532119458860209</v>
      </c>
      <c r="R362" s="143">
        <v>1029.1666666666667</v>
      </c>
      <c r="S362" s="34">
        <v>7.1666666666667425</v>
      </c>
      <c r="T362" s="56">
        <v>7.1666666666667425</v>
      </c>
      <c r="U362" s="56">
        <v>0.9120448296448741</v>
      </c>
      <c r="V362" s="56">
        <v>0.70123939986954431</v>
      </c>
      <c r="W362" s="33">
        <v>0.70123939986954431</v>
      </c>
    </row>
    <row r="363" spans="1:23" ht="15" x14ac:dyDescent="0.2">
      <c r="A363" s="103" t="s">
        <v>19</v>
      </c>
      <c r="B363" s="28" t="s">
        <v>422</v>
      </c>
      <c r="C363" s="224" t="s">
        <v>978</v>
      </c>
      <c r="D363" s="35" t="s">
        <v>458</v>
      </c>
      <c r="E363" s="35" t="s">
        <v>82</v>
      </c>
      <c r="F363" s="103" t="s">
        <v>968</v>
      </c>
      <c r="G363" s="103">
        <v>1</v>
      </c>
      <c r="H363" s="35" t="s">
        <v>494</v>
      </c>
      <c r="I363" s="35" t="s">
        <v>580</v>
      </c>
      <c r="J363" s="35">
        <v>1070</v>
      </c>
      <c r="K363" s="141">
        <v>1061.5343318643738</v>
      </c>
      <c r="L363" s="34">
        <v>-8.4656681356261743</v>
      </c>
      <c r="M363" s="56">
        <v>8.4656681356261743</v>
      </c>
      <c r="N363" s="56">
        <v>0.97615127412386271</v>
      </c>
      <c r="O363" s="132">
        <f t="shared" si="7"/>
        <v>-0.97615127412386271</v>
      </c>
      <c r="P363" s="56">
        <v>-0.79118393790898822</v>
      </c>
      <c r="Q363" s="143">
        <v>0.79118393790898822</v>
      </c>
      <c r="R363" s="143">
        <v>1033.2982799846441</v>
      </c>
      <c r="S363" s="34">
        <v>-36.701720015355932</v>
      </c>
      <c r="T363" s="56">
        <v>36.701720015355932</v>
      </c>
      <c r="U363" s="56">
        <v>1.5763611638964579</v>
      </c>
      <c r="V363" s="56">
        <v>-3.4300672911547601</v>
      </c>
      <c r="W363" s="33">
        <v>3.4300672911547601</v>
      </c>
    </row>
    <row r="364" spans="1:23" ht="15" x14ac:dyDescent="0.2">
      <c r="A364" s="103" t="s">
        <v>19</v>
      </c>
      <c r="B364" s="28" t="s">
        <v>423</v>
      </c>
      <c r="C364" s="24" t="s">
        <v>980</v>
      </c>
      <c r="D364" s="35" t="s">
        <v>458</v>
      </c>
      <c r="E364" s="208" t="s">
        <v>82</v>
      </c>
      <c r="F364" s="103" t="s">
        <v>968</v>
      </c>
      <c r="G364" s="103">
        <v>1</v>
      </c>
      <c r="H364" s="35" t="s">
        <v>494</v>
      </c>
      <c r="I364" s="35" t="s">
        <v>580</v>
      </c>
      <c r="J364" s="35">
        <v>1150</v>
      </c>
      <c r="K364" s="141">
        <v>1158.5036861382248</v>
      </c>
      <c r="L364" s="34">
        <v>8.5036861382247935</v>
      </c>
      <c r="M364" s="56">
        <v>8.5036861382247935</v>
      </c>
      <c r="N364" s="56">
        <v>0.97789208518258985</v>
      </c>
      <c r="O364" s="132">
        <f t="shared" si="7"/>
        <v>0.97789208518258985</v>
      </c>
      <c r="P364" s="56">
        <v>0.73945096854128634</v>
      </c>
      <c r="Q364" s="143">
        <v>0.73945096854128634</v>
      </c>
      <c r="R364" s="143">
        <v>1125.2999539430198</v>
      </c>
      <c r="S364" s="34">
        <v>-24.700046056980227</v>
      </c>
      <c r="T364" s="56">
        <v>24.700046056980227</v>
      </c>
      <c r="U364" s="56">
        <v>1.4099339016299111</v>
      </c>
      <c r="V364" s="56">
        <v>-2.1478300919113242</v>
      </c>
      <c r="W364" s="33">
        <v>2.1478300919113242</v>
      </c>
    </row>
    <row r="365" spans="1:23" ht="15" x14ac:dyDescent="0.2">
      <c r="A365" s="103" t="s">
        <v>19</v>
      </c>
      <c r="B365" s="28" t="s">
        <v>327</v>
      </c>
      <c r="C365" s="24" t="s">
        <v>980</v>
      </c>
      <c r="D365" s="208" t="s">
        <v>403</v>
      </c>
      <c r="E365" s="35" t="s">
        <v>82</v>
      </c>
      <c r="F365" s="103" t="s">
        <v>968</v>
      </c>
      <c r="G365" s="103">
        <v>1</v>
      </c>
      <c r="H365" s="35" t="s">
        <v>374</v>
      </c>
      <c r="I365" s="35" t="s">
        <v>580</v>
      </c>
      <c r="J365" s="35">
        <v>1217.5999999999999</v>
      </c>
      <c r="K365" s="141">
        <v>1209.0368699901596</v>
      </c>
      <c r="L365" s="34">
        <v>-8.5631300098402789</v>
      </c>
      <c r="M365" s="56">
        <v>8.5631300098402789</v>
      </c>
      <c r="N365" s="56">
        <v>0.98060006000840916</v>
      </c>
      <c r="O365" s="132">
        <f t="shared" si="7"/>
        <v>-0.98060006000840916</v>
      </c>
      <c r="P365" s="56">
        <v>-0.70327940291066682</v>
      </c>
      <c r="Q365" s="143">
        <v>0.70327940291066682</v>
      </c>
      <c r="R365" s="143">
        <v>1213.1800023193341</v>
      </c>
      <c r="S365" s="34">
        <v>-4.4199976806658015</v>
      </c>
      <c r="T365" s="56">
        <v>4.4199976806658015</v>
      </c>
      <c r="U365" s="56">
        <v>0.73399910069442753</v>
      </c>
      <c r="V365" s="56">
        <v>-0.36300900793904417</v>
      </c>
      <c r="W365" s="33">
        <v>0.36300900793904417</v>
      </c>
    </row>
    <row r="366" spans="1:23" ht="16" x14ac:dyDescent="0.2">
      <c r="A366" s="103" t="s">
        <v>19</v>
      </c>
      <c r="B366" t="s">
        <v>881</v>
      </c>
      <c r="C366" s="224" t="s">
        <v>974</v>
      </c>
      <c r="D366" s="224" t="s">
        <v>824</v>
      </c>
      <c r="E366" s="35" t="s">
        <v>148</v>
      </c>
      <c r="F366" s="103" t="s">
        <v>967</v>
      </c>
      <c r="G366" s="103">
        <v>0</v>
      </c>
      <c r="H366" s="35" t="s">
        <v>374</v>
      </c>
      <c r="I366" s="35" t="s">
        <v>580</v>
      </c>
      <c r="J366" s="35">
        <v>1835</v>
      </c>
      <c r="K366" s="147">
        <v>1843.5835</v>
      </c>
      <c r="L366" s="34">
        <v>8.5834999999999582</v>
      </c>
      <c r="M366" s="56">
        <v>8.5834999999999582</v>
      </c>
      <c r="N366" s="56">
        <v>0.98152414718781933</v>
      </c>
      <c r="O366" s="132">
        <f t="shared" si="7"/>
        <v>0.98152414718781933</v>
      </c>
      <c r="P366" s="56">
        <v>0.4677656675749296</v>
      </c>
      <c r="Q366" s="143">
        <v>0.4677656675749296</v>
      </c>
      <c r="R366" s="143">
        <v>1733.1719999999998</v>
      </c>
      <c r="S366" s="34">
        <v>-101.8280000000002</v>
      </c>
      <c r="T366" s="56">
        <v>101.8280000000002</v>
      </c>
      <c r="U366" s="56">
        <v>2.0121113888784152</v>
      </c>
      <c r="V366" s="56">
        <v>-5.5492098092643163</v>
      </c>
      <c r="W366" s="33">
        <v>5.5492098092643163</v>
      </c>
    </row>
    <row r="367" spans="1:23" ht="16" x14ac:dyDescent="0.2">
      <c r="A367" s="103" t="s">
        <v>19</v>
      </c>
      <c r="B367" t="s">
        <v>843</v>
      </c>
      <c r="C367" s="103" t="s">
        <v>979</v>
      </c>
      <c r="D367" s="224" t="s">
        <v>824</v>
      </c>
      <c r="E367" s="35" t="s">
        <v>148</v>
      </c>
      <c r="F367" s="103" t="s">
        <v>967</v>
      </c>
      <c r="G367" s="103">
        <v>0</v>
      </c>
      <c r="H367" s="35" t="s">
        <v>494</v>
      </c>
      <c r="I367" s="35" t="s">
        <v>580</v>
      </c>
      <c r="J367" s="35">
        <v>1126</v>
      </c>
      <c r="K367" s="147">
        <v>1117.391304347826</v>
      </c>
      <c r="L367" s="34">
        <v>-8.6086956521739921</v>
      </c>
      <c r="M367" s="56">
        <v>8.6086956521739921</v>
      </c>
      <c r="N367" s="56">
        <v>0.98266443766752143</v>
      </c>
      <c r="O367" s="132">
        <f t="shared" si="7"/>
        <v>-0.98266443766752143</v>
      </c>
      <c r="P367" s="56">
        <v>-0.76453780214689093</v>
      </c>
      <c r="Q367" s="143">
        <v>0.76453780214689093</v>
      </c>
      <c r="R367" s="143">
        <v>1133.3333333333335</v>
      </c>
      <c r="S367" s="34">
        <v>7.3333333333334849</v>
      </c>
      <c r="T367" s="56">
        <v>7.3333333333334849</v>
      </c>
      <c r="U367" s="56">
        <v>0.92081875395238311</v>
      </c>
      <c r="V367" s="56">
        <v>0.65127294256958124</v>
      </c>
      <c r="W367" s="33">
        <v>0.65127294256958124</v>
      </c>
    </row>
    <row r="368" spans="1:23" ht="16" x14ac:dyDescent="0.2">
      <c r="A368" s="103" t="s">
        <v>19</v>
      </c>
      <c r="B368" t="s">
        <v>860</v>
      </c>
      <c r="C368" s="224" t="s">
        <v>977</v>
      </c>
      <c r="D368" s="224" t="s">
        <v>824</v>
      </c>
      <c r="E368" s="35" t="s">
        <v>148</v>
      </c>
      <c r="F368" s="103" t="s">
        <v>968</v>
      </c>
      <c r="G368" s="103">
        <v>1</v>
      </c>
      <c r="H368" s="35" t="s">
        <v>494</v>
      </c>
      <c r="I368" s="35" t="s">
        <v>580</v>
      </c>
      <c r="J368" s="35">
        <v>1029</v>
      </c>
      <c r="K368" s="147">
        <v>1037.8723046488305</v>
      </c>
      <c r="L368" s="34">
        <v>8.8723046488305499</v>
      </c>
      <c r="M368" s="56">
        <v>8.8723046488305499</v>
      </c>
      <c r="N368" s="56">
        <v>0.99441854876215807</v>
      </c>
      <c r="O368" s="132">
        <f t="shared" si="7"/>
        <v>0.99441854876215807</v>
      </c>
      <c r="P368" s="56">
        <v>0.8622259133946113</v>
      </c>
      <c r="Q368" s="143">
        <v>0.8622259133946113</v>
      </c>
      <c r="R368" s="143">
        <v>1021.3389813846983</v>
      </c>
      <c r="S368" s="34">
        <v>-7.6610186153017139</v>
      </c>
      <c r="T368" s="56">
        <v>7.6610186153017139</v>
      </c>
      <c r="U368" s="56">
        <v>0.93756897203926126</v>
      </c>
      <c r="V368" s="56">
        <v>-0.74451104133155621</v>
      </c>
      <c r="W368" s="33">
        <v>0.74451104133155621</v>
      </c>
    </row>
    <row r="369" spans="1:23" ht="16" x14ac:dyDescent="0.2">
      <c r="A369" s="103" t="s">
        <v>19</v>
      </c>
      <c r="B369" t="s">
        <v>865</v>
      </c>
      <c r="C369" s="224" t="s">
        <v>977</v>
      </c>
      <c r="D369" s="224" t="s">
        <v>824</v>
      </c>
      <c r="E369" s="35" t="s">
        <v>148</v>
      </c>
      <c r="F369" s="103" t="s">
        <v>968</v>
      </c>
      <c r="G369" s="103">
        <v>1</v>
      </c>
      <c r="H369" s="35" t="s">
        <v>374</v>
      </c>
      <c r="I369" s="35" t="s">
        <v>580</v>
      </c>
      <c r="J369" s="35">
        <v>1598</v>
      </c>
      <c r="K369" s="147">
        <v>1606.9776531869206</v>
      </c>
      <c r="L369" s="34">
        <v>8.9776531869206337</v>
      </c>
      <c r="M369" s="56">
        <v>8.9776531869206337</v>
      </c>
      <c r="N369" s="56">
        <v>0.99902840423091677</v>
      </c>
      <c r="O369" s="132">
        <f t="shared" si="7"/>
        <v>0.99902840423091677</v>
      </c>
      <c r="P369" s="56">
        <v>0.56180558115898838</v>
      </c>
      <c r="Q369" s="143">
        <v>0.56180558115898838</v>
      </c>
      <c r="R369" s="143">
        <v>1593.4631300088072</v>
      </c>
      <c r="S369" s="34">
        <v>-4.5368699911928161</v>
      </c>
      <c r="T369" s="56">
        <v>4.5368699911928161</v>
      </c>
      <c r="U369" s="56">
        <v>0.74326432615407989</v>
      </c>
      <c r="V369" s="56">
        <v>-0.2839092610258333</v>
      </c>
      <c r="W369" s="33">
        <v>0.2839092610258333</v>
      </c>
    </row>
    <row r="370" spans="1:23" ht="16" x14ac:dyDescent="0.2">
      <c r="A370" s="103" t="s">
        <v>19</v>
      </c>
      <c r="B370" t="s">
        <v>844</v>
      </c>
      <c r="C370" s="224" t="s">
        <v>977</v>
      </c>
      <c r="D370" s="224" t="s">
        <v>824</v>
      </c>
      <c r="E370" s="35" t="s">
        <v>148</v>
      </c>
      <c r="F370" s="103" t="s">
        <v>968</v>
      </c>
      <c r="G370" s="103">
        <v>1</v>
      </c>
      <c r="H370" s="225" t="s">
        <v>494</v>
      </c>
      <c r="I370" s="35" t="s">
        <v>580</v>
      </c>
      <c r="J370" s="35">
        <v>1028</v>
      </c>
      <c r="K370" s="147">
        <v>1018.9905652774856</v>
      </c>
      <c r="L370" s="34">
        <v>-9.0094347225143565</v>
      </c>
      <c r="M370" s="56">
        <v>9.0094347225143565</v>
      </c>
      <c r="N370" s="56">
        <v>1.0004095516226972</v>
      </c>
      <c r="O370" s="132">
        <f t="shared" si="7"/>
        <v>-1.0004095516226972</v>
      </c>
      <c r="P370" s="56">
        <v>-0.87640415588661058</v>
      </c>
      <c r="Q370" s="143">
        <v>0.87640415588661058</v>
      </c>
      <c r="R370" s="143">
        <v>1012.3791966396165</v>
      </c>
      <c r="S370" s="34">
        <v>-15.620803360383547</v>
      </c>
      <c r="T370" s="56">
        <v>15.620803360383547</v>
      </c>
      <c r="U370" s="56">
        <v>1.2206520114185835</v>
      </c>
      <c r="V370" s="56">
        <v>-1.5195334008155201</v>
      </c>
      <c r="W370" s="33">
        <v>1.5195334008155201</v>
      </c>
    </row>
    <row r="371" spans="1:23" ht="16" x14ac:dyDescent="0.2">
      <c r="A371" s="103" t="s">
        <v>19</v>
      </c>
      <c r="B371" t="s">
        <v>877</v>
      </c>
      <c r="C371" s="103" t="s">
        <v>970</v>
      </c>
      <c r="D371" s="224" t="s">
        <v>824</v>
      </c>
      <c r="E371" s="35" t="s">
        <v>148</v>
      </c>
      <c r="F371" s="103" t="s">
        <v>967</v>
      </c>
      <c r="G371" s="103">
        <v>0</v>
      </c>
      <c r="H371" s="35" t="s">
        <v>374</v>
      </c>
      <c r="I371" s="35" t="s">
        <v>580</v>
      </c>
      <c r="J371" s="35">
        <v>1647</v>
      </c>
      <c r="K371" s="147">
        <v>1637.9747000000002</v>
      </c>
      <c r="L371" s="34">
        <v>-9.0252999999997883</v>
      </c>
      <c r="M371" s="56">
        <v>9.0252999999997883</v>
      </c>
      <c r="N371" s="56">
        <v>1.0010973774413536</v>
      </c>
      <c r="O371" s="132">
        <f t="shared" si="7"/>
        <v>-1.0010973774413536</v>
      </c>
      <c r="P371" s="56">
        <v>-0.54798421372190576</v>
      </c>
      <c r="Q371" s="143">
        <v>0.54798421372190576</v>
      </c>
      <c r="R371" s="143">
        <v>1677.5600000000004</v>
      </c>
      <c r="S371" s="34">
        <v>30.5600000000004</v>
      </c>
      <c r="T371" s="56">
        <v>30.5600000000004</v>
      </c>
      <c r="U371" s="56">
        <v>1.4991369945373882</v>
      </c>
      <c r="V371" s="56">
        <v>1.8554948391014208</v>
      </c>
      <c r="W371" s="33">
        <v>1.8554948391014208</v>
      </c>
    </row>
    <row r="372" spans="1:23" ht="15" x14ac:dyDescent="0.2">
      <c r="A372" s="103" t="s">
        <v>19</v>
      </c>
      <c r="B372" s="28" t="s">
        <v>421</v>
      </c>
      <c r="C372" s="224" t="s">
        <v>974</v>
      </c>
      <c r="D372" s="35" t="s">
        <v>458</v>
      </c>
      <c r="E372" s="35" t="s">
        <v>82</v>
      </c>
      <c r="F372" s="103" t="s">
        <v>967</v>
      </c>
      <c r="G372" s="103">
        <v>0</v>
      </c>
      <c r="H372" s="35" t="s">
        <v>494</v>
      </c>
      <c r="I372" s="35" t="s">
        <v>580</v>
      </c>
      <c r="J372" s="35">
        <v>825</v>
      </c>
      <c r="K372" s="141">
        <v>834.06670000000008</v>
      </c>
      <c r="L372" s="34">
        <v>9.0667000000000826</v>
      </c>
      <c r="M372" s="56">
        <v>9.0667000000000826</v>
      </c>
      <c r="N372" s="56">
        <v>1.0028871262963093</v>
      </c>
      <c r="O372" s="132">
        <f t="shared" si="7"/>
        <v>1.0028871262963093</v>
      </c>
      <c r="P372" s="56">
        <v>1.0989939393939494</v>
      </c>
      <c r="Q372" s="143">
        <v>1.0989939393939494</v>
      </c>
      <c r="R372" s="143">
        <v>800.15550000000007</v>
      </c>
      <c r="S372" s="34">
        <v>-24.844499999999925</v>
      </c>
      <c r="T372" s="56">
        <v>24.844499999999925</v>
      </c>
      <c r="U372" s="56">
        <v>1.4123681345171946</v>
      </c>
      <c r="V372" s="56">
        <v>-3.0114545454545363</v>
      </c>
      <c r="W372" s="33">
        <v>3.0114545454545363</v>
      </c>
    </row>
    <row r="373" spans="1:23" ht="15" x14ac:dyDescent="0.2">
      <c r="A373" s="103" t="s">
        <v>19</v>
      </c>
      <c r="B373" t="s">
        <v>898</v>
      </c>
      <c r="C373" s="224" t="s">
        <v>978</v>
      </c>
      <c r="D373" s="224" t="s">
        <v>824</v>
      </c>
      <c r="E373" s="35" t="s">
        <v>148</v>
      </c>
      <c r="F373" s="103" t="s">
        <v>968</v>
      </c>
      <c r="G373" s="103">
        <v>1</v>
      </c>
      <c r="H373" s="225" t="s">
        <v>494</v>
      </c>
      <c r="I373" s="35" t="s">
        <v>580</v>
      </c>
      <c r="J373" s="35">
        <v>874</v>
      </c>
      <c r="K373">
        <v>864.88381477646294</v>
      </c>
      <c r="L373" s="34">
        <v>-9.1161852235370588</v>
      </c>
      <c r="M373" s="56">
        <v>9.1161852235370588</v>
      </c>
      <c r="N373" s="56">
        <v>1.0050167725133745</v>
      </c>
      <c r="O373" s="132">
        <f t="shared" si="7"/>
        <v>-1.0050167725133745</v>
      </c>
      <c r="P373" s="56">
        <v>-1.0430417875900524</v>
      </c>
      <c r="Q373" s="143">
        <v>1.0430417875900524</v>
      </c>
      <c r="R373" s="143">
        <v>861.3048876352027</v>
      </c>
      <c r="S373" s="34">
        <v>-12.695112364797296</v>
      </c>
      <c r="T373" s="56">
        <v>12.695112364797296</v>
      </c>
      <c r="U373" s="56">
        <v>1.1365655998766711</v>
      </c>
      <c r="V373" s="56">
        <v>-1.4525300188555259</v>
      </c>
      <c r="W373" s="33">
        <v>1.4525300188555259</v>
      </c>
    </row>
    <row r="374" spans="1:23" ht="16" x14ac:dyDescent="0.2">
      <c r="A374" s="103" t="s">
        <v>19</v>
      </c>
      <c r="B374" t="s">
        <v>880</v>
      </c>
      <c r="C374" s="224" t="s">
        <v>977</v>
      </c>
      <c r="D374" s="224" t="s">
        <v>824</v>
      </c>
      <c r="E374" s="35" t="s">
        <v>148</v>
      </c>
      <c r="F374" s="103" t="s">
        <v>968</v>
      </c>
      <c r="G374" s="103">
        <v>1</v>
      </c>
      <c r="H374" s="35" t="s">
        <v>374</v>
      </c>
      <c r="I374" s="35" t="s">
        <v>580</v>
      </c>
      <c r="J374" s="35">
        <v>1695</v>
      </c>
      <c r="K374" s="147">
        <v>1685.7125808519991</v>
      </c>
      <c r="L374" s="34">
        <v>-9.2874191480009358</v>
      </c>
      <c r="M374" s="56">
        <v>9.2874191480009358</v>
      </c>
      <c r="N374" s="56">
        <v>1.0123064349794972</v>
      </c>
      <c r="O374" s="132">
        <f t="shared" si="7"/>
        <v>-1.0123064349794972</v>
      </c>
      <c r="P374" s="56">
        <v>-0.54793033321539442</v>
      </c>
      <c r="Q374" s="143">
        <v>0.54793033321539442</v>
      </c>
      <c r="R374" s="143">
        <v>1640.1370478225808</v>
      </c>
      <c r="S374" s="34">
        <v>-54.862952177419174</v>
      </c>
      <c r="T374" s="56">
        <v>54.862952177419174</v>
      </c>
      <c r="U374" s="56">
        <v>1.7471238830385334</v>
      </c>
      <c r="V374" s="56">
        <v>-3.2367523408506886</v>
      </c>
      <c r="W374" s="33">
        <v>3.2367523408506886</v>
      </c>
    </row>
    <row r="375" spans="1:23" ht="15" x14ac:dyDescent="0.2">
      <c r="A375" s="103" t="s">
        <v>19</v>
      </c>
      <c r="B375" s="28" t="s">
        <v>416</v>
      </c>
      <c r="C375" s="103" t="s">
        <v>971</v>
      </c>
      <c r="D375" s="35" t="s">
        <v>458</v>
      </c>
      <c r="E375" s="35" t="s">
        <v>82</v>
      </c>
      <c r="F375" s="103" t="s">
        <v>968</v>
      </c>
      <c r="G375" s="103">
        <v>1</v>
      </c>
      <c r="H375" s="35" t="s">
        <v>374</v>
      </c>
      <c r="I375" s="35" t="s">
        <v>580</v>
      </c>
      <c r="J375" s="35">
        <v>1250</v>
      </c>
      <c r="K375" s="141">
        <v>1240.4516313535059</v>
      </c>
      <c r="L375" s="34">
        <v>-9.5483686464940547</v>
      </c>
      <c r="M375" s="56">
        <v>9.5483686464940547</v>
      </c>
      <c r="N375" s="56">
        <v>1.0231852991969073</v>
      </c>
      <c r="O375" s="132">
        <f t="shared" si="7"/>
        <v>-1.0231852991969073</v>
      </c>
      <c r="P375" s="56">
        <v>-0.76386949171952434</v>
      </c>
      <c r="Q375" s="143">
        <v>0.76386949171952434</v>
      </c>
      <c r="R375" s="143">
        <v>1394.1199694802149</v>
      </c>
      <c r="S375" s="34">
        <v>144.11996948021488</v>
      </c>
      <c r="T375" s="56">
        <v>144.11996948021488</v>
      </c>
      <c r="U375" s="56">
        <v>2.1617271783807412</v>
      </c>
      <c r="V375" s="56">
        <v>11.529597558417191</v>
      </c>
      <c r="W375" s="33">
        <v>11.529597558417191</v>
      </c>
    </row>
    <row r="376" spans="1:23" ht="15" x14ac:dyDescent="0.2">
      <c r="A376" s="103" t="s">
        <v>19</v>
      </c>
      <c r="B376" s="28" t="s">
        <v>424</v>
      </c>
      <c r="C376" s="103" t="s">
        <v>971</v>
      </c>
      <c r="D376" s="35" t="s">
        <v>458</v>
      </c>
      <c r="E376" s="208" t="s">
        <v>82</v>
      </c>
      <c r="F376" s="103" t="s">
        <v>968</v>
      </c>
      <c r="G376" s="103">
        <v>1</v>
      </c>
      <c r="H376" s="35" t="s">
        <v>374</v>
      </c>
      <c r="I376" s="35" t="s">
        <v>580</v>
      </c>
      <c r="J376" s="35">
        <v>1800</v>
      </c>
      <c r="K376" s="141">
        <v>1789.858268115197</v>
      </c>
      <c r="L376" s="34">
        <v>-10.141731884802994</v>
      </c>
      <c r="M376" s="56">
        <v>10.141731884802994</v>
      </c>
      <c r="N376" s="56">
        <v>1.0469527033648902</v>
      </c>
      <c r="O376" s="132">
        <f t="shared" si="7"/>
        <v>-1.0469527033648902</v>
      </c>
      <c r="P376" s="56">
        <v>-0.56342954915572185</v>
      </c>
      <c r="Q376" s="143">
        <v>0.56342954915572185</v>
      </c>
      <c r="R376" s="143">
        <v>2074.181871740233</v>
      </c>
      <c r="S376" s="34">
        <v>274.18187174023296</v>
      </c>
      <c r="T376" s="56">
        <v>274.18187174023296</v>
      </c>
      <c r="U376" s="56">
        <v>2.4396198203247237</v>
      </c>
      <c r="V376" s="56">
        <v>15.23232620779072</v>
      </c>
      <c r="W376" s="33">
        <v>15.23232620779072</v>
      </c>
    </row>
    <row r="377" spans="1:23" ht="16" x14ac:dyDescent="0.2">
      <c r="A377" s="103" t="s">
        <v>19</v>
      </c>
      <c r="B377" t="s">
        <v>870</v>
      </c>
      <c r="C377" s="224" t="s">
        <v>977</v>
      </c>
      <c r="D377" s="224" t="s">
        <v>824</v>
      </c>
      <c r="E377" s="35" t="s">
        <v>148</v>
      </c>
      <c r="F377" s="103" t="s">
        <v>968</v>
      </c>
      <c r="G377" s="103">
        <v>1</v>
      </c>
      <c r="H377" s="35" t="s">
        <v>374</v>
      </c>
      <c r="I377" s="35" t="s">
        <v>580</v>
      </c>
      <c r="J377" s="35">
        <v>1582</v>
      </c>
      <c r="K377" s="147">
        <v>1592.2522642489546</v>
      </c>
      <c r="L377" s="34">
        <v>10.252264248954589</v>
      </c>
      <c r="M377" s="56">
        <v>10.252264248954589</v>
      </c>
      <c r="N377" s="56">
        <v>1.0512399226146776</v>
      </c>
      <c r="O377" s="132">
        <f t="shared" si="7"/>
        <v>1.0512399226146776</v>
      </c>
      <c r="P377" s="56">
        <v>0.6480571585938425</v>
      </c>
      <c r="Q377" s="143">
        <v>0.6480571585938425</v>
      </c>
      <c r="R377" s="143">
        <v>1588.8023225594759</v>
      </c>
      <c r="S377" s="34">
        <v>6.8023225594758969</v>
      </c>
      <c r="T377" s="56">
        <v>6.8023225594758969</v>
      </c>
      <c r="U377" s="56">
        <v>0.89222390071875535</v>
      </c>
      <c r="V377" s="56">
        <v>0.429982462672307</v>
      </c>
      <c r="W377" s="33">
        <v>0.429982462672307</v>
      </c>
    </row>
    <row r="378" spans="1:23" ht="15" x14ac:dyDescent="0.2">
      <c r="A378" s="103" t="s">
        <v>19</v>
      </c>
      <c r="B378" s="28" t="s">
        <v>426</v>
      </c>
      <c r="C378" s="103" t="s">
        <v>979</v>
      </c>
      <c r="D378" s="35" t="s">
        <v>458</v>
      </c>
      <c r="E378" s="208" t="s">
        <v>82</v>
      </c>
      <c r="F378" s="103" t="s">
        <v>967</v>
      </c>
      <c r="G378" s="103">
        <v>0</v>
      </c>
      <c r="H378" s="35" t="s">
        <v>374</v>
      </c>
      <c r="I378" s="35" t="s">
        <v>580</v>
      </c>
      <c r="J378" s="35">
        <v>1620</v>
      </c>
      <c r="K378" s="141">
        <v>1630.4347826086955</v>
      </c>
      <c r="L378" s="34">
        <v>10.434782608695514</v>
      </c>
      <c r="M378" s="56">
        <v>10.434782608695514</v>
      </c>
      <c r="N378" s="56">
        <v>1.0582279124721596</v>
      </c>
      <c r="O378" s="132">
        <f t="shared" si="7"/>
        <v>1.0582279124721596</v>
      </c>
      <c r="P378" s="56">
        <v>0.64412238325280946</v>
      </c>
      <c r="Q378" s="143">
        <v>0.64412238325280946</v>
      </c>
      <c r="R378" s="143">
        <v>1625</v>
      </c>
      <c r="S378" s="34">
        <v>5</v>
      </c>
      <c r="T378" s="56">
        <v>5</v>
      </c>
      <c r="U378" s="56">
        <v>0.77815125038364363</v>
      </c>
      <c r="V378" s="56">
        <v>0.30864197530864196</v>
      </c>
      <c r="W378" s="33">
        <v>0.30864197530864196</v>
      </c>
    </row>
    <row r="379" spans="1:23" ht="16" x14ac:dyDescent="0.2">
      <c r="A379" s="103" t="s">
        <v>19</v>
      </c>
      <c r="B379" t="s">
        <v>839</v>
      </c>
      <c r="C379" s="103" t="s">
        <v>975</v>
      </c>
      <c r="D379" s="224" t="s">
        <v>824</v>
      </c>
      <c r="E379" s="35" t="s">
        <v>148</v>
      </c>
      <c r="F379" s="103" t="s">
        <v>967</v>
      </c>
      <c r="G379" s="103">
        <v>0</v>
      </c>
      <c r="H379" s="35" t="s">
        <v>374</v>
      </c>
      <c r="I379" s="35" t="s">
        <v>580</v>
      </c>
      <c r="J379" s="35">
        <v>1380</v>
      </c>
      <c r="K379" s="147">
        <v>1369.4299999999998</v>
      </c>
      <c r="L379" s="34">
        <v>-10.570000000000164</v>
      </c>
      <c r="M379" s="56">
        <v>10.570000000000164</v>
      </c>
      <c r="N379" s="56">
        <v>1.0633333589517557</v>
      </c>
      <c r="O379" s="132">
        <f t="shared" si="7"/>
        <v>-1.0633333589517557</v>
      </c>
      <c r="P379" s="56">
        <v>-0.76594202898551911</v>
      </c>
      <c r="Q379" s="143">
        <v>0.76594202898551911</v>
      </c>
      <c r="R379" s="143">
        <v>1390.5678</v>
      </c>
      <c r="S379" s="34">
        <v>10.567800000000034</v>
      </c>
      <c r="T379" s="56">
        <v>10.567800000000034</v>
      </c>
      <c r="U379" s="56">
        <v>1.0632507713364143</v>
      </c>
      <c r="V379" s="56">
        <v>0.76578260869565462</v>
      </c>
      <c r="W379" s="33">
        <v>0.76578260869565462</v>
      </c>
    </row>
    <row r="380" spans="1:23" ht="15" x14ac:dyDescent="0.2">
      <c r="A380" s="103" t="s">
        <v>19</v>
      </c>
      <c r="B380" s="28" t="s">
        <v>365</v>
      </c>
      <c r="C380" s="224" t="s">
        <v>974</v>
      </c>
      <c r="D380" s="208" t="s">
        <v>403</v>
      </c>
      <c r="E380" s="35" t="s">
        <v>148</v>
      </c>
      <c r="F380" s="103" t="s">
        <v>967</v>
      </c>
      <c r="G380" s="103">
        <v>0</v>
      </c>
      <c r="H380" s="35" t="s">
        <v>494</v>
      </c>
      <c r="I380" s="35" t="s">
        <v>580</v>
      </c>
      <c r="J380" s="35">
        <v>992.24</v>
      </c>
      <c r="K380" s="141">
        <v>1003.1607640000001</v>
      </c>
      <c r="L380" s="34">
        <v>10.920764000000077</v>
      </c>
      <c r="M380" s="56">
        <v>10.920764000000077</v>
      </c>
      <c r="N380" s="56">
        <v>1.0763040901652448</v>
      </c>
      <c r="O380" s="132">
        <f t="shared" si="7"/>
        <v>1.0763040901652448</v>
      </c>
      <c r="P380" s="56">
        <v>1.1006171893896715</v>
      </c>
      <c r="Q380" s="143">
        <v>1.1006171893896715</v>
      </c>
      <c r="R380" s="143">
        <v>976.28030700000011</v>
      </c>
      <c r="S380" s="34">
        <v>-15.959692999999902</v>
      </c>
      <c r="T380" s="56">
        <v>15.959692999999902</v>
      </c>
      <c r="U380" s="56">
        <v>1.2294179865048509</v>
      </c>
      <c r="V380" s="56">
        <v>-1.6084508788196306</v>
      </c>
      <c r="W380" s="33">
        <v>1.6084508788196306</v>
      </c>
    </row>
    <row r="381" spans="1:23" ht="16" x14ac:dyDescent="0.2">
      <c r="A381" s="103" t="s">
        <v>19</v>
      </c>
      <c r="B381" t="s">
        <v>878</v>
      </c>
      <c r="C381" s="224" t="s">
        <v>977</v>
      </c>
      <c r="D381" s="224" t="s">
        <v>824</v>
      </c>
      <c r="E381" s="35" t="s">
        <v>148</v>
      </c>
      <c r="F381" s="103" t="s">
        <v>968</v>
      </c>
      <c r="G381" s="103">
        <v>1</v>
      </c>
      <c r="H381" s="35" t="s">
        <v>374</v>
      </c>
      <c r="I381" s="35" t="s">
        <v>580</v>
      </c>
      <c r="J381" s="35">
        <v>1520</v>
      </c>
      <c r="K381" s="147">
        <v>1509.0384174830942</v>
      </c>
      <c r="L381" s="34">
        <v>-10.961582516905764</v>
      </c>
      <c r="M381" s="56">
        <v>10.961582516905764</v>
      </c>
      <c r="N381" s="56">
        <v>1.0777886405967263</v>
      </c>
      <c r="O381" s="132">
        <f t="shared" si="7"/>
        <v>-1.0777886405967263</v>
      </c>
      <c r="P381" s="56">
        <v>-0.72115674453327394</v>
      </c>
      <c r="Q381" s="143">
        <v>0.72115674453327394</v>
      </c>
      <c r="R381" s="143">
        <v>1505.1173643560228</v>
      </c>
      <c r="S381" s="34">
        <v>-14.88263564397721</v>
      </c>
      <c r="T381" s="56">
        <v>14.88263564397721</v>
      </c>
      <c r="U381" s="56">
        <v>1.2009225730694275</v>
      </c>
      <c r="V381" s="56">
        <v>-0.97912076605113219</v>
      </c>
      <c r="W381" s="33">
        <v>0.97912076605113219</v>
      </c>
    </row>
    <row r="382" spans="1:23" ht="15" x14ac:dyDescent="0.2">
      <c r="A382" s="103" t="s">
        <v>19</v>
      </c>
      <c r="B382" s="206" t="s">
        <v>593</v>
      </c>
      <c r="C382" s="103" t="s">
        <v>979</v>
      </c>
      <c r="D382" s="35" t="s">
        <v>403</v>
      </c>
      <c r="E382" s="35" t="s">
        <v>82</v>
      </c>
      <c r="F382" s="103" t="s">
        <v>967</v>
      </c>
      <c r="G382" s="103">
        <v>0</v>
      </c>
      <c r="H382" s="35" t="s">
        <v>374</v>
      </c>
      <c r="I382" s="35" t="s">
        <v>580</v>
      </c>
      <c r="J382" s="35">
        <v>1284.8</v>
      </c>
      <c r="K382" s="141">
        <v>1273.7391304347825</v>
      </c>
      <c r="L382" s="34">
        <v>-11.060869565217445</v>
      </c>
      <c r="M382" s="56">
        <v>11.060869565217445</v>
      </c>
      <c r="N382" s="56">
        <v>1.0813786207196752</v>
      </c>
      <c r="O382" s="132">
        <f t="shared" si="7"/>
        <v>-1.0813786207196752</v>
      </c>
      <c r="P382" s="56">
        <v>-0.86090205208728554</v>
      </c>
      <c r="Q382" s="143">
        <v>0.86090205208728554</v>
      </c>
      <c r="R382" s="143">
        <v>1274.4166666666667</v>
      </c>
      <c r="S382" s="34">
        <v>-10.383333333333212</v>
      </c>
      <c r="T382" s="56">
        <v>10.383333333333212</v>
      </c>
      <c r="U382" s="56">
        <v>1.0562694532978842</v>
      </c>
      <c r="V382" s="56">
        <v>-0.80816728933166349</v>
      </c>
      <c r="W382" s="33">
        <v>0.80816728933166349</v>
      </c>
    </row>
    <row r="383" spans="1:23" ht="15" x14ac:dyDescent="0.2">
      <c r="A383" s="103" t="s">
        <v>19</v>
      </c>
      <c r="B383" t="s">
        <v>890</v>
      </c>
      <c r="C383" s="103" t="s">
        <v>970</v>
      </c>
      <c r="D383" s="224" t="s">
        <v>824</v>
      </c>
      <c r="E383" s="35" t="s">
        <v>148</v>
      </c>
      <c r="F383" s="103" t="s">
        <v>967</v>
      </c>
      <c r="G383" s="103">
        <v>0</v>
      </c>
      <c r="H383" s="35" t="s">
        <v>374</v>
      </c>
      <c r="I383" s="35" t="s">
        <v>580</v>
      </c>
      <c r="J383" s="35">
        <v>1316</v>
      </c>
      <c r="K383">
        <v>1304.9207999999999</v>
      </c>
      <c r="L383" s="34">
        <v>-11.079200000000128</v>
      </c>
      <c r="M383" s="56">
        <v>11.079200000000128</v>
      </c>
      <c r="N383" s="56">
        <v>1.08203817210875</v>
      </c>
      <c r="O383" s="132">
        <f t="shared" si="7"/>
        <v>-1.08203817210875</v>
      </c>
      <c r="P383" s="56">
        <v>-0.84188449848025293</v>
      </c>
      <c r="Q383" s="143">
        <v>0.84188449848025293</v>
      </c>
      <c r="R383" s="143">
        <v>1319.864</v>
      </c>
      <c r="S383" s="34">
        <v>3.8640000000000327</v>
      </c>
      <c r="T383" s="56">
        <v>3.8640000000000327</v>
      </c>
      <c r="U383" s="56">
        <v>0.68699356626468144</v>
      </c>
      <c r="V383" s="56">
        <v>0.29361702127659822</v>
      </c>
      <c r="W383" s="33">
        <v>0.29361702127659822</v>
      </c>
    </row>
    <row r="384" spans="1:23" ht="15" x14ac:dyDescent="0.2">
      <c r="A384" s="103" t="s">
        <v>19</v>
      </c>
      <c r="B384" s="28" t="s">
        <v>290</v>
      </c>
      <c r="C384" s="103" t="s">
        <v>971</v>
      </c>
      <c r="D384" s="208" t="s">
        <v>403</v>
      </c>
      <c r="E384" s="35" t="s">
        <v>82</v>
      </c>
      <c r="F384" s="103" t="s">
        <v>968</v>
      </c>
      <c r="G384" s="103">
        <v>1</v>
      </c>
      <c r="H384" s="35" t="s">
        <v>374</v>
      </c>
      <c r="I384" s="35" t="s">
        <v>580</v>
      </c>
      <c r="J384" s="35">
        <v>1369.3</v>
      </c>
      <c r="K384" s="141">
        <v>1358.2029566514373</v>
      </c>
      <c r="L384" s="34">
        <v>-11.097043348562693</v>
      </c>
      <c r="M384" s="56">
        <v>11.097043348562693</v>
      </c>
      <c r="N384" s="56">
        <v>1.0826792369023774</v>
      </c>
      <c r="O384" s="132">
        <f t="shared" si="7"/>
        <v>-1.0826792369023774</v>
      </c>
      <c r="P384" s="56">
        <v>-0.81041724593315512</v>
      </c>
      <c r="Q384" s="143">
        <v>0.81041724593315512</v>
      </c>
      <c r="R384" s="143">
        <v>1532.2118267484141</v>
      </c>
      <c r="S384" s="34">
        <v>162.91182674841411</v>
      </c>
      <c r="T384" s="56">
        <v>162.91182674841411</v>
      </c>
      <c r="U384" s="56">
        <v>2.2146102903994858</v>
      </c>
      <c r="V384" s="56">
        <v>11.897453205901856</v>
      </c>
      <c r="W384" s="33">
        <v>11.897453205901856</v>
      </c>
    </row>
    <row r="385" spans="1:23" ht="15" x14ac:dyDescent="0.2">
      <c r="A385" s="103" t="s">
        <v>19</v>
      </c>
      <c r="B385" s="28" t="s">
        <v>289</v>
      </c>
      <c r="C385" s="103" t="s">
        <v>970</v>
      </c>
      <c r="D385" s="208" t="s">
        <v>403</v>
      </c>
      <c r="E385" s="35" t="s">
        <v>148</v>
      </c>
      <c r="F385" s="103" t="s">
        <v>967</v>
      </c>
      <c r="G385" s="103">
        <v>0</v>
      </c>
      <c r="H385" s="35" t="s">
        <v>494</v>
      </c>
      <c r="I385" s="35" t="s">
        <v>580</v>
      </c>
      <c r="J385" s="35">
        <v>899.05</v>
      </c>
      <c r="K385" s="141">
        <v>910.17002999999988</v>
      </c>
      <c r="L385" s="34">
        <v>11.120029999999929</v>
      </c>
      <c r="M385" s="56">
        <v>11.120029999999929</v>
      </c>
      <c r="N385" s="56">
        <v>1.0835036948152759</v>
      </c>
      <c r="O385" s="132">
        <f t="shared" si="7"/>
        <v>1.0835036948152759</v>
      </c>
      <c r="P385" s="56">
        <v>1.2368644680496002</v>
      </c>
      <c r="Q385" s="143">
        <v>1.2368644680496002</v>
      </c>
      <c r="R385" s="143">
        <v>885.98993000000007</v>
      </c>
      <c r="S385" s="34">
        <v>-13.060069999999882</v>
      </c>
      <c r="T385" s="56">
        <v>13.060069999999882</v>
      </c>
      <c r="U385" s="56">
        <v>1.1479874828842322</v>
      </c>
      <c r="V385" s="56">
        <v>-1.4526522440353578</v>
      </c>
      <c r="W385" s="33">
        <v>1.4526522440353578</v>
      </c>
    </row>
    <row r="386" spans="1:23" ht="15" x14ac:dyDescent="0.2">
      <c r="A386" s="103" t="s">
        <v>19</v>
      </c>
      <c r="B386" s="28" t="s">
        <v>664</v>
      </c>
      <c r="C386" s="103" t="s">
        <v>970</v>
      </c>
      <c r="D386" s="208" t="s">
        <v>403</v>
      </c>
      <c r="E386" s="35" t="s">
        <v>82</v>
      </c>
      <c r="F386" s="103" t="s">
        <v>967</v>
      </c>
      <c r="G386" s="103">
        <v>0</v>
      </c>
      <c r="H386" s="35" t="s">
        <v>374</v>
      </c>
      <c r="I386" s="35" t="s">
        <v>580</v>
      </c>
      <c r="J386" s="35">
        <v>1730.8</v>
      </c>
      <c r="K386" s="141">
        <v>1719.5456060000001</v>
      </c>
      <c r="L386" s="34">
        <v>-11.25439399999982</v>
      </c>
      <c r="M386" s="56">
        <v>11.25439399999982</v>
      </c>
      <c r="N386" s="56">
        <v>1.088291839540491</v>
      </c>
      <c r="O386" s="132">
        <f t="shared" si="7"/>
        <v>-1.088291839540491</v>
      </c>
      <c r="P386" s="56">
        <v>-0.65024231569215507</v>
      </c>
      <c r="Q386" s="143">
        <v>0.65024231569215507</v>
      </c>
      <c r="R386" s="143">
        <v>1835.2815800000003</v>
      </c>
      <c r="S386" s="34">
        <v>104.48158000000035</v>
      </c>
      <c r="T386" s="56">
        <v>104.48158000000035</v>
      </c>
      <c r="U386" s="56">
        <v>2.0231766264318098</v>
      </c>
      <c r="V386" s="56">
        <v>6.0366061936676889</v>
      </c>
      <c r="W386" s="33">
        <v>6.0366061936676889</v>
      </c>
    </row>
    <row r="387" spans="1:23" ht="15" x14ac:dyDescent="0.2">
      <c r="A387" s="103" t="s">
        <v>19</v>
      </c>
      <c r="B387" s="28" t="s">
        <v>427</v>
      </c>
      <c r="C387" s="103" t="s">
        <v>971</v>
      </c>
      <c r="D387" s="35" t="s">
        <v>458</v>
      </c>
      <c r="E387" s="208" t="s">
        <v>82</v>
      </c>
      <c r="F387" s="103" t="s">
        <v>968</v>
      </c>
      <c r="G387" s="103">
        <v>1</v>
      </c>
      <c r="H387" s="35" t="s">
        <v>374</v>
      </c>
      <c r="I387" s="35" t="s">
        <v>580</v>
      </c>
      <c r="J387" s="35">
        <v>1650</v>
      </c>
      <c r="K387" s="141">
        <v>1661.2564193478629</v>
      </c>
      <c r="L387" s="34">
        <v>11.256419347862902</v>
      </c>
      <c r="M387" s="56">
        <v>11.256419347862902</v>
      </c>
      <c r="N387" s="56">
        <v>1.0883636117326569</v>
      </c>
      <c r="O387" s="132">
        <f t="shared" si="7"/>
        <v>1.0883636117326569</v>
      </c>
      <c r="P387" s="56">
        <v>0.68220723320381227</v>
      </c>
      <c r="Q387" s="143">
        <v>0.68220723320381227</v>
      </c>
      <c r="R387" s="143">
        <v>1900.0984886054553</v>
      </c>
      <c r="S387" s="34">
        <v>250.09848860545526</v>
      </c>
      <c r="T387" s="56">
        <v>250.09848860545526</v>
      </c>
      <c r="U387" s="56">
        <v>2.3998440986456737</v>
      </c>
      <c r="V387" s="56">
        <v>15.15748415790638</v>
      </c>
      <c r="W387" s="33">
        <v>15.15748415790638</v>
      </c>
    </row>
    <row r="388" spans="1:23" ht="16" x14ac:dyDescent="0.2">
      <c r="A388" s="103" t="s">
        <v>19</v>
      </c>
      <c r="B388" t="s">
        <v>851</v>
      </c>
      <c r="C388" s="224" t="s">
        <v>974</v>
      </c>
      <c r="D388" s="224" t="s">
        <v>824</v>
      </c>
      <c r="E388" s="35" t="s">
        <v>148</v>
      </c>
      <c r="F388" s="103" t="s">
        <v>967</v>
      </c>
      <c r="G388" s="103">
        <v>0</v>
      </c>
      <c r="H388" s="35" t="s">
        <v>374</v>
      </c>
      <c r="I388" s="35" t="s">
        <v>580</v>
      </c>
      <c r="J388" s="35">
        <v>1622</v>
      </c>
      <c r="K388" s="147">
        <v>1633.2674999999999</v>
      </c>
      <c r="L388" s="34">
        <v>11.267499999999927</v>
      </c>
      <c r="M388" s="56">
        <v>11.267499999999927</v>
      </c>
      <c r="N388" s="56">
        <v>1.0887560666529505</v>
      </c>
      <c r="O388" s="132">
        <f t="shared" si="7"/>
        <v>1.0887560666529505</v>
      </c>
      <c r="P388" s="56">
        <v>0.69466707768186975</v>
      </c>
      <c r="Q388" s="143">
        <v>0.69466707768186975</v>
      </c>
      <c r="R388" s="143">
        <v>1551.3534</v>
      </c>
      <c r="S388" s="34">
        <v>-70.646600000000035</v>
      </c>
      <c r="T388" s="56">
        <v>70.646600000000035</v>
      </c>
      <c r="U388" s="56">
        <v>1.8551955857134879</v>
      </c>
      <c r="V388" s="56">
        <v>-4.3555240443896448</v>
      </c>
      <c r="W388" s="33">
        <v>4.3555240443896448</v>
      </c>
    </row>
    <row r="389" spans="1:23" ht="15" x14ac:dyDescent="0.2">
      <c r="A389" s="103" t="s">
        <v>19</v>
      </c>
      <c r="B389" t="s">
        <v>885</v>
      </c>
      <c r="C389" s="103" t="s">
        <v>970</v>
      </c>
      <c r="D389" s="224" t="s">
        <v>824</v>
      </c>
      <c r="E389" s="35" t="s">
        <v>148</v>
      </c>
      <c r="F389" s="103" t="s">
        <v>967</v>
      </c>
      <c r="G389" s="103">
        <v>0</v>
      </c>
      <c r="H389" s="35" t="s">
        <v>374</v>
      </c>
      <c r="I389" s="35" t="s">
        <v>580</v>
      </c>
      <c r="J389" s="35">
        <v>1714</v>
      </c>
      <c r="K389">
        <v>1725.3331000000003</v>
      </c>
      <c r="L389" s="34">
        <v>11.333100000000286</v>
      </c>
      <c r="M389" s="56">
        <v>11.333100000000286</v>
      </c>
      <c r="N389" s="56">
        <v>1.091072252887529</v>
      </c>
      <c r="O389" s="132">
        <f t="shared" si="7"/>
        <v>1.091072252887529</v>
      </c>
      <c r="P389" s="56">
        <v>0.66120770128356399</v>
      </c>
      <c r="Q389" s="143">
        <v>0.66120770128356399</v>
      </c>
      <c r="R389" s="143">
        <v>1761.3950000000004</v>
      </c>
      <c r="S389" s="34">
        <v>47.395000000000437</v>
      </c>
      <c r="T389" s="56">
        <v>47.395000000000437</v>
      </c>
      <c r="U389" s="56">
        <v>1.6848004941944148</v>
      </c>
      <c r="V389" s="56">
        <v>2.7651691948658366</v>
      </c>
      <c r="W389" s="33">
        <v>2.7651691948658366</v>
      </c>
    </row>
    <row r="390" spans="1:23" ht="15" x14ac:dyDescent="0.2">
      <c r="A390" s="103" t="s">
        <v>19</v>
      </c>
      <c r="B390" s="28" t="s">
        <v>290</v>
      </c>
      <c r="C390" s="224" t="s">
        <v>978</v>
      </c>
      <c r="D390" s="208" t="s">
        <v>403</v>
      </c>
      <c r="E390" s="35" t="s">
        <v>82</v>
      </c>
      <c r="F390" s="103" t="s">
        <v>968</v>
      </c>
      <c r="G390" s="103">
        <v>1</v>
      </c>
      <c r="H390" s="35" t="s">
        <v>374</v>
      </c>
      <c r="I390" s="35" t="s">
        <v>580</v>
      </c>
      <c r="J390" s="35">
        <v>1369.3</v>
      </c>
      <c r="K390" s="141">
        <v>1380.6701087693018</v>
      </c>
      <c r="L390" s="34">
        <v>11.370108769301851</v>
      </c>
      <c r="M390" s="56">
        <v>11.370108769301851</v>
      </c>
      <c r="N390" s="56">
        <v>1.0923735183599141</v>
      </c>
      <c r="O390" s="132">
        <f t="shared" si="7"/>
        <v>1.0923735183599141</v>
      </c>
      <c r="P390" s="56">
        <v>0.83035921779754995</v>
      </c>
      <c r="Q390" s="143">
        <v>0.83035921779754995</v>
      </c>
      <c r="R390" s="143">
        <v>1347.7513837132637</v>
      </c>
      <c r="S390" s="34">
        <v>-21.548616286736205</v>
      </c>
      <c r="T390" s="56">
        <v>21.548616286736205</v>
      </c>
      <c r="U390" s="56">
        <v>1.3531198962151691</v>
      </c>
      <c r="V390" s="56">
        <v>-1.5736957778964584</v>
      </c>
      <c r="W390" s="33">
        <v>1.5736957778964584</v>
      </c>
    </row>
    <row r="391" spans="1:23" ht="15" x14ac:dyDescent="0.2">
      <c r="A391" s="103" t="s">
        <v>19</v>
      </c>
      <c r="B391" t="s">
        <v>894</v>
      </c>
      <c r="C391" s="224" t="s">
        <v>977</v>
      </c>
      <c r="D391" s="224" t="s">
        <v>824</v>
      </c>
      <c r="E391" s="35" t="s">
        <v>148</v>
      </c>
      <c r="F391" s="103" t="s">
        <v>968</v>
      </c>
      <c r="G391" s="103">
        <v>1</v>
      </c>
      <c r="H391" s="35" t="s">
        <v>494</v>
      </c>
      <c r="I391" s="35" t="s">
        <v>580</v>
      </c>
      <c r="J391" s="35">
        <v>1111</v>
      </c>
      <c r="K391">
        <v>1099.4457745182804</v>
      </c>
      <c r="L391" s="34">
        <v>-11.554225481719641</v>
      </c>
      <c r="M391" s="56">
        <v>11.554225481719641</v>
      </c>
      <c r="N391" s="56">
        <v>1.0987899245845025</v>
      </c>
      <c r="O391" s="132">
        <f t="shared" si="7"/>
        <v>-1.0987899245845025</v>
      </c>
      <c r="P391" s="56">
        <v>-1.0399842917839461</v>
      </c>
      <c r="Q391" s="143">
        <v>1.0399842917839461</v>
      </c>
      <c r="R391" s="143">
        <v>1084.2494890956987</v>
      </c>
      <c r="S391" s="34">
        <v>-26.750510904301336</v>
      </c>
      <c r="T391" s="56">
        <v>26.750510904301336</v>
      </c>
      <c r="U391" s="56">
        <v>1.4432709831659505</v>
      </c>
      <c r="V391" s="56">
        <v>-2.4077867600631264</v>
      </c>
      <c r="W391" s="33">
        <v>2.4077867600631264</v>
      </c>
    </row>
    <row r="392" spans="1:23" ht="15" x14ac:dyDescent="0.2">
      <c r="A392" s="103" t="s">
        <v>19</v>
      </c>
      <c r="B392" s="28" t="s">
        <v>421</v>
      </c>
      <c r="C392" s="224" t="s">
        <v>977</v>
      </c>
      <c r="D392" s="35" t="s">
        <v>458</v>
      </c>
      <c r="E392" s="35" t="s">
        <v>82</v>
      </c>
      <c r="F392" s="103" t="s">
        <v>968</v>
      </c>
      <c r="G392" s="103">
        <v>1</v>
      </c>
      <c r="H392" s="35" t="s">
        <v>494</v>
      </c>
      <c r="I392" s="35" t="s">
        <v>580</v>
      </c>
      <c r="J392" s="35">
        <v>825</v>
      </c>
      <c r="K392" s="141">
        <v>813.44387866770978</v>
      </c>
      <c r="L392" s="34">
        <v>-11.556121332290218</v>
      </c>
      <c r="M392" s="56">
        <v>11.556121332290218</v>
      </c>
      <c r="N392" s="56">
        <v>1.0988555037219776</v>
      </c>
      <c r="O392" s="132">
        <f t="shared" si="7"/>
        <v>-1.0988555037219776</v>
      </c>
      <c r="P392" s="56">
        <v>-1.4007419796715415</v>
      </c>
      <c r="Q392" s="143">
        <v>1.4007419796715415</v>
      </c>
      <c r="R392" s="143">
        <v>821.53052339634894</v>
      </c>
      <c r="S392" s="34">
        <v>-3.46947660365106</v>
      </c>
      <c r="T392" s="56">
        <v>3.46947660365106</v>
      </c>
      <c r="U392" s="56">
        <v>0.65025666822028316</v>
      </c>
      <c r="V392" s="56">
        <v>-0.42054261862437092</v>
      </c>
      <c r="W392" s="33">
        <v>0.42054261862437092</v>
      </c>
    </row>
    <row r="393" spans="1:23" ht="16" x14ac:dyDescent="0.2">
      <c r="A393" s="103" t="s">
        <v>19</v>
      </c>
      <c r="B393" t="s">
        <v>878</v>
      </c>
      <c r="C393" s="103" t="s">
        <v>975</v>
      </c>
      <c r="D393" s="224" t="s">
        <v>824</v>
      </c>
      <c r="E393" s="35" t="s">
        <v>148</v>
      </c>
      <c r="F393" s="103" t="s">
        <v>967</v>
      </c>
      <c r="G393" s="103">
        <v>0</v>
      </c>
      <c r="H393" s="35" t="s">
        <v>374</v>
      </c>
      <c r="I393" s="35" t="s">
        <v>580</v>
      </c>
      <c r="J393" s="35">
        <v>1520</v>
      </c>
      <c r="K393" s="147">
        <v>1531.6622</v>
      </c>
      <c r="L393" s="34">
        <v>11.662199999999984</v>
      </c>
      <c r="M393" s="56">
        <v>11.662199999999984</v>
      </c>
      <c r="N393" s="56">
        <v>1.1025091689398672</v>
      </c>
      <c r="O393" s="132">
        <f t="shared" si="7"/>
        <v>1.1025091689398672</v>
      </c>
      <c r="P393" s="56">
        <v>0.76724999999999899</v>
      </c>
      <c r="Q393" s="143">
        <v>0.76724999999999899</v>
      </c>
      <c r="R393" s="143">
        <v>1546.7003999999999</v>
      </c>
      <c r="S393" s="34">
        <v>26.700399999999945</v>
      </c>
      <c r="T393" s="56">
        <v>26.700399999999945</v>
      </c>
      <c r="U393" s="56">
        <v>1.442486040419628</v>
      </c>
      <c r="V393" s="56">
        <v>1.7566052631578912</v>
      </c>
      <c r="W393" s="33">
        <v>1.7566052631578912</v>
      </c>
    </row>
    <row r="394" spans="1:23" ht="15" x14ac:dyDescent="0.2">
      <c r="A394" s="103" t="s">
        <v>19</v>
      </c>
      <c r="B394" t="s">
        <v>892</v>
      </c>
      <c r="C394" s="103" t="s">
        <v>979</v>
      </c>
      <c r="D394" s="224" t="s">
        <v>824</v>
      </c>
      <c r="E394" s="35" t="s">
        <v>148</v>
      </c>
      <c r="F394" s="103" t="s">
        <v>967</v>
      </c>
      <c r="G394" s="103">
        <v>0</v>
      </c>
      <c r="H394" s="35" t="s">
        <v>494</v>
      </c>
      <c r="I394" s="35" t="s">
        <v>580</v>
      </c>
      <c r="J394" s="35">
        <v>1090</v>
      </c>
      <c r="K394">
        <v>1078.2608695652173</v>
      </c>
      <c r="L394" s="34">
        <v>-11.739130434782737</v>
      </c>
      <c r="M394" s="56">
        <v>11.739130434782737</v>
      </c>
      <c r="N394" s="56">
        <v>1.1051397843365209</v>
      </c>
      <c r="O394" s="132">
        <f t="shared" si="7"/>
        <v>-1.1051397843365209</v>
      </c>
      <c r="P394" s="56">
        <v>-1.0769844435580493</v>
      </c>
      <c r="Q394" s="143">
        <v>1.0769844435580493</v>
      </c>
      <c r="R394" s="143">
        <v>1070.8333333333335</v>
      </c>
      <c r="S394" s="34">
        <v>-19.166666666666515</v>
      </c>
      <c r="T394" s="56">
        <v>19.166666666666515</v>
      </c>
      <c r="U394" s="56">
        <v>1.3046341199328031</v>
      </c>
      <c r="V394" s="56">
        <v>-1.7584097859327079</v>
      </c>
      <c r="W394" s="33">
        <v>1.7584097859327079</v>
      </c>
    </row>
    <row r="395" spans="1:23" ht="15" x14ac:dyDescent="0.2">
      <c r="A395" s="103" t="s">
        <v>19</v>
      </c>
      <c r="B395" s="28" t="s">
        <v>327</v>
      </c>
      <c r="C395" s="103" t="s">
        <v>970</v>
      </c>
      <c r="D395" s="208" t="s">
        <v>403</v>
      </c>
      <c r="E395" s="35" t="s">
        <v>82</v>
      </c>
      <c r="F395" s="103" t="s">
        <v>967</v>
      </c>
      <c r="G395" s="103">
        <v>0</v>
      </c>
      <c r="H395" s="35" t="s">
        <v>374</v>
      </c>
      <c r="I395" s="35" t="s">
        <v>580</v>
      </c>
      <c r="J395" s="35">
        <v>1217.5999999999999</v>
      </c>
      <c r="K395" s="141">
        <v>1229.5741800000001</v>
      </c>
      <c r="L395" s="34">
        <v>11.97418000000016</v>
      </c>
      <c r="M395" s="56">
        <v>11.97418000000016</v>
      </c>
      <c r="N395" s="56">
        <v>1.1130799189113449</v>
      </c>
      <c r="O395" s="132">
        <f t="shared" si="7"/>
        <v>1.1130799189113449</v>
      </c>
      <c r="P395" s="56">
        <v>0.98342477003943507</v>
      </c>
      <c r="Q395" s="143">
        <v>0.98342477003943507</v>
      </c>
      <c r="R395" s="143">
        <v>1251.1192999999998</v>
      </c>
      <c r="S395" s="34">
        <v>33.51929999999993</v>
      </c>
      <c r="T395" s="56">
        <v>33.51929999999993</v>
      </c>
      <c r="U395" s="56">
        <v>1.5380619802870961</v>
      </c>
      <c r="V395" s="56">
        <v>2.7528991458607042</v>
      </c>
      <c r="W395" s="33">
        <v>2.7528991458607042</v>
      </c>
    </row>
    <row r="396" spans="1:23" ht="16" x14ac:dyDescent="0.2">
      <c r="A396" s="103" t="s">
        <v>19</v>
      </c>
      <c r="B396" t="s">
        <v>843</v>
      </c>
      <c r="C396" s="103" t="s">
        <v>970</v>
      </c>
      <c r="D396" s="224" t="s">
        <v>824</v>
      </c>
      <c r="E396" s="35" t="s">
        <v>148</v>
      </c>
      <c r="F396" s="103" t="s">
        <v>967</v>
      </c>
      <c r="G396" s="103">
        <v>0</v>
      </c>
      <c r="H396" s="35" t="s">
        <v>494</v>
      </c>
      <c r="I396" s="35" t="s">
        <v>580</v>
      </c>
      <c r="J396" s="35">
        <v>1126</v>
      </c>
      <c r="K396" s="147">
        <v>1113.8243000000002</v>
      </c>
      <c r="L396" s="34">
        <v>-12.175699999999779</v>
      </c>
      <c r="M396" s="56">
        <v>12.175699999999779</v>
      </c>
      <c r="N396" s="56">
        <v>1.1197736977412414</v>
      </c>
      <c r="O396" s="132">
        <f t="shared" si="7"/>
        <v>-1.1197736977412414</v>
      </c>
      <c r="P396" s="56">
        <v>-1.0813232682060194</v>
      </c>
      <c r="Q396" s="143">
        <v>1.0813232682060194</v>
      </c>
      <c r="R396" s="143">
        <v>1129.8380000000002</v>
      </c>
      <c r="S396" s="34">
        <v>3.8380000000001928</v>
      </c>
      <c r="T396" s="56">
        <v>3.8380000000001928</v>
      </c>
      <c r="U396" s="56">
        <v>0.68466586402587815</v>
      </c>
      <c r="V396" s="56">
        <v>0.34085257548847181</v>
      </c>
      <c r="W396" s="33">
        <v>0.34085257548847181</v>
      </c>
    </row>
    <row r="397" spans="1:23" ht="16" x14ac:dyDescent="0.2">
      <c r="A397" s="103" t="s">
        <v>19</v>
      </c>
      <c r="B397" t="s">
        <v>843</v>
      </c>
      <c r="C397" s="224" t="s">
        <v>977</v>
      </c>
      <c r="D397" s="224" t="s">
        <v>824</v>
      </c>
      <c r="E397" s="35" t="s">
        <v>148</v>
      </c>
      <c r="F397" s="103" t="s">
        <v>968</v>
      </c>
      <c r="G397" s="103">
        <v>1</v>
      </c>
      <c r="H397" s="35" t="s">
        <v>494</v>
      </c>
      <c r="I397" s="35" t="s">
        <v>580</v>
      </c>
      <c r="J397" s="35">
        <v>1126</v>
      </c>
      <c r="K397" s="147">
        <v>1113.6990870786656</v>
      </c>
      <c r="L397" s="34">
        <v>-12.300912921334429</v>
      </c>
      <c r="M397" s="56">
        <v>12.300912921334429</v>
      </c>
      <c r="N397" s="56">
        <v>1.1238814502220751</v>
      </c>
      <c r="O397" s="132">
        <f t="shared" si="7"/>
        <v>-1.1238814502220751</v>
      </c>
      <c r="P397" s="56">
        <v>-1.0924434210776581</v>
      </c>
      <c r="Q397" s="143">
        <v>1.0924434210776581</v>
      </c>
      <c r="R397" s="143">
        <v>1120.3450666774934</v>
      </c>
      <c r="S397" s="34">
        <v>-5.6549333225066221</v>
      </c>
      <c r="T397" s="56">
        <v>5.6549333225066221</v>
      </c>
      <c r="U397" s="56">
        <v>0.82314370852406615</v>
      </c>
      <c r="V397" s="56">
        <v>-0.50221432704321689</v>
      </c>
      <c r="W397" s="33">
        <v>0.50221432704321689</v>
      </c>
    </row>
    <row r="398" spans="1:23" ht="16" x14ac:dyDescent="0.2">
      <c r="A398" s="103" t="s">
        <v>19</v>
      </c>
      <c r="B398" t="s">
        <v>873</v>
      </c>
      <c r="C398" s="103" t="s">
        <v>971</v>
      </c>
      <c r="D398" s="224" t="s">
        <v>824</v>
      </c>
      <c r="E398" s="35" t="s">
        <v>148</v>
      </c>
      <c r="F398" s="103" t="s">
        <v>968</v>
      </c>
      <c r="G398" s="103">
        <v>1</v>
      </c>
      <c r="H398" s="35" t="s">
        <v>374</v>
      </c>
      <c r="I398" s="35" t="s">
        <v>580</v>
      </c>
      <c r="J398" s="35">
        <v>1646</v>
      </c>
      <c r="K398" s="147">
        <v>1633.5581011621148</v>
      </c>
      <c r="L398" s="34">
        <v>-12.441898837885219</v>
      </c>
      <c r="M398" s="56">
        <v>12.441898837885219</v>
      </c>
      <c r="N398" s="56">
        <v>1.1284606226289959</v>
      </c>
      <c r="O398" s="132">
        <f t="shared" si="7"/>
        <v>-1.1284606226289959</v>
      </c>
      <c r="P398" s="56">
        <v>-0.75588692818257708</v>
      </c>
      <c r="Q398" s="143">
        <v>0.75588692818257708</v>
      </c>
      <c r="R398" s="143">
        <v>1871.3324880467017</v>
      </c>
      <c r="S398" s="34">
        <v>225.33248804670166</v>
      </c>
      <c r="T398" s="56">
        <v>225.33248804670166</v>
      </c>
      <c r="U398" s="56">
        <v>2.3547468975991075</v>
      </c>
      <c r="V398" s="56">
        <v>13.689701582424158</v>
      </c>
      <c r="W398" s="33">
        <v>13.689701582424158</v>
      </c>
    </row>
    <row r="399" spans="1:23" ht="16" x14ac:dyDescent="0.2">
      <c r="A399" s="103" t="s">
        <v>19</v>
      </c>
      <c r="B399" t="s">
        <v>866</v>
      </c>
      <c r="C399" s="103" t="s">
        <v>975</v>
      </c>
      <c r="D399" s="224" t="s">
        <v>824</v>
      </c>
      <c r="E399" s="35" t="s">
        <v>148</v>
      </c>
      <c r="F399" s="103" t="s">
        <v>967</v>
      </c>
      <c r="G399" s="103">
        <v>0</v>
      </c>
      <c r="H399" s="35" t="s">
        <v>374</v>
      </c>
      <c r="I399" s="35" t="s">
        <v>580</v>
      </c>
      <c r="J399" s="35">
        <v>1565</v>
      </c>
      <c r="K399" s="147">
        <v>1552.4612</v>
      </c>
      <c r="L399" s="34">
        <v>-12.538800000000037</v>
      </c>
      <c r="M399" s="56">
        <v>12.538800000000037</v>
      </c>
      <c r="N399" s="56">
        <v>1.131580172733647</v>
      </c>
      <c r="O399" s="132">
        <f t="shared" si="7"/>
        <v>-1.131580172733647</v>
      </c>
      <c r="P399" s="56">
        <v>-0.80120127795527396</v>
      </c>
      <c r="Q399" s="143">
        <v>0.80120127795527396</v>
      </c>
      <c r="R399" s="143">
        <v>1550.7038</v>
      </c>
      <c r="S399" s="34">
        <v>-14.296199999999999</v>
      </c>
      <c r="T399" s="56">
        <v>14.296199999999999</v>
      </c>
      <c r="U399" s="56">
        <v>1.1845835534315365</v>
      </c>
      <c r="V399" s="56">
        <v>-0.91349520766773151</v>
      </c>
      <c r="W399" s="33">
        <v>0.91349520766773151</v>
      </c>
    </row>
    <row r="400" spans="1:23" ht="16" x14ac:dyDescent="0.2">
      <c r="A400" s="103" t="s">
        <v>19</v>
      </c>
      <c r="B400" t="s">
        <v>847</v>
      </c>
      <c r="C400" s="224" t="s">
        <v>978</v>
      </c>
      <c r="D400" s="224" t="s">
        <v>824</v>
      </c>
      <c r="E400" s="35" t="s">
        <v>148</v>
      </c>
      <c r="F400" s="103" t="s">
        <v>968</v>
      </c>
      <c r="G400" s="103">
        <v>1</v>
      </c>
      <c r="H400" s="35" t="s">
        <v>494</v>
      </c>
      <c r="I400" s="35" t="s">
        <v>580</v>
      </c>
      <c r="J400" s="35">
        <v>1170</v>
      </c>
      <c r="K400" s="147">
        <v>1157.2999399648631</v>
      </c>
      <c r="L400" s="34">
        <v>-12.700060035136858</v>
      </c>
      <c r="M400" s="56">
        <v>12.700060035136858</v>
      </c>
      <c r="N400" s="56">
        <v>1.1367224702857155</v>
      </c>
      <c r="O400" s="132">
        <f t="shared" si="7"/>
        <v>-1.1367224702857155</v>
      </c>
      <c r="P400" s="56">
        <v>-1.0854752166783639</v>
      </c>
      <c r="Q400" s="143">
        <v>1.0854752166783639</v>
      </c>
      <c r="R400" s="143">
        <v>1142.8430840566896</v>
      </c>
      <c r="S400" s="34">
        <v>-27.156915943310423</v>
      </c>
      <c r="T400" s="56">
        <v>27.156915943310423</v>
      </c>
      <c r="U400" s="56">
        <v>1.4495850843425244</v>
      </c>
      <c r="V400" s="56">
        <v>-2.3211039267786688</v>
      </c>
      <c r="W400" s="33">
        <v>2.3211039267786688</v>
      </c>
    </row>
    <row r="401" spans="1:23" ht="16" x14ac:dyDescent="0.2">
      <c r="A401" s="103" t="s">
        <v>19</v>
      </c>
      <c r="B401" t="s">
        <v>853</v>
      </c>
      <c r="C401" s="103" t="s">
        <v>970</v>
      </c>
      <c r="D401" s="224" t="s">
        <v>824</v>
      </c>
      <c r="E401" s="35" t="s">
        <v>148</v>
      </c>
      <c r="F401" s="103" t="s">
        <v>967</v>
      </c>
      <c r="G401" s="103">
        <v>0</v>
      </c>
      <c r="H401" s="35" t="s">
        <v>374</v>
      </c>
      <c r="I401" s="35" t="s">
        <v>580</v>
      </c>
      <c r="J401" s="35">
        <v>1274</v>
      </c>
      <c r="K401" s="147">
        <v>1261.2415999999998</v>
      </c>
      <c r="L401" s="34">
        <v>-12.758400000000165</v>
      </c>
      <c r="M401" s="56">
        <v>12.758400000000165</v>
      </c>
      <c r="N401" s="56">
        <v>1.1385679316049</v>
      </c>
      <c r="O401" s="132">
        <f t="shared" si="7"/>
        <v>-1.1385679316049</v>
      </c>
      <c r="P401" s="56">
        <v>-1.0014442700157116</v>
      </c>
      <c r="Q401" s="143">
        <v>1.0014442700157116</v>
      </c>
      <c r="R401" s="143">
        <v>1263.9740000000002</v>
      </c>
      <c r="S401" s="34">
        <v>-10.02599999999984</v>
      </c>
      <c r="T401" s="56">
        <v>10.02599999999984</v>
      </c>
      <c r="U401" s="56">
        <v>1.0424179881432438</v>
      </c>
      <c r="V401" s="56">
        <v>-0.7869701726844458</v>
      </c>
      <c r="W401" s="33">
        <v>0.7869701726844458</v>
      </c>
    </row>
    <row r="402" spans="1:23" ht="16" x14ac:dyDescent="0.2">
      <c r="A402" s="103" t="s">
        <v>19</v>
      </c>
      <c r="B402" t="s">
        <v>854</v>
      </c>
      <c r="C402" s="103" t="s">
        <v>975</v>
      </c>
      <c r="D402" s="224" t="s">
        <v>824</v>
      </c>
      <c r="E402" s="35" t="s">
        <v>148</v>
      </c>
      <c r="F402" s="103" t="s">
        <v>967</v>
      </c>
      <c r="G402" s="103">
        <v>0</v>
      </c>
      <c r="H402" s="35" t="s">
        <v>374</v>
      </c>
      <c r="I402" s="35" t="s">
        <v>580</v>
      </c>
      <c r="J402" s="35">
        <v>1340</v>
      </c>
      <c r="K402" s="147">
        <v>1352.7908</v>
      </c>
      <c r="L402" s="34">
        <v>12.79079999999999</v>
      </c>
      <c r="M402" s="56">
        <v>12.79079999999999</v>
      </c>
      <c r="N402" s="56">
        <v>1.1395894601938343</v>
      </c>
      <c r="O402" s="132">
        <f t="shared" si="7"/>
        <v>1.1395894601938343</v>
      </c>
      <c r="P402" s="56">
        <v>0.9545373134328351</v>
      </c>
      <c r="Q402" s="143">
        <v>0.9545373134328351</v>
      </c>
      <c r="R402" s="143">
        <v>1338.5236</v>
      </c>
      <c r="S402" s="34">
        <v>-1.4764000000000124</v>
      </c>
      <c r="T402" s="56">
        <v>1.4764000000000124</v>
      </c>
      <c r="U402" s="56">
        <v>0.3938207953408695</v>
      </c>
      <c r="V402" s="56">
        <v>-0.11017910447761287</v>
      </c>
      <c r="W402" s="33">
        <v>0.11017910447761287</v>
      </c>
    </row>
    <row r="403" spans="1:23" ht="15" x14ac:dyDescent="0.2">
      <c r="A403" s="103" t="s">
        <v>19</v>
      </c>
      <c r="B403" t="s">
        <v>899</v>
      </c>
      <c r="C403" s="24" t="s">
        <v>980</v>
      </c>
      <c r="D403" s="224" t="s">
        <v>824</v>
      </c>
      <c r="E403" s="35" t="s">
        <v>148</v>
      </c>
      <c r="F403" s="103" t="s">
        <v>968</v>
      </c>
      <c r="G403" s="103">
        <v>1</v>
      </c>
      <c r="H403" s="35" t="s">
        <v>374</v>
      </c>
      <c r="I403" s="35" t="s">
        <v>580</v>
      </c>
      <c r="J403" s="35">
        <v>2060</v>
      </c>
      <c r="K403">
        <v>2047.0698324216023</v>
      </c>
      <c r="L403" s="34">
        <v>-12.930167578397686</v>
      </c>
      <c r="M403" s="56">
        <v>12.930167578397686</v>
      </c>
      <c r="N403" s="56">
        <v>1.1439563409706714</v>
      </c>
      <c r="O403" s="132">
        <f t="shared" si="7"/>
        <v>-1.1439563409706714</v>
      </c>
      <c r="P403" s="56">
        <v>-0.6276780377862955</v>
      </c>
      <c r="Q403" s="143">
        <v>0.6276780377862955</v>
      </c>
      <c r="R403" s="143">
        <v>2005.8933898457146</v>
      </c>
      <c r="S403" s="34">
        <v>-54.106610154285363</v>
      </c>
      <c r="T403" s="56">
        <v>54.106610154285363</v>
      </c>
      <c r="U403" s="56">
        <v>1.7412036965168904</v>
      </c>
      <c r="V403" s="56">
        <v>-2.6265344735089982</v>
      </c>
      <c r="W403" s="33">
        <v>2.6265344735089982</v>
      </c>
    </row>
    <row r="404" spans="1:23" ht="16" x14ac:dyDescent="0.2">
      <c r="A404" s="103" t="s">
        <v>19</v>
      </c>
      <c r="B404" t="s">
        <v>852</v>
      </c>
      <c r="C404" s="224" t="s">
        <v>974</v>
      </c>
      <c r="D404" s="224" t="s">
        <v>824</v>
      </c>
      <c r="E404" s="35" t="s">
        <v>148</v>
      </c>
      <c r="F404" s="103" t="s">
        <v>967</v>
      </c>
      <c r="G404" s="103">
        <v>0</v>
      </c>
      <c r="H404" s="35" t="s">
        <v>374</v>
      </c>
      <c r="I404" s="35" t="s">
        <v>580</v>
      </c>
      <c r="J404" s="35">
        <v>1210</v>
      </c>
      <c r="K404" s="147">
        <v>1196.8617999999999</v>
      </c>
      <c r="L404" s="34">
        <v>-13.138200000000097</v>
      </c>
      <c r="M404" s="56">
        <v>13.138200000000097</v>
      </c>
      <c r="N404" s="56">
        <v>1.1503941209298965</v>
      </c>
      <c r="O404" s="132">
        <f t="shared" si="7"/>
        <v>-1.1503941209298965</v>
      </c>
      <c r="P404" s="56">
        <v>-1.08580165289257</v>
      </c>
      <c r="Q404" s="143">
        <v>1.08580165289257</v>
      </c>
      <c r="R404" s="143">
        <v>1135.0844999999999</v>
      </c>
      <c r="S404" s="34">
        <v>-74.915500000000065</v>
      </c>
      <c r="T404" s="56">
        <v>74.915500000000065</v>
      </c>
      <c r="U404" s="56">
        <v>1.8803304567547197</v>
      </c>
      <c r="V404" s="56">
        <v>-6.1913636363636417</v>
      </c>
      <c r="W404" s="33">
        <v>6.1913636363636417</v>
      </c>
    </row>
    <row r="405" spans="1:23" ht="15" x14ac:dyDescent="0.2">
      <c r="A405" s="103" t="s">
        <v>19</v>
      </c>
      <c r="B405" t="s">
        <v>887</v>
      </c>
      <c r="C405" s="103" t="s">
        <v>970</v>
      </c>
      <c r="D405" s="224" t="s">
        <v>824</v>
      </c>
      <c r="E405" s="35" t="s">
        <v>148</v>
      </c>
      <c r="F405" s="103" t="s">
        <v>967</v>
      </c>
      <c r="G405" s="103">
        <v>0</v>
      </c>
      <c r="H405" s="225" t="s">
        <v>494</v>
      </c>
      <c r="I405" s="35" t="s">
        <v>580</v>
      </c>
      <c r="J405" s="35">
        <v>1056</v>
      </c>
      <c r="K405">
        <v>1042.8456000000001</v>
      </c>
      <c r="L405" s="34">
        <v>-13.154399999999896</v>
      </c>
      <c r="M405" s="56">
        <v>13.154399999999896</v>
      </c>
      <c r="N405" s="56">
        <v>1.1508914645021118</v>
      </c>
      <c r="O405" s="132">
        <f t="shared" si="7"/>
        <v>-1.1508914645021118</v>
      </c>
      <c r="P405" s="56">
        <v>-1.2456818181818083</v>
      </c>
      <c r="Q405" s="143">
        <v>1.2456818181818083</v>
      </c>
      <c r="R405" s="143">
        <v>1046.0030000000002</v>
      </c>
      <c r="S405" s="34">
        <v>-9.9969999999998436</v>
      </c>
      <c r="T405" s="56">
        <v>9.9969999999998436</v>
      </c>
      <c r="U405" s="56">
        <v>1.041274225054224</v>
      </c>
      <c r="V405" s="56">
        <v>-0.94668560606059127</v>
      </c>
      <c r="W405" s="33">
        <v>0.94668560606059127</v>
      </c>
    </row>
    <row r="406" spans="1:23" ht="16" x14ac:dyDescent="0.2">
      <c r="A406" s="103" t="s">
        <v>19</v>
      </c>
      <c r="B406" t="s">
        <v>854</v>
      </c>
      <c r="C406" s="103" t="s">
        <v>970</v>
      </c>
      <c r="D406" s="224" t="s">
        <v>824</v>
      </c>
      <c r="E406" s="35" t="s">
        <v>148</v>
      </c>
      <c r="F406" s="103" t="s">
        <v>967</v>
      </c>
      <c r="G406" s="103">
        <v>0</v>
      </c>
      <c r="H406" s="35" t="s">
        <v>374</v>
      </c>
      <c r="I406" s="35" t="s">
        <v>580</v>
      </c>
      <c r="J406" s="35">
        <v>1340</v>
      </c>
      <c r="K406" s="147">
        <v>1326.7604000000001</v>
      </c>
      <c r="L406" s="34">
        <v>-13.239599999999882</v>
      </c>
      <c r="M406" s="56">
        <v>13.239599999999882</v>
      </c>
      <c r="N406" s="56">
        <v>1.153497789846293</v>
      </c>
      <c r="O406" s="132">
        <f t="shared" si="7"/>
        <v>-1.153497789846293</v>
      </c>
      <c r="P406" s="56">
        <v>-0.98802985074625982</v>
      </c>
      <c r="Q406" s="143">
        <v>0.98802985074625982</v>
      </c>
      <c r="R406" s="143">
        <v>1308.6860000000001</v>
      </c>
      <c r="S406" s="34">
        <v>-31.313999999999851</v>
      </c>
      <c r="T406" s="56">
        <v>31.313999999999851</v>
      </c>
      <c r="U406" s="56">
        <v>1.5093907206423582</v>
      </c>
      <c r="V406" s="56">
        <v>-2.3368656716417799</v>
      </c>
      <c r="W406" s="33">
        <v>2.3368656716417799</v>
      </c>
    </row>
    <row r="407" spans="1:23" ht="15" x14ac:dyDescent="0.2">
      <c r="A407" s="103" t="s">
        <v>19</v>
      </c>
      <c r="B407" s="28" t="s">
        <v>365</v>
      </c>
      <c r="C407" s="103" t="s">
        <v>979</v>
      </c>
      <c r="D407" s="208" t="s">
        <v>403</v>
      </c>
      <c r="E407" s="35" t="s">
        <v>148</v>
      </c>
      <c r="F407" s="103" t="s">
        <v>967</v>
      </c>
      <c r="G407" s="103">
        <v>0</v>
      </c>
      <c r="H407" s="35" t="s">
        <v>494</v>
      </c>
      <c r="I407" s="35" t="s">
        <v>580</v>
      </c>
      <c r="J407" s="35">
        <v>992.24</v>
      </c>
      <c r="K407" s="141">
        <v>978.95652173913038</v>
      </c>
      <c r="L407" s="34">
        <v>-13.283478260869629</v>
      </c>
      <c r="M407" s="56">
        <v>13.283478260869629</v>
      </c>
      <c r="N407" s="56">
        <v>1.1548339781376855</v>
      </c>
      <c r="O407" s="132">
        <f t="shared" si="7"/>
        <v>-1.1548339781376855</v>
      </c>
      <c r="P407" s="56">
        <v>-1.3387364207116856</v>
      </c>
      <c r="Q407" s="143">
        <v>1.3387364207116856</v>
      </c>
      <c r="R407" s="143">
        <v>1007.5416666666667</v>
      </c>
      <c r="S407" s="34">
        <v>15.301666666666733</v>
      </c>
      <c r="T407" s="56">
        <v>15.301666666666733</v>
      </c>
      <c r="U407" s="56">
        <v>1.2122320085225917</v>
      </c>
      <c r="V407" s="56">
        <v>1.5421336235856984</v>
      </c>
      <c r="W407" s="33">
        <v>1.5421336235856984</v>
      </c>
    </row>
    <row r="408" spans="1:23" ht="16" x14ac:dyDescent="0.2">
      <c r="A408" s="103" t="s">
        <v>19</v>
      </c>
      <c r="B408" t="s">
        <v>862</v>
      </c>
      <c r="C408" s="103" t="s">
        <v>970</v>
      </c>
      <c r="D408" s="224" t="s">
        <v>824</v>
      </c>
      <c r="E408" s="35" t="s">
        <v>148</v>
      </c>
      <c r="F408" s="103" t="s">
        <v>967</v>
      </c>
      <c r="G408" s="103">
        <v>0</v>
      </c>
      <c r="H408" s="35" t="s">
        <v>374</v>
      </c>
      <c r="I408" s="35" t="s">
        <v>580</v>
      </c>
      <c r="J408" s="35">
        <v>1280</v>
      </c>
      <c r="K408" s="147">
        <v>1266.7015000000001</v>
      </c>
      <c r="L408" s="34">
        <v>-13.298499999999876</v>
      </c>
      <c r="M408" s="56">
        <v>13.298499999999876</v>
      </c>
      <c r="N408" s="56">
        <v>1.1552904797103889</v>
      </c>
      <c r="O408" s="132">
        <f t="shared" si="7"/>
        <v>-1.1552904797103889</v>
      </c>
      <c r="P408" s="56">
        <v>-1.0389453124999903</v>
      </c>
      <c r="Q408" s="143">
        <v>1.0389453124999903</v>
      </c>
      <c r="R408" s="143">
        <v>1230.44</v>
      </c>
      <c r="S408" s="34">
        <v>-49.559999999999945</v>
      </c>
      <c r="T408" s="56">
        <v>49.559999999999945</v>
      </c>
      <c r="U408" s="56">
        <v>1.7038070652743282</v>
      </c>
      <c r="V408" s="56">
        <v>-3.8718749999999957</v>
      </c>
      <c r="W408" s="33">
        <v>3.8718749999999957</v>
      </c>
    </row>
    <row r="409" spans="1:23" ht="15" x14ac:dyDescent="0.2">
      <c r="A409" s="103" t="s">
        <v>19</v>
      </c>
      <c r="B409" t="s">
        <v>894</v>
      </c>
      <c r="C409" s="103" t="s">
        <v>970</v>
      </c>
      <c r="D409" s="224" t="s">
        <v>824</v>
      </c>
      <c r="E409" s="35" t="s">
        <v>148</v>
      </c>
      <c r="F409" s="103" t="s">
        <v>967</v>
      </c>
      <c r="G409" s="103">
        <v>0</v>
      </c>
      <c r="H409" s="35" t="s">
        <v>494</v>
      </c>
      <c r="I409" s="35" t="s">
        <v>580</v>
      </c>
      <c r="J409" s="35">
        <v>1111</v>
      </c>
      <c r="K409">
        <v>1097.4446000000003</v>
      </c>
      <c r="L409" s="34">
        <v>-13.555399999999736</v>
      </c>
      <c r="M409" s="56">
        <v>13.555399999999736</v>
      </c>
      <c r="N409" s="56">
        <v>1.1630241448765566</v>
      </c>
      <c r="O409" s="132">
        <f t="shared" si="7"/>
        <v>-1.1630241448765566</v>
      </c>
      <c r="P409" s="56">
        <v>-1.2201080108010562</v>
      </c>
      <c r="Q409" s="143">
        <v>1.2201080108010562</v>
      </c>
      <c r="R409" s="143">
        <v>1085.1260000000002</v>
      </c>
      <c r="S409" s="34">
        <v>-25.873999999999796</v>
      </c>
      <c r="T409" s="56">
        <v>25.873999999999796</v>
      </c>
      <c r="U409" s="56">
        <v>1.4293323128283282</v>
      </c>
      <c r="V409" s="56">
        <v>-2.3288928892889107</v>
      </c>
      <c r="W409" s="33">
        <v>2.3288928892889107</v>
      </c>
    </row>
    <row r="410" spans="1:23" ht="16" x14ac:dyDescent="0.2">
      <c r="A410" s="103" t="s">
        <v>19</v>
      </c>
      <c r="B410" t="s">
        <v>880</v>
      </c>
      <c r="C410" s="103" t="s">
        <v>975</v>
      </c>
      <c r="D410" s="224" t="s">
        <v>824</v>
      </c>
      <c r="E410" s="35" t="s">
        <v>148</v>
      </c>
      <c r="F410" s="103" t="s">
        <v>967</v>
      </c>
      <c r="G410" s="103">
        <v>0</v>
      </c>
      <c r="H410" s="35" t="s">
        <v>374</v>
      </c>
      <c r="I410" s="35" t="s">
        <v>580</v>
      </c>
      <c r="J410" s="35">
        <v>1695</v>
      </c>
      <c r="K410" s="147">
        <v>1681.415</v>
      </c>
      <c r="L410" s="34">
        <v>-13.585000000000036</v>
      </c>
      <c r="M410" s="56">
        <v>13.585000000000036</v>
      </c>
      <c r="N410" s="56">
        <v>1.1639064334577525</v>
      </c>
      <c r="O410" s="132">
        <f t="shared" si="7"/>
        <v>-1.1639064334577525</v>
      </c>
      <c r="P410" s="56">
        <v>-0.80147492625368943</v>
      </c>
      <c r="Q410" s="143">
        <v>0.80147492625368943</v>
      </c>
      <c r="R410" s="143">
        <v>1662.799</v>
      </c>
      <c r="S410" s="34">
        <v>-32.201000000000022</v>
      </c>
      <c r="T410" s="56">
        <v>32.201000000000022</v>
      </c>
      <c r="U410" s="56">
        <v>1.5211511646661287</v>
      </c>
      <c r="V410" s="56">
        <v>-1.8997640117994112</v>
      </c>
      <c r="W410" s="33">
        <v>1.8997640117994112</v>
      </c>
    </row>
    <row r="411" spans="1:23" ht="15" x14ac:dyDescent="0.2">
      <c r="A411" s="103" t="s">
        <v>19</v>
      </c>
      <c r="B411" t="s">
        <v>897</v>
      </c>
      <c r="C411" s="103" t="s">
        <v>979</v>
      </c>
      <c r="D411" s="224" t="s">
        <v>824</v>
      </c>
      <c r="E411" s="35" t="s">
        <v>148</v>
      </c>
      <c r="F411" s="103" t="s">
        <v>967</v>
      </c>
      <c r="G411" s="103">
        <v>0</v>
      </c>
      <c r="H411" s="35" t="s">
        <v>494</v>
      </c>
      <c r="I411" s="35" t="s">
        <v>580</v>
      </c>
      <c r="J411" s="35">
        <v>1031</v>
      </c>
      <c r="K411">
        <v>1017.391304347826</v>
      </c>
      <c r="L411" s="34">
        <v>-13.608695652173992</v>
      </c>
      <c r="M411" s="56">
        <v>13.608695652173992</v>
      </c>
      <c r="N411" s="56">
        <v>1.1646114413722535</v>
      </c>
      <c r="O411" s="132">
        <f t="shared" si="7"/>
        <v>-1.1646114413722535</v>
      </c>
      <c r="P411" s="56">
        <v>-1.3199510816851592</v>
      </c>
      <c r="Q411" s="143">
        <v>1.3199510816851592</v>
      </c>
      <c r="R411" s="143">
        <v>1016.6666666666667</v>
      </c>
      <c r="S411" s="34">
        <v>-14.333333333333258</v>
      </c>
      <c r="T411" s="56">
        <v>14.333333333333258</v>
      </c>
      <c r="U411" s="56">
        <v>1.1856365769619095</v>
      </c>
      <c r="V411" s="56">
        <v>-1.390236016812149</v>
      </c>
      <c r="W411" s="33">
        <v>1.390236016812149</v>
      </c>
    </row>
    <row r="412" spans="1:23" ht="15" x14ac:dyDescent="0.2">
      <c r="A412" s="103" t="s">
        <v>19</v>
      </c>
      <c r="B412" t="s">
        <v>896</v>
      </c>
      <c r="C412" s="103" t="s">
        <v>970</v>
      </c>
      <c r="D412" s="224" t="s">
        <v>824</v>
      </c>
      <c r="E412" s="35" t="s">
        <v>148</v>
      </c>
      <c r="F412" s="103" t="s">
        <v>967</v>
      </c>
      <c r="G412" s="103">
        <v>0</v>
      </c>
      <c r="H412" s="35" t="s">
        <v>374</v>
      </c>
      <c r="I412" s="35" t="s">
        <v>580</v>
      </c>
      <c r="J412" s="35">
        <v>1750</v>
      </c>
      <c r="K412">
        <v>1736.2529</v>
      </c>
      <c r="L412" s="34">
        <v>-13.747100000000046</v>
      </c>
      <c r="M412" s="56">
        <v>13.747100000000046</v>
      </c>
      <c r="N412" s="56">
        <v>1.1687066252074385</v>
      </c>
      <c r="O412" s="132">
        <f t="shared" ref="O412:O475" si="8">SIGN(L412)*N412</f>
        <v>-1.1687066252074385</v>
      </c>
      <c r="P412" s="56">
        <v>-0.78554857142857404</v>
      </c>
      <c r="Q412" s="143">
        <v>0.78554857142857404</v>
      </c>
      <c r="R412" s="143">
        <v>1772.5730000000003</v>
      </c>
      <c r="S412" s="34">
        <v>22.57300000000032</v>
      </c>
      <c r="T412" s="56">
        <v>22.57300000000032</v>
      </c>
      <c r="U412" s="56">
        <v>1.3724148562000595</v>
      </c>
      <c r="V412" s="56">
        <v>1.2898857142857325</v>
      </c>
      <c r="W412" s="33">
        <v>1.2898857142857325</v>
      </c>
    </row>
    <row r="413" spans="1:23" ht="15" x14ac:dyDescent="0.2">
      <c r="A413" s="103" t="s">
        <v>19</v>
      </c>
      <c r="B413" s="28" t="s">
        <v>421</v>
      </c>
      <c r="C413" s="103" t="s">
        <v>979</v>
      </c>
      <c r="D413" s="35" t="s">
        <v>458</v>
      </c>
      <c r="E413" s="35" t="s">
        <v>82</v>
      </c>
      <c r="F413" s="103" t="s">
        <v>967</v>
      </c>
      <c r="G413" s="103">
        <v>0</v>
      </c>
      <c r="H413" s="35" t="s">
        <v>494</v>
      </c>
      <c r="I413" s="35" t="s">
        <v>580</v>
      </c>
      <c r="J413" s="35">
        <v>825</v>
      </c>
      <c r="K413" s="141">
        <v>839.13043478260863</v>
      </c>
      <c r="L413" s="34">
        <v>14.130434782608631</v>
      </c>
      <c r="M413" s="56">
        <v>14.130434782608631</v>
      </c>
      <c r="N413" s="56">
        <v>1.1798514079289861</v>
      </c>
      <c r="O413" s="132">
        <f t="shared" si="8"/>
        <v>1.1798514079289861</v>
      </c>
      <c r="P413" s="56">
        <v>1.7127799736495311</v>
      </c>
      <c r="Q413" s="143">
        <v>1.7127799736495311</v>
      </c>
      <c r="R413" s="143">
        <v>854.16666666666674</v>
      </c>
      <c r="S413" s="34">
        <v>29.166666666666742</v>
      </c>
      <c r="T413" s="56">
        <v>29.166666666666742</v>
      </c>
      <c r="U413" s="56">
        <v>1.479527324485542</v>
      </c>
      <c r="V413" s="56">
        <v>3.5353535353535444</v>
      </c>
      <c r="W413" s="33">
        <v>3.5353535353535444</v>
      </c>
    </row>
    <row r="414" spans="1:23" ht="16" x14ac:dyDescent="0.2">
      <c r="A414" s="103" t="s">
        <v>19</v>
      </c>
      <c r="B414" t="s">
        <v>871</v>
      </c>
      <c r="C414" s="103" t="s">
        <v>975</v>
      </c>
      <c r="D414" s="224" t="s">
        <v>824</v>
      </c>
      <c r="E414" s="35" t="s">
        <v>148</v>
      </c>
      <c r="F414" s="103" t="s">
        <v>967</v>
      </c>
      <c r="G414" s="103">
        <v>0</v>
      </c>
      <c r="H414" s="35" t="s">
        <v>374</v>
      </c>
      <c r="I414" s="35" t="s">
        <v>580</v>
      </c>
      <c r="J414" s="35">
        <v>1575</v>
      </c>
      <c r="K414" s="147">
        <v>1560.7808</v>
      </c>
      <c r="L414" s="34">
        <v>-14.219200000000001</v>
      </c>
      <c r="M414" s="56">
        <v>14.219200000000001</v>
      </c>
      <c r="N414" s="56">
        <v>1.1823918242665599</v>
      </c>
      <c r="O414" s="132">
        <f t="shared" si="8"/>
        <v>-1.1823918242665599</v>
      </c>
      <c r="P414" s="56">
        <v>-0.90280634920634928</v>
      </c>
      <c r="Q414" s="143">
        <v>0.90280634920634928</v>
      </c>
      <c r="R414" s="143">
        <v>1582.731</v>
      </c>
      <c r="S414" s="34">
        <v>7.7309999999999945</v>
      </c>
      <c r="T414" s="56">
        <v>7.7309999999999945</v>
      </c>
      <c r="U414" s="56">
        <v>0.94106398821990178</v>
      </c>
      <c r="V414" s="56">
        <v>0.49085714285714249</v>
      </c>
      <c r="W414" s="33">
        <v>0.49085714285714249</v>
      </c>
    </row>
    <row r="415" spans="1:23" ht="16" x14ac:dyDescent="0.2">
      <c r="A415" s="103" t="s">
        <v>19</v>
      </c>
      <c r="B415" t="s">
        <v>873</v>
      </c>
      <c r="C415" s="103" t="s">
        <v>975</v>
      </c>
      <c r="D415" s="224" t="s">
        <v>824</v>
      </c>
      <c r="E415" s="35" t="s">
        <v>148</v>
      </c>
      <c r="F415" s="103" t="s">
        <v>967</v>
      </c>
      <c r="G415" s="103">
        <v>0</v>
      </c>
      <c r="H415" s="35" t="s">
        <v>374</v>
      </c>
      <c r="I415" s="35" t="s">
        <v>580</v>
      </c>
      <c r="J415" s="35">
        <v>1646</v>
      </c>
      <c r="K415" s="147">
        <v>1660.616</v>
      </c>
      <c r="L415" s="34">
        <v>14.615999999999985</v>
      </c>
      <c r="M415" s="56">
        <v>14.615999999999985</v>
      </c>
      <c r="N415" s="56">
        <v>1.1935698003226163</v>
      </c>
      <c r="O415" s="132">
        <f t="shared" si="8"/>
        <v>1.1935698003226163</v>
      </c>
      <c r="P415" s="56">
        <v>0.88797083839611091</v>
      </c>
      <c r="Q415" s="143">
        <v>0.88797083839611091</v>
      </c>
      <c r="R415" s="143">
        <v>1682.816</v>
      </c>
      <c r="S415" s="34">
        <v>36.816000000000031</v>
      </c>
      <c r="T415" s="56">
        <v>36.816000000000031</v>
      </c>
      <c r="U415" s="56">
        <v>1.5776755892948577</v>
      </c>
      <c r="V415" s="56">
        <v>2.2366950182260044</v>
      </c>
      <c r="W415" s="33">
        <v>2.2366950182260044</v>
      </c>
    </row>
    <row r="416" spans="1:23" ht="15" x14ac:dyDescent="0.2">
      <c r="A416" s="103" t="s">
        <v>19</v>
      </c>
      <c r="B416" s="28" t="s">
        <v>416</v>
      </c>
      <c r="C416" s="224" t="s">
        <v>978</v>
      </c>
      <c r="D416" s="35" t="s">
        <v>458</v>
      </c>
      <c r="E416" s="35" t="s">
        <v>82</v>
      </c>
      <c r="F416" s="103" t="s">
        <v>968</v>
      </c>
      <c r="G416" s="103">
        <v>1</v>
      </c>
      <c r="H416" s="35" t="s">
        <v>374</v>
      </c>
      <c r="I416" s="35" t="s">
        <v>580</v>
      </c>
      <c r="J416" s="35">
        <v>1250</v>
      </c>
      <c r="K416" s="141">
        <v>1264.7744750634038</v>
      </c>
      <c r="L416" s="34">
        <v>14.77447506340377</v>
      </c>
      <c r="M416" s="56">
        <v>14.77447506340377</v>
      </c>
      <c r="N416" s="56">
        <v>1.1979549158806528</v>
      </c>
      <c r="O416" s="132">
        <f t="shared" si="8"/>
        <v>1.1979549158806528</v>
      </c>
      <c r="P416" s="56">
        <v>1.1819580050723015</v>
      </c>
      <c r="Q416" s="143">
        <v>1.1819580050723015</v>
      </c>
      <c r="R416" s="143">
        <v>1225.0129779330625</v>
      </c>
      <c r="S416" s="34">
        <v>-24.98702206693747</v>
      </c>
      <c r="T416" s="56">
        <v>24.98702206693747</v>
      </c>
      <c r="U416" s="56">
        <v>1.4147565152072337</v>
      </c>
      <c r="V416" s="56">
        <v>-1.9989617653549976</v>
      </c>
      <c r="W416" s="33">
        <v>1.9989617653549976</v>
      </c>
    </row>
    <row r="417" spans="1:23" ht="16" x14ac:dyDescent="0.2">
      <c r="A417" s="103" t="s">
        <v>19</v>
      </c>
      <c r="B417" t="s">
        <v>845</v>
      </c>
      <c r="C417" s="103" t="s">
        <v>979</v>
      </c>
      <c r="D417" s="224" t="s">
        <v>824</v>
      </c>
      <c r="E417" s="35" t="s">
        <v>148</v>
      </c>
      <c r="F417" s="103" t="s">
        <v>967</v>
      </c>
      <c r="G417" s="103">
        <v>0</v>
      </c>
      <c r="H417" s="225" t="s">
        <v>494</v>
      </c>
      <c r="I417" s="35" t="s">
        <v>580</v>
      </c>
      <c r="J417" s="35">
        <v>1059</v>
      </c>
      <c r="K417" s="147">
        <v>1073.9130434782608</v>
      </c>
      <c r="L417" s="34">
        <v>14.913043478260761</v>
      </c>
      <c r="M417" s="56">
        <v>14.913043478260761</v>
      </c>
      <c r="N417" s="56">
        <v>1.2017532493768148</v>
      </c>
      <c r="O417" s="132">
        <f t="shared" si="8"/>
        <v>1.2017532493768148</v>
      </c>
      <c r="P417" s="56">
        <v>1.408219403046342</v>
      </c>
      <c r="Q417" s="143">
        <v>1.408219403046342</v>
      </c>
      <c r="R417" s="143">
        <v>1062.5</v>
      </c>
      <c r="S417" s="34">
        <v>3.5</v>
      </c>
      <c r="T417" s="56">
        <v>3.5</v>
      </c>
      <c r="U417" s="56">
        <v>0.65321251377534373</v>
      </c>
      <c r="V417" s="56">
        <v>0.33050047214353162</v>
      </c>
      <c r="W417" s="33">
        <v>0.33050047214353162</v>
      </c>
    </row>
    <row r="418" spans="1:23" ht="16" x14ac:dyDescent="0.2">
      <c r="A418" s="103" t="s">
        <v>19</v>
      </c>
      <c r="B418" t="s">
        <v>873</v>
      </c>
      <c r="C418" s="224" t="s">
        <v>977</v>
      </c>
      <c r="D418" s="224" t="s">
        <v>824</v>
      </c>
      <c r="E418" s="35" t="s">
        <v>148</v>
      </c>
      <c r="F418" s="103" t="s">
        <v>968</v>
      </c>
      <c r="G418" s="103">
        <v>1</v>
      </c>
      <c r="H418" s="35" t="s">
        <v>374</v>
      </c>
      <c r="I418" s="35" t="s">
        <v>580</v>
      </c>
      <c r="J418" s="35">
        <v>1646</v>
      </c>
      <c r="K418" s="147">
        <v>1661.0722336790759</v>
      </c>
      <c r="L418" s="34">
        <v>15.072233679075907</v>
      </c>
      <c r="M418" s="56">
        <v>15.072233679075907</v>
      </c>
      <c r="N418" s="56">
        <v>1.2060762381251751</v>
      </c>
      <c r="O418" s="132">
        <f t="shared" si="8"/>
        <v>1.2060762381251751</v>
      </c>
      <c r="P418" s="56">
        <v>0.91568855887459943</v>
      </c>
      <c r="Q418" s="143">
        <v>0.91568855887459943</v>
      </c>
      <c r="R418" s="143">
        <v>1663.5183363937106</v>
      </c>
      <c r="S418" s="34">
        <v>17.51833639371057</v>
      </c>
      <c r="T418" s="56">
        <v>17.51833639371057</v>
      </c>
      <c r="U418" s="56">
        <v>1.2676019689828766</v>
      </c>
      <c r="V418" s="56">
        <v>1.0642974722788925</v>
      </c>
      <c r="W418" s="33">
        <v>1.0642974722788925</v>
      </c>
    </row>
    <row r="419" spans="1:23" ht="15" x14ac:dyDescent="0.2">
      <c r="A419" s="103" t="s">
        <v>19</v>
      </c>
      <c r="B419" t="s">
        <v>889</v>
      </c>
      <c r="C419" s="103" t="s">
        <v>975</v>
      </c>
      <c r="D419" s="224" t="s">
        <v>824</v>
      </c>
      <c r="E419" s="35" t="s">
        <v>148</v>
      </c>
      <c r="F419" s="103" t="s">
        <v>967</v>
      </c>
      <c r="G419" s="103">
        <v>0</v>
      </c>
      <c r="H419" s="35" t="s">
        <v>374</v>
      </c>
      <c r="I419" s="35" t="s">
        <v>580</v>
      </c>
      <c r="J419" s="35">
        <v>1895</v>
      </c>
      <c r="K419">
        <v>1910.204</v>
      </c>
      <c r="L419" s="34">
        <v>15.203999999999951</v>
      </c>
      <c r="M419" s="56">
        <v>15.203999999999951</v>
      </c>
      <c r="N419" s="56">
        <v>1.2096222345115493</v>
      </c>
      <c r="O419" s="132">
        <f t="shared" si="8"/>
        <v>1.2096222345115493</v>
      </c>
      <c r="P419" s="56">
        <v>0.80232189973614521</v>
      </c>
      <c r="Q419" s="143">
        <v>0.80232189973614521</v>
      </c>
      <c r="R419" s="143">
        <v>1894.9962</v>
      </c>
      <c r="S419" s="34">
        <v>-3.7999999999556167E-3</v>
      </c>
      <c r="T419" s="56">
        <v>3.7999999999556167E-3</v>
      </c>
      <c r="U419" s="56">
        <v>1.6471913460189458E-3</v>
      </c>
      <c r="V419" s="56">
        <v>-2.0052770448314599E-4</v>
      </c>
      <c r="W419" s="33">
        <v>2.0052770448314599E-4</v>
      </c>
    </row>
    <row r="420" spans="1:23" ht="15" x14ac:dyDescent="0.2">
      <c r="A420" s="103" t="s">
        <v>19</v>
      </c>
      <c r="B420" s="28" t="s">
        <v>423</v>
      </c>
      <c r="C420" s="103" t="s">
        <v>979</v>
      </c>
      <c r="D420" s="35" t="s">
        <v>458</v>
      </c>
      <c r="E420" s="208" t="s">
        <v>82</v>
      </c>
      <c r="F420" s="103" t="s">
        <v>967</v>
      </c>
      <c r="G420" s="103">
        <v>0</v>
      </c>
      <c r="H420" s="35" t="s">
        <v>494</v>
      </c>
      <c r="I420" s="35" t="s">
        <v>580</v>
      </c>
      <c r="J420" s="35">
        <v>1150</v>
      </c>
      <c r="K420" s="141">
        <v>1165.2173913043478</v>
      </c>
      <c r="L420" s="34">
        <v>15.217391304347757</v>
      </c>
      <c r="M420" s="56">
        <v>15.217391304347757</v>
      </c>
      <c r="N420" s="56">
        <v>1.209980995791093</v>
      </c>
      <c r="O420" s="132">
        <f t="shared" si="8"/>
        <v>1.209980995791093</v>
      </c>
      <c r="P420" s="56">
        <v>1.3232514177693702</v>
      </c>
      <c r="Q420" s="143">
        <v>1.3232514177693702</v>
      </c>
      <c r="R420" s="143">
        <v>1145.8333333333335</v>
      </c>
      <c r="S420" s="34">
        <v>-4.1666666666665151</v>
      </c>
      <c r="T420" s="56">
        <v>4.1666666666665151</v>
      </c>
      <c r="U420" s="56">
        <v>0.71321044345061635</v>
      </c>
      <c r="V420" s="56">
        <v>-0.36231884057969699</v>
      </c>
      <c r="W420" s="33">
        <v>0.36231884057969699</v>
      </c>
    </row>
    <row r="421" spans="1:23" ht="16" x14ac:dyDescent="0.2">
      <c r="A421" s="103" t="s">
        <v>19</v>
      </c>
      <c r="B421" t="s">
        <v>848</v>
      </c>
      <c r="C421" s="224" t="s">
        <v>978</v>
      </c>
      <c r="D421" s="224" t="s">
        <v>824</v>
      </c>
      <c r="E421" s="35" t="s">
        <v>148</v>
      </c>
      <c r="F421" s="103" t="s">
        <v>968</v>
      </c>
      <c r="G421" s="103">
        <v>1</v>
      </c>
      <c r="H421" s="35" t="s">
        <v>374</v>
      </c>
      <c r="I421" s="35" t="s">
        <v>580</v>
      </c>
      <c r="J421" s="35">
        <v>1244</v>
      </c>
      <c r="K421" s="147">
        <v>1228.7654956961364</v>
      </c>
      <c r="L421" s="34">
        <v>-15.234504303863559</v>
      </c>
      <c r="M421" s="56">
        <v>15.234504303863559</v>
      </c>
      <c r="N421" s="56">
        <v>1.2104390326365926</v>
      </c>
      <c r="O421" s="132">
        <f t="shared" si="8"/>
        <v>-1.2104390326365926</v>
      </c>
      <c r="P421" s="56">
        <v>-1.2246386096353343</v>
      </c>
      <c r="Q421" s="143">
        <v>1.2246386096353343</v>
      </c>
      <c r="R421" s="143">
        <v>1210.440634917293</v>
      </c>
      <c r="S421" s="34">
        <v>-33.559365082707018</v>
      </c>
      <c r="T421" s="56">
        <v>33.559365082707018</v>
      </c>
      <c r="U421" s="56">
        <v>1.5385657551144447</v>
      </c>
      <c r="V421" s="56">
        <v>-2.6976981577738761</v>
      </c>
      <c r="W421" s="33">
        <v>2.6976981577738761</v>
      </c>
    </row>
    <row r="422" spans="1:23" ht="15" x14ac:dyDescent="0.2">
      <c r="A422" s="103" t="s">
        <v>19</v>
      </c>
      <c r="B422" t="s">
        <v>887</v>
      </c>
      <c r="C422" s="24" t="s">
        <v>980</v>
      </c>
      <c r="D422" s="224" t="s">
        <v>824</v>
      </c>
      <c r="E422" s="35" t="s">
        <v>148</v>
      </c>
      <c r="F422" s="103" t="s">
        <v>968</v>
      </c>
      <c r="G422" s="103">
        <v>1</v>
      </c>
      <c r="H422" s="225" t="s">
        <v>494</v>
      </c>
      <c r="I422" s="35" t="s">
        <v>580</v>
      </c>
      <c r="J422" s="35">
        <v>1056</v>
      </c>
      <c r="K422">
        <v>1040.7008802552009</v>
      </c>
      <c r="L422" s="34">
        <v>-15.2991197447991</v>
      </c>
      <c r="M422" s="56">
        <v>15.2991197447991</v>
      </c>
      <c r="N422" s="56">
        <v>1.212164150397868</v>
      </c>
      <c r="O422" s="132">
        <f t="shared" si="8"/>
        <v>-1.212164150397868</v>
      </c>
      <c r="P422" s="56">
        <v>-1.4487802788635511</v>
      </c>
      <c r="Q422" s="143">
        <v>1.4487802788635511</v>
      </c>
      <c r="R422" s="143">
        <v>1041.5127527546599</v>
      </c>
      <c r="S422" s="34">
        <v>-14.487247245340086</v>
      </c>
      <c r="T422" s="56">
        <v>14.487247245340086</v>
      </c>
      <c r="U422" s="56">
        <v>1.1899742316779178</v>
      </c>
      <c r="V422" s="56">
        <v>-1.3718984133844778</v>
      </c>
      <c r="W422" s="33">
        <v>1.3718984133844778</v>
      </c>
    </row>
    <row r="423" spans="1:23" ht="16" x14ac:dyDescent="0.2">
      <c r="A423" s="103" t="s">
        <v>19</v>
      </c>
      <c r="B423" t="s">
        <v>857</v>
      </c>
      <c r="C423" s="24" t="s">
        <v>980</v>
      </c>
      <c r="D423" s="224" t="s">
        <v>824</v>
      </c>
      <c r="E423" s="35" t="s">
        <v>148</v>
      </c>
      <c r="F423" s="103" t="s">
        <v>968</v>
      </c>
      <c r="G423" s="103">
        <v>1</v>
      </c>
      <c r="H423" s="225" t="s">
        <v>494</v>
      </c>
      <c r="I423" s="35" t="s">
        <v>580</v>
      </c>
      <c r="J423" s="35">
        <v>1022</v>
      </c>
      <c r="K423" s="147">
        <v>1006.6458556388822</v>
      </c>
      <c r="L423" s="34">
        <v>-15.354144361117847</v>
      </c>
      <c r="M423" s="56">
        <v>15.354144361117847</v>
      </c>
      <c r="N423" s="56">
        <v>1.213627827032338</v>
      </c>
      <c r="O423" s="132">
        <f t="shared" si="8"/>
        <v>-1.213627827032338</v>
      </c>
      <c r="P423" s="56">
        <v>-1.5023624619489087</v>
      </c>
      <c r="Q423" s="143">
        <v>1.5023624619489087</v>
      </c>
      <c r="R423" s="143">
        <v>995.32210556804591</v>
      </c>
      <c r="S423" s="34">
        <v>-26.677894431954087</v>
      </c>
      <c r="T423" s="56">
        <v>26.677894431954087</v>
      </c>
      <c r="U423" s="56">
        <v>1.4421330485244184</v>
      </c>
      <c r="V423" s="56">
        <v>-2.6103614904064663</v>
      </c>
      <c r="W423" s="33">
        <v>2.6103614904064663</v>
      </c>
    </row>
    <row r="424" spans="1:23" ht="16" x14ac:dyDescent="0.2">
      <c r="A424" s="103" t="s">
        <v>19</v>
      </c>
      <c r="B424" t="s">
        <v>855</v>
      </c>
      <c r="C424" s="224" t="s">
        <v>977</v>
      </c>
      <c r="D424" s="224" t="s">
        <v>824</v>
      </c>
      <c r="E424" s="35" t="s">
        <v>148</v>
      </c>
      <c r="F424" s="103" t="s">
        <v>968</v>
      </c>
      <c r="G424" s="103">
        <v>1</v>
      </c>
      <c r="H424" s="225" t="s">
        <v>494</v>
      </c>
      <c r="I424" s="35" t="s">
        <v>580</v>
      </c>
      <c r="J424" s="35">
        <v>980</v>
      </c>
      <c r="K424" s="147">
        <v>995.43188301621899</v>
      </c>
      <c r="L424" s="34">
        <v>15.43188301621899</v>
      </c>
      <c r="M424" s="56">
        <v>15.43188301621899</v>
      </c>
      <c r="N424" s="56">
        <v>1.2156873343842025</v>
      </c>
      <c r="O424" s="132">
        <f t="shared" si="8"/>
        <v>1.2156873343842025</v>
      </c>
      <c r="P424" s="56">
        <v>1.5746819404305092</v>
      </c>
      <c r="Q424" s="143">
        <v>1.5746819404305092</v>
      </c>
      <c r="R424" s="143">
        <v>990.01049957447628</v>
      </c>
      <c r="S424" s="34">
        <v>10.010499574476285</v>
      </c>
      <c r="T424" s="56">
        <v>10.010499574476285</v>
      </c>
      <c r="U424" s="56">
        <v>1.0418070244682283</v>
      </c>
      <c r="V424" s="56">
        <v>1.0214795484159473</v>
      </c>
      <c r="W424" s="33">
        <v>1.0214795484159473</v>
      </c>
    </row>
    <row r="425" spans="1:23" ht="16" x14ac:dyDescent="0.2">
      <c r="A425" s="103" t="s">
        <v>19</v>
      </c>
      <c r="B425" t="s">
        <v>863</v>
      </c>
      <c r="C425" s="24" t="s">
        <v>980</v>
      </c>
      <c r="D425" s="224" t="s">
        <v>824</v>
      </c>
      <c r="E425" s="35" t="s">
        <v>148</v>
      </c>
      <c r="F425" s="103" t="s">
        <v>968</v>
      </c>
      <c r="G425" s="103">
        <v>1</v>
      </c>
      <c r="H425" s="225" t="s">
        <v>494</v>
      </c>
      <c r="I425" s="35" t="s">
        <v>580</v>
      </c>
      <c r="J425" s="35">
        <v>1110</v>
      </c>
      <c r="K425" s="147">
        <v>1094.4975068592519</v>
      </c>
      <c r="L425" s="34">
        <v>-15.502493140748129</v>
      </c>
      <c r="M425" s="56">
        <v>15.502493140748129</v>
      </c>
      <c r="N425" s="56">
        <v>1.2175495609094065</v>
      </c>
      <c r="O425" s="132">
        <f t="shared" si="8"/>
        <v>-1.2175495609094065</v>
      </c>
      <c r="P425" s="56">
        <v>-1.3966210036710025</v>
      </c>
      <c r="Q425" s="143">
        <v>1.3966210036710025</v>
      </c>
      <c r="R425" s="143">
        <v>1078.6512869165899</v>
      </c>
      <c r="S425" s="34">
        <v>-31.348713083410075</v>
      </c>
      <c r="T425" s="56">
        <v>31.348713083410075</v>
      </c>
      <c r="U425" s="56">
        <v>1.5098570079756375</v>
      </c>
      <c r="V425" s="56">
        <v>-2.8242083858927995</v>
      </c>
      <c r="W425" s="33">
        <v>2.8242083858927995</v>
      </c>
    </row>
    <row r="426" spans="1:23" ht="15" x14ac:dyDescent="0.2">
      <c r="A426" s="103" t="s">
        <v>19</v>
      </c>
      <c r="B426" s="28" t="s">
        <v>423</v>
      </c>
      <c r="C426" s="224" t="s">
        <v>977</v>
      </c>
      <c r="D426" s="35" t="s">
        <v>458</v>
      </c>
      <c r="E426" s="208" t="s">
        <v>82</v>
      </c>
      <c r="F426" s="103" t="s">
        <v>968</v>
      </c>
      <c r="G426" s="103">
        <v>1</v>
      </c>
      <c r="H426" s="35" t="s">
        <v>494</v>
      </c>
      <c r="I426" s="35" t="s">
        <v>580</v>
      </c>
      <c r="J426" s="35">
        <v>1150</v>
      </c>
      <c r="K426" s="141">
        <v>1166.0981233309301</v>
      </c>
      <c r="L426" s="34">
        <v>16.098123330930093</v>
      </c>
      <c r="M426" s="56">
        <v>16.098123330930093</v>
      </c>
      <c r="N426" s="56">
        <v>1.2329484453776529</v>
      </c>
      <c r="O426" s="132">
        <f t="shared" si="8"/>
        <v>1.2329484453776529</v>
      </c>
      <c r="P426" s="56">
        <v>1.3998368113852255</v>
      </c>
      <c r="Q426" s="143">
        <v>1.3998368113852255</v>
      </c>
      <c r="R426" s="143">
        <v>1133.9076453703744</v>
      </c>
      <c r="S426" s="34">
        <v>-16.092354629625561</v>
      </c>
      <c r="T426" s="56">
        <v>16.092354629625561</v>
      </c>
      <c r="U426" s="56">
        <v>1.2328018949157979</v>
      </c>
      <c r="V426" s="56">
        <v>-1.3993351851848315</v>
      </c>
      <c r="W426" s="33">
        <v>1.3993351851848315</v>
      </c>
    </row>
    <row r="427" spans="1:23" ht="16" x14ac:dyDescent="0.2">
      <c r="A427" s="103" t="s">
        <v>19</v>
      </c>
      <c r="B427" t="s">
        <v>856</v>
      </c>
      <c r="C427" s="24" t="s">
        <v>980</v>
      </c>
      <c r="D427" s="224" t="s">
        <v>824</v>
      </c>
      <c r="E427" s="35" t="s">
        <v>148</v>
      </c>
      <c r="F427" s="103" t="s">
        <v>968</v>
      </c>
      <c r="G427" s="103">
        <v>1</v>
      </c>
      <c r="H427" s="225" t="s">
        <v>494</v>
      </c>
      <c r="I427" s="35" t="s">
        <v>580</v>
      </c>
      <c r="J427" s="35">
        <v>1098</v>
      </c>
      <c r="K427" s="147">
        <v>1114.1431147445649</v>
      </c>
      <c r="L427" s="34">
        <v>16.143114744564855</v>
      </c>
      <c r="M427" s="56">
        <v>16.143114744564855</v>
      </c>
      <c r="N427" s="56">
        <v>1.2340897320260136</v>
      </c>
      <c r="O427" s="132">
        <f t="shared" si="8"/>
        <v>1.2340897320260136</v>
      </c>
      <c r="P427" s="56">
        <v>1.4702290295596407</v>
      </c>
      <c r="Q427" s="143">
        <v>1.4702290295596407</v>
      </c>
      <c r="R427" s="143">
        <v>1115.950516708014</v>
      </c>
      <c r="S427" s="34">
        <v>17.950516708013993</v>
      </c>
      <c r="T427" s="56">
        <v>17.950516708013993</v>
      </c>
      <c r="U427" s="56">
        <v>1.2776210560127927</v>
      </c>
      <c r="V427" s="56">
        <v>1.634837587250819</v>
      </c>
      <c r="W427" s="33">
        <v>1.634837587250819</v>
      </c>
    </row>
    <row r="428" spans="1:23" ht="15" x14ac:dyDescent="0.2">
      <c r="A428" s="103" t="s">
        <v>19</v>
      </c>
      <c r="B428" t="s">
        <v>895</v>
      </c>
      <c r="C428" s="103" t="s">
        <v>970</v>
      </c>
      <c r="D428" s="224" t="s">
        <v>824</v>
      </c>
      <c r="E428" s="35" t="s">
        <v>148</v>
      </c>
      <c r="F428" s="103" t="s">
        <v>967</v>
      </c>
      <c r="G428" s="103">
        <v>0</v>
      </c>
      <c r="H428" s="35" t="s">
        <v>494</v>
      </c>
      <c r="I428" s="35" t="s">
        <v>580</v>
      </c>
      <c r="J428" s="35">
        <v>1185</v>
      </c>
      <c r="K428">
        <v>1201.1826999999998</v>
      </c>
      <c r="L428" s="34">
        <v>16.182699999999841</v>
      </c>
      <c r="M428" s="56">
        <v>16.182699999999841</v>
      </c>
      <c r="N428" s="56">
        <v>1.2350914076307591</v>
      </c>
      <c r="O428" s="132">
        <f t="shared" si="8"/>
        <v>1.2350914076307591</v>
      </c>
      <c r="P428" s="56">
        <v>1.3656286919831089</v>
      </c>
      <c r="Q428" s="143">
        <v>1.3656286919831089</v>
      </c>
      <c r="R428" s="143">
        <v>1202.4949999999999</v>
      </c>
      <c r="S428" s="34">
        <v>17.494999999999891</v>
      </c>
      <c r="T428" s="56">
        <v>17.494999999999891</v>
      </c>
      <c r="U428" s="56">
        <v>1.2670543356514103</v>
      </c>
      <c r="V428" s="56">
        <v>1.4763713080168683</v>
      </c>
      <c r="W428" s="33">
        <v>1.4763713080168683</v>
      </c>
    </row>
    <row r="429" spans="1:23" ht="16" x14ac:dyDescent="0.2">
      <c r="A429" s="103" t="s">
        <v>19</v>
      </c>
      <c r="B429" t="s">
        <v>874</v>
      </c>
      <c r="C429" s="103" t="s">
        <v>971</v>
      </c>
      <c r="D429" s="224" t="s">
        <v>824</v>
      </c>
      <c r="E429" s="35" t="s">
        <v>148</v>
      </c>
      <c r="F429" s="103" t="s">
        <v>968</v>
      </c>
      <c r="G429" s="103">
        <v>1</v>
      </c>
      <c r="H429" s="35" t="s">
        <v>374</v>
      </c>
      <c r="I429" s="35" t="s">
        <v>580</v>
      </c>
      <c r="J429" s="35">
        <v>1540</v>
      </c>
      <c r="K429" s="147">
        <v>1523.7184930875339</v>
      </c>
      <c r="L429" s="34">
        <v>-16.281506912466057</v>
      </c>
      <c r="M429" s="56">
        <v>16.281506912466057</v>
      </c>
      <c r="N429" s="56">
        <v>1.2375816093948886</v>
      </c>
      <c r="O429" s="132">
        <f t="shared" si="8"/>
        <v>-1.2375816093948886</v>
      </c>
      <c r="P429" s="56">
        <v>-1.0572407086016919</v>
      </c>
      <c r="Q429" s="143">
        <v>1.0572407086016919</v>
      </c>
      <c r="R429" s="143">
        <v>1745.6366576857342</v>
      </c>
      <c r="S429" s="34">
        <v>205.63665768573424</v>
      </c>
      <c r="T429" s="56">
        <v>205.63665768573424</v>
      </c>
      <c r="U429" s="56">
        <v>2.3152073685795966</v>
      </c>
      <c r="V429" s="56">
        <v>13.353029719852874</v>
      </c>
      <c r="W429" s="33">
        <v>13.353029719852874</v>
      </c>
    </row>
    <row r="430" spans="1:23" ht="16" x14ac:dyDescent="0.2">
      <c r="A430" s="103" t="s">
        <v>19</v>
      </c>
      <c r="B430" t="s">
        <v>839</v>
      </c>
      <c r="C430" s="224" t="s">
        <v>974</v>
      </c>
      <c r="D430" s="224" t="s">
        <v>824</v>
      </c>
      <c r="E430" s="35" t="s">
        <v>148</v>
      </c>
      <c r="F430" s="103" t="s">
        <v>967</v>
      </c>
      <c r="G430" s="103">
        <v>0</v>
      </c>
      <c r="H430" s="35" t="s">
        <v>374</v>
      </c>
      <c r="I430" s="35" t="s">
        <v>580</v>
      </c>
      <c r="J430" s="35">
        <v>1380</v>
      </c>
      <c r="K430" s="147">
        <v>1396.662</v>
      </c>
      <c r="L430" s="34">
        <v>16.662000000000035</v>
      </c>
      <c r="M430" s="56">
        <v>16.662000000000035</v>
      </c>
      <c r="N430" s="56">
        <v>1.2470398804297469</v>
      </c>
      <c r="O430" s="132">
        <f t="shared" si="8"/>
        <v>1.2470398804297469</v>
      </c>
      <c r="P430" s="56">
        <v>1.2073913043478286</v>
      </c>
      <c r="Q430" s="143">
        <v>1.2073913043478286</v>
      </c>
      <c r="R430" s="143">
        <v>1336.0418999999999</v>
      </c>
      <c r="S430" s="34">
        <v>-43.958100000000059</v>
      </c>
      <c r="T430" s="56">
        <v>43.958100000000059</v>
      </c>
      <c r="U430" s="56">
        <v>1.65280794898112</v>
      </c>
      <c r="V430" s="56">
        <v>-3.1853695652173957</v>
      </c>
      <c r="W430" s="33">
        <v>3.1853695652173957</v>
      </c>
    </row>
    <row r="431" spans="1:23" ht="16" x14ac:dyDescent="0.2">
      <c r="A431" s="103" t="s">
        <v>19</v>
      </c>
      <c r="B431" t="s">
        <v>872</v>
      </c>
      <c r="C431" s="24" t="s">
        <v>980</v>
      </c>
      <c r="D431" s="224" t="s">
        <v>824</v>
      </c>
      <c r="E431" s="35" t="s">
        <v>148</v>
      </c>
      <c r="F431" s="103" t="s">
        <v>968</v>
      </c>
      <c r="G431" s="103">
        <v>1</v>
      </c>
      <c r="H431" s="35" t="s">
        <v>374</v>
      </c>
      <c r="I431" s="35" t="s">
        <v>580</v>
      </c>
      <c r="J431" s="35">
        <v>1684</v>
      </c>
      <c r="K431" s="147">
        <v>1700.8150471457745</v>
      </c>
      <c r="L431" s="34">
        <v>16.815047145774543</v>
      </c>
      <c r="M431" s="56">
        <v>16.815047145774543</v>
      </c>
      <c r="N431" s="56">
        <v>1.2507869760062955</v>
      </c>
      <c r="O431" s="132">
        <f t="shared" si="8"/>
        <v>1.2507869760062955</v>
      </c>
      <c r="P431" s="56">
        <v>0.99851823906024595</v>
      </c>
      <c r="Q431" s="143">
        <v>0.99851823906024595</v>
      </c>
      <c r="R431" s="143">
        <v>1648.1685451826245</v>
      </c>
      <c r="S431" s="34">
        <v>-35.831454817375516</v>
      </c>
      <c r="T431" s="56">
        <v>35.831454817375516</v>
      </c>
      <c r="U431" s="56">
        <v>1.5662188735299059</v>
      </c>
      <c r="V431" s="56">
        <v>-2.1277585996066222</v>
      </c>
      <c r="W431" s="33">
        <v>2.1277585996066222</v>
      </c>
    </row>
    <row r="432" spans="1:23" ht="16" x14ac:dyDescent="0.2">
      <c r="A432" s="103" t="s">
        <v>19</v>
      </c>
      <c r="B432" t="s">
        <v>865</v>
      </c>
      <c r="C432" s="103" t="s">
        <v>975</v>
      </c>
      <c r="D432" s="224" t="s">
        <v>824</v>
      </c>
      <c r="E432" s="35" t="s">
        <v>148</v>
      </c>
      <c r="F432" s="103" t="s">
        <v>967</v>
      </c>
      <c r="G432" s="103">
        <v>0</v>
      </c>
      <c r="H432" s="35" t="s">
        <v>374</v>
      </c>
      <c r="I432" s="35" t="s">
        <v>580</v>
      </c>
      <c r="J432" s="35">
        <v>1598</v>
      </c>
      <c r="K432" s="147">
        <v>1614.8581999999999</v>
      </c>
      <c r="L432" s="34">
        <v>16.858199999999897</v>
      </c>
      <c r="M432" s="56">
        <v>16.858199999999897</v>
      </c>
      <c r="N432" s="56">
        <v>1.2518376824661328</v>
      </c>
      <c r="O432" s="132">
        <f t="shared" si="8"/>
        <v>1.2518376824661328</v>
      </c>
      <c r="P432" s="56">
        <v>1.0549561952440487</v>
      </c>
      <c r="Q432" s="143">
        <v>1.0549561952440487</v>
      </c>
      <c r="R432" s="143">
        <v>1622.7650000000001</v>
      </c>
      <c r="S432" s="34">
        <v>24.7650000000001</v>
      </c>
      <c r="T432" s="56">
        <v>24.7650000000001</v>
      </c>
      <c r="U432" s="56">
        <v>1.4110301467970952</v>
      </c>
      <c r="V432" s="56">
        <v>1.5497496871088923</v>
      </c>
      <c r="W432" s="33">
        <v>1.5497496871088923</v>
      </c>
    </row>
    <row r="433" spans="1:23" ht="16" x14ac:dyDescent="0.2">
      <c r="A433" s="103" t="s">
        <v>19</v>
      </c>
      <c r="B433" t="s">
        <v>848</v>
      </c>
      <c r="C433" s="103" t="s">
        <v>979</v>
      </c>
      <c r="D433" s="224" t="s">
        <v>824</v>
      </c>
      <c r="E433" s="35" t="s">
        <v>148</v>
      </c>
      <c r="F433" s="103" t="s">
        <v>967</v>
      </c>
      <c r="G433" s="103">
        <v>0</v>
      </c>
      <c r="H433" s="35" t="s">
        <v>374</v>
      </c>
      <c r="I433" s="35" t="s">
        <v>580</v>
      </c>
      <c r="J433" s="35">
        <v>1244</v>
      </c>
      <c r="K433" s="147">
        <v>1260.8695652173913</v>
      </c>
      <c r="L433" s="34">
        <v>16.869565217391255</v>
      </c>
      <c r="M433" s="56">
        <v>16.869565217391255</v>
      </c>
      <c r="N433" s="56">
        <v>1.2521139858584751</v>
      </c>
      <c r="O433" s="132">
        <f t="shared" si="8"/>
        <v>1.2521139858584751</v>
      </c>
      <c r="P433" s="56">
        <v>1.3560743743883645</v>
      </c>
      <c r="Q433" s="143">
        <v>1.3560743743883645</v>
      </c>
      <c r="R433" s="143">
        <v>1258.3333333333335</v>
      </c>
      <c r="S433" s="34">
        <v>14.333333333333485</v>
      </c>
      <c r="T433" s="56">
        <v>14.333333333333485</v>
      </c>
      <c r="U433" s="56">
        <v>1.1856365769619159</v>
      </c>
      <c r="V433" s="56">
        <v>1.152197213290473</v>
      </c>
      <c r="W433" s="33">
        <v>1.152197213290473</v>
      </c>
    </row>
    <row r="434" spans="1:23" ht="16" x14ac:dyDescent="0.2">
      <c r="A434" s="103" t="s">
        <v>19</v>
      </c>
      <c r="B434" t="s">
        <v>857</v>
      </c>
      <c r="C434" s="103" t="s">
        <v>970</v>
      </c>
      <c r="D434" s="224" t="s">
        <v>824</v>
      </c>
      <c r="E434" s="35" t="s">
        <v>148</v>
      </c>
      <c r="F434" s="103" t="s">
        <v>967</v>
      </c>
      <c r="G434" s="103">
        <v>0</v>
      </c>
      <c r="H434" s="225" t="s">
        <v>494</v>
      </c>
      <c r="I434" s="35" t="s">
        <v>580</v>
      </c>
      <c r="J434" s="35">
        <v>1022</v>
      </c>
      <c r="K434" s="147">
        <v>1004.6263</v>
      </c>
      <c r="L434" s="34">
        <v>-17.373699999999985</v>
      </c>
      <c r="M434" s="56">
        <v>17.373699999999985</v>
      </c>
      <c r="N434" s="56">
        <v>1.2641966210732904</v>
      </c>
      <c r="O434" s="132">
        <f t="shared" si="8"/>
        <v>-1.2641966210732904</v>
      </c>
      <c r="P434" s="56">
        <v>-1.6999706457925621</v>
      </c>
      <c r="Q434" s="143">
        <v>1.6999706457925621</v>
      </c>
      <c r="R434" s="143">
        <v>990.11300000000017</v>
      </c>
      <c r="S434" s="34">
        <v>-31.88699999999983</v>
      </c>
      <c r="T434" s="56">
        <v>31.88699999999983</v>
      </c>
      <c r="U434" s="56">
        <v>1.5170242583148397</v>
      </c>
      <c r="V434" s="56">
        <v>-3.1200587084148563</v>
      </c>
      <c r="W434" s="33">
        <v>3.1200587084148563</v>
      </c>
    </row>
    <row r="435" spans="1:23" ht="16" x14ac:dyDescent="0.2">
      <c r="A435" s="103" t="s">
        <v>19</v>
      </c>
      <c r="B435" t="s">
        <v>880</v>
      </c>
      <c r="C435" s="224" t="s">
        <v>978</v>
      </c>
      <c r="D435" s="224" t="s">
        <v>824</v>
      </c>
      <c r="E435" s="35" t="s">
        <v>148</v>
      </c>
      <c r="F435" s="103" t="s">
        <v>968</v>
      </c>
      <c r="G435" s="103">
        <v>1</v>
      </c>
      <c r="H435" s="35" t="s">
        <v>374</v>
      </c>
      <c r="I435" s="35" t="s">
        <v>580</v>
      </c>
      <c r="J435" s="35">
        <v>1695</v>
      </c>
      <c r="K435" s="147">
        <v>1677.4782483335548</v>
      </c>
      <c r="L435" s="34">
        <v>-17.521751666445198</v>
      </c>
      <c r="M435" s="56">
        <v>17.521751666445198</v>
      </c>
      <c r="N435" s="56">
        <v>1.2676820570271943</v>
      </c>
      <c r="O435" s="132">
        <f t="shared" si="8"/>
        <v>-1.2676820570271943</v>
      </c>
      <c r="P435" s="56">
        <v>-1.0337316617371799</v>
      </c>
      <c r="Q435" s="143">
        <v>1.0337316617371799</v>
      </c>
      <c r="R435" s="143">
        <v>1624.0938483739187</v>
      </c>
      <c r="S435" s="34">
        <v>-70.906151626081282</v>
      </c>
      <c r="T435" s="56">
        <v>70.906151626081282</v>
      </c>
      <c r="U435" s="56">
        <v>1.8567660461962223</v>
      </c>
      <c r="V435" s="56">
        <v>-4.1832537832496328</v>
      </c>
      <c r="W435" s="33">
        <v>4.1832537832496328</v>
      </c>
    </row>
    <row r="436" spans="1:23" ht="15" x14ac:dyDescent="0.2">
      <c r="A436" s="103" t="s">
        <v>19</v>
      </c>
      <c r="B436" s="28" t="s">
        <v>301</v>
      </c>
      <c r="C436" s="224" t="s">
        <v>974</v>
      </c>
      <c r="D436" s="208" t="s">
        <v>403</v>
      </c>
      <c r="E436" s="35" t="s">
        <v>82</v>
      </c>
      <c r="F436" s="103" t="s">
        <v>967</v>
      </c>
      <c r="G436" s="103">
        <v>0</v>
      </c>
      <c r="H436" s="35" t="s">
        <v>374</v>
      </c>
      <c r="I436" s="35" t="s">
        <v>580</v>
      </c>
      <c r="J436" s="35">
        <v>1300</v>
      </c>
      <c r="K436" s="141">
        <v>1317.7935</v>
      </c>
      <c r="L436" s="34">
        <v>17.793499999999995</v>
      </c>
      <c r="M436" s="56">
        <v>17.793499999999995</v>
      </c>
      <c r="N436" s="56">
        <v>1.2740076682930066</v>
      </c>
      <c r="O436" s="132">
        <f t="shared" si="8"/>
        <v>1.2740076682930066</v>
      </c>
      <c r="P436" s="56">
        <v>1.3687307692307689</v>
      </c>
      <c r="Q436" s="143">
        <v>1.3687307692307689</v>
      </c>
      <c r="R436" s="143">
        <v>1254.702</v>
      </c>
      <c r="S436" s="34">
        <v>-45.298000000000002</v>
      </c>
      <c r="T436" s="56">
        <v>45.298000000000002</v>
      </c>
      <c r="U436" s="56">
        <v>1.6655622305919409</v>
      </c>
      <c r="V436" s="56">
        <v>-3.4844615384615385</v>
      </c>
      <c r="W436" s="33">
        <v>3.4844615384615385</v>
      </c>
    </row>
    <row r="437" spans="1:23" ht="16" x14ac:dyDescent="0.2">
      <c r="A437" s="103" t="s">
        <v>19</v>
      </c>
      <c r="B437" t="s">
        <v>874</v>
      </c>
      <c r="C437" s="103" t="s">
        <v>979</v>
      </c>
      <c r="D437" s="224" t="s">
        <v>824</v>
      </c>
      <c r="E437" s="35" t="s">
        <v>148</v>
      </c>
      <c r="F437" s="103" t="s">
        <v>967</v>
      </c>
      <c r="G437" s="103">
        <v>0</v>
      </c>
      <c r="H437" s="35" t="s">
        <v>374</v>
      </c>
      <c r="I437" s="35" t="s">
        <v>580</v>
      </c>
      <c r="J437" s="35">
        <v>1540</v>
      </c>
      <c r="K437" s="147">
        <v>1521.7391304347825</v>
      </c>
      <c r="L437" s="34">
        <v>-18.26086956521749</v>
      </c>
      <c r="M437" s="56">
        <v>18.26086956521749</v>
      </c>
      <c r="N437" s="56">
        <v>1.2846758902054789</v>
      </c>
      <c r="O437" s="132">
        <f t="shared" si="8"/>
        <v>-1.2846758902054789</v>
      </c>
      <c r="P437" s="56">
        <v>-1.1857707509881488</v>
      </c>
      <c r="Q437" s="143">
        <v>1.1857707509881488</v>
      </c>
      <c r="R437" s="143">
        <v>1533.3333333333335</v>
      </c>
      <c r="S437" s="34">
        <v>-6.6666666666665151</v>
      </c>
      <c r="T437" s="56">
        <v>6.6666666666665151</v>
      </c>
      <c r="U437" s="56">
        <v>0.8846065812979218</v>
      </c>
      <c r="V437" s="56">
        <v>-0.43290043290042307</v>
      </c>
      <c r="W437" s="33">
        <v>0.43290043290042307</v>
      </c>
    </row>
    <row r="438" spans="1:23" ht="16" x14ac:dyDescent="0.2">
      <c r="A438" s="103" t="s">
        <v>19</v>
      </c>
      <c r="B438" t="s">
        <v>861</v>
      </c>
      <c r="C438" s="224" t="s">
        <v>978</v>
      </c>
      <c r="D438" s="224" t="s">
        <v>824</v>
      </c>
      <c r="E438" s="35" t="s">
        <v>148</v>
      </c>
      <c r="F438" s="103" t="s">
        <v>968</v>
      </c>
      <c r="G438" s="103">
        <v>1</v>
      </c>
      <c r="H438" s="35" t="s">
        <v>494</v>
      </c>
      <c r="I438" s="35" t="s">
        <v>580</v>
      </c>
      <c r="J438" s="35">
        <v>1055</v>
      </c>
      <c r="K438" s="147">
        <v>1036.5758514570718</v>
      </c>
      <c r="L438" s="34">
        <v>-18.424148542928151</v>
      </c>
      <c r="M438" s="56">
        <v>18.424148542928151</v>
      </c>
      <c r="N438" s="56">
        <v>1.2883419906022966</v>
      </c>
      <c r="O438" s="132">
        <f t="shared" si="8"/>
        <v>-1.2883419906022966</v>
      </c>
      <c r="P438" s="56">
        <v>-1.7463647907988769</v>
      </c>
      <c r="Q438" s="143">
        <v>1.7463647907988769</v>
      </c>
      <c r="R438" s="143">
        <v>1033.2982799846441</v>
      </c>
      <c r="S438" s="34">
        <v>-21.701720015355932</v>
      </c>
      <c r="T438" s="56">
        <v>21.701720015355932</v>
      </c>
      <c r="U438" s="56">
        <v>1.356058763134923</v>
      </c>
      <c r="V438" s="56">
        <v>-2.0570350725455859</v>
      </c>
      <c r="W438" s="33">
        <v>2.0570350725455859</v>
      </c>
    </row>
    <row r="439" spans="1:23" ht="16" x14ac:dyDescent="0.2">
      <c r="A439" s="103" t="s">
        <v>19</v>
      </c>
      <c r="B439" t="s">
        <v>858</v>
      </c>
      <c r="C439" s="103" t="s">
        <v>971</v>
      </c>
      <c r="D439" s="224" t="s">
        <v>824</v>
      </c>
      <c r="E439" s="35" t="s">
        <v>148</v>
      </c>
      <c r="F439" s="103" t="s">
        <v>968</v>
      </c>
      <c r="G439" s="103">
        <v>1</v>
      </c>
      <c r="H439" s="225" t="s">
        <v>494</v>
      </c>
      <c r="I439" s="35" t="s">
        <v>580</v>
      </c>
      <c r="J439" s="35">
        <v>1062</v>
      </c>
      <c r="K439" s="147">
        <v>1080.4678388448021</v>
      </c>
      <c r="L439" s="34">
        <v>18.467838844802145</v>
      </c>
      <c r="M439" s="56">
        <v>18.467838844802145</v>
      </c>
      <c r="N439" s="56">
        <v>1.2893177424870821</v>
      </c>
      <c r="O439" s="132">
        <f t="shared" si="8"/>
        <v>1.2893177424870821</v>
      </c>
      <c r="P439" s="56">
        <v>1.738967876158394</v>
      </c>
      <c r="Q439" s="143">
        <v>1.738967876158394</v>
      </c>
      <c r="R439" s="143">
        <v>1231.5498377756001</v>
      </c>
      <c r="S439" s="34">
        <v>169.54983777560005</v>
      </c>
      <c r="T439" s="56">
        <v>169.54983777560005</v>
      </c>
      <c r="U439" s="56">
        <v>2.2318513106493367</v>
      </c>
      <c r="V439" s="56">
        <v>15.96514479996234</v>
      </c>
      <c r="W439" s="33">
        <v>15.96514479996234</v>
      </c>
    </row>
    <row r="440" spans="1:23" ht="15" x14ac:dyDescent="0.2">
      <c r="A440" s="103" t="s">
        <v>19</v>
      </c>
      <c r="B440" t="s">
        <v>899</v>
      </c>
      <c r="C440" s="224" t="s">
        <v>978</v>
      </c>
      <c r="D440" s="224" t="s">
        <v>824</v>
      </c>
      <c r="E440" s="35" t="s">
        <v>148</v>
      </c>
      <c r="F440" s="103" t="s">
        <v>968</v>
      </c>
      <c r="G440" s="103">
        <v>1</v>
      </c>
      <c r="H440" s="35" t="s">
        <v>374</v>
      </c>
      <c r="I440" s="35" t="s">
        <v>580</v>
      </c>
      <c r="J440" s="35">
        <v>2060</v>
      </c>
      <c r="K440">
        <v>2041.3626484215533</v>
      </c>
      <c r="L440" s="34">
        <v>-18.637351578446669</v>
      </c>
      <c r="M440" s="56">
        <v>18.637351578446669</v>
      </c>
      <c r="N440" s="56">
        <v>1.2930829156085542</v>
      </c>
      <c r="O440" s="132">
        <f t="shared" si="8"/>
        <v>-1.2930829156085542</v>
      </c>
      <c r="P440" s="56">
        <v>-0.90472580477896447</v>
      </c>
      <c r="Q440" s="143">
        <v>0.90472580477896447</v>
      </c>
      <c r="R440" s="143">
        <v>1993.4202971199184</v>
      </c>
      <c r="S440" s="34">
        <v>-66.579702880081641</v>
      </c>
      <c r="T440" s="56">
        <v>66.579702880081641</v>
      </c>
      <c r="U440" s="56">
        <v>1.8298162780304035</v>
      </c>
      <c r="V440" s="56">
        <v>-3.2320244116544488</v>
      </c>
      <c r="W440" s="33">
        <v>3.2320244116544488</v>
      </c>
    </row>
    <row r="441" spans="1:23" ht="15" x14ac:dyDescent="0.2">
      <c r="A441" s="103" t="s">
        <v>19</v>
      </c>
      <c r="B441" t="s">
        <v>897</v>
      </c>
      <c r="C441" s="224" t="s">
        <v>974</v>
      </c>
      <c r="D441" s="224" t="s">
        <v>824</v>
      </c>
      <c r="E441" s="35" t="s">
        <v>148</v>
      </c>
      <c r="F441" s="103" t="s">
        <v>967</v>
      </c>
      <c r="G441" s="103">
        <v>0</v>
      </c>
      <c r="H441" s="35" t="s">
        <v>494</v>
      </c>
      <c r="I441" s="35" t="s">
        <v>580</v>
      </c>
      <c r="J441" s="35">
        <v>1031</v>
      </c>
      <c r="K441">
        <v>1049.6405999999999</v>
      </c>
      <c r="L441" s="34">
        <v>18.640599999999949</v>
      </c>
      <c r="M441" s="56">
        <v>18.640599999999949</v>
      </c>
      <c r="N441" s="56">
        <v>1.2931547509004677</v>
      </c>
      <c r="O441" s="132">
        <f t="shared" si="8"/>
        <v>1.2931547509004677</v>
      </c>
      <c r="P441" s="56">
        <v>1.8080116391852521</v>
      </c>
      <c r="Q441" s="143">
        <v>1.8080116391852521</v>
      </c>
      <c r="R441" s="143">
        <v>986.75879999999995</v>
      </c>
      <c r="S441" s="34">
        <v>-44.241200000000049</v>
      </c>
      <c r="T441" s="56">
        <v>44.241200000000049</v>
      </c>
      <c r="U441" s="56">
        <v>1.6555341158481696</v>
      </c>
      <c r="V441" s="56">
        <v>-4.2910960232783752</v>
      </c>
      <c r="W441" s="33">
        <v>4.2910960232783752</v>
      </c>
    </row>
    <row r="442" spans="1:23" ht="15" x14ac:dyDescent="0.2">
      <c r="A442" s="103" t="s">
        <v>19</v>
      </c>
      <c r="B442" t="s">
        <v>891</v>
      </c>
      <c r="C442" s="24" t="s">
        <v>980</v>
      </c>
      <c r="D442" s="224" t="s">
        <v>824</v>
      </c>
      <c r="E442" s="35" t="s">
        <v>148</v>
      </c>
      <c r="F442" s="103" t="s">
        <v>968</v>
      </c>
      <c r="G442" s="103">
        <v>1</v>
      </c>
      <c r="H442" s="35" t="s">
        <v>374</v>
      </c>
      <c r="I442" s="35" t="s">
        <v>580</v>
      </c>
      <c r="J442" s="35">
        <v>1704</v>
      </c>
      <c r="K442">
        <v>1685.2717106491937</v>
      </c>
      <c r="L442" s="34">
        <v>-18.728289350806335</v>
      </c>
      <c r="M442" s="56">
        <v>18.728289350806335</v>
      </c>
      <c r="N442" s="56">
        <v>1.2950894290071806</v>
      </c>
      <c r="O442" s="132">
        <f t="shared" si="8"/>
        <v>-1.2950894290071806</v>
      </c>
      <c r="P442" s="56">
        <v>-1.0990780135449727</v>
      </c>
      <c r="Q442" s="143">
        <v>1.0990780135449727</v>
      </c>
      <c r="R442" s="143">
        <v>1672.7206807756877</v>
      </c>
      <c r="S442" s="34">
        <v>-31.279319224312303</v>
      </c>
      <c r="T442" s="56">
        <v>31.279319224312303</v>
      </c>
      <c r="U442" s="56">
        <v>1.5089243668108046</v>
      </c>
      <c r="V442" s="56">
        <v>-1.8356407995488442</v>
      </c>
      <c r="W442" s="33">
        <v>1.8356407995488442</v>
      </c>
    </row>
    <row r="443" spans="1:23" ht="16" x14ac:dyDescent="0.2">
      <c r="A443" s="103" t="s">
        <v>19</v>
      </c>
      <c r="B443" t="s">
        <v>860</v>
      </c>
      <c r="C443" s="103" t="s">
        <v>979</v>
      </c>
      <c r="D443" s="224" t="s">
        <v>824</v>
      </c>
      <c r="E443" s="35" t="s">
        <v>148</v>
      </c>
      <c r="F443" s="103" t="s">
        <v>967</v>
      </c>
      <c r="G443" s="103">
        <v>0</v>
      </c>
      <c r="H443" s="35" t="s">
        <v>494</v>
      </c>
      <c r="I443" s="35" t="s">
        <v>580</v>
      </c>
      <c r="J443" s="35">
        <v>1029</v>
      </c>
      <c r="K443" s="147">
        <v>1047.8260869565217</v>
      </c>
      <c r="L443" s="34">
        <v>18.826086956521749</v>
      </c>
      <c r="M443" s="56">
        <v>18.826086956521749</v>
      </c>
      <c r="N443" s="56">
        <v>1.2972370066468424</v>
      </c>
      <c r="O443" s="132">
        <f t="shared" si="8"/>
        <v>1.2972370066468424</v>
      </c>
      <c r="P443" s="56">
        <v>1.8295516964549805</v>
      </c>
      <c r="Q443" s="143">
        <v>1.8295516964549805</v>
      </c>
      <c r="R443" s="143">
        <v>1041.6666666666667</v>
      </c>
      <c r="S443" s="34">
        <v>12.666666666666742</v>
      </c>
      <c r="T443" s="56">
        <v>12.666666666666742</v>
      </c>
      <c r="U443" s="56">
        <v>1.1356626020000755</v>
      </c>
      <c r="V443" s="56">
        <v>1.2309685779073607</v>
      </c>
      <c r="W443" s="33">
        <v>1.2309685779073607</v>
      </c>
    </row>
    <row r="444" spans="1:23" ht="15" x14ac:dyDescent="0.2">
      <c r="A444" s="103" t="s">
        <v>19</v>
      </c>
      <c r="B444" s="28" t="s">
        <v>290</v>
      </c>
      <c r="C444" s="103" t="s">
        <v>979</v>
      </c>
      <c r="D444" s="208" t="s">
        <v>403</v>
      </c>
      <c r="E444" s="35" t="s">
        <v>82</v>
      </c>
      <c r="F444" s="103" t="s">
        <v>967</v>
      </c>
      <c r="G444" s="103">
        <v>0</v>
      </c>
      <c r="H444" s="35" t="s">
        <v>374</v>
      </c>
      <c r="I444" s="35" t="s">
        <v>580</v>
      </c>
      <c r="J444" s="35">
        <v>1369.3</v>
      </c>
      <c r="K444" s="141">
        <v>1388.2608695652175</v>
      </c>
      <c r="L444" s="34">
        <v>18.960869565217536</v>
      </c>
      <c r="M444" s="56">
        <v>18.960869565217536</v>
      </c>
      <c r="N444" s="56">
        <v>1.3001794567484311</v>
      </c>
      <c r="O444" s="132">
        <f t="shared" si="8"/>
        <v>1.3001794567484311</v>
      </c>
      <c r="P444" s="56">
        <v>1.3847125951374817</v>
      </c>
      <c r="Q444" s="143">
        <v>1.3847125951374817</v>
      </c>
      <c r="R444" s="143">
        <v>1375.125</v>
      </c>
      <c r="S444" s="34">
        <v>5.8250000000000455</v>
      </c>
      <c r="T444" s="56">
        <v>5.8250000000000455</v>
      </c>
      <c r="U444" s="56">
        <v>0.83410265571279651</v>
      </c>
      <c r="V444" s="56">
        <v>0.42539983933396958</v>
      </c>
      <c r="W444" s="33">
        <v>0.42539983933396958</v>
      </c>
    </row>
    <row r="445" spans="1:23" ht="15" x14ac:dyDescent="0.2">
      <c r="A445" s="103" t="s">
        <v>19</v>
      </c>
      <c r="B445" t="s">
        <v>892</v>
      </c>
      <c r="C445" s="224" t="s">
        <v>977</v>
      </c>
      <c r="D445" s="224" t="s">
        <v>824</v>
      </c>
      <c r="E445" s="35" t="s">
        <v>148</v>
      </c>
      <c r="F445" s="103" t="s">
        <v>968</v>
      </c>
      <c r="G445" s="103">
        <v>1</v>
      </c>
      <c r="H445" s="35" t="s">
        <v>494</v>
      </c>
      <c r="I445" s="35" t="s">
        <v>580</v>
      </c>
      <c r="J445" s="35">
        <v>1090</v>
      </c>
      <c r="K445">
        <v>1070.9882872274618</v>
      </c>
      <c r="L445" s="34">
        <v>-19.011712772538203</v>
      </c>
      <c r="M445" s="56">
        <v>19.011712772538203</v>
      </c>
      <c r="N445" s="56">
        <v>1.301284260841548</v>
      </c>
      <c r="O445" s="132">
        <f t="shared" si="8"/>
        <v>-1.301284260841548</v>
      </c>
      <c r="P445" s="56">
        <v>-1.7441938323429544</v>
      </c>
      <c r="Q445" s="143">
        <v>1.7441938323429544</v>
      </c>
      <c r="R445" s="143">
        <v>1052.7526776168315</v>
      </c>
      <c r="S445" s="34">
        <v>-37.247322383168466</v>
      </c>
      <c r="T445" s="56">
        <v>37.247322383168466</v>
      </c>
      <c r="U445" s="56">
        <v>1.5826010364852219</v>
      </c>
      <c r="V445" s="56">
        <v>-3.4171855397402262</v>
      </c>
      <c r="W445" s="33">
        <v>3.4171855397402262</v>
      </c>
    </row>
    <row r="446" spans="1:23" ht="15" x14ac:dyDescent="0.2">
      <c r="A446" s="103" t="s">
        <v>19</v>
      </c>
      <c r="B446" s="28" t="s">
        <v>282</v>
      </c>
      <c r="C446" s="103" t="s">
        <v>979</v>
      </c>
      <c r="D446" s="208" t="s">
        <v>403</v>
      </c>
      <c r="E446" s="35" t="s">
        <v>96</v>
      </c>
      <c r="F446" s="103" t="s">
        <v>967</v>
      </c>
      <c r="G446" s="103">
        <v>0</v>
      </c>
      <c r="H446" s="35" t="s">
        <v>494</v>
      </c>
      <c r="I446" s="35" t="s">
        <v>580</v>
      </c>
      <c r="J446" s="35">
        <v>872.2</v>
      </c>
      <c r="K446" s="141">
        <v>891.30434782608688</v>
      </c>
      <c r="L446" s="34">
        <v>19.104347826086837</v>
      </c>
      <c r="M446" s="56">
        <v>19.104347826086837</v>
      </c>
      <c r="N446" s="56">
        <v>1.3032899893948773</v>
      </c>
      <c r="O446" s="132">
        <f t="shared" si="8"/>
        <v>1.3032899893948773</v>
      </c>
      <c r="P446" s="56">
        <v>2.1903631995054846</v>
      </c>
      <c r="Q446" s="143">
        <v>2.1903631995054846</v>
      </c>
      <c r="R446" s="143">
        <v>891.25</v>
      </c>
      <c r="S446" s="34">
        <v>19.049999999999955</v>
      </c>
      <c r="T446" s="56">
        <v>19.049999999999955</v>
      </c>
      <c r="U446" s="56">
        <v>1.3021143769562</v>
      </c>
      <c r="V446" s="56">
        <v>2.1841320797982062</v>
      </c>
      <c r="W446" s="33">
        <v>2.1841320797982062</v>
      </c>
    </row>
    <row r="447" spans="1:23" ht="15" x14ac:dyDescent="0.2">
      <c r="A447" s="103" t="s">
        <v>19</v>
      </c>
      <c r="B447" s="28" t="s">
        <v>282</v>
      </c>
      <c r="C447" s="24" t="s">
        <v>980</v>
      </c>
      <c r="D447" s="208" t="s">
        <v>403</v>
      </c>
      <c r="E447" s="35" t="s">
        <v>96</v>
      </c>
      <c r="F447" s="103" t="s">
        <v>968</v>
      </c>
      <c r="G447" s="103">
        <v>1</v>
      </c>
      <c r="H447" s="35" t="s">
        <v>494</v>
      </c>
      <c r="I447" s="35" t="s">
        <v>580</v>
      </c>
      <c r="J447" s="35">
        <v>872.2</v>
      </c>
      <c r="K447" s="141">
        <v>852.85267030445266</v>
      </c>
      <c r="L447" s="34">
        <v>-19.347329695547387</v>
      </c>
      <c r="M447" s="56">
        <v>19.347329695547387</v>
      </c>
      <c r="N447" s="56">
        <v>1.3085074221812583</v>
      </c>
      <c r="O447" s="132">
        <f t="shared" si="8"/>
        <v>-1.3085074221812583</v>
      </c>
      <c r="P447" s="56">
        <v>-2.2182217032271709</v>
      </c>
      <c r="Q447" s="143">
        <v>2.2182217032271709</v>
      </c>
      <c r="R447" s="143">
        <v>844.38781743026686</v>
      </c>
      <c r="S447" s="34">
        <v>-27.812182569733181</v>
      </c>
      <c r="T447" s="56">
        <v>27.812182569733181</v>
      </c>
      <c r="U447" s="56">
        <v>1.4595761580405286</v>
      </c>
      <c r="V447" s="56">
        <v>-3.1887391159978424</v>
      </c>
      <c r="W447" s="33">
        <v>3.1887391159978424</v>
      </c>
    </row>
    <row r="448" spans="1:23" ht="15" x14ac:dyDescent="0.2">
      <c r="A448" s="103" t="s">
        <v>19</v>
      </c>
      <c r="B448" s="28" t="s">
        <v>427</v>
      </c>
      <c r="C448" s="103" t="s">
        <v>979</v>
      </c>
      <c r="D448" s="35" t="s">
        <v>458</v>
      </c>
      <c r="E448" s="208" t="s">
        <v>82</v>
      </c>
      <c r="F448" s="103" t="s">
        <v>967</v>
      </c>
      <c r="G448" s="103">
        <v>0</v>
      </c>
      <c r="H448" s="35" t="s">
        <v>374</v>
      </c>
      <c r="I448" s="35" t="s">
        <v>580</v>
      </c>
      <c r="J448" s="35">
        <v>1650</v>
      </c>
      <c r="K448" s="141">
        <v>1630.4347826086955</v>
      </c>
      <c r="L448" s="34">
        <v>-19.565217391304486</v>
      </c>
      <c r="M448" s="56">
        <v>19.565217391304486</v>
      </c>
      <c r="N448" s="56">
        <v>1.3131333047202216</v>
      </c>
      <c r="O448" s="132">
        <f t="shared" si="8"/>
        <v>-1.3131333047202216</v>
      </c>
      <c r="P448" s="56">
        <v>-1.1857707509881508</v>
      </c>
      <c r="Q448" s="143">
        <v>1.1857707509881508</v>
      </c>
      <c r="R448" s="143">
        <v>1645.8333333333335</v>
      </c>
      <c r="S448" s="34">
        <v>-4.1666666666665151</v>
      </c>
      <c r="T448" s="56">
        <v>4.1666666666665151</v>
      </c>
      <c r="U448" s="56">
        <v>0.71321044345061635</v>
      </c>
      <c r="V448" s="56">
        <v>-0.25252525252524333</v>
      </c>
      <c r="W448" s="33">
        <v>0.25252525252524333</v>
      </c>
    </row>
    <row r="449" spans="1:23" ht="16" x14ac:dyDescent="0.2">
      <c r="A449" s="103" t="s">
        <v>19</v>
      </c>
      <c r="B449" t="s">
        <v>879</v>
      </c>
      <c r="C449" s="224" t="s">
        <v>978</v>
      </c>
      <c r="D449" s="224" t="s">
        <v>824</v>
      </c>
      <c r="E449" s="35" t="s">
        <v>148</v>
      </c>
      <c r="F449" s="103" t="s">
        <v>968</v>
      </c>
      <c r="G449" s="103">
        <v>1</v>
      </c>
      <c r="H449" s="35" t="s">
        <v>374</v>
      </c>
      <c r="I449" s="35" t="s">
        <v>580</v>
      </c>
      <c r="J449" s="35">
        <v>1550</v>
      </c>
      <c r="K449" s="147">
        <v>1569.7538893051656</v>
      </c>
      <c r="L449" s="34">
        <v>19.753889305165558</v>
      </c>
      <c r="M449" s="56">
        <v>19.753889305165558</v>
      </c>
      <c r="N449" s="56">
        <v>1.3170994960115745</v>
      </c>
      <c r="O449" s="132">
        <f t="shared" si="8"/>
        <v>1.3170994960115745</v>
      </c>
      <c r="P449" s="56">
        <v>1.2744444713010037</v>
      </c>
      <c r="Q449" s="143">
        <v>1.2744444713010037</v>
      </c>
      <c r="R449" s="143">
        <v>1547.8059307841538</v>
      </c>
      <c r="S449" s="34">
        <v>-2.1940692158461843</v>
      </c>
      <c r="T449" s="56">
        <v>2.1940692158461843</v>
      </c>
      <c r="U449" s="56">
        <v>0.5043443231156618</v>
      </c>
      <c r="V449" s="56">
        <v>-0.1415528526352377</v>
      </c>
      <c r="W449" s="33">
        <v>0.1415528526352377</v>
      </c>
    </row>
    <row r="450" spans="1:23" ht="16" x14ac:dyDescent="0.2">
      <c r="A450" s="103" t="s">
        <v>19</v>
      </c>
      <c r="B450" t="s">
        <v>850</v>
      </c>
      <c r="C450" s="224" t="s">
        <v>974</v>
      </c>
      <c r="D450" s="224" t="s">
        <v>824</v>
      </c>
      <c r="E450" s="35" t="s">
        <v>148</v>
      </c>
      <c r="F450" s="103" t="s">
        <v>967</v>
      </c>
      <c r="G450" s="103">
        <v>0</v>
      </c>
      <c r="H450" s="35" t="s">
        <v>374</v>
      </c>
      <c r="I450" s="35" t="s">
        <v>580</v>
      </c>
      <c r="J450" s="35">
        <v>1240</v>
      </c>
      <c r="K450" s="147">
        <v>1259.9566</v>
      </c>
      <c r="L450" s="34">
        <v>19.95659999999998</v>
      </c>
      <c r="M450" s="56">
        <v>19.95659999999998</v>
      </c>
      <c r="N450" s="56">
        <v>1.3213208240648409</v>
      </c>
      <c r="O450" s="132">
        <f t="shared" si="8"/>
        <v>1.3213208240648409</v>
      </c>
      <c r="P450" s="56">
        <v>1.6094032258064501</v>
      </c>
      <c r="Q450" s="143">
        <v>1.6094032258064501</v>
      </c>
      <c r="R450" s="143">
        <v>1182.9314999999999</v>
      </c>
      <c r="S450" s="34">
        <v>-57.068500000000085</v>
      </c>
      <c r="T450" s="56">
        <v>57.068500000000085</v>
      </c>
      <c r="U450" s="56">
        <v>1.7639406076738162</v>
      </c>
      <c r="V450" s="56">
        <v>-4.6022983870967815</v>
      </c>
      <c r="W450" s="33">
        <v>4.6022983870967815</v>
      </c>
    </row>
    <row r="451" spans="1:23" ht="15" x14ac:dyDescent="0.2">
      <c r="A451" s="103" t="s">
        <v>19</v>
      </c>
      <c r="B451" t="s">
        <v>896</v>
      </c>
      <c r="C451" s="224" t="s">
        <v>974</v>
      </c>
      <c r="D451" s="224" t="s">
        <v>824</v>
      </c>
      <c r="E451" s="35" t="s">
        <v>148</v>
      </c>
      <c r="F451" s="103" t="s">
        <v>967</v>
      </c>
      <c r="G451" s="103">
        <v>0</v>
      </c>
      <c r="H451" s="35" t="s">
        <v>374</v>
      </c>
      <c r="I451" s="35" t="s">
        <v>580</v>
      </c>
      <c r="J451" s="35">
        <v>1750</v>
      </c>
      <c r="K451">
        <v>1769.9729</v>
      </c>
      <c r="L451" s="34">
        <v>19.972899999999981</v>
      </c>
      <c r="M451" s="56">
        <v>19.972899999999981</v>
      </c>
      <c r="N451" s="56">
        <v>1.321658486112403</v>
      </c>
      <c r="O451" s="132">
        <f t="shared" si="8"/>
        <v>1.321658486112403</v>
      </c>
      <c r="P451" s="56">
        <v>1.1413085714285705</v>
      </c>
      <c r="Q451" s="143">
        <v>1.1413085714285705</v>
      </c>
      <c r="R451" s="143">
        <v>1670.9708999999998</v>
      </c>
      <c r="S451" s="34">
        <v>-79.029100000000199</v>
      </c>
      <c r="T451" s="56">
        <v>79.029100000000199</v>
      </c>
      <c r="U451" s="56">
        <v>1.9032479328850689</v>
      </c>
      <c r="V451" s="56">
        <v>-4.5159485714285825</v>
      </c>
      <c r="W451" s="33">
        <v>4.5159485714285825</v>
      </c>
    </row>
    <row r="452" spans="1:23" ht="16" x14ac:dyDescent="0.2">
      <c r="A452" s="103" t="s">
        <v>19</v>
      </c>
      <c r="B452" t="s">
        <v>869</v>
      </c>
      <c r="C452" s="224" t="s">
        <v>977</v>
      </c>
      <c r="D452" s="224" t="s">
        <v>824</v>
      </c>
      <c r="E452" s="35" t="s">
        <v>148</v>
      </c>
      <c r="F452" s="103" t="s">
        <v>968</v>
      </c>
      <c r="G452" s="103">
        <v>1</v>
      </c>
      <c r="H452" s="35" t="s">
        <v>374</v>
      </c>
      <c r="I452" s="35" t="s">
        <v>580</v>
      </c>
      <c r="J452" s="35">
        <v>1686</v>
      </c>
      <c r="K452" s="147">
        <v>1665.9977334134985</v>
      </c>
      <c r="L452" s="34">
        <v>-20.002266586501491</v>
      </c>
      <c r="M452" s="56">
        <v>20.002266586501491</v>
      </c>
      <c r="N452" s="56">
        <v>1.3222661667763735</v>
      </c>
      <c r="O452" s="132">
        <f t="shared" si="8"/>
        <v>-1.3222661667763735</v>
      </c>
      <c r="P452" s="56">
        <v>-1.1863740561388785</v>
      </c>
      <c r="Q452" s="143">
        <v>1.1863740561388785</v>
      </c>
      <c r="R452" s="143">
        <v>1663.5183363937106</v>
      </c>
      <c r="S452" s="34">
        <v>-22.48166360628943</v>
      </c>
      <c r="T452" s="56">
        <v>22.48166360628943</v>
      </c>
      <c r="U452" s="56">
        <v>1.3707288621427676</v>
      </c>
      <c r="V452" s="56">
        <v>-1.3334320051179971</v>
      </c>
      <c r="W452" s="33">
        <v>1.3334320051179971</v>
      </c>
    </row>
    <row r="453" spans="1:23" ht="16" x14ac:dyDescent="0.2">
      <c r="A453" s="103" t="s">
        <v>19</v>
      </c>
      <c r="B453" t="s">
        <v>865</v>
      </c>
      <c r="C453" s="24" t="s">
        <v>980</v>
      </c>
      <c r="D453" s="224" t="s">
        <v>824</v>
      </c>
      <c r="E453" s="35" t="s">
        <v>148</v>
      </c>
      <c r="F453" s="103" t="s">
        <v>968</v>
      </c>
      <c r="G453" s="103">
        <v>1</v>
      </c>
      <c r="H453" s="35" t="s">
        <v>374</v>
      </c>
      <c r="I453" s="35" t="s">
        <v>580</v>
      </c>
      <c r="J453" s="35">
        <v>1598</v>
      </c>
      <c r="K453" s="147">
        <v>1618.1258843048238</v>
      </c>
      <c r="L453" s="34">
        <v>20.125884304823785</v>
      </c>
      <c r="M453" s="56">
        <v>20.125884304823785</v>
      </c>
      <c r="N453" s="56">
        <v>1.3248148970616005</v>
      </c>
      <c r="O453" s="132">
        <f t="shared" si="8"/>
        <v>1.3248148970616005</v>
      </c>
      <c r="P453" s="56">
        <v>1.2594420716410379</v>
      </c>
      <c r="Q453" s="143">
        <v>1.2594420716410379</v>
      </c>
      <c r="R453" s="143">
        <v>1604.0901464543242</v>
      </c>
      <c r="S453" s="34">
        <v>6.0901464543242128</v>
      </c>
      <c r="T453" s="56">
        <v>6.0901464543242128</v>
      </c>
      <c r="U453" s="56">
        <v>0.85065520607840439</v>
      </c>
      <c r="V453" s="56">
        <v>0.38111054157222857</v>
      </c>
      <c r="W453" s="33">
        <v>0.38111054157222857</v>
      </c>
    </row>
    <row r="454" spans="1:23" ht="15" x14ac:dyDescent="0.2">
      <c r="A454" s="103" t="s">
        <v>19</v>
      </c>
      <c r="B454" t="s">
        <v>890</v>
      </c>
      <c r="C454" s="103" t="s">
        <v>975</v>
      </c>
      <c r="D454" s="224" t="s">
        <v>824</v>
      </c>
      <c r="E454" s="35" t="s">
        <v>148</v>
      </c>
      <c r="F454" s="103" t="s">
        <v>967</v>
      </c>
      <c r="G454" s="103">
        <v>0</v>
      </c>
      <c r="H454" s="35" t="s">
        <v>374</v>
      </c>
      <c r="I454" s="35" t="s">
        <v>580</v>
      </c>
      <c r="J454" s="35">
        <v>1316</v>
      </c>
      <c r="K454">
        <v>1336.1515999999999</v>
      </c>
      <c r="L454" s="34">
        <v>20.151599999999917</v>
      </c>
      <c r="M454" s="56">
        <v>20.151599999999917</v>
      </c>
      <c r="N454" s="56">
        <v>1.3253432248972925</v>
      </c>
      <c r="O454" s="132">
        <f t="shared" si="8"/>
        <v>1.3253432248972925</v>
      </c>
      <c r="P454" s="56">
        <v>1.5312765957446746</v>
      </c>
      <c r="Q454" s="143">
        <v>1.5312765957446746</v>
      </c>
      <c r="R454" s="143">
        <v>1346.5304000000001</v>
      </c>
      <c r="S454" s="34">
        <v>30.5304000000001</v>
      </c>
      <c r="T454" s="56">
        <v>30.5304000000001</v>
      </c>
      <c r="U454" s="56">
        <v>1.4987294803162805</v>
      </c>
      <c r="V454" s="56">
        <v>2.3199392097264515</v>
      </c>
      <c r="W454" s="33">
        <v>2.3199392097264515</v>
      </c>
    </row>
    <row r="455" spans="1:23" ht="16" x14ac:dyDescent="0.2">
      <c r="A455" s="103" t="s">
        <v>19</v>
      </c>
      <c r="B455" t="s">
        <v>870</v>
      </c>
      <c r="C455" s="103" t="s">
        <v>975</v>
      </c>
      <c r="D455" s="224" t="s">
        <v>824</v>
      </c>
      <c r="E455" s="35" t="s">
        <v>148</v>
      </c>
      <c r="F455" s="103" t="s">
        <v>967</v>
      </c>
      <c r="G455" s="103">
        <v>0</v>
      </c>
      <c r="H455" s="35" t="s">
        <v>374</v>
      </c>
      <c r="I455" s="35" t="s">
        <v>580</v>
      </c>
      <c r="J455" s="35">
        <v>1582</v>
      </c>
      <c r="K455" s="147">
        <v>1602.3788</v>
      </c>
      <c r="L455" s="34">
        <v>20.378799999999956</v>
      </c>
      <c r="M455" s="56">
        <v>20.378799999999956</v>
      </c>
      <c r="N455" s="56">
        <v>1.3299833244459913</v>
      </c>
      <c r="O455" s="132">
        <f t="shared" si="8"/>
        <v>1.3299833244459913</v>
      </c>
      <c r="P455" s="56">
        <v>1.2881668773704145</v>
      </c>
      <c r="Q455" s="143">
        <v>1.2881668773704145</v>
      </c>
      <c r="R455" s="143">
        <v>1618.7616</v>
      </c>
      <c r="S455" s="34">
        <v>36.761600000000044</v>
      </c>
      <c r="T455" s="56">
        <v>36.761600000000044</v>
      </c>
      <c r="U455" s="56">
        <v>1.5770503875447186</v>
      </c>
      <c r="V455" s="56">
        <v>2.3237420986093582</v>
      </c>
      <c r="W455" s="33">
        <v>2.3237420986093582</v>
      </c>
    </row>
    <row r="456" spans="1:23" ht="15" x14ac:dyDescent="0.2">
      <c r="A456" s="103" t="s">
        <v>19</v>
      </c>
      <c r="B456" s="28" t="s">
        <v>424</v>
      </c>
      <c r="C456" s="24" t="s">
        <v>980</v>
      </c>
      <c r="D456" s="35" t="s">
        <v>458</v>
      </c>
      <c r="E456" s="208" t="s">
        <v>82</v>
      </c>
      <c r="F456" s="103" t="s">
        <v>968</v>
      </c>
      <c r="G456" s="103">
        <v>1</v>
      </c>
      <c r="H456" s="35" t="s">
        <v>374</v>
      </c>
      <c r="I456" s="35" t="s">
        <v>580</v>
      </c>
      <c r="J456" s="35">
        <v>1800</v>
      </c>
      <c r="K456" s="141">
        <v>1820.562956505177</v>
      </c>
      <c r="L456" s="34">
        <v>20.562956505176999</v>
      </c>
      <c r="M456" s="56">
        <v>20.562956505176999</v>
      </c>
      <c r="N456" s="56">
        <v>1.3337083068790621</v>
      </c>
      <c r="O456" s="132">
        <f t="shared" si="8"/>
        <v>1.3337083068790621</v>
      </c>
      <c r="P456" s="56">
        <v>1.1423864725098332</v>
      </c>
      <c r="Q456" s="143">
        <v>1.1423864725098332</v>
      </c>
      <c r="R456" s="143">
        <v>1850.8003761607013</v>
      </c>
      <c r="S456" s="34">
        <v>50.800376160701262</v>
      </c>
      <c r="T456" s="56">
        <v>50.800376160701262</v>
      </c>
      <c r="U456" s="56">
        <v>1.714332913488934</v>
      </c>
      <c r="V456" s="56">
        <v>2.8222431200389591</v>
      </c>
      <c r="W456" s="33">
        <v>2.8222431200389591</v>
      </c>
    </row>
    <row r="457" spans="1:23" ht="16" x14ac:dyDescent="0.2">
      <c r="A457" s="103" t="s">
        <v>19</v>
      </c>
      <c r="B457" t="s">
        <v>870</v>
      </c>
      <c r="C457" s="24" t="s">
        <v>980</v>
      </c>
      <c r="D457" s="224" t="s">
        <v>824</v>
      </c>
      <c r="E457" s="35" t="s">
        <v>148</v>
      </c>
      <c r="F457" s="103" t="s">
        <v>968</v>
      </c>
      <c r="G457" s="103">
        <v>1</v>
      </c>
      <c r="H457" s="35" t="s">
        <v>374</v>
      </c>
      <c r="I457" s="35" t="s">
        <v>580</v>
      </c>
      <c r="J457" s="35">
        <v>1582</v>
      </c>
      <c r="K457" s="147">
        <v>1602.6795598195727</v>
      </c>
      <c r="L457" s="34">
        <v>20.67955981957266</v>
      </c>
      <c r="M457" s="56">
        <v>20.67955981957266</v>
      </c>
      <c r="N457" s="56">
        <v>1.3360504600678551</v>
      </c>
      <c r="O457" s="132">
        <f t="shared" si="8"/>
        <v>1.3360504600678551</v>
      </c>
      <c r="P457" s="56">
        <v>1.3071782439679305</v>
      </c>
      <c r="Q457" s="143">
        <v>1.3071782439679305</v>
      </c>
      <c r="R457" s="143">
        <v>1599.2018126191538</v>
      </c>
      <c r="S457" s="34">
        <v>17.20181261915377</v>
      </c>
      <c r="T457" s="56">
        <v>17.20181261915377</v>
      </c>
      <c r="U457" s="56">
        <v>1.2601146391552933</v>
      </c>
      <c r="V457" s="56">
        <v>1.0873459304142712</v>
      </c>
      <c r="W457" s="33">
        <v>1.0873459304142712</v>
      </c>
    </row>
    <row r="458" spans="1:23" ht="16" x14ac:dyDescent="0.2">
      <c r="A458" s="103" t="s">
        <v>19</v>
      </c>
      <c r="B458" t="s">
        <v>864</v>
      </c>
      <c r="C458" s="224" t="s">
        <v>974</v>
      </c>
      <c r="D458" s="224" t="s">
        <v>824</v>
      </c>
      <c r="E458" s="35" t="s">
        <v>148</v>
      </c>
      <c r="F458" s="103" t="s">
        <v>967</v>
      </c>
      <c r="G458" s="103">
        <v>0</v>
      </c>
      <c r="H458" s="35" t="s">
        <v>374</v>
      </c>
      <c r="I458" s="35" t="s">
        <v>580</v>
      </c>
      <c r="J458" s="35">
        <v>1460</v>
      </c>
      <c r="K458" s="147">
        <v>1480.7883999999999</v>
      </c>
      <c r="L458" s="34">
        <v>20.788399999999911</v>
      </c>
      <c r="M458" s="56">
        <v>20.788399999999911</v>
      </c>
      <c r="N458" s="56">
        <v>1.3382253396228552</v>
      </c>
      <c r="O458" s="132">
        <f t="shared" si="8"/>
        <v>1.3382253396228552</v>
      </c>
      <c r="P458" s="56">
        <v>1.4238630136986241</v>
      </c>
      <c r="Q458" s="143">
        <v>1.4238630136986241</v>
      </c>
      <c r="R458" s="143">
        <v>1403.0276999999999</v>
      </c>
      <c r="S458" s="34">
        <v>-56.972300000000132</v>
      </c>
      <c r="T458" s="56">
        <v>56.972300000000132</v>
      </c>
      <c r="U458" s="56">
        <v>1.7632205309640678</v>
      </c>
      <c r="V458" s="56">
        <v>-3.9022123287671322</v>
      </c>
      <c r="W458" s="33">
        <v>3.9022123287671322</v>
      </c>
    </row>
    <row r="459" spans="1:23" ht="15" x14ac:dyDescent="0.2">
      <c r="A459" s="103" t="s">
        <v>19</v>
      </c>
      <c r="B459" s="28" t="s">
        <v>289</v>
      </c>
      <c r="C459" s="224" t="s">
        <v>978</v>
      </c>
      <c r="D459" s="208" t="s">
        <v>403</v>
      </c>
      <c r="E459" s="35" t="s">
        <v>148</v>
      </c>
      <c r="F459" s="103" t="s">
        <v>968</v>
      </c>
      <c r="G459" s="103">
        <v>1</v>
      </c>
      <c r="H459" s="35" t="s">
        <v>494</v>
      </c>
      <c r="I459" s="35" t="s">
        <v>580</v>
      </c>
      <c r="J459" s="35">
        <v>899.05</v>
      </c>
      <c r="K459" s="141">
        <v>877.9327117825236</v>
      </c>
      <c r="L459" s="34">
        <v>-21.117288217476357</v>
      </c>
      <c r="M459" s="56">
        <v>21.117288217476357</v>
      </c>
      <c r="N459" s="56">
        <v>1.3447318774074188</v>
      </c>
      <c r="O459" s="132">
        <f t="shared" si="8"/>
        <v>-1.3447318774074188</v>
      </c>
      <c r="P459" s="56">
        <v>-2.3488446935628007</v>
      </c>
      <c r="Q459" s="143">
        <v>2.3488446935628007</v>
      </c>
      <c r="R459" s="143">
        <v>862.9973405208541</v>
      </c>
      <c r="S459" s="34">
        <v>-36.052659479145859</v>
      </c>
      <c r="T459" s="56">
        <v>36.052659479145859</v>
      </c>
      <c r="U459" s="56">
        <v>1.5688193852078287</v>
      </c>
      <c r="V459" s="56">
        <v>-4.0100839195980047</v>
      </c>
      <c r="W459" s="33">
        <v>4.0100839195980047</v>
      </c>
    </row>
    <row r="460" spans="1:23" ht="16" x14ac:dyDescent="0.2">
      <c r="A460" s="103" t="s">
        <v>19</v>
      </c>
      <c r="B460" t="s">
        <v>869</v>
      </c>
      <c r="C460" s="103" t="s">
        <v>975</v>
      </c>
      <c r="D460" s="224" t="s">
        <v>824</v>
      </c>
      <c r="E460" s="35" t="s">
        <v>148</v>
      </c>
      <c r="F460" s="103" t="s">
        <v>967</v>
      </c>
      <c r="G460" s="103">
        <v>0</v>
      </c>
      <c r="H460" s="35" t="s">
        <v>374</v>
      </c>
      <c r="I460" s="35" t="s">
        <v>580</v>
      </c>
      <c r="J460" s="35">
        <v>1686</v>
      </c>
      <c r="K460" s="147">
        <v>1664.7757999999999</v>
      </c>
      <c r="L460" s="34">
        <v>-21.22420000000011</v>
      </c>
      <c r="M460" s="56">
        <v>21.22420000000011</v>
      </c>
      <c r="N460" s="56">
        <v>1.3468261367136267</v>
      </c>
      <c r="O460" s="132">
        <f t="shared" si="8"/>
        <v>-1.3468261367136267</v>
      </c>
      <c r="P460" s="56">
        <v>-1.2588493475682152</v>
      </c>
      <c r="Q460" s="143">
        <v>1.2588493475682152</v>
      </c>
      <c r="R460" s="143">
        <v>1682.816</v>
      </c>
      <c r="S460" s="34">
        <v>-3.1839999999999691</v>
      </c>
      <c r="T460" s="56">
        <v>3.1839999999999691</v>
      </c>
      <c r="U460" s="56">
        <v>0.6215916758592146</v>
      </c>
      <c r="V460" s="56">
        <v>-0.18884934756820695</v>
      </c>
      <c r="W460" s="33">
        <v>0.18884934756820695</v>
      </c>
    </row>
    <row r="461" spans="1:23" ht="16" x14ac:dyDescent="0.2">
      <c r="A461" s="103" t="s">
        <v>19</v>
      </c>
      <c r="B461" t="s">
        <v>846</v>
      </c>
      <c r="C461" s="224" t="s">
        <v>977</v>
      </c>
      <c r="D461" s="224" t="s">
        <v>824</v>
      </c>
      <c r="E461" s="35" t="s">
        <v>148</v>
      </c>
      <c r="F461" s="103" t="s">
        <v>968</v>
      </c>
      <c r="G461" s="103">
        <v>1</v>
      </c>
      <c r="H461" s="35" t="s">
        <v>374</v>
      </c>
      <c r="I461" s="35" t="s">
        <v>580</v>
      </c>
      <c r="J461" s="35">
        <v>1312</v>
      </c>
      <c r="K461" s="147">
        <v>1290.7681746110088</v>
      </c>
      <c r="L461" s="34">
        <v>-21.231825388991183</v>
      </c>
      <c r="M461" s="56">
        <v>21.231825388991183</v>
      </c>
      <c r="N461" s="56">
        <v>1.3469751227898532</v>
      </c>
      <c r="O461" s="132">
        <f t="shared" si="8"/>
        <v>-1.3469751227898532</v>
      </c>
      <c r="P461" s="56">
        <v>-1.6182793741609134</v>
      </c>
      <c r="Q461" s="143">
        <v>1.6182793741609134</v>
      </c>
      <c r="R461" s="143">
        <v>1279.44174423505</v>
      </c>
      <c r="S461" s="34">
        <v>-32.55825576494999</v>
      </c>
      <c r="T461" s="56">
        <v>32.55825576494999</v>
      </c>
      <c r="U461" s="56">
        <v>1.5257993797090059</v>
      </c>
      <c r="V461" s="56">
        <v>-2.4815743723285055</v>
      </c>
      <c r="W461" s="33">
        <v>2.4815743723285055</v>
      </c>
    </row>
    <row r="462" spans="1:23" ht="16" x14ac:dyDescent="0.2">
      <c r="A462" s="103" t="s">
        <v>19</v>
      </c>
      <c r="B462" t="s">
        <v>850</v>
      </c>
      <c r="C462" s="103" t="s">
        <v>975</v>
      </c>
      <c r="D462" s="224" t="s">
        <v>824</v>
      </c>
      <c r="E462" s="35" t="s">
        <v>148</v>
      </c>
      <c r="F462" s="103" t="s">
        <v>967</v>
      </c>
      <c r="G462" s="103">
        <v>0</v>
      </c>
      <c r="H462" s="35" t="s">
        <v>374</v>
      </c>
      <c r="I462" s="35" t="s">
        <v>580</v>
      </c>
      <c r="J462" s="35">
        <v>1240</v>
      </c>
      <c r="K462" s="147">
        <v>1261.2752</v>
      </c>
      <c r="L462" s="34">
        <v>21.275200000000041</v>
      </c>
      <c r="M462" s="56">
        <v>21.275200000000041</v>
      </c>
      <c r="N462" s="56">
        <v>1.3478216120806952</v>
      </c>
      <c r="O462" s="132">
        <f t="shared" si="8"/>
        <v>1.3478216120806952</v>
      </c>
      <c r="P462" s="56">
        <v>1.7157419354838743</v>
      </c>
      <c r="Q462" s="143">
        <v>1.7157419354838743</v>
      </c>
      <c r="R462" s="143">
        <v>1262.4590000000001</v>
      </c>
      <c r="S462" s="34">
        <v>22.45900000000006</v>
      </c>
      <c r="T462" s="56">
        <v>22.45900000000006</v>
      </c>
      <c r="U462" s="56">
        <v>1.3703094952587005</v>
      </c>
      <c r="V462" s="56">
        <v>1.8112096774193598</v>
      </c>
      <c r="W462" s="33">
        <v>1.8112096774193598</v>
      </c>
    </row>
    <row r="463" spans="1:23" ht="16" x14ac:dyDescent="0.2">
      <c r="A463" s="103" t="s">
        <v>19</v>
      </c>
      <c r="B463" t="s">
        <v>844</v>
      </c>
      <c r="C463" s="24" t="s">
        <v>980</v>
      </c>
      <c r="D463" s="224" t="s">
        <v>824</v>
      </c>
      <c r="E463" s="35" t="s">
        <v>148</v>
      </c>
      <c r="F463" s="103" t="s">
        <v>968</v>
      </c>
      <c r="G463" s="103">
        <v>1</v>
      </c>
      <c r="H463" s="225" t="s">
        <v>494</v>
      </c>
      <c r="I463" s="35" t="s">
        <v>580</v>
      </c>
      <c r="J463" s="35">
        <v>1028</v>
      </c>
      <c r="K463" s="147">
        <v>1006.6458556388822</v>
      </c>
      <c r="L463" s="34">
        <v>-21.354144361117847</v>
      </c>
      <c r="M463" s="56">
        <v>21.354144361117847</v>
      </c>
      <c r="N463" s="56">
        <v>1.3493580512402084</v>
      </c>
      <c r="O463" s="132">
        <f t="shared" si="8"/>
        <v>-1.3493580512402084</v>
      </c>
      <c r="P463" s="56">
        <v>-2.0772513969958997</v>
      </c>
      <c r="Q463" s="143">
        <v>2.0772513969958997</v>
      </c>
      <c r="R463" s="143">
        <v>999.92932057678115</v>
      </c>
      <c r="S463" s="34">
        <v>-28.070679423218849</v>
      </c>
      <c r="T463" s="56">
        <v>28.070679423218849</v>
      </c>
      <c r="U463" s="56">
        <v>1.4634551819701764</v>
      </c>
      <c r="V463" s="56">
        <v>-2.7306108388345183</v>
      </c>
      <c r="W463" s="33">
        <v>2.7306108388345183</v>
      </c>
    </row>
    <row r="464" spans="1:23" ht="15" x14ac:dyDescent="0.2">
      <c r="A464" s="103" t="s">
        <v>19</v>
      </c>
      <c r="B464" t="s">
        <v>894</v>
      </c>
      <c r="C464" s="24" t="s">
        <v>980</v>
      </c>
      <c r="D464" s="224" t="s">
        <v>824</v>
      </c>
      <c r="E464" s="35" t="s">
        <v>148</v>
      </c>
      <c r="F464" s="103" t="s">
        <v>968</v>
      </c>
      <c r="G464" s="103">
        <v>1</v>
      </c>
      <c r="H464" s="35" t="s">
        <v>494</v>
      </c>
      <c r="I464" s="35" t="s">
        <v>580</v>
      </c>
      <c r="J464" s="35">
        <v>1111</v>
      </c>
      <c r="K464">
        <v>1089.592959866741</v>
      </c>
      <c r="L464" s="34">
        <v>-21.407040133258988</v>
      </c>
      <c r="M464" s="56">
        <v>21.407040133258988</v>
      </c>
      <c r="N464" s="56">
        <v>1.3503844920241146</v>
      </c>
      <c r="O464" s="132">
        <f t="shared" si="8"/>
        <v>-1.3503844920241146</v>
      </c>
      <c r="P464" s="56">
        <v>-1.9268262946227712</v>
      </c>
      <c r="Q464" s="143">
        <v>1.9268262946227712</v>
      </c>
      <c r="R464" s="143">
        <v>1074.0000966834873</v>
      </c>
      <c r="S464" s="34">
        <v>-36.9999033165127</v>
      </c>
      <c r="T464" s="56">
        <v>36.9999033165127</v>
      </c>
      <c r="U464" s="56">
        <v>1.5797824916389565</v>
      </c>
      <c r="V464" s="56">
        <v>-3.3303243309192347</v>
      </c>
      <c r="W464" s="33">
        <v>3.3303243309192347</v>
      </c>
    </row>
    <row r="465" spans="1:23" ht="15" x14ac:dyDescent="0.2">
      <c r="A465" s="103" t="s">
        <v>19</v>
      </c>
      <c r="B465" t="s">
        <v>898</v>
      </c>
      <c r="C465" s="103" t="s">
        <v>970</v>
      </c>
      <c r="D465" s="224" t="s">
        <v>824</v>
      </c>
      <c r="E465" s="35" t="s">
        <v>148</v>
      </c>
      <c r="F465" s="103" t="s">
        <v>967</v>
      </c>
      <c r="G465" s="103">
        <v>0</v>
      </c>
      <c r="H465" s="225" t="s">
        <v>494</v>
      </c>
      <c r="I465" s="35" t="s">
        <v>580</v>
      </c>
      <c r="J465" s="35">
        <v>874</v>
      </c>
      <c r="K465">
        <v>895.42830000000015</v>
      </c>
      <c r="L465" s="34">
        <v>21.428300000000149</v>
      </c>
      <c r="M465" s="56">
        <v>21.428300000000149</v>
      </c>
      <c r="N465" s="56">
        <v>1.3507963565700838</v>
      </c>
      <c r="O465" s="132">
        <f t="shared" si="8"/>
        <v>1.3507963565700838</v>
      </c>
      <c r="P465" s="56">
        <v>2.4517505720823971</v>
      </c>
      <c r="Q465" s="143">
        <v>2.4517505720823971</v>
      </c>
      <c r="R465" s="143">
        <v>883.92200000000014</v>
      </c>
      <c r="S465" s="34">
        <v>9.9220000000001392</v>
      </c>
      <c r="T465" s="56">
        <v>9.9220000000001392</v>
      </c>
      <c r="U465" s="56">
        <v>1.03830217219953</v>
      </c>
      <c r="V465" s="56">
        <v>1.1352402745995582</v>
      </c>
      <c r="W465" s="33">
        <v>1.1352402745995582</v>
      </c>
    </row>
    <row r="466" spans="1:23" ht="16" x14ac:dyDescent="0.2">
      <c r="A466" s="103" t="s">
        <v>19</v>
      </c>
      <c r="B466" t="s">
        <v>843</v>
      </c>
      <c r="C466" s="24" t="s">
        <v>980</v>
      </c>
      <c r="D466" s="224" t="s">
        <v>824</v>
      </c>
      <c r="E466" s="35" t="s">
        <v>148</v>
      </c>
      <c r="F466" s="103" t="s">
        <v>968</v>
      </c>
      <c r="G466" s="103">
        <v>1</v>
      </c>
      <c r="H466" s="35" t="s">
        <v>494</v>
      </c>
      <c r="I466" s="35" t="s">
        <v>580</v>
      </c>
      <c r="J466" s="35">
        <v>1126</v>
      </c>
      <c r="K466" s="147">
        <v>1104.314845144386</v>
      </c>
      <c r="L466" s="34">
        <v>-21.685154855613973</v>
      </c>
      <c r="M466" s="56">
        <v>21.685154855613973</v>
      </c>
      <c r="N466" s="56">
        <v>1.3557417482354539</v>
      </c>
      <c r="O466" s="132">
        <f t="shared" si="8"/>
        <v>-1.3557417482354539</v>
      </c>
      <c r="P466" s="56">
        <v>-1.9258574472126087</v>
      </c>
      <c r="Q466" s="143">
        <v>1.9258574472126087</v>
      </c>
      <c r="R466" s="143">
        <v>1111.2794653429034</v>
      </c>
      <c r="S466" s="34">
        <v>-14.72053465709655</v>
      </c>
      <c r="T466" s="56">
        <v>14.72053465709655</v>
      </c>
      <c r="U466" s="56">
        <v>1.1964673123572152</v>
      </c>
      <c r="V466" s="56">
        <v>-1.3073298984988055</v>
      </c>
      <c r="W466" s="33">
        <v>1.3073298984988055</v>
      </c>
    </row>
    <row r="467" spans="1:23" ht="16" x14ac:dyDescent="0.2">
      <c r="A467" s="103" t="s">
        <v>19</v>
      </c>
      <c r="B467" t="s">
        <v>881</v>
      </c>
      <c r="C467" s="103" t="s">
        <v>970</v>
      </c>
      <c r="D467" s="224" t="s">
        <v>824</v>
      </c>
      <c r="E467" s="35" t="s">
        <v>148</v>
      </c>
      <c r="F467" s="103" t="s">
        <v>967</v>
      </c>
      <c r="G467" s="103">
        <v>0</v>
      </c>
      <c r="H467" s="35" t="s">
        <v>374</v>
      </c>
      <c r="I467" s="35" t="s">
        <v>580</v>
      </c>
      <c r="J467" s="35">
        <v>1835</v>
      </c>
      <c r="K467" s="147">
        <v>1812.6915000000004</v>
      </c>
      <c r="L467" s="34">
        <v>-22.30849999999964</v>
      </c>
      <c r="M467" s="56">
        <v>22.30849999999964</v>
      </c>
      <c r="N467" s="56">
        <v>1.3675143257434823</v>
      </c>
      <c r="O467" s="132">
        <f t="shared" si="8"/>
        <v>-1.3675143257434823</v>
      </c>
      <c r="P467" s="56">
        <v>-1.215722070844667</v>
      </c>
      <c r="Q467" s="143">
        <v>1.215722070844667</v>
      </c>
      <c r="R467" s="143">
        <v>1845.2300000000005</v>
      </c>
      <c r="S467" s="34">
        <v>10.230000000000473</v>
      </c>
      <c r="T467" s="56">
        <v>10.230000000000473</v>
      </c>
      <c r="U467" s="56">
        <v>1.0503797562614761</v>
      </c>
      <c r="V467" s="56">
        <v>0.55749318801092496</v>
      </c>
      <c r="W467" s="33">
        <v>0.55749318801092496</v>
      </c>
    </row>
    <row r="468" spans="1:23" ht="16" x14ac:dyDescent="0.2">
      <c r="A468" s="103" t="s">
        <v>19</v>
      </c>
      <c r="B468" t="s">
        <v>872</v>
      </c>
      <c r="C468" s="103" t="s">
        <v>971</v>
      </c>
      <c r="D468" s="224" t="s">
        <v>824</v>
      </c>
      <c r="E468" s="35" t="s">
        <v>148</v>
      </c>
      <c r="F468" s="103" t="s">
        <v>968</v>
      </c>
      <c r="G468" s="103">
        <v>1</v>
      </c>
      <c r="H468" s="35" t="s">
        <v>374</v>
      </c>
      <c r="I468" s="35" t="s">
        <v>580</v>
      </c>
      <c r="J468" s="35">
        <v>1684</v>
      </c>
      <c r="K468" s="147">
        <v>1661.2564193478629</v>
      </c>
      <c r="L468" s="34">
        <v>-22.743580652137098</v>
      </c>
      <c r="M468" s="56">
        <v>22.743580652137098</v>
      </c>
      <c r="N468" s="56">
        <v>1.3755462133634584</v>
      </c>
      <c r="O468" s="132">
        <f t="shared" si="8"/>
        <v>-1.3755462133634584</v>
      </c>
      <c r="P468" s="56">
        <v>-1.3505689223359321</v>
      </c>
      <c r="Q468" s="143">
        <v>1.3505689223359321</v>
      </c>
      <c r="R468" s="143">
        <v>1836.9093792755964</v>
      </c>
      <c r="S468" s="34">
        <v>152.90937927559639</v>
      </c>
      <c r="T468" s="56">
        <v>152.90937927559639</v>
      </c>
      <c r="U468" s="56">
        <v>2.187265086650954</v>
      </c>
      <c r="V468" s="56">
        <v>9.0801294106648687</v>
      </c>
      <c r="W468" s="33">
        <v>9.0801294106648687</v>
      </c>
    </row>
    <row r="469" spans="1:23" ht="16" x14ac:dyDescent="0.2">
      <c r="A469" s="103" t="s">
        <v>19</v>
      </c>
      <c r="B469" t="s">
        <v>875</v>
      </c>
      <c r="C469" s="103" t="s">
        <v>971</v>
      </c>
      <c r="D469" s="224" t="s">
        <v>824</v>
      </c>
      <c r="E469" s="35" t="s">
        <v>148</v>
      </c>
      <c r="F469" s="103" t="s">
        <v>968</v>
      </c>
      <c r="G469" s="103">
        <v>1</v>
      </c>
      <c r="H469" s="35" t="s">
        <v>374</v>
      </c>
      <c r="I469" s="35" t="s">
        <v>580</v>
      </c>
      <c r="J469" s="35">
        <v>1490</v>
      </c>
      <c r="K469" s="147">
        <v>1512.8200339584514</v>
      </c>
      <c r="L469" s="34">
        <v>22.820033958451404</v>
      </c>
      <c r="M469" s="56">
        <v>22.820033958451404</v>
      </c>
      <c r="N469" s="56">
        <v>1.3769423762885533</v>
      </c>
      <c r="O469" s="132">
        <f t="shared" si="8"/>
        <v>1.3769423762885533</v>
      </c>
      <c r="P469" s="56">
        <v>1.531545903251772</v>
      </c>
      <c r="Q469" s="143">
        <v>1.531545903251772</v>
      </c>
      <c r="R469" s="143">
        <v>1688.9858645769036</v>
      </c>
      <c r="S469" s="34">
        <v>198.98586457690362</v>
      </c>
      <c r="T469" s="56">
        <v>198.98586457690362</v>
      </c>
      <c r="U469" s="56">
        <v>2.3009992998979736</v>
      </c>
      <c r="V469" s="56">
        <v>13.354756011872727</v>
      </c>
      <c r="W469" s="33">
        <v>13.354756011872727</v>
      </c>
    </row>
    <row r="470" spans="1:23" ht="16" x14ac:dyDescent="0.2">
      <c r="A470" s="103" t="s">
        <v>19</v>
      </c>
      <c r="B470" t="s">
        <v>874</v>
      </c>
      <c r="C470" s="224" t="s">
        <v>977</v>
      </c>
      <c r="D470" s="224" t="s">
        <v>824</v>
      </c>
      <c r="E470" s="35" t="s">
        <v>148</v>
      </c>
      <c r="F470" s="103" t="s">
        <v>968</v>
      </c>
      <c r="G470" s="103">
        <v>1</v>
      </c>
      <c r="H470" s="35" t="s">
        <v>374</v>
      </c>
      <c r="I470" s="35" t="s">
        <v>580</v>
      </c>
      <c r="J470" s="35">
        <v>1540</v>
      </c>
      <c r="K470" s="147">
        <v>1562.8376746187287</v>
      </c>
      <c r="L470" s="34">
        <v>22.83767461872867</v>
      </c>
      <c r="M470" s="56">
        <v>22.83767461872867</v>
      </c>
      <c r="N470" s="56">
        <v>1.3772638874142105</v>
      </c>
      <c r="O470" s="132">
        <f t="shared" si="8"/>
        <v>1.3772638874142105</v>
      </c>
      <c r="P470" s="56">
        <v>1.4829658843330304</v>
      </c>
      <c r="Q470" s="143">
        <v>1.4829658843330304</v>
      </c>
      <c r="R470" s="143">
        <v>1560.8629627260837</v>
      </c>
      <c r="S470" s="34">
        <v>20.862962726083651</v>
      </c>
      <c r="T470" s="56">
        <v>20.862962726083651</v>
      </c>
      <c r="U470" s="56">
        <v>1.3397090143567438</v>
      </c>
      <c r="V470" s="56">
        <v>1.3547378393560812</v>
      </c>
      <c r="W470" s="33">
        <v>1.3547378393560812</v>
      </c>
    </row>
    <row r="471" spans="1:23" ht="15" x14ac:dyDescent="0.2">
      <c r="A471" s="103" t="s">
        <v>19</v>
      </c>
      <c r="B471" s="28" t="s">
        <v>424</v>
      </c>
      <c r="C471" s="103" t="s">
        <v>975</v>
      </c>
      <c r="D471" s="35" t="s">
        <v>458</v>
      </c>
      <c r="E471" s="208" t="s">
        <v>82</v>
      </c>
      <c r="F471" s="103" t="s">
        <v>967</v>
      </c>
      <c r="G471" s="103">
        <v>0</v>
      </c>
      <c r="H471" s="35" t="s">
        <v>374</v>
      </c>
      <c r="I471" s="35" t="s">
        <v>580</v>
      </c>
      <c r="J471" s="35">
        <v>1800</v>
      </c>
      <c r="K471" s="141">
        <v>1777.0903999999998</v>
      </c>
      <c r="L471" s="34">
        <v>-22.909600000000182</v>
      </c>
      <c r="M471" s="56">
        <v>22.909600000000182</v>
      </c>
      <c r="N471" s="56">
        <v>1.3785723105680627</v>
      </c>
      <c r="O471" s="132">
        <f t="shared" si="8"/>
        <v>-1.3785723105680627</v>
      </c>
      <c r="P471" s="56">
        <v>-1.2727555555555656</v>
      </c>
      <c r="Q471" s="143">
        <v>1.2727555555555656</v>
      </c>
      <c r="R471" s="143">
        <v>1822.9349999999999</v>
      </c>
      <c r="S471" s="34">
        <v>22.934999999999945</v>
      </c>
      <c r="T471" s="56">
        <v>22.934999999999945</v>
      </c>
      <c r="U471" s="56">
        <v>1.3790334318179664</v>
      </c>
      <c r="V471" s="56">
        <v>1.2741666666666636</v>
      </c>
      <c r="W471" s="33">
        <v>1.2741666666666636</v>
      </c>
    </row>
    <row r="472" spans="1:23" ht="16" x14ac:dyDescent="0.2">
      <c r="A472" s="103" t="s">
        <v>19</v>
      </c>
      <c r="B472" t="s">
        <v>875</v>
      </c>
      <c r="C472" s="103" t="s">
        <v>979</v>
      </c>
      <c r="D472" s="224" t="s">
        <v>824</v>
      </c>
      <c r="E472" s="35" t="s">
        <v>148</v>
      </c>
      <c r="F472" s="103" t="s">
        <v>967</v>
      </c>
      <c r="G472" s="103">
        <v>0</v>
      </c>
      <c r="H472" s="35" t="s">
        <v>374</v>
      </c>
      <c r="I472" s="35" t="s">
        <v>580</v>
      </c>
      <c r="J472" s="35">
        <v>1490</v>
      </c>
      <c r="K472" s="147">
        <v>1513.0434782608695</v>
      </c>
      <c r="L472" s="34">
        <v>23.043478260869506</v>
      </c>
      <c r="M472" s="56">
        <v>23.043478260869506</v>
      </c>
      <c r="N472" s="56">
        <v>1.3809972952871044</v>
      </c>
      <c r="O472" s="132">
        <f t="shared" si="8"/>
        <v>1.3809972952871044</v>
      </c>
      <c r="P472" s="56">
        <v>1.5465421651590272</v>
      </c>
      <c r="Q472" s="143">
        <v>1.5465421651590272</v>
      </c>
      <c r="R472" s="143">
        <v>1491.6666666666667</v>
      </c>
      <c r="S472" s="34">
        <v>1.6666666666667425</v>
      </c>
      <c r="T472" s="56">
        <v>1.6666666666667425</v>
      </c>
      <c r="U472" s="56">
        <v>0.42596873227229348</v>
      </c>
      <c r="V472" s="56">
        <v>0.11185682326622433</v>
      </c>
      <c r="W472" s="33">
        <v>0.11185682326622433</v>
      </c>
    </row>
    <row r="473" spans="1:23" ht="15" x14ac:dyDescent="0.2">
      <c r="A473" s="103" t="s">
        <v>19</v>
      </c>
      <c r="B473" s="28" t="s">
        <v>664</v>
      </c>
      <c r="C473" s="224" t="s">
        <v>974</v>
      </c>
      <c r="D473" s="208" t="s">
        <v>403</v>
      </c>
      <c r="E473" s="35" t="s">
        <v>82</v>
      </c>
      <c r="F473" s="103" t="s">
        <v>967</v>
      </c>
      <c r="G473" s="103">
        <v>0</v>
      </c>
      <c r="H473" s="35" t="s">
        <v>374</v>
      </c>
      <c r="I473" s="35" t="s">
        <v>580</v>
      </c>
      <c r="J473" s="35">
        <v>1730.8</v>
      </c>
      <c r="K473" s="141">
        <v>1753.883726</v>
      </c>
      <c r="L473" s="34">
        <v>23.08372600000007</v>
      </c>
      <c r="M473" s="56">
        <v>23.08372600000007</v>
      </c>
      <c r="N473" s="56">
        <v>1.3817236776048281</v>
      </c>
      <c r="O473" s="132">
        <f t="shared" si="8"/>
        <v>1.3817236776048281</v>
      </c>
      <c r="P473" s="56">
        <v>1.3337026808412336</v>
      </c>
      <c r="Q473" s="143">
        <v>1.3337026808412336</v>
      </c>
      <c r="R473" s="143">
        <v>1724.6552340000001</v>
      </c>
      <c r="S473" s="34">
        <v>-6.1447659999998905</v>
      </c>
      <c r="T473" s="56">
        <v>6.1447659999998905</v>
      </c>
      <c r="U473" s="56">
        <v>0.85398800967380972</v>
      </c>
      <c r="V473" s="56">
        <v>-0.35502461289576442</v>
      </c>
      <c r="W473" s="33">
        <v>0.35502461289576442</v>
      </c>
    </row>
    <row r="474" spans="1:23" ht="16" x14ac:dyDescent="0.2">
      <c r="A474" s="103" t="s">
        <v>19</v>
      </c>
      <c r="B474" t="s">
        <v>844</v>
      </c>
      <c r="C474" s="103" t="s">
        <v>970</v>
      </c>
      <c r="D474" s="224" t="s">
        <v>824</v>
      </c>
      <c r="E474" s="35" t="s">
        <v>148</v>
      </c>
      <c r="F474" s="103" t="s">
        <v>967</v>
      </c>
      <c r="G474" s="103">
        <v>0</v>
      </c>
      <c r="H474" s="225" t="s">
        <v>494</v>
      </c>
      <c r="I474" s="35" t="s">
        <v>580</v>
      </c>
      <c r="J474" s="35">
        <v>1028</v>
      </c>
      <c r="K474" s="147">
        <v>1004.6263</v>
      </c>
      <c r="L474" s="34">
        <v>-23.373699999999985</v>
      </c>
      <c r="M474" s="56">
        <v>23.373699999999985</v>
      </c>
      <c r="N474" s="56">
        <v>1.3869214613805207</v>
      </c>
      <c r="O474" s="132">
        <f t="shared" si="8"/>
        <v>-1.3869214613805207</v>
      </c>
      <c r="P474" s="56">
        <v>-2.2737062256809324</v>
      </c>
      <c r="Q474" s="143">
        <v>2.2737062256809324</v>
      </c>
      <c r="R474" s="143">
        <v>995.70200000000011</v>
      </c>
      <c r="S474" s="34">
        <v>-32.297999999999888</v>
      </c>
      <c r="T474" s="56">
        <v>32.297999999999888</v>
      </c>
      <c r="U474" s="56">
        <v>1.5224181489703243</v>
      </c>
      <c r="V474" s="56">
        <v>-3.1418287937743083</v>
      </c>
      <c r="W474" s="33">
        <v>3.1418287937743083</v>
      </c>
    </row>
    <row r="475" spans="1:23" ht="16" x14ac:dyDescent="0.2">
      <c r="A475" s="103" t="s">
        <v>19</v>
      </c>
      <c r="B475" t="s">
        <v>841</v>
      </c>
      <c r="C475" s="103" t="s">
        <v>975</v>
      </c>
      <c r="D475" s="224" t="s">
        <v>824</v>
      </c>
      <c r="E475" s="35" t="s">
        <v>148</v>
      </c>
      <c r="F475" s="103" t="s">
        <v>967</v>
      </c>
      <c r="G475" s="103">
        <v>0</v>
      </c>
      <c r="H475" s="35" t="s">
        <v>374</v>
      </c>
      <c r="I475" s="35" t="s">
        <v>580</v>
      </c>
      <c r="J475" s="35">
        <v>1325</v>
      </c>
      <c r="K475" s="147">
        <v>1348.6309999999999</v>
      </c>
      <c r="L475" s="34">
        <v>23.630999999999858</v>
      </c>
      <c r="M475" s="56">
        <v>23.630999999999858</v>
      </c>
      <c r="N475" s="56">
        <v>1.3914820442250435</v>
      </c>
      <c r="O475" s="132">
        <f t="shared" si="8"/>
        <v>1.3914820442250435</v>
      </c>
      <c r="P475" s="56">
        <v>1.7834716981131968</v>
      </c>
      <c r="Q475" s="143">
        <v>1.7834716981131968</v>
      </c>
      <c r="R475" s="143">
        <v>1362.5440000000001</v>
      </c>
      <c r="S475" s="34">
        <v>37.544000000000096</v>
      </c>
      <c r="T475" s="56">
        <v>37.544000000000096</v>
      </c>
      <c r="U475" s="56">
        <v>1.5859567826542693</v>
      </c>
      <c r="V475" s="56">
        <v>2.8335094339622713</v>
      </c>
      <c r="W475" s="33">
        <v>2.8335094339622713</v>
      </c>
    </row>
    <row r="476" spans="1:23" ht="16" x14ac:dyDescent="0.2">
      <c r="A476" s="103" t="s">
        <v>19</v>
      </c>
      <c r="B476" t="s">
        <v>871</v>
      </c>
      <c r="C476" s="24" t="s">
        <v>980</v>
      </c>
      <c r="D476" s="224" t="s">
        <v>824</v>
      </c>
      <c r="E476" s="35" t="s">
        <v>148</v>
      </c>
      <c r="F476" s="103" t="s">
        <v>968</v>
      </c>
      <c r="G476" s="103">
        <v>1</v>
      </c>
      <c r="H476" s="35" t="s">
        <v>374</v>
      </c>
      <c r="I476" s="35" t="s">
        <v>580</v>
      </c>
      <c r="J476" s="35">
        <v>1575</v>
      </c>
      <c r="K476" s="147">
        <v>1551.3269289152549</v>
      </c>
      <c r="L476" s="34">
        <v>-23.673071084745061</v>
      </c>
      <c r="M476" s="56">
        <v>23.673071084745061</v>
      </c>
      <c r="N476" s="56">
        <v>1.3922232099740406</v>
      </c>
      <c r="O476" s="132">
        <f t="shared" ref="O476:O539" si="9">SIGN(L476)*N476</f>
        <v>-1.3922232099740406</v>
      </c>
      <c r="P476" s="56">
        <v>-1.5030521323647659</v>
      </c>
      <c r="Q476" s="143">
        <v>1.5030521323647659</v>
      </c>
      <c r="R476" s="143">
        <v>1555.2914198825954</v>
      </c>
      <c r="S476" s="34">
        <v>-19.708580117404608</v>
      </c>
      <c r="T476" s="56">
        <v>19.708580117404608</v>
      </c>
      <c r="U476" s="56">
        <v>1.3161503225382698</v>
      </c>
      <c r="V476" s="56">
        <v>-1.2513384201526736</v>
      </c>
      <c r="W476" s="33">
        <v>1.2513384201526736</v>
      </c>
    </row>
    <row r="477" spans="1:23" ht="16" x14ac:dyDescent="0.2">
      <c r="A477" s="103" t="s">
        <v>19</v>
      </c>
      <c r="B477" t="s">
        <v>868</v>
      </c>
      <c r="C477" s="224" t="s">
        <v>978</v>
      </c>
      <c r="D477" s="224" t="s">
        <v>824</v>
      </c>
      <c r="E477" s="35" t="s">
        <v>148</v>
      </c>
      <c r="F477" s="103" t="s">
        <v>968</v>
      </c>
      <c r="G477" s="103">
        <v>1</v>
      </c>
      <c r="H477" s="35" t="s">
        <v>374</v>
      </c>
      <c r="I477" s="35" t="s">
        <v>580</v>
      </c>
      <c r="J477" s="35">
        <v>1530</v>
      </c>
      <c r="K477" s="147">
        <v>1553.703691823559</v>
      </c>
      <c r="L477" s="34">
        <v>23.703691823558984</v>
      </c>
      <c r="M477" s="56">
        <v>23.703691823558984</v>
      </c>
      <c r="N477" s="56">
        <v>1.3927618609029462</v>
      </c>
      <c r="O477" s="132">
        <f t="shared" si="9"/>
        <v>1.3927618609029462</v>
      </c>
      <c r="P477" s="56">
        <v>1.5492609035005871</v>
      </c>
      <c r="Q477" s="143">
        <v>1.5492609035005871</v>
      </c>
      <c r="R477" s="143">
        <v>1573.164159116835</v>
      </c>
      <c r="S477" s="34">
        <v>43.164159116834981</v>
      </c>
      <c r="T477" s="56">
        <v>43.164159116834981</v>
      </c>
      <c r="U477" s="56">
        <v>1.6450699659085508</v>
      </c>
      <c r="V477" s="56">
        <v>2.8211868703813714</v>
      </c>
      <c r="W477" s="33">
        <v>2.8211868703813714</v>
      </c>
    </row>
    <row r="478" spans="1:23" ht="16" x14ac:dyDescent="0.2">
      <c r="A478" s="103" t="s">
        <v>19</v>
      </c>
      <c r="B478" t="s">
        <v>882</v>
      </c>
      <c r="C478" s="103" t="s">
        <v>971</v>
      </c>
      <c r="D478" s="224" t="s">
        <v>824</v>
      </c>
      <c r="E478" s="35" t="s">
        <v>148</v>
      </c>
      <c r="F478" s="103" t="s">
        <v>968</v>
      </c>
      <c r="G478" s="103">
        <v>1</v>
      </c>
      <c r="H478" s="35" t="s">
        <v>374</v>
      </c>
      <c r="I478" s="35" t="s">
        <v>580</v>
      </c>
      <c r="J478" s="35">
        <v>1643</v>
      </c>
      <c r="K478" s="147">
        <v>1666.8073264665009</v>
      </c>
      <c r="L478" s="34">
        <v>23.807326466500854</v>
      </c>
      <c r="M478" s="56">
        <v>23.807326466500854</v>
      </c>
      <c r="N478" s="56">
        <v>1.3945799620388091</v>
      </c>
      <c r="O478" s="132">
        <f t="shared" si="9"/>
        <v>1.3945799620388091</v>
      </c>
      <c r="P478" s="56">
        <v>1.4490156096470392</v>
      </c>
      <c r="Q478" s="143">
        <v>1.4490156096470392</v>
      </c>
      <c r="R478" s="143">
        <v>1882.8302004901821</v>
      </c>
      <c r="S478" s="34">
        <v>239.83020049018205</v>
      </c>
      <c r="T478" s="56">
        <v>239.83020049018205</v>
      </c>
      <c r="U478" s="56">
        <v>2.3817109472196103</v>
      </c>
      <c r="V478" s="56">
        <v>14.597090717600855</v>
      </c>
      <c r="W478" s="33">
        <v>14.597090717600855</v>
      </c>
    </row>
    <row r="479" spans="1:23" ht="16" x14ac:dyDescent="0.2">
      <c r="A479" s="103" t="s">
        <v>19</v>
      </c>
      <c r="B479" t="s">
        <v>848</v>
      </c>
      <c r="C479" s="24" t="s">
        <v>980</v>
      </c>
      <c r="D479" s="224" t="s">
        <v>824</v>
      </c>
      <c r="E479" s="35" t="s">
        <v>148</v>
      </c>
      <c r="F479" s="103" t="s">
        <v>968</v>
      </c>
      <c r="G479" s="103">
        <v>1</v>
      </c>
      <c r="H479" s="35" t="s">
        <v>374</v>
      </c>
      <c r="I479" s="35" t="s">
        <v>580</v>
      </c>
      <c r="J479" s="35">
        <v>1244</v>
      </c>
      <c r="K479" s="147">
        <v>1267.8277753679693</v>
      </c>
      <c r="L479" s="34">
        <v>23.827775367969252</v>
      </c>
      <c r="M479" s="56">
        <v>23.827775367969252</v>
      </c>
      <c r="N479" s="56">
        <v>1.3949378074040015</v>
      </c>
      <c r="O479" s="132">
        <f t="shared" si="9"/>
        <v>1.3949378074040015</v>
      </c>
      <c r="P479" s="56">
        <v>1.9154160263640878</v>
      </c>
      <c r="Q479" s="143">
        <v>1.9154160263640878</v>
      </c>
      <c r="R479" s="143">
        <v>1252.4458782582117</v>
      </c>
      <c r="S479" s="34">
        <v>8.4458782582116783</v>
      </c>
      <c r="T479" s="56">
        <v>8.4458782582116783</v>
      </c>
      <c r="U479" s="56">
        <v>0.97524234393731479</v>
      </c>
      <c r="V479" s="56">
        <v>0.6789291204350224</v>
      </c>
      <c r="W479" s="33">
        <v>0.6789291204350224</v>
      </c>
    </row>
    <row r="480" spans="1:23" ht="16" x14ac:dyDescent="0.2">
      <c r="A480" s="103" t="s">
        <v>19</v>
      </c>
      <c r="B480" t="s">
        <v>866</v>
      </c>
      <c r="C480" s="103" t="s">
        <v>970</v>
      </c>
      <c r="D480" s="224" t="s">
        <v>824</v>
      </c>
      <c r="E480" s="35" t="s">
        <v>148</v>
      </c>
      <c r="F480" s="103" t="s">
        <v>967</v>
      </c>
      <c r="G480" s="103">
        <v>0</v>
      </c>
      <c r="H480" s="35" t="s">
        <v>374</v>
      </c>
      <c r="I480" s="35" t="s">
        <v>580</v>
      </c>
      <c r="J480" s="35">
        <v>1565</v>
      </c>
      <c r="K480" s="147">
        <v>1588.8355999999999</v>
      </c>
      <c r="L480" s="34">
        <v>23.835599999999886</v>
      </c>
      <c r="M480" s="56">
        <v>23.835599999999886</v>
      </c>
      <c r="N480" s="56">
        <v>1.3950746565213548</v>
      </c>
      <c r="O480" s="132">
        <f t="shared" si="9"/>
        <v>1.3950746565213548</v>
      </c>
      <c r="P480" s="56">
        <v>1.5230415335463185</v>
      </c>
      <c r="Q480" s="143">
        <v>1.5230415335463185</v>
      </c>
      <c r="R480" s="143">
        <v>1604.9030000000002</v>
      </c>
      <c r="S480" s="34">
        <v>39.903000000000247</v>
      </c>
      <c r="T480" s="56">
        <v>39.903000000000247</v>
      </c>
      <c r="U480" s="56">
        <v>1.6117551621800836</v>
      </c>
      <c r="V480" s="56">
        <v>2.5497124600639136</v>
      </c>
      <c r="W480" s="33">
        <v>2.5497124600639136</v>
      </c>
    </row>
    <row r="481" spans="1:23" ht="15" x14ac:dyDescent="0.2">
      <c r="A481" s="103" t="s">
        <v>19</v>
      </c>
      <c r="B481" s="28" t="s">
        <v>423</v>
      </c>
      <c r="C481" s="103" t="s">
        <v>970</v>
      </c>
      <c r="D481" s="35" t="s">
        <v>458</v>
      </c>
      <c r="E481" s="208" t="s">
        <v>82</v>
      </c>
      <c r="F481" s="103" t="s">
        <v>967</v>
      </c>
      <c r="G481" s="103">
        <v>0</v>
      </c>
      <c r="H481" s="35" t="s">
        <v>494</v>
      </c>
      <c r="I481" s="35" t="s">
        <v>580</v>
      </c>
      <c r="J481" s="35">
        <v>1150</v>
      </c>
      <c r="K481" s="141">
        <v>1173.8832000000002</v>
      </c>
      <c r="L481" s="34">
        <v>23.883200000000215</v>
      </c>
      <c r="M481" s="56">
        <v>23.883200000000215</v>
      </c>
      <c r="N481" s="56">
        <v>1.395906230238128</v>
      </c>
      <c r="O481" s="132">
        <f t="shared" si="9"/>
        <v>1.395906230238128</v>
      </c>
      <c r="P481" s="56">
        <v>2.0768000000000186</v>
      </c>
      <c r="Q481" s="143">
        <v>2.0768000000000186</v>
      </c>
      <c r="R481" s="143">
        <v>1146.605</v>
      </c>
      <c r="S481" s="34">
        <v>-3.3949999999999818</v>
      </c>
      <c r="T481" s="56">
        <v>3.3949999999999818</v>
      </c>
      <c r="U481" s="56">
        <v>0.64295887940978891</v>
      </c>
      <c r="V481" s="56">
        <v>-0.29521739130434627</v>
      </c>
      <c r="W481" s="33">
        <v>0.29521739130434627</v>
      </c>
    </row>
    <row r="482" spans="1:23" ht="16" x14ac:dyDescent="0.2">
      <c r="A482" s="103" t="s">
        <v>19</v>
      </c>
      <c r="B482" t="s">
        <v>866</v>
      </c>
      <c r="C482" s="24" t="s">
        <v>980</v>
      </c>
      <c r="D482" s="224" t="s">
        <v>824</v>
      </c>
      <c r="E482" s="35" t="s">
        <v>148</v>
      </c>
      <c r="F482" s="103" t="s">
        <v>968</v>
      </c>
      <c r="G482" s="103">
        <v>1</v>
      </c>
      <c r="H482" s="35" t="s">
        <v>374</v>
      </c>
      <c r="I482" s="35" t="s">
        <v>580</v>
      </c>
      <c r="J482" s="35">
        <v>1565</v>
      </c>
      <c r="K482" s="147">
        <v>1541.0816536214795</v>
      </c>
      <c r="L482" s="34">
        <v>-23.918346378520482</v>
      </c>
      <c r="M482" s="56">
        <v>23.918346378520482</v>
      </c>
      <c r="N482" s="56">
        <v>1.3965192184641679</v>
      </c>
      <c r="O482" s="132">
        <f t="shared" si="9"/>
        <v>-1.3965192184641679</v>
      </c>
      <c r="P482" s="56">
        <v>-1.5283288420779861</v>
      </c>
      <c r="Q482" s="143">
        <v>1.5283288420779861</v>
      </c>
      <c r="R482" s="143">
        <v>1516.3896204691716</v>
      </c>
      <c r="S482" s="34">
        <v>-48.610379530828368</v>
      </c>
      <c r="T482" s="56">
        <v>48.610379530828368</v>
      </c>
      <c r="U482" s="56">
        <v>1.6955725495016962</v>
      </c>
      <c r="V482" s="56">
        <v>-3.1060945387110777</v>
      </c>
      <c r="W482" s="33">
        <v>3.1060945387110777</v>
      </c>
    </row>
    <row r="483" spans="1:23" ht="16" x14ac:dyDescent="0.2">
      <c r="A483" s="103" t="s">
        <v>19</v>
      </c>
      <c r="B483" t="s">
        <v>864</v>
      </c>
      <c r="C483" s="103" t="s">
        <v>975</v>
      </c>
      <c r="D483" s="224" t="s">
        <v>824</v>
      </c>
      <c r="E483" s="35" t="s">
        <v>148</v>
      </c>
      <c r="F483" s="103" t="s">
        <v>967</v>
      </c>
      <c r="G483" s="103">
        <v>0</v>
      </c>
      <c r="H483" s="35" t="s">
        <v>374</v>
      </c>
      <c r="I483" s="35" t="s">
        <v>580</v>
      </c>
      <c r="J483" s="35">
        <v>1460</v>
      </c>
      <c r="K483" s="147">
        <v>1435.9867999999999</v>
      </c>
      <c r="L483" s="34">
        <v>-24.013200000000097</v>
      </c>
      <c r="M483" s="56">
        <v>24.013200000000097</v>
      </c>
      <c r="N483" s="56">
        <v>1.3981692556426084</v>
      </c>
      <c r="O483" s="132">
        <f t="shared" si="9"/>
        <v>-1.3981692556426084</v>
      </c>
      <c r="P483" s="56">
        <v>-1.6447397260274039</v>
      </c>
      <c r="Q483" s="143">
        <v>1.6447397260274039</v>
      </c>
      <c r="R483" s="143">
        <v>1446.6154000000001</v>
      </c>
      <c r="S483" s="34">
        <v>-13.384599999999864</v>
      </c>
      <c r="T483" s="56">
        <v>13.384599999999864</v>
      </c>
      <c r="U483" s="56">
        <v>1.1578977897433329</v>
      </c>
      <c r="V483" s="56">
        <v>-0.91675342465752496</v>
      </c>
      <c r="W483" s="33">
        <v>0.91675342465752496</v>
      </c>
    </row>
    <row r="484" spans="1:23" ht="16" x14ac:dyDescent="0.2">
      <c r="A484" s="103" t="s">
        <v>19</v>
      </c>
      <c r="B484" t="s">
        <v>864</v>
      </c>
      <c r="C484" s="103" t="s">
        <v>970</v>
      </c>
      <c r="D484" s="224" t="s">
        <v>824</v>
      </c>
      <c r="E484" s="35" t="s">
        <v>148</v>
      </c>
      <c r="F484" s="103" t="s">
        <v>967</v>
      </c>
      <c r="G484" s="103">
        <v>0</v>
      </c>
      <c r="H484" s="35" t="s">
        <v>374</v>
      </c>
      <c r="I484" s="35" t="s">
        <v>580</v>
      </c>
      <c r="J484" s="35">
        <v>1460</v>
      </c>
      <c r="K484" s="147">
        <v>1435.9584</v>
      </c>
      <c r="L484" s="34">
        <v>-24.041600000000017</v>
      </c>
      <c r="M484" s="56">
        <v>24.041600000000017</v>
      </c>
      <c r="N484" s="56">
        <v>1.3986620740979625</v>
      </c>
      <c r="O484" s="132">
        <f t="shared" si="9"/>
        <v>-1.3986620740979625</v>
      </c>
      <c r="P484" s="56">
        <v>-1.6466849315068504</v>
      </c>
      <c r="Q484" s="143">
        <v>1.6466849315068504</v>
      </c>
      <c r="R484" s="143">
        <v>1459.5889999999999</v>
      </c>
      <c r="S484" s="34">
        <v>-0.41100000000005821</v>
      </c>
      <c r="T484" s="56">
        <v>0.41100000000005821</v>
      </c>
      <c r="U484" s="56">
        <v>0.14952701375436575</v>
      </c>
      <c r="V484" s="56">
        <v>-2.8150684931510836E-2</v>
      </c>
      <c r="W484" s="33">
        <v>2.8150684931510836E-2</v>
      </c>
    </row>
    <row r="485" spans="1:23" ht="15" x14ac:dyDescent="0.2">
      <c r="A485" s="103" t="s">
        <v>19</v>
      </c>
      <c r="B485" s="28" t="s">
        <v>289</v>
      </c>
      <c r="C485" s="24" t="s">
        <v>980</v>
      </c>
      <c r="D485" s="208" t="s">
        <v>403</v>
      </c>
      <c r="E485" s="35" t="s">
        <v>148</v>
      </c>
      <c r="F485" s="103" t="s">
        <v>968</v>
      </c>
      <c r="G485" s="103">
        <v>1</v>
      </c>
      <c r="H485" s="35" t="s">
        <v>494</v>
      </c>
      <c r="I485" s="35" t="s">
        <v>580</v>
      </c>
      <c r="J485" s="35">
        <v>899.05</v>
      </c>
      <c r="K485" s="141">
        <v>923.10500451765211</v>
      </c>
      <c r="L485" s="34">
        <v>24.055004517652151</v>
      </c>
      <c r="M485" s="56">
        <v>24.055004517652151</v>
      </c>
      <c r="N485" s="56">
        <v>1.3988944853858682</v>
      </c>
      <c r="O485" s="132">
        <f t="shared" si="9"/>
        <v>1.3988944853858682</v>
      </c>
      <c r="P485" s="56">
        <v>2.6756025268508039</v>
      </c>
      <c r="Q485" s="143">
        <v>2.6756025268508039</v>
      </c>
      <c r="R485" s="143">
        <v>909.9875873016025</v>
      </c>
      <c r="S485" s="34">
        <v>10.937587301602548</v>
      </c>
      <c r="T485" s="56">
        <v>10.937587301602548</v>
      </c>
      <c r="U485" s="56">
        <v>1.0769165606726916</v>
      </c>
      <c r="V485" s="56">
        <v>1.2165716369059061</v>
      </c>
      <c r="W485" s="33">
        <v>1.2165716369059061</v>
      </c>
    </row>
    <row r="486" spans="1:23" ht="15" x14ac:dyDescent="0.2">
      <c r="A486" s="103" t="s">
        <v>19</v>
      </c>
      <c r="B486" t="s">
        <v>838</v>
      </c>
      <c r="C486" s="103" t="s">
        <v>979</v>
      </c>
      <c r="D486" s="224" t="s">
        <v>824</v>
      </c>
      <c r="E486" s="35" t="s">
        <v>148</v>
      </c>
      <c r="F486" s="103" t="s">
        <v>967</v>
      </c>
      <c r="G486" s="103">
        <v>0</v>
      </c>
      <c r="H486" s="35" t="s">
        <v>374</v>
      </c>
      <c r="I486" s="35" t="s">
        <v>580</v>
      </c>
      <c r="J486" s="35">
        <v>2285</v>
      </c>
      <c r="K486">
        <v>2260.869565217391</v>
      </c>
      <c r="L486" s="34">
        <v>-24.130434782608972</v>
      </c>
      <c r="M486" s="56">
        <v>24.130434782608972</v>
      </c>
      <c r="N486" s="56">
        <v>1.4002000024029408</v>
      </c>
      <c r="O486" s="132">
        <f t="shared" si="9"/>
        <v>-1.4002000024029408</v>
      </c>
      <c r="P486" s="56">
        <v>-1.0560365331557537</v>
      </c>
      <c r="Q486" s="143">
        <v>1.0560365331557537</v>
      </c>
      <c r="R486" s="143">
        <v>2291.666666666667</v>
      </c>
      <c r="S486" s="34">
        <v>6.6666666666669698</v>
      </c>
      <c r="T486" s="56">
        <v>6.6666666666669698</v>
      </c>
      <c r="U486" s="56">
        <v>0.88460658129794767</v>
      </c>
      <c r="V486" s="56">
        <v>0.29175784099198993</v>
      </c>
      <c r="W486" s="33">
        <v>0.29175784099198993</v>
      </c>
    </row>
    <row r="487" spans="1:23" ht="16" x14ac:dyDescent="0.2">
      <c r="A487" s="103" t="s">
        <v>19</v>
      </c>
      <c r="B487" t="s">
        <v>846</v>
      </c>
      <c r="C487" s="24" t="s">
        <v>980</v>
      </c>
      <c r="D487" s="224" t="s">
        <v>824</v>
      </c>
      <c r="E487" s="35" t="s">
        <v>148</v>
      </c>
      <c r="F487" s="103" t="s">
        <v>968</v>
      </c>
      <c r="G487" s="103">
        <v>1</v>
      </c>
      <c r="H487" s="35" t="s">
        <v>374</v>
      </c>
      <c r="I487" s="35" t="s">
        <v>580</v>
      </c>
      <c r="J487" s="35">
        <v>1312</v>
      </c>
      <c r="K487" s="147">
        <v>1287.8353711068967</v>
      </c>
      <c r="L487" s="34">
        <v>-24.164628893103327</v>
      </c>
      <c r="M487" s="56">
        <v>24.164628893103327</v>
      </c>
      <c r="N487" s="56">
        <v>1.4007905301686514</v>
      </c>
      <c r="O487" s="132">
        <f t="shared" si="9"/>
        <v>-1.4007905301686514</v>
      </c>
      <c r="P487" s="56">
        <v>-1.8418162266084852</v>
      </c>
      <c r="Q487" s="143">
        <v>1.8418162266084852</v>
      </c>
      <c r="R487" s="143">
        <v>1276.1748900578859</v>
      </c>
      <c r="S487" s="34">
        <v>-35.825109942114068</v>
      </c>
      <c r="T487" s="56">
        <v>35.825109942114068</v>
      </c>
      <c r="U487" s="56">
        <v>1.5661440521116052</v>
      </c>
      <c r="V487" s="56">
        <v>-2.730572404124548</v>
      </c>
      <c r="W487" s="33">
        <v>2.730572404124548</v>
      </c>
    </row>
    <row r="488" spans="1:23" ht="15" x14ac:dyDescent="0.2">
      <c r="A488" s="103" t="s">
        <v>19</v>
      </c>
      <c r="B488" t="s">
        <v>886</v>
      </c>
      <c r="C488" s="224" t="s">
        <v>977</v>
      </c>
      <c r="D488" s="224" t="s">
        <v>824</v>
      </c>
      <c r="E488" s="35" t="s">
        <v>148</v>
      </c>
      <c r="F488" s="103" t="s">
        <v>968</v>
      </c>
      <c r="G488" s="103">
        <v>1</v>
      </c>
      <c r="H488" s="35" t="s">
        <v>374</v>
      </c>
      <c r="I488" s="35" t="s">
        <v>580</v>
      </c>
      <c r="J488" s="35">
        <v>2100</v>
      </c>
      <c r="K488">
        <v>2124.2888741272041</v>
      </c>
      <c r="L488" s="34">
        <v>24.288874127204053</v>
      </c>
      <c r="M488" s="56">
        <v>24.288874127204053</v>
      </c>
      <c r="N488" s="56">
        <v>1.4029294947763218</v>
      </c>
      <c r="O488" s="132">
        <f t="shared" si="9"/>
        <v>1.4029294947763218</v>
      </c>
      <c r="P488" s="56">
        <v>1.1566130536763835</v>
      </c>
      <c r="Q488" s="143">
        <v>1.1566130536763835</v>
      </c>
      <c r="R488" s="143">
        <v>2103.3895930957046</v>
      </c>
      <c r="S488" s="34">
        <v>3.3895930957046403</v>
      </c>
      <c r="T488" s="56">
        <v>3.3895930957046403</v>
      </c>
      <c r="U488" s="56">
        <v>0.64242426409622999</v>
      </c>
      <c r="V488" s="56">
        <v>0.1614091950335543</v>
      </c>
      <c r="W488" s="33">
        <v>0.1614091950335543</v>
      </c>
    </row>
    <row r="489" spans="1:23" ht="15" x14ac:dyDescent="0.2">
      <c r="A489" s="103" t="s">
        <v>19</v>
      </c>
      <c r="B489" t="s">
        <v>899</v>
      </c>
      <c r="C489" s="103" t="s">
        <v>971</v>
      </c>
      <c r="D489" s="224" t="s">
        <v>824</v>
      </c>
      <c r="E489" s="35" t="s">
        <v>148</v>
      </c>
      <c r="F489" s="103" t="s">
        <v>968</v>
      </c>
      <c r="G489" s="103">
        <v>1</v>
      </c>
      <c r="H489" s="35" t="s">
        <v>374</v>
      </c>
      <c r="I489" s="35" t="s">
        <v>580</v>
      </c>
      <c r="J489" s="35">
        <v>2060</v>
      </c>
      <c r="K489">
        <v>2035.3021124035529</v>
      </c>
      <c r="L489" s="34">
        <v>-24.697887596447117</v>
      </c>
      <c r="M489" s="56">
        <v>24.697887596447117</v>
      </c>
      <c r="N489" s="56">
        <v>1.4098974251635297</v>
      </c>
      <c r="O489" s="132">
        <f t="shared" si="9"/>
        <v>-1.4098974251635297</v>
      </c>
      <c r="P489" s="56">
        <v>-1.1989265823518018</v>
      </c>
      <c r="Q489" s="143">
        <v>1.1989265823518018</v>
      </c>
      <c r="R489" s="143">
        <v>2256.6358827961403</v>
      </c>
      <c r="S489" s="34">
        <v>196.63588279614032</v>
      </c>
      <c r="T489" s="56">
        <v>196.63588279614032</v>
      </c>
      <c r="U489" s="56">
        <v>2.2958657979721764</v>
      </c>
      <c r="V489" s="56">
        <v>9.5454312036961326</v>
      </c>
      <c r="W489" s="33">
        <v>9.5454312036961326</v>
      </c>
    </row>
    <row r="490" spans="1:23" ht="16" x14ac:dyDescent="0.2">
      <c r="A490" s="103" t="s">
        <v>19</v>
      </c>
      <c r="B490" t="s">
        <v>871</v>
      </c>
      <c r="C490" s="103" t="s">
        <v>970</v>
      </c>
      <c r="D490" s="224" t="s">
        <v>824</v>
      </c>
      <c r="E490" s="35" t="s">
        <v>148</v>
      </c>
      <c r="F490" s="103" t="s">
        <v>967</v>
      </c>
      <c r="G490" s="103">
        <v>0</v>
      </c>
      <c r="H490" s="35" t="s">
        <v>374</v>
      </c>
      <c r="I490" s="35" t="s">
        <v>580</v>
      </c>
      <c r="J490" s="35">
        <v>1575</v>
      </c>
      <c r="K490" s="147">
        <v>1599.7554</v>
      </c>
      <c r="L490" s="34">
        <v>24.755400000000009</v>
      </c>
      <c r="M490" s="56">
        <v>24.755400000000009</v>
      </c>
      <c r="N490" s="56">
        <v>1.410868299176558</v>
      </c>
      <c r="O490" s="132">
        <f t="shared" si="9"/>
        <v>1.410868299176558</v>
      </c>
      <c r="P490" s="56">
        <v>1.571771428571429</v>
      </c>
      <c r="Q490" s="143">
        <v>1.571771428571429</v>
      </c>
      <c r="R490" s="143">
        <v>1649.6150000000002</v>
      </c>
      <c r="S490" s="34">
        <v>74.615000000000236</v>
      </c>
      <c r="T490" s="56">
        <v>74.615000000000236</v>
      </c>
      <c r="U490" s="56">
        <v>1.8786079564938332</v>
      </c>
      <c r="V490" s="56">
        <v>4.7374603174603322</v>
      </c>
      <c r="W490" s="33">
        <v>4.7374603174603322</v>
      </c>
    </row>
    <row r="491" spans="1:23" ht="16" x14ac:dyDescent="0.2">
      <c r="A491" s="103" t="s">
        <v>19</v>
      </c>
      <c r="B491" t="s">
        <v>861</v>
      </c>
      <c r="C491" s="24" t="s">
        <v>980</v>
      </c>
      <c r="D491" s="224" t="s">
        <v>824</v>
      </c>
      <c r="E491" s="35" t="s">
        <v>148</v>
      </c>
      <c r="F491" s="103" t="s">
        <v>968</v>
      </c>
      <c r="G491" s="103">
        <v>1</v>
      </c>
      <c r="H491" s="35" t="s">
        <v>494</v>
      </c>
      <c r="I491" s="35" t="s">
        <v>580</v>
      </c>
      <c r="J491" s="35">
        <v>1055</v>
      </c>
      <c r="K491" s="147">
        <v>1079.7921565822337</v>
      </c>
      <c r="L491" s="34">
        <v>24.792156582233702</v>
      </c>
      <c r="M491" s="56">
        <v>24.792156582233702</v>
      </c>
      <c r="N491" s="56">
        <v>1.4114876567019834</v>
      </c>
      <c r="O491" s="132">
        <f t="shared" si="9"/>
        <v>1.4114876567019834</v>
      </c>
      <c r="P491" s="56">
        <v>2.3499674485529574</v>
      </c>
      <c r="Q491" s="143">
        <v>2.3499674485529574</v>
      </c>
      <c r="R491" s="143">
        <v>1078.6512869165899</v>
      </c>
      <c r="S491" s="34">
        <v>23.651286916589925</v>
      </c>
      <c r="T491" s="56">
        <v>23.651286916589925</v>
      </c>
      <c r="U491" s="56">
        <v>1.3918395964807846</v>
      </c>
      <c r="V491" s="56">
        <v>2.2418281437525995</v>
      </c>
      <c r="W491" s="33">
        <v>2.2418281437525995</v>
      </c>
    </row>
    <row r="492" spans="1:23" ht="15" x14ac:dyDescent="0.2">
      <c r="A492" s="103" t="s">
        <v>19</v>
      </c>
      <c r="B492" s="28" t="s">
        <v>282</v>
      </c>
      <c r="C492" s="224" t="s">
        <v>974</v>
      </c>
      <c r="D492" s="208" t="s">
        <v>403</v>
      </c>
      <c r="E492" s="35" t="s">
        <v>96</v>
      </c>
      <c r="F492" s="103" t="s">
        <v>967</v>
      </c>
      <c r="G492" s="103">
        <v>0</v>
      </c>
      <c r="H492" s="35" t="s">
        <v>494</v>
      </c>
      <c r="I492" s="35" t="s">
        <v>580</v>
      </c>
      <c r="J492" s="35">
        <v>872.2</v>
      </c>
      <c r="K492" s="141">
        <v>897.16150000000005</v>
      </c>
      <c r="L492" s="34">
        <v>24.961500000000001</v>
      </c>
      <c r="M492" s="56">
        <v>24.961500000000001</v>
      </c>
      <c r="N492" s="56">
        <v>1.414329781460498</v>
      </c>
      <c r="O492" s="132">
        <f t="shared" si="9"/>
        <v>1.414329781460498</v>
      </c>
      <c r="P492" s="56">
        <v>2.8619009401513416</v>
      </c>
      <c r="Q492" s="143">
        <v>2.8619009401513416</v>
      </c>
      <c r="R492" s="143">
        <v>842.73933</v>
      </c>
      <c r="S492" s="34">
        <v>-29.46067000000005</v>
      </c>
      <c r="T492" s="56">
        <v>29.46067000000005</v>
      </c>
      <c r="U492" s="56">
        <v>1.4837394516626228</v>
      </c>
      <c r="V492" s="56">
        <v>-3.3777424902545343</v>
      </c>
      <c r="W492" s="33">
        <v>3.3777424902545343</v>
      </c>
    </row>
    <row r="493" spans="1:23" ht="16" x14ac:dyDescent="0.2">
      <c r="A493" s="103" t="s">
        <v>19</v>
      </c>
      <c r="B493" t="s">
        <v>865</v>
      </c>
      <c r="C493" s="103" t="s">
        <v>971</v>
      </c>
      <c r="D493" s="224" t="s">
        <v>824</v>
      </c>
      <c r="E493" s="35" t="s">
        <v>148</v>
      </c>
      <c r="F493" s="103" t="s">
        <v>968</v>
      </c>
      <c r="G493" s="103">
        <v>1</v>
      </c>
      <c r="H493" s="35" t="s">
        <v>374</v>
      </c>
      <c r="I493" s="35" t="s">
        <v>580</v>
      </c>
      <c r="J493" s="35">
        <v>1598</v>
      </c>
      <c r="K493" s="147">
        <v>1572.955413661964</v>
      </c>
      <c r="L493" s="34">
        <v>-25.04458633803597</v>
      </c>
      <c r="M493" s="56">
        <v>25.04458633803597</v>
      </c>
      <c r="N493" s="56">
        <v>1.415717463994286</v>
      </c>
      <c r="O493" s="132">
        <f t="shared" si="9"/>
        <v>-1.415717463994286</v>
      </c>
      <c r="P493" s="56">
        <v>-1.5672457032563185</v>
      </c>
      <c r="Q493" s="143">
        <v>1.5672457032563185</v>
      </c>
      <c r="R493" s="143">
        <v>1785.4740131564872</v>
      </c>
      <c r="S493" s="34">
        <v>187.47401315648722</v>
      </c>
      <c r="T493" s="56">
        <v>187.47401315648722</v>
      </c>
      <c r="U493" s="56">
        <v>2.2752514780391158</v>
      </c>
      <c r="V493" s="56">
        <v>11.731790560481052</v>
      </c>
      <c r="W493" s="33">
        <v>11.731790560481052</v>
      </c>
    </row>
    <row r="494" spans="1:23" ht="16" x14ac:dyDescent="0.2">
      <c r="A494" s="103" t="s">
        <v>19</v>
      </c>
      <c r="B494" t="s">
        <v>859</v>
      </c>
      <c r="C494" s="224" t="s">
        <v>974</v>
      </c>
      <c r="D494" s="224" t="s">
        <v>824</v>
      </c>
      <c r="E494" s="35" t="s">
        <v>148</v>
      </c>
      <c r="F494" s="103" t="s">
        <v>967</v>
      </c>
      <c r="G494" s="103">
        <v>0</v>
      </c>
      <c r="H494" s="35" t="s">
        <v>494</v>
      </c>
      <c r="I494" s="35" t="s">
        <v>580</v>
      </c>
      <c r="J494" s="35">
        <v>1135</v>
      </c>
      <c r="K494" s="147">
        <v>1160.0564999999999</v>
      </c>
      <c r="L494" s="34">
        <v>25.056499999999915</v>
      </c>
      <c r="M494" s="56">
        <v>25.056499999999915</v>
      </c>
      <c r="N494" s="56">
        <v>1.4159160793439474</v>
      </c>
      <c r="O494" s="132">
        <f t="shared" si="9"/>
        <v>1.4159160793439474</v>
      </c>
      <c r="P494" s="56">
        <v>2.2076211453744419</v>
      </c>
      <c r="Q494" s="143">
        <v>2.2076211453744419</v>
      </c>
      <c r="R494" s="143">
        <v>1135.0844999999999</v>
      </c>
      <c r="S494" s="34">
        <v>8.4499999999934516E-2</v>
      </c>
      <c r="T494" s="56">
        <v>8.4499999999934516E-2</v>
      </c>
      <c r="U494" s="56">
        <v>3.5229556350185841E-2</v>
      </c>
      <c r="V494" s="56">
        <v>7.4449339206990759E-3</v>
      </c>
      <c r="W494" s="33">
        <v>7.4449339206990759E-3</v>
      </c>
    </row>
    <row r="495" spans="1:23" ht="16" x14ac:dyDescent="0.2">
      <c r="A495" s="103" t="s">
        <v>19</v>
      </c>
      <c r="B495" t="s">
        <v>856</v>
      </c>
      <c r="C495" s="224" t="s">
        <v>977</v>
      </c>
      <c r="D495" s="224" t="s">
        <v>824</v>
      </c>
      <c r="E495" s="35" t="s">
        <v>148</v>
      </c>
      <c r="F495" s="103" t="s">
        <v>968</v>
      </c>
      <c r="G495" s="103">
        <v>1</v>
      </c>
      <c r="H495" s="225" t="s">
        <v>494</v>
      </c>
      <c r="I495" s="35" t="s">
        <v>580</v>
      </c>
      <c r="J495" s="35">
        <v>1098</v>
      </c>
      <c r="K495" s="147">
        <v>1123.2102772846224</v>
      </c>
      <c r="L495" s="34">
        <v>25.210277284622407</v>
      </c>
      <c r="M495" s="56">
        <v>25.210277284622407</v>
      </c>
      <c r="N495" s="56">
        <v>1.4184716154732862</v>
      </c>
      <c r="O495" s="132">
        <f t="shared" si="9"/>
        <v>1.4184716154732862</v>
      </c>
      <c r="P495" s="56">
        <v>2.296017967634099</v>
      </c>
      <c r="Q495" s="143">
        <v>2.296017967634099</v>
      </c>
      <c r="R495" s="143">
        <v>1124.8643219749504</v>
      </c>
      <c r="S495" s="34">
        <v>26.864321974950371</v>
      </c>
      <c r="T495" s="56">
        <v>26.864321974950371</v>
      </c>
      <c r="U495" s="56">
        <v>1.4450484797941494</v>
      </c>
      <c r="V495" s="56">
        <v>2.4466595605601431</v>
      </c>
      <c r="W495" s="33">
        <v>2.4466595605601431</v>
      </c>
    </row>
    <row r="496" spans="1:23" ht="15" x14ac:dyDescent="0.2">
      <c r="A496" s="103" t="s">
        <v>19</v>
      </c>
      <c r="B496" s="28" t="s">
        <v>459</v>
      </c>
      <c r="C496" s="103" t="s">
        <v>970</v>
      </c>
      <c r="D496" s="35" t="s">
        <v>458</v>
      </c>
      <c r="E496" s="208" t="s">
        <v>82</v>
      </c>
      <c r="F496" s="103" t="s">
        <v>967</v>
      </c>
      <c r="G496" s="103">
        <v>0</v>
      </c>
      <c r="H496" s="35" t="s">
        <v>374</v>
      </c>
      <c r="I496" s="35" t="s">
        <v>580</v>
      </c>
      <c r="J496" s="35">
        <v>1640</v>
      </c>
      <c r="K496" s="141">
        <v>1665.2742000000003</v>
      </c>
      <c r="L496" s="34">
        <v>25.274200000000292</v>
      </c>
      <c r="M496" s="56">
        <v>25.274200000000292</v>
      </c>
      <c r="N496" s="56">
        <v>1.4195295014510041</v>
      </c>
      <c r="O496" s="132">
        <f t="shared" si="9"/>
        <v>1.4195295014510041</v>
      </c>
      <c r="P496" s="56">
        <v>1.5411097560975788</v>
      </c>
      <c r="Q496" s="143">
        <v>1.5411097560975788</v>
      </c>
      <c r="R496" s="143">
        <v>1705.5050000000001</v>
      </c>
      <c r="S496" s="34">
        <v>65.505000000000109</v>
      </c>
      <c r="T496" s="56">
        <v>65.505000000000109</v>
      </c>
      <c r="U496" s="56">
        <v>1.8228542977960271</v>
      </c>
      <c r="V496" s="56">
        <v>3.9942073170731773</v>
      </c>
      <c r="W496" s="33">
        <v>3.9942073170731773</v>
      </c>
    </row>
    <row r="497" spans="1:23" ht="15" x14ac:dyDescent="0.2">
      <c r="A497" s="103" t="s">
        <v>19</v>
      </c>
      <c r="B497" t="s">
        <v>892</v>
      </c>
      <c r="C497" s="103" t="s">
        <v>970</v>
      </c>
      <c r="D497" s="224" t="s">
        <v>824</v>
      </c>
      <c r="E497" s="35" t="s">
        <v>148</v>
      </c>
      <c r="F497" s="103" t="s">
        <v>967</v>
      </c>
      <c r="G497" s="103">
        <v>0</v>
      </c>
      <c r="H497" s="35" t="s">
        <v>494</v>
      </c>
      <c r="I497" s="35" t="s">
        <v>580</v>
      </c>
      <c r="J497" s="35">
        <v>1090</v>
      </c>
      <c r="K497">
        <v>1064.6851999999999</v>
      </c>
      <c r="L497" s="34">
        <v>-25.314800000000105</v>
      </c>
      <c r="M497" s="56">
        <v>25.314800000000105</v>
      </c>
      <c r="N497" s="56">
        <v>1.4202000736036702</v>
      </c>
      <c r="O497" s="132">
        <f t="shared" si="9"/>
        <v>-1.4202000736036702</v>
      </c>
      <c r="P497" s="56">
        <v>-2.3224587155963401</v>
      </c>
      <c r="Q497" s="143">
        <v>2.3224587155963401</v>
      </c>
      <c r="R497" s="143">
        <v>1046.0030000000002</v>
      </c>
      <c r="S497" s="34">
        <v>-43.996999999999844</v>
      </c>
      <c r="T497" s="56">
        <v>43.996999999999844</v>
      </c>
      <c r="U497" s="56">
        <v>1.6531835598447402</v>
      </c>
      <c r="V497" s="56">
        <v>-4.0364220183486097</v>
      </c>
      <c r="W497" s="33">
        <v>4.0364220183486097</v>
      </c>
    </row>
    <row r="498" spans="1:23" ht="15" x14ac:dyDescent="0.2">
      <c r="A498" s="103" t="s">
        <v>19</v>
      </c>
      <c r="B498" s="206" t="s">
        <v>593</v>
      </c>
      <c r="C498" s="103" t="s">
        <v>970</v>
      </c>
      <c r="D498" s="35" t="s">
        <v>403</v>
      </c>
      <c r="E498" s="35" t="s">
        <v>82</v>
      </c>
      <c r="F498" s="103" t="s">
        <v>967</v>
      </c>
      <c r="G498" s="103">
        <v>0</v>
      </c>
      <c r="H498" s="35" t="s">
        <v>374</v>
      </c>
      <c r="I498" s="35" t="s">
        <v>580</v>
      </c>
      <c r="J498" s="35">
        <v>1284.8</v>
      </c>
      <c r="K498" s="141">
        <v>1310.1623039999999</v>
      </c>
      <c r="L498" s="34">
        <v>25.362303999999995</v>
      </c>
      <c r="M498" s="56">
        <v>25.362303999999995</v>
      </c>
      <c r="N498" s="56">
        <v>1.4209833638415252</v>
      </c>
      <c r="O498" s="132">
        <f t="shared" si="9"/>
        <v>1.4209833638415252</v>
      </c>
      <c r="P498" s="56">
        <v>1.9740273972602735</v>
      </c>
      <c r="Q498" s="143">
        <v>1.9740273972602735</v>
      </c>
      <c r="R498" s="143">
        <v>1319.0815400000001</v>
      </c>
      <c r="S498" s="34">
        <v>34.281540000000177</v>
      </c>
      <c r="T498" s="56">
        <v>34.281540000000177</v>
      </c>
      <c r="U498" s="56">
        <v>1.5475475333448589</v>
      </c>
      <c r="V498" s="56">
        <v>2.668239414694908</v>
      </c>
      <c r="W498" s="33">
        <v>2.668239414694908</v>
      </c>
    </row>
    <row r="499" spans="1:23" ht="15" x14ac:dyDescent="0.2">
      <c r="A499" s="103" t="s">
        <v>19</v>
      </c>
      <c r="B499" t="s">
        <v>889</v>
      </c>
      <c r="C499" s="103" t="s">
        <v>979</v>
      </c>
      <c r="D499" s="224" t="s">
        <v>824</v>
      </c>
      <c r="E499" s="35" t="s">
        <v>148</v>
      </c>
      <c r="F499" s="103" t="s">
        <v>967</v>
      </c>
      <c r="G499" s="103">
        <v>0</v>
      </c>
      <c r="H499" s="35" t="s">
        <v>374</v>
      </c>
      <c r="I499" s="35" t="s">
        <v>580</v>
      </c>
      <c r="J499" s="35">
        <v>1895</v>
      </c>
      <c r="K499">
        <v>1869.5652173913043</v>
      </c>
      <c r="L499" s="34">
        <v>-25.434782608695741</v>
      </c>
      <c r="M499" s="56">
        <v>25.434782608695741</v>
      </c>
      <c r="N499" s="56">
        <v>1.4221757432551436</v>
      </c>
      <c r="O499" s="132">
        <f t="shared" si="9"/>
        <v>-1.4221757432551436</v>
      </c>
      <c r="P499" s="56">
        <v>-1.3422048870024137</v>
      </c>
      <c r="Q499" s="143">
        <v>1.3422048870024137</v>
      </c>
      <c r="R499" s="143">
        <v>1845.8333333333335</v>
      </c>
      <c r="S499" s="34">
        <v>-49.166666666666515</v>
      </c>
      <c r="T499" s="56">
        <v>49.166666666666515</v>
      </c>
      <c r="U499" s="56">
        <v>1.7004152452101984</v>
      </c>
      <c r="V499" s="56">
        <v>-2.594547053649948</v>
      </c>
      <c r="W499" s="33">
        <v>2.594547053649948</v>
      </c>
    </row>
    <row r="500" spans="1:23" ht="16" x14ac:dyDescent="0.2">
      <c r="A500" s="103" t="s">
        <v>19</v>
      </c>
      <c r="B500" t="s">
        <v>870</v>
      </c>
      <c r="C500" s="103" t="s">
        <v>971</v>
      </c>
      <c r="D500" s="224" t="s">
        <v>824</v>
      </c>
      <c r="E500" s="35" t="s">
        <v>148</v>
      </c>
      <c r="F500" s="103" t="s">
        <v>968</v>
      </c>
      <c r="G500" s="103">
        <v>1</v>
      </c>
      <c r="H500" s="35" t="s">
        <v>374</v>
      </c>
      <c r="I500" s="35" t="s">
        <v>580</v>
      </c>
      <c r="J500" s="35">
        <v>1582</v>
      </c>
      <c r="K500" s="147">
        <v>1556.5080590179973</v>
      </c>
      <c r="L500" s="34">
        <v>-25.491940982002689</v>
      </c>
      <c r="M500" s="56">
        <v>25.491940982002689</v>
      </c>
      <c r="N500" s="56">
        <v>1.423113778866957</v>
      </c>
      <c r="O500" s="132">
        <f t="shared" si="9"/>
        <v>-1.423113778866957</v>
      </c>
      <c r="P500" s="56">
        <v>-1.6113742719344304</v>
      </c>
      <c r="Q500" s="143">
        <v>1.6113742719344304</v>
      </c>
      <c r="R500" s="143">
        <v>1779.7739019717164</v>
      </c>
      <c r="S500" s="34">
        <v>197.77390197171644</v>
      </c>
      <c r="T500" s="56">
        <v>197.77390197171644</v>
      </c>
      <c r="U500" s="56">
        <v>2.2983593630909542</v>
      </c>
      <c r="V500" s="56">
        <v>12.501510870525692</v>
      </c>
      <c r="W500" s="33">
        <v>12.501510870525692</v>
      </c>
    </row>
    <row r="501" spans="1:23" ht="15" x14ac:dyDescent="0.2">
      <c r="A501" s="103" t="s">
        <v>19</v>
      </c>
      <c r="B501" s="28" t="s">
        <v>435</v>
      </c>
      <c r="C501" s="224" t="s">
        <v>974</v>
      </c>
      <c r="D501" s="35" t="s">
        <v>458</v>
      </c>
      <c r="E501" s="208" t="s">
        <v>82</v>
      </c>
      <c r="F501" s="103" t="s">
        <v>967</v>
      </c>
      <c r="G501" s="103">
        <v>0</v>
      </c>
      <c r="H501" s="35" t="s">
        <v>494</v>
      </c>
      <c r="I501" s="35" t="s">
        <v>580</v>
      </c>
      <c r="J501" s="35">
        <v>1150</v>
      </c>
      <c r="K501" s="141">
        <v>1175.8301999999999</v>
      </c>
      <c r="L501" s="34">
        <v>25.830199999999877</v>
      </c>
      <c r="M501" s="56">
        <v>25.830199999999877</v>
      </c>
      <c r="N501" s="56">
        <v>1.4286239100395346</v>
      </c>
      <c r="O501" s="132">
        <f t="shared" si="9"/>
        <v>1.4286239100395346</v>
      </c>
      <c r="P501" s="56">
        <v>2.2461043478260763</v>
      </c>
      <c r="Q501" s="143">
        <v>2.2461043478260763</v>
      </c>
      <c r="R501" s="143">
        <v>1111.1609999999998</v>
      </c>
      <c r="S501" s="34">
        <v>-38.839000000000169</v>
      </c>
      <c r="T501" s="56">
        <v>38.839000000000169</v>
      </c>
      <c r="U501" s="56">
        <v>1.6003084286489402</v>
      </c>
      <c r="V501" s="56">
        <v>-3.3773043478261018</v>
      </c>
      <c r="W501" s="33">
        <v>3.3773043478261018</v>
      </c>
    </row>
    <row r="502" spans="1:23" ht="15" x14ac:dyDescent="0.2">
      <c r="A502" s="103" t="s">
        <v>19</v>
      </c>
      <c r="B502" s="28" t="s">
        <v>601</v>
      </c>
      <c r="C502" s="224" t="s">
        <v>974</v>
      </c>
      <c r="D502" s="208" t="s">
        <v>403</v>
      </c>
      <c r="E502" s="35" t="s">
        <v>82</v>
      </c>
      <c r="F502" s="103" t="s">
        <v>967</v>
      </c>
      <c r="G502" s="103">
        <v>0</v>
      </c>
      <c r="H502" s="35" t="s">
        <v>203</v>
      </c>
      <c r="I502" s="35" t="s">
        <v>581</v>
      </c>
      <c r="J502" s="35">
        <v>5182</v>
      </c>
      <c r="K502" s="141">
        <v>5156.0605000000005</v>
      </c>
      <c r="L502" s="34">
        <v>-25.939499999999498</v>
      </c>
      <c r="M502" s="56">
        <v>25.939499999999498</v>
      </c>
      <c r="N502" s="56">
        <v>1.4303895309097472</v>
      </c>
      <c r="O502" s="132">
        <f t="shared" si="9"/>
        <v>-1.4303895309097472</v>
      </c>
      <c r="P502" s="56">
        <v>-0.50056927827092812</v>
      </c>
      <c r="Q502" s="143">
        <v>0.50056927827092812</v>
      </c>
      <c r="R502" s="143">
        <v>4919.7822000000006</v>
      </c>
      <c r="S502" s="34">
        <v>-262.21779999999944</v>
      </c>
      <c r="T502" s="56">
        <v>262.21779999999944</v>
      </c>
      <c r="U502" s="56">
        <v>2.4203152549281932</v>
      </c>
      <c r="V502" s="56">
        <v>-5.0601659590891437</v>
      </c>
      <c r="W502" s="33">
        <v>5.0601659590891437</v>
      </c>
    </row>
    <row r="503" spans="1:23" ht="15" x14ac:dyDescent="0.2">
      <c r="A503" s="103" t="s">
        <v>19</v>
      </c>
      <c r="B503" t="s">
        <v>888</v>
      </c>
      <c r="C503" s="103" t="s">
        <v>970</v>
      </c>
      <c r="D503" s="224" t="s">
        <v>824</v>
      </c>
      <c r="E503" s="35" t="s">
        <v>148</v>
      </c>
      <c r="F503" s="103" t="s">
        <v>967</v>
      </c>
      <c r="G503" s="103">
        <v>0</v>
      </c>
      <c r="H503" s="35" t="s">
        <v>374</v>
      </c>
      <c r="I503" s="35" t="s">
        <v>580</v>
      </c>
      <c r="J503" s="35">
        <v>2150</v>
      </c>
      <c r="K503">
        <v>2123.9058</v>
      </c>
      <c r="L503" s="34">
        <v>-26.094200000000001</v>
      </c>
      <c r="M503" s="56">
        <v>26.094200000000001</v>
      </c>
      <c r="N503" s="56">
        <v>1.4328763322919502</v>
      </c>
      <c r="O503" s="132">
        <f t="shared" si="9"/>
        <v>-1.4328763322919502</v>
      </c>
      <c r="P503" s="56">
        <v>-1.2136837209302327</v>
      </c>
      <c r="Q503" s="143">
        <v>1.2136837209302327</v>
      </c>
      <c r="R503" s="143">
        <v>2158.2140000000004</v>
      </c>
      <c r="S503" s="34">
        <v>8.2140000000003965</v>
      </c>
      <c r="T503" s="56">
        <v>8.2140000000003965</v>
      </c>
      <c r="U503" s="56">
        <v>0.96444820791667951</v>
      </c>
      <c r="V503" s="56">
        <v>0.38204651162792541</v>
      </c>
      <c r="W503" s="33">
        <v>0.38204651162792541</v>
      </c>
    </row>
    <row r="504" spans="1:23" ht="15" x14ac:dyDescent="0.2">
      <c r="A504" s="103" t="s">
        <v>19</v>
      </c>
      <c r="B504" t="s">
        <v>897</v>
      </c>
      <c r="C504" s="224" t="s">
        <v>977</v>
      </c>
      <c r="D504" s="224" t="s">
        <v>824</v>
      </c>
      <c r="E504" s="35" t="s">
        <v>148</v>
      </c>
      <c r="F504" s="103" t="s">
        <v>968</v>
      </c>
      <c r="G504" s="103">
        <v>1</v>
      </c>
      <c r="H504" s="35" t="s">
        <v>494</v>
      </c>
      <c r="I504" s="35" t="s">
        <v>580</v>
      </c>
      <c r="J504" s="35">
        <v>1031</v>
      </c>
      <c r="K504">
        <v>1004.8495050857928</v>
      </c>
      <c r="L504" s="34">
        <v>-26.150494914207229</v>
      </c>
      <c r="M504" s="56">
        <v>26.150494914207229</v>
      </c>
      <c r="N504" s="56">
        <v>1.4337777505565488</v>
      </c>
      <c r="O504" s="132">
        <f t="shared" si="9"/>
        <v>-1.4337777505565488</v>
      </c>
      <c r="P504" s="56">
        <v>-2.536420457246094</v>
      </c>
      <c r="Q504" s="143">
        <v>2.536420457246094</v>
      </c>
      <c r="R504" s="143">
        <v>994.48069715238523</v>
      </c>
      <c r="S504" s="34">
        <v>-36.519302847614767</v>
      </c>
      <c r="T504" s="56">
        <v>36.519302847614767</v>
      </c>
      <c r="U504" s="56">
        <v>1.5742547600842434</v>
      </c>
      <c r="V504" s="56">
        <v>-3.5421244275087069</v>
      </c>
      <c r="W504" s="33">
        <v>3.5421244275087069</v>
      </c>
    </row>
    <row r="505" spans="1:23" ht="15" x14ac:dyDescent="0.2">
      <c r="A505" s="103" t="s">
        <v>19</v>
      </c>
      <c r="B505" s="28" t="s">
        <v>136</v>
      </c>
      <c r="C505" s="103" t="s">
        <v>971</v>
      </c>
      <c r="D505" s="208" t="s">
        <v>403</v>
      </c>
      <c r="E505" s="35" t="s">
        <v>96</v>
      </c>
      <c r="F505" s="103" t="s">
        <v>968</v>
      </c>
      <c r="G505" s="103">
        <v>1</v>
      </c>
      <c r="H505" s="35" t="s">
        <v>374</v>
      </c>
      <c r="I505" s="35" t="s">
        <v>580</v>
      </c>
      <c r="J505" s="35">
        <v>2365.6</v>
      </c>
      <c r="K505" s="141">
        <v>2339.3143115413818</v>
      </c>
      <c r="L505" s="34">
        <v>-26.285688458618097</v>
      </c>
      <c r="M505" s="56">
        <v>26.285688458618097</v>
      </c>
      <c r="N505" s="56">
        <v>1.4359349161549646</v>
      </c>
      <c r="O505" s="132">
        <f t="shared" si="9"/>
        <v>-1.4359349161549646</v>
      </c>
      <c r="P505" s="56">
        <v>-1.1111636987917695</v>
      </c>
      <c r="Q505" s="143">
        <v>1.1111636987917695</v>
      </c>
      <c r="R505" s="143">
        <v>2672.636772987913</v>
      </c>
      <c r="S505" s="34">
        <v>307.03677298791308</v>
      </c>
      <c r="T505" s="56">
        <v>307.03677298791308</v>
      </c>
      <c r="U505" s="56">
        <v>2.4886025650473265</v>
      </c>
      <c r="V505" s="56">
        <v>12.979234569999708</v>
      </c>
      <c r="W505" s="33">
        <v>12.979234569999708</v>
      </c>
    </row>
    <row r="506" spans="1:23" ht="16" x14ac:dyDescent="0.2">
      <c r="A506" s="103" t="s">
        <v>19</v>
      </c>
      <c r="B506" t="s">
        <v>859</v>
      </c>
      <c r="C506" s="103" t="s">
        <v>979</v>
      </c>
      <c r="D506" s="224" t="s">
        <v>824</v>
      </c>
      <c r="E506" s="35" t="s">
        <v>148</v>
      </c>
      <c r="F506" s="103" t="s">
        <v>967</v>
      </c>
      <c r="G506" s="103">
        <v>0</v>
      </c>
      <c r="H506" s="35" t="s">
        <v>494</v>
      </c>
      <c r="I506" s="35" t="s">
        <v>580</v>
      </c>
      <c r="J506" s="35">
        <v>1135</v>
      </c>
      <c r="K506" s="147">
        <v>1108.695652173913</v>
      </c>
      <c r="L506" s="34">
        <v>-26.304347826086996</v>
      </c>
      <c r="M506" s="56">
        <v>26.304347826086996</v>
      </c>
      <c r="N506" s="56">
        <v>1.4362318077196039</v>
      </c>
      <c r="O506" s="132">
        <f t="shared" si="9"/>
        <v>-1.4362318077196039</v>
      </c>
      <c r="P506" s="56">
        <v>-2.317563685117797</v>
      </c>
      <c r="Q506" s="143">
        <v>2.317563685117797</v>
      </c>
      <c r="R506" s="143">
        <v>1145.8333333333335</v>
      </c>
      <c r="S506" s="34">
        <v>10.833333333333485</v>
      </c>
      <c r="T506" s="56">
        <v>10.833333333333485</v>
      </c>
      <c r="U506" s="56">
        <v>1.0731070983354372</v>
      </c>
      <c r="V506" s="56">
        <v>0.95447870778268584</v>
      </c>
      <c r="W506" s="33">
        <v>0.95447870778268584</v>
      </c>
    </row>
    <row r="507" spans="1:23" ht="16" x14ac:dyDescent="0.2">
      <c r="A507" s="103" t="s">
        <v>19</v>
      </c>
      <c r="B507" t="s">
        <v>856</v>
      </c>
      <c r="C507" s="224" t="s">
        <v>978</v>
      </c>
      <c r="D507" s="224" t="s">
        <v>824</v>
      </c>
      <c r="E507" s="35" t="s">
        <v>148</v>
      </c>
      <c r="F507" s="103" t="s">
        <v>968</v>
      </c>
      <c r="G507" s="103">
        <v>1</v>
      </c>
      <c r="H507" s="225" t="s">
        <v>494</v>
      </c>
      <c r="I507" s="35" t="s">
        <v>580</v>
      </c>
      <c r="J507" s="35">
        <v>1098</v>
      </c>
      <c r="K507" s="147">
        <v>1071.5465602580607</v>
      </c>
      <c r="L507" s="34">
        <v>-26.453439741939292</v>
      </c>
      <c r="M507" s="56">
        <v>26.453439741939292</v>
      </c>
      <c r="N507" s="56">
        <v>1.4385967665403492</v>
      </c>
      <c r="O507" s="132">
        <f t="shared" si="9"/>
        <v>-1.4385967665403492</v>
      </c>
      <c r="P507" s="56">
        <v>-2.4092385921620485</v>
      </c>
      <c r="Q507" s="143">
        <v>2.4092385921620485</v>
      </c>
      <c r="R507" s="143">
        <v>1071.1823245614171</v>
      </c>
      <c r="S507" s="34">
        <v>-26.81767543858291</v>
      </c>
      <c r="T507" s="56">
        <v>26.81767543858291</v>
      </c>
      <c r="U507" s="56">
        <v>1.4443208357072144</v>
      </c>
      <c r="V507" s="56">
        <v>-2.4424112421295909</v>
      </c>
      <c r="W507" s="33">
        <v>2.4424112421295909</v>
      </c>
    </row>
    <row r="508" spans="1:23" ht="16" x14ac:dyDescent="0.2">
      <c r="A508" s="103" t="s">
        <v>19</v>
      </c>
      <c r="B508" t="s">
        <v>856</v>
      </c>
      <c r="C508" s="103" t="s">
        <v>970</v>
      </c>
      <c r="D508" s="224" t="s">
        <v>824</v>
      </c>
      <c r="E508" s="35" t="s">
        <v>148</v>
      </c>
      <c r="F508" s="103" t="s">
        <v>967</v>
      </c>
      <c r="G508" s="103">
        <v>0</v>
      </c>
      <c r="H508" s="225" t="s">
        <v>494</v>
      </c>
      <c r="I508" s="35" t="s">
        <v>580</v>
      </c>
      <c r="J508" s="35">
        <v>1098</v>
      </c>
      <c r="K508" s="147">
        <v>1124.7440999999999</v>
      </c>
      <c r="L508" s="34">
        <v>26.744099999999889</v>
      </c>
      <c r="M508" s="56">
        <v>26.744099999999889</v>
      </c>
      <c r="N508" s="56">
        <v>1.4431706411569105</v>
      </c>
      <c r="O508" s="132">
        <f t="shared" si="9"/>
        <v>1.4431706411569105</v>
      </c>
      <c r="P508" s="56">
        <v>2.4357103825136512</v>
      </c>
      <c r="Q508" s="143">
        <v>2.4357103825136512</v>
      </c>
      <c r="R508" s="143">
        <v>1135.4270000000001</v>
      </c>
      <c r="S508" s="34">
        <v>37.427000000000135</v>
      </c>
      <c r="T508" s="56">
        <v>37.427000000000135</v>
      </c>
      <c r="U508" s="56">
        <v>1.5846364803711286</v>
      </c>
      <c r="V508" s="56">
        <v>3.4086520947176808</v>
      </c>
      <c r="W508" s="33">
        <v>3.4086520947176808</v>
      </c>
    </row>
    <row r="509" spans="1:23" ht="15" x14ac:dyDescent="0.2">
      <c r="A509" s="103" t="s">
        <v>19</v>
      </c>
      <c r="B509" s="28" t="s">
        <v>459</v>
      </c>
      <c r="C509" s="24" t="s">
        <v>980</v>
      </c>
      <c r="D509" s="35" t="s">
        <v>458</v>
      </c>
      <c r="E509" s="208" t="s">
        <v>82</v>
      </c>
      <c r="F509" s="103" t="s">
        <v>968</v>
      </c>
      <c r="G509" s="103">
        <v>1</v>
      </c>
      <c r="H509" s="35" t="s">
        <v>374</v>
      </c>
      <c r="I509" s="35" t="s">
        <v>580</v>
      </c>
      <c r="J509" s="35">
        <v>1640</v>
      </c>
      <c r="K509" s="141">
        <v>1612.9750507832416</v>
      </c>
      <c r="L509" s="34">
        <v>-27.024949216758387</v>
      </c>
      <c r="M509" s="56">
        <v>27.024949216758387</v>
      </c>
      <c r="N509" s="56">
        <v>1.447544834294608</v>
      </c>
      <c r="O509" s="132">
        <f t="shared" si="9"/>
        <v>-1.447544834294608</v>
      </c>
      <c r="P509" s="56">
        <v>-1.6478627571194138</v>
      </c>
      <c r="Q509" s="143">
        <v>1.6478627571194138</v>
      </c>
      <c r="R509" s="143">
        <v>1604.0901464543242</v>
      </c>
      <c r="S509" s="34">
        <v>-35.909853545675787</v>
      </c>
      <c r="T509" s="56">
        <v>35.909853545675787</v>
      </c>
      <c r="U509" s="56">
        <v>1.5671423219653391</v>
      </c>
      <c r="V509" s="56">
        <v>-2.1896252161997429</v>
      </c>
      <c r="W509" s="33">
        <v>2.1896252161997429</v>
      </c>
    </row>
    <row r="510" spans="1:23" ht="16" x14ac:dyDescent="0.2">
      <c r="A510" s="103" t="s">
        <v>19</v>
      </c>
      <c r="B510" t="s">
        <v>862</v>
      </c>
      <c r="C510" s="103" t="s">
        <v>975</v>
      </c>
      <c r="D510" s="224" t="s">
        <v>824</v>
      </c>
      <c r="E510" s="35" t="s">
        <v>148</v>
      </c>
      <c r="F510" s="103" t="s">
        <v>967</v>
      </c>
      <c r="G510" s="103">
        <v>0</v>
      </c>
      <c r="H510" s="35" t="s">
        <v>374</v>
      </c>
      <c r="I510" s="35" t="s">
        <v>580</v>
      </c>
      <c r="J510" s="35">
        <v>1280</v>
      </c>
      <c r="K510" s="147">
        <v>1307.0329999999999</v>
      </c>
      <c r="L510" s="34">
        <v>27.032999999999902</v>
      </c>
      <c r="M510" s="56">
        <v>27.032999999999902</v>
      </c>
      <c r="N510" s="56">
        <v>1.4476695770227912</v>
      </c>
      <c r="O510" s="132">
        <f t="shared" si="9"/>
        <v>1.4476695770227912</v>
      </c>
      <c r="P510" s="56">
        <v>2.1119531249999923</v>
      </c>
      <c r="Q510" s="143">
        <v>2.1119531249999923</v>
      </c>
      <c r="R510" s="143">
        <v>1282.4760000000001</v>
      </c>
      <c r="S510" s="34">
        <v>2.4760000000001128</v>
      </c>
      <c r="T510" s="56">
        <v>2.4760000000001128</v>
      </c>
      <c r="U510" s="56">
        <v>0.54107976777664291</v>
      </c>
      <c r="V510" s="56">
        <v>0.19343750000000881</v>
      </c>
      <c r="W510" s="33">
        <v>0.19343750000000881</v>
      </c>
    </row>
    <row r="511" spans="1:23" ht="15" x14ac:dyDescent="0.2">
      <c r="A511" s="103" t="s">
        <v>19</v>
      </c>
      <c r="B511" s="28" t="s">
        <v>427</v>
      </c>
      <c r="C511" s="224" t="s">
        <v>978</v>
      </c>
      <c r="D511" s="35" t="s">
        <v>458</v>
      </c>
      <c r="E511" s="208" t="s">
        <v>82</v>
      </c>
      <c r="F511" s="103" t="s">
        <v>968</v>
      </c>
      <c r="G511" s="103">
        <v>1</v>
      </c>
      <c r="H511" s="35" t="s">
        <v>374</v>
      </c>
      <c r="I511" s="35" t="s">
        <v>580</v>
      </c>
      <c r="J511" s="35">
        <v>1650</v>
      </c>
      <c r="K511" s="141">
        <v>1677.4782483335548</v>
      </c>
      <c r="L511" s="34">
        <v>27.478248333554802</v>
      </c>
      <c r="M511" s="56">
        <v>27.478248333554802</v>
      </c>
      <c r="N511" s="56">
        <v>1.4545132727995476</v>
      </c>
      <c r="O511" s="132">
        <f t="shared" si="9"/>
        <v>1.4545132727995476</v>
      </c>
      <c r="P511" s="56">
        <v>1.6653483838518062</v>
      </c>
      <c r="Q511" s="143">
        <v>1.6653483838518062</v>
      </c>
      <c r="R511" s="143">
        <v>1675.3029877026515</v>
      </c>
      <c r="S511" s="34">
        <v>25.302987702651535</v>
      </c>
      <c r="T511" s="56">
        <v>25.302987702651535</v>
      </c>
      <c r="U511" s="56">
        <v>1.4200050819148424</v>
      </c>
      <c r="V511" s="56">
        <v>1.5335144062213051</v>
      </c>
      <c r="W511" s="33">
        <v>1.5335144062213051</v>
      </c>
    </row>
    <row r="512" spans="1:23" ht="16" x14ac:dyDescent="0.2">
      <c r="A512" s="103" t="s">
        <v>19</v>
      </c>
      <c r="B512" t="s">
        <v>848</v>
      </c>
      <c r="C512" s="224" t="s">
        <v>977</v>
      </c>
      <c r="D512" s="224" t="s">
        <v>824</v>
      </c>
      <c r="E512" s="35" t="s">
        <v>148</v>
      </c>
      <c r="F512" s="103" t="s">
        <v>968</v>
      </c>
      <c r="G512" s="103">
        <v>1</v>
      </c>
      <c r="H512" s="35" t="s">
        <v>374</v>
      </c>
      <c r="I512" s="35" t="s">
        <v>580</v>
      </c>
      <c r="J512" s="35">
        <v>1244</v>
      </c>
      <c r="K512" s="147">
        <v>1271.5160047215384</v>
      </c>
      <c r="L512" s="34">
        <v>27.516004721538366</v>
      </c>
      <c r="M512" s="56">
        <v>27.516004721538366</v>
      </c>
      <c r="N512" s="56">
        <v>1.4550886779492804</v>
      </c>
      <c r="O512" s="132">
        <f t="shared" si="9"/>
        <v>1.4550886779492804</v>
      </c>
      <c r="P512" s="56">
        <v>2.2118974856542093</v>
      </c>
      <c r="Q512" s="143">
        <v>2.2118974856542093</v>
      </c>
      <c r="R512" s="143">
        <v>1256.600808559509</v>
      </c>
      <c r="S512" s="34">
        <v>12.600808559509005</v>
      </c>
      <c r="T512" s="56">
        <v>12.600808559509005</v>
      </c>
      <c r="U512" s="56">
        <v>1.1335647276713157</v>
      </c>
      <c r="V512" s="56">
        <v>1.012926733079502</v>
      </c>
      <c r="W512" s="33">
        <v>1.012926733079502</v>
      </c>
    </row>
    <row r="513" spans="1:23" ht="16" x14ac:dyDescent="0.2">
      <c r="A513" s="103" t="s">
        <v>19</v>
      </c>
      <c r="B513" t="s">
        <v>851</v>
      </c>
      <c r="C513" s="103" t="s">
        <v>970</v>
      </c>
      <c r="D513" s="224" t="s">
        <v>824</v>
      </c>
      <c r="E513" s="35" t="s">
        <v>148</v>
      </c>
      <c r="F513" s="103" t="s">
        <v>967</v>
      </c>
      <c r="G513" s="103">
        <v>0</v>
      </c>
      <c r="H513" s="35" t="s">
        <v>374</v>
      </c>
      <c r="I513" s="35" t="s">
        <v>580</v>
      </c>
      <c r="J513" s="35">
        <v>1622</v>
      </c>
      <c r="K513" s="147">
        <v>1594.2955000000002</v>
      </c>
      <c r="L513" s="34">
        <v>-27.704499999999825</v>
      </c>
      <c r="M513" s="56">
        <v>27.704499999999825</v>
      </c>
      <c r="N513" s="56">
        <v>1.4579499863497016</v>
      </c>
      <c r="O513" s="132">
        <f t="shared" si="9"/>
        <v>-1.4579499863497016</v>
      </c>
      <c r="P513" s="56">
        <v>-1.7080456226880287</v>
      </c>
      <c r="Q513" s="143">
        <v>1.7080456226880287</v>
      </c>
      <c r="R513" s="143">
        <v>1632.848</v>
      </c>
      <c r="S513" s="34">
        <v>10.847999999999956</v>
      </c>
      <c r="T513" s="56">
        <v>10.847999999999956</v>
      </c>
      <c r="U513" s="56">
        <v>1.0736450455131505</v>
      </c>
      <c r="V513" s="56">
        <v>0.66880394574598989</v>
      </c>
      <c r="W513" s="33">
        <v>0.66880394574598989</v>
      </c>
    </row>
    <row r="514" spans="1:23" ht="16" x14ac:dyDescent="0.2">
      <c r="A514" s="103" t="s">
        <v>19</v>
      </c>
      <c r="B514" t="s">
        <v>840</v>
      </c>
      <c r="C514" s="224" t="s">
        <v>977</v>
      </c>
      <c r="D514" s="224" t="s">
        <v>824</v>
      </c>
      <c r="E514" s="35" t="s">
        <v>148</v>
      </c>
      <c r="F514" s="103" t="s">
        <v>968</v>
      </c>
      <c r="G514" s="103">
        <v>1</v>
      </c>
      <c r="H514" s="225" t="s">
        <v>293</v>
      </c>
      <c r="I514" s="35" t="s">
        <v>580</v>
      </c>
      <c r="J514" s="29">
        <v>2645</v>
      </c>
      <c r="K514" s="147">
        <v>2617.1793982802774</v>
      </c>
      <c r="L514" s="34">
        <v>-27.820601719722617</v>
      </c>
      <c r="M514" s="56">
        <v>27.820601719722617</v>
      </c>
      <c r="N514" s="56">
        <v>1.4597030438210377</v>
      </c>
      <c r="O514" s="132">
        <f t="shared" si="9"/>
        <v>-1.4597030438210377</v>
      </c>
      <c r="P514" s="56">
        <v>-1.0518185905377171</v>
      </c>
      <c r="Q514" s="143">
        <v>1.0518185905377171</v>
      </c>
      <c r="R514" s="143">
        <v>2619.7169808334784</v>
      </c>
      <c r="S514" s="34">
        <v>-25.283019166521626</v>
      </c>
      <c r="T514" s="56">
        <v>25.283019166521626</v>
      </c>
      <c r="U514" s="56">
        <v>1.4196752517571234</v>
      </c>
      <c r="V514" s="56">
        <v>-0.9558797416454301</v>
      </c>
      <c r="W514" s="33">
        <v>0.9558797416454301</v>
      </c>
    </row>
    <row r="515" spans="1:23" ht="16" x14ac:dyDescent="0.2">
      <c r="A515" s="103" t="s">
        <v>19</v>
      </c>
      <c r="B515" t="s">
        <v>856</v>
      </c>
      <c r="C515" s="103" t="s">
        <v>979</v>
      </c>
      <c r="D515" s="224" t="s">
        <v>824</v>
      </c>
      <c r="E515" s="35" t="s">
        <v>148</v>
      </c>
      <c r="F515" s="103" t="s">
        <v>967</v>
      </c>
      <c r="G515" s="103">
        <v>0</v>
      </c>
      <c r="H515" s="225" t="s">
        <v>494</v>
      </c>
      <c r="I515" s="35" t="s">
        <v>580</v>
      </c>
      <c r="J515" s="35">
        <v>1098</v>
      </c>
      <c r="K515" s="147">
        <v>1126.086956521739</v>
      </c>
      <c r="L515" s="34">
        <v>28.086956521739012</v>
      </c>
      <c r="M515" s="56">
        <v>28.086956521739012</v>
      </c>
      <c r="N515" s="56">
        <v>1.4636982817502284</v>
      </c>
      <c r="O515" s="132">
        <f t="shared" si="9"/>
        <v>1.4636982817502284</v>
      </c>
      <c r="P515" s="56">
        <v>2.558010612180238</v>
      </c>
      <c r="Q515" s="143">
        <v>2.558010612180238</v>
      </c>
      <c r="R515" s="143">
        <v>1137.5</v>
      </c>
      <c r="S515" s="34">
        <v>39.5</v>
      </c>
      <c r="T515" s="56">
        <v>39.5</v>
      </c>
      <c r="U515" s="56">
        <v>1.6074550232146685</v>
      </c>
      <c r="V515" s="56">
        <v>3.5974499089253187</v>
      </c>
      <c r="W515" s="33">
        <v>3.5974499089253187</v>
      </c>
    </row>
    <row r="516" spans="1:23" ht="16" x14ac:dyDescent="0.2">
      <c r="A516" s="103" t="s">
        <v>19</v>
      </c>
      <c r="B516" t="s">
        <v>847</v>
      </c>
      <c r="C516" s="24" t="s">
        <v>980</v>
      </c>
      <c r="D516" s="224" t="s">
        <v>824</v>
      </c>
      <c r="E516" s="35" t="s">
        <v>148</v>
      </c>
      <c r="F516" s="103" t="s">
        <v>968</v>
      </c>
      <c r="G516" s="103">
        <v>1</v>
      </c>
      <c r="H516" s="35" t="s">
        <v>494</v>
      </c>
      <c r="I516" s="35" t="s">
        <v>580</v>
      </c>
      <c r="J516" s="35">
        <v>1170</v>
      </c>
      <c r="K516" s="147">
        <v>1198.1147952270878</v>
      </c>
      <c r="L516" s="34">
        <v>28.114795227087825</v>
      </c>
      <c r="M516" s="56">
        <v>28.114795227087825</v>
      </c>
      <c r="N516" s="56">
        <v>1.4641137399340478</v>
      </c>
      <c r="O516" s="132">
        <f t="shared" si="9"/>
        <v>1.4641137399340478</v>
      </c>
      <c r="P516" s="56">
        <v>2.4029739510331476</v>
      </c>
      <c r="Q516" s="143">
        <v>2.4029739510331476</v>
      </c>
      <c r="R516" s="143">
        <v>1186.3057776779654</v>
      </c>
      <c r="S516" s="34">
        <v>16.305777677965352</v>
      </c>
      <c r="T516" s="56">
        <v>16.305777677965352</v>
      </c>
      <c r="U516" s="56">
        <v>1.238191120166426</v>
      </c>
      <c r="V516" s="56">
        <v>1.3936562117919105</v>
      </c>
      <c r="W516" s="33">
        <v>1.3936562117919105</v>
      </c>
    </row>
    <row r="517" spans="1:23" ht="15" x14ac:dyDescent="0.2">
      <c r="A517" s="103" t="s">
        <v>19</v>
      </c>
      <c r="B517" s="28" t="s">
        <v>435</v>
      </c>
      <c r="C517" s="103" t="s">
        <v>979</v>
      </c>
      <c r="D517" s="35" t="s">
        <v>458</v>
      </c>
      <c r="E517" s="208" t="s">
        <v>82</v>
      </c>
      <c r="F517" s="103" t="s">
        <v>967</v>
      </c>
      <c r="G517" s="103">
        <v>0</v>
      </c>
      <c r="H517" s="35" t="s">
        <v>494</v>
      </c>
      <c r="I517" s="35" t="s">
        <v>580</v>
      </c>
      <c r="J517" s="35">
        <v>1150</v>
      </c>
      <c r="K517" s="141">
        <v>1121.7391304347825</v>
      </c>
      <c r="L517" s="34">
        <v>-28.26086956521749</v>
      </c>
      <c r="M517" s="56">
        <v>28.26086956521749</v>
      </c>
      <c r="N517" s="56">
        <v>1.4662872282063855</v>
      </c>
      <c r="O517" s="132">
        <f t="shared" si="9"/>
        <v>-1.4662872282063855</v>
      </c>
      <c r="P517" s="56">
        <v>-2.4574669187145646</v>
      </c>
      <c r="Q517" s="143">
        <v>2.4574669187145646</v>
      </c>
      <c r="R517" s="143">
        <v>1125</v>
      </c>
      <c r="S517" s="34">
        <v>-25</v>
      </c>
      <c r="T517" s="56">
        <v>25</v>
      </c>
      <c r="U517" s="56">
        <v>1.414973347970818</v>
      </c>
      <c r="V517" s="56">
        <v>-2.1739130434782608</v>
      </c>
      <c r="W517" s="33">
        <v>2.1739130434782608</v>
      </c>
    </row>
    <row r="518" spans="1:23" ht="16" x14ac:dyDescent="0.2">
      <c r="A518" s="103" t="s">
        <v>19</v>
      </c>
      <c r="B518" t="s">
        <v>877</v>
      </c>
      <c r="C518" s="224" t="s">
        <v>974</v>
      </c>
      <c r="D518" s="224" t="s">
        <v>824</v>
      </c>
      <c r="E518" s="35" t="s">
        <v>148</v>
      </c>
      <c r="F518" s="103" t="s">
        <v>967</v>
      </c>
      <c r="G518" s="103">
        <v>0</v>
      </c>
      <c r="H518" s="35" t="s">
        <v>374</v>
      </c>
      <c r="I518" s="35" t="s">
        <v>580</v>
      </c>
      <c r="J518" s="35">
        <v>1647</v>
      </c>
      <c r="K518" s="147">
        <v>1675.3307</v>
      </c>
      <c r="L518" s="34">
        <v>28.330699999999979</v>
      </c>
      <c r="M518" s="56">
        <v>28.330699999999979</v>
      </c>
      <c r="N518" s="56">
        <v>1.4673224278803005</v>
      </c>
      <c r="O518" s="132">
        <f t="shared" si="9"/>
        <v>1.4673224278803005</v>
      </c>
      <c r="P518" s="56">
        <v>1.7201396478445645</v>
      </c>
      <c r="Q518" s="143">
        <v>1.7201396478445645</v>
      </c>
      <c r="R518" s="143">
        <v>1589.6309999999999</v>
      </c>
      <c r="S518" s="34">
        <v>-57.369000000000142</v>
      </c>
      <c r="T518" s="56">
        <v>57.369000000000142</v>
      </c>
      <c r="U518" s="56">
        <v>1.7661822528749693</v>
      </c>
      <c r="V518" s="56">
        <v>-3.4832422586521035</v>
      </c>
      <c r="W518" s="33">
        <v>3.4832422586521035</v>
      </c>
    </row>
    <row r="519" spans="1:23" ht="15" x14ac:dyDescent="0.2">
      <c r="A519" s="103" t="s">
        <v>19</v>
      </c>
      <c r="B519" s="218" t="s">
        <v>344</v>
      </c>
      <c r="C519" s="103" t="s">
        <v>975</v>
      </c>
      <c r="D519" s="208" t="s">
        <v>403</v>
      </c>
      <c r="E519" s="35" t="s">
        <v>82</v>
      </c>
      <c r="F519" s="103" t="s">
        <v>967</v>
      </c>
      <c r="G519" s="103">
        <v>0</v>
      </c>
      <c r="H519" s="35" t="s">
        <v>374</v>
      </c>
      <c r="I519" s="35" t="s">
        <v>580</v>
      </c>
      <c r="J519" s="35">
        <v>1427.7</v>
      </c>
      <c r="K519" s="141">
        <v>1456.203428</v>
      </c>
      <c r="L519" s="34">
        <v>28.503427999999985</v>
      </c>
      <c r="M519" s="56">
        <v>28.503427999999985</v>
      </c>
      <c r="N519" s="56">
        <v>1.4698724795371831</v>
      </c>
      <c r="O519" s="132">
        <f t="shared" si="9"/>
        <v>1.4698724795371831</v>
      </c>
      <c r="P519" s="56">
        <v>1.9964577992575461</v>
      </c>
      <c r="Q519" s="143">
        <v>1.9964577992575461</v>
      </c>
      <c r="R519" s="143">
        <v>1468.6341</v>
      </c>
      <c r="S519" s="34">
        <v>40.934099999999944</v>
      </c>
      <c r="T519" s="56">
        <v>40.934099999999944</v>
      </c>
      <c r="U519" s="56">
        <v>1.6225673265181821</v>
      </c>
      <c r="V519" s="56">
        <v>2.8671359529312839</v>
      </c>
      <c r="W519" s="33">
        <v>2.8671359529312839</v>
      </c>
    </row>
    <row r="520" spans="1:23" ht="16" x14ac:dyDescent="0.2">
      <c r="A520" s="103" t="s">
        <v>19</v>
      </c>
      <c r="B520" t="s">
        <v>855</v>
      </c>
      <c r="C520" s="103" t="s">
        <v>979</v>
      </c>
      <c r="D520" s="224" t="s">
        <v>824</v>
      </c>
      <c r="E520" s="35" t="s">
        <v>148</v>
      </c>
      <c r="F520" s="103" t="s">
        <v>967</v>
      </c>
      <c r="G520" s="103">
        <v>0</v>
      </c>
      <c r="H520" s="225" t="s">
        <v>494</v>
      </c>
      <c r="I520" s="35" t="s">
        <v>580</v>
      </c>
      <c r="J520" s="35">
        <v>980</v>
      </c>
      <c r="K520" s="147">
        <v>1008.695652173913</v>
      </c>
      <c r="L520" s="34">
        <v>28.695652173913004</v>
      </c>
      <c r="M520" s="56">
        <v>28.695652173913004</v>
      </c>
      <c r="N520" s="56">
        <v>1.472692867663939</v>
      </c>
      <c r="O520" s="132">
        <f t="shared" si="9"/>
        <v>1.472692867663939</v>
      </c>
      <c r="P520" s="56">
        <v>2.9281277728482658</v>
      </c>
      <c r="Q520" s="143">
        <v>2.9281277728482658</v>
      </c>
      <c r="R520" s="143">
        <v>1012.5</v>
      </c>
      <c r="S520" s="34">
        <v>32.5</v>
      </c>
      <c r="T520" s="56">
        <v>32.5</v>
      </c>
      <c r="U520" s="56">
        <v>1.5250448070368452</v>
      </c>
      <c r="V520" s="56">
        <v>3.3163265306122449</v>
      </c>
      <c r="W520" s="33">
        <v>3.3163265306122449</v>
      </c>
    </row>
    <row r="521" spans="1:23" ht="16" x14ac:dyDescent="0.2">
      <c r="A521" s="103" t="s">
        <v>19</v>
      </c>
      <c r="B521" t="s">
        <v>842</v>
      </c>
      <c r="C521" s="224" t="s">
        <v>977</v>
      </c>
      <c r="D521" s="224" t="s">
        <v>824</v>
      </c>
      <c r="E521" s="35" t="s">
        <v>148</v>
      </c>
      <c r="F521" s="103" t="s">
        <v>968</v>
      </c>
      <c r="G521" s="103">
        <v>1</v>
      </c>
      <c r="H521" s="35" t="s">
        <v>374</v>
      </c>
      <c r="I521" s="35" t="s">
        <v>580</v>
      </c>
      <c r="J521" s="35">
        <v>2435</v>
      </c>
      <c r="K521" s="147">
        <v>2463.7796077111529</v>
      </c>
      <c r="L521" s="34">
        <v>28.779607711152948</v>
      </c>
      <c r="M521" s="56">
        <v>28.779607711152948</v>
      </c>
      <c r="N521" s="56">
        <v>1.4739189724623722</v>
      </c>
      <c r="O521" s="132">
        <f t="shared" si="9"/>
        <v>1.4739189724623722</v>
      </c>
      <c r="P521" s="56">
        <v>1.1819140743799978</v>
      </c>
      <c r="Q521" s="143">
        <v>1.1819140743799978</v>
      </c>
      <c r="R521" s="143">
        <v>2425.5352400733977</v>
      </c>
      <c r="S521" s="34">
        <v>-9.4647599266022553</v>
      </c>
      <c r="T521" s="56">
        <v>9.4647599266022553</v>
      </c>
      <c r="U521" s="56">
        <v>1.0197292695836557</v>
      </c>
      <c r="V521" s="56">
        <v>-0.3886965062259653</v>
      </c>
      <c r="W521" s="33">
        <v>0.3886965062259653</v>
      </c>
    </row>
    <row r="522" spans="1:23" ht="16" x14ac:dyDescent="0.2">
      <c r="A522" s="103" t="s">
        <v>19</v>
      </c>
      <c r="B522" t="s">
        <v>853</v>
      </c>
      <c r="C522" s="103" t="s">
        <v>975</v>
      </c>
      <c r="D522" s="224" t="s">
        <v>824</v>
      </c>
      <c r="E522" s="35" t="s">
        <v>148</v>
      </c>
      <c r="F522" s="103" t="s">
        <v>967</v>
      </c>
      <c r="G522" s="103">
        <v>0</v>
      </c>
      <c r="H522" s="35" t="s">
        <v>374</v>
      </c>
      <c r="I522" s="35" t="s">
        <v>580</v>
      </c>
      <c r="J522" s="35">
        <v>1274</v>
      </c>
      <c r="K522" s="147">
        <v>1302.8732</v>
      </c>
      <c r="L522" s="34">
        <v>28.873199999999997</v>
      </c>
      <c r="M522" s="56">
        <v>28.873199999999997</v>
      </c>
      <c r="N522" s="56">
        <v>1.4752817464710595</v>
      </c>
      <c r="O522" s="132">
        <f t="shared" si="9"/>
        <v>1.4752817464710595</v>
      </c>
      <c r="P522" s="56">
        <v>2.2663422291993718</v>
      </c>
      <c r="Q522" s="143">
        <v>2.2663422291993718</v>
      </c>
      <c r="R522" s="143">
        <v>1306.4964</v>
      </c>
      <c r="S522" s="34">
        <v>32.496399999999994</v>
      </c>
      <c r="T522" s="56">
        <v>32.496399999999994</v>
      </c>
      <c r="U522" s="56">
        <v>1.5249981340772127</v>
      </c>
      <c r="V522" s="56">
        <v>2.550737833594976</v>
      </c>
      <c r="W522" s="33">
        <v>2.550737833594976</v>
      </c>
    </row>
    <row r="523" spans="1:23" ht="16" x14ac:dyDescent="0.2">
      <c r="A523" s="103" t="s">
        <v>19</v>
      </c>
      <c r="B523" t="s">
        <v>873</v>
      </c>
      <c r="C523" s="24" t="s">
        <v>980</v>
      </c>
      <c r="D523" s="224" t="s">
        <v>824</v>
      </c>
      <c r="E523" s="35" t="s">
        <v>148</v>
      </c>
      <c r="F523" s="103" t="s">
        <v>968</v>
      </c>
      <c r="G523" s="103">
        <v>1</v>
      </c>
      <c r="H523" s="35" t="s">
        <v>374</v>
      </c>
      <c r="I523" s="35" t="s">
        <v>580</v>
      </c>
      <c r="J523" s="35">
        <v>1646</v>
      </c>
      <c r="K523" s="147">
        <v>1674.9194313367118</v>
      </c>
      <c r="L523" s="34">
        <v>28.919431336711796</v>
      </c>
      <c r="M523" s="56">
        <v>28.919431336711796</v>
      </c>
      <c r="N523" s="56">
        <v>1.4759533348583629</v>
      </c>
      <c r="O523" s="132">
        <f t="shared" si="9"/>
        <v>1.4759533348583629</v>
      </c>
      <c r="P523" s="56">
        <v>1.7569520860699754</v>
      </c>
      <c r="Q523" s="143">
        <v>1.7569520860699754</v>
      </c>
      <c r="R523" s="143">
        <v>1677.6365442719857</v>
      </c>
      <c r="S523" s="34">
        <v>31.636544271985713</v>
      </c>
      <c r="T523" s="56">
        <v>31.636544271985713</v>
      </c>
      <c r="U523" s="56">
        <v>1.5137041671448987</v>
      </c>
      <c r="V523" s="56">
        <v>1.9220257759408088</v>
      </c>
      <c r="W523" s="33">
        <v>1.9220257759408088</v>
      </c>
    </row>
    <row r="524" spans="1:23" ht="15" x14ac:dyDescent="0.2">
      <c r="A524" s="103" t="s">
        <v>19</v>
      </c>
      <c r="B524" s="28" t="s">
        <v>365</v>
      </c>
      <c r="C524" s="224" t="s">
        <v>977</v>
      </c>
      <c r="D524" s="208" t="s">
        <v>403</v>
      </c>
      <c r="E524" s="35" t="s">
        <v>148</v>
      </c>
      <c r="F524" s="103" t="s">
        <v>968</v>
      </c>
      <c r="G524" s="103">
        <v>1</v>
      </c>
      <c r="H524" s="35" t="s">
        <v>494</v>
      </c>
      <c r="I524" s="35" t="s">
        <v>580</v>
      </c>
      <c r="J524" s="35">
        <v>992.24</v>
      </c>
      <c r="K524" s="141">
        <v>963.28349174130301</v>
      </c>
      <c r="L524" s="34">
        <v>-28.956508258696999</v>
      </c>
      <c r="M524" s="56">
        <v>28.956508258696999</v>
      </c>
      <c r="N524" s="56">
        <v>1.4764911904574916</v>
      </c>
      <c r="O524" s="132">
        <f t="shared" si="9"/>
        <v>-1.4764911904574916</v>
      </c>
      <c r="P524" s="56">
        <v>-2.918296809108381</v>
      </c>
      <c r="Q524" s="143">
        <v>2.918296809108381</v>
      </c>
      <c r="R524" s="143">
        <v>984.69328970962317</v>
      </c>
      <c r="S524" s="34">
        <v>-7.5467102903768364</v>
      </c>
      <c r="T524" s="56">
        <v>7.5467102903768364</v>
      </c>
      <c r="U524" s="56">
        <v>0.93179898283791185</v>
      </c>
      <c r="V524" s="56">
        <v>-0.76057307610828395</v>
      </c>
      <c r="W524" s="33">
        <v>0.76057307610828395</v>
      </c>
    </row>
    <row r="525" spans="1:23" ht="15" x14ac:dyDescent="0.2">
      <c r="A525" s="103" t="s">
        <v>19</v>
      </c>
      <c r="B525" s="28" t="s">
        <v>421</v>
      </c>
      <c r="C525" s="24" t="s">
        <v>980</v>
      </c>
      <c r="D525" s="35" t="s">
        <v>458</v>
      </c>
      <c r="E525" s="35" t="s">
        <v>82</v>
      </c>
      <c r="F525" s="103" t="s">
        <v>968</v>
      </c>
      <c r="G525" s="103">
        <v>1</v>
      </c>
      <c r="H525" s="35" t="s">
        <v>494</v>
      </c>
      <c r="I525" s="35" t="s">
        <v>580</v>
      </c>
      <c r="J525" s="35">
        <v>825</v>
      </c>
      <c r="K525" s="141">
        <v>796.03351790723593</v>
      </c>
      <c r="L525" s="34">
        <v>-28.966482092764068</v>
      </c>
      <c r="M525" s="56">
        <v>28.966482092764068</v>
      </c>
      <c r="N525" s="56">
        <v>1.4766357620522448</v>
      </c>
      <c r="O525" s="132">
        <f t="shared" si="9"/>
        <v>-1.4766357620522448</v>
      </c>
      <c r="P525" s="56">
        <v>-3.5110887385168565</v>
      </c>
      <c r="Q525" s="143">
        <v>3.5110887385168565</v>
      </c>
      <c r="R525" s="143">
        <v>804.35116511253204</v>
      </c>
      <c r="S525" s="34">
        <v>-20.648834887467956</v>
      </c>
      <c r="T525" s="56">
        <v>20.648834887467956</v>
      </c>
      <c r="U525" s="56">
        <v>1.3354345281462245</v>
      </c>
      <c r="V525" s="56">
        <v>-2.502889077268843</v>
      </c>
      <c r="W525" s="33">
        <v>2.502889077268843</v>
      </c>
    </row>
    <row r="526" spans="1:23" ht="15" x14ac:dyDescent="0.2">
      <c r="A526" s="103" t="s">
        <v>19</v>
      </c>
      <c r="B526" s="28" t="s">
        <v>459</v>
      </c>
      <c r="C526" s="103" t="s">
        <v>975</v>
      </c>
      <c r="D526" s="35" t="s">
        <v>458</v>
      </c>
      <c r="E526" s="208" t="s">
        <v>82</v>
      </c>
      <c r="F526" s="103" t="s">
        <v>967</v>
      </c>
      <c r="G526" s="103">
        <v>0</v>
      </c>
      <c r="H526" s="35" t="s">
        <v>374</v>
      </c>
      <c r="I526" s="35" t="s">
        <v>580</v>
      </c>
      <c r="J526" s="35">
        <v>1640</v>
      </c>
      <c r="K526" s="141">
        <v>1610.6984</v>
      </c>
      <c r="L526" s="34">
        <v>-29.301600000000008</v>
      </c>
      <c r="M526" s="56">
        <v>29.301600000000008</v>
      </c>
      <c r="N526" s="56">
        <v>1.4814655609387823</v>
      </c>
      <c r="O526" s="132">
        <f t="shared" si="9"/>
        <v>-1.4814655609387823</v>
      </c>
      <c r="P526" s="56">
        <v>-1.7866829268292688</v>
      </c>
      <c r="Q526" s="143">
        <v>1.7866829268292688</v>
      </c>
      <c r="R526" s="143">
        <v>1622.7650000000001</v>
      </c>
      <c r="S526" s="34">
        <v>-17.2349999999999</v>
      </c>
      <c r="T526" s="56">
        <v>17.2349999999999</v>
      </c>
      <c r="U526" s="56">
        <v>1.2609057676497977</v>
      </c>
      <c r="V526" s="56">
        <v>-1.0509146341463353</v>
      </c>
      <c r="W526" s="33">
        <v>1.0509146341463353</v>
      </c>
    </row>
    <row r="527" spans="1:23" ht="16" x14ac:dyDescent="0.2">
      <c r="A527" s="103" t="s">
        <v>19</v>
      </c>
      <c r="B527" t="s">
        <v>841</v>
      </c>
      <c r="C527" s="224" t="s">
        <v>977</v>
      </c>
      <c r="D527" s="224" t="s">
        <v>824</v>
      </c>
      <c r="E527" s="35" t="s">
        <v>148</v>
      </c>
      <c r="F527" s="103" t="s">
        <v>968</v>
      </c>
      <c r="G527" s="103">
        <v>1</v>
      </c>
      <c r="H527" s="35" t="s">
        <v>374</v>
      </c>
      <c r="I527" s="35" t="s">
        <v>580</v>
      </c>
      <c r="J527" s="35">
        <v>1325</v>
      </c>
      <c r="K527" s="147">
        <v>1295.5852019447393</v>
      </c>
      <c r="L527" s="34">
        <v>-29.41479805526069</v>
      </c>
      <c r="M527" s="56">
        <v>29.41479805526069</v>
      </c>
      <c r="N527" s="56">
        <v>1.4830849372290886</v>
      </c>
      <c r="O527" s="132">
        <f t="shared" si="9"/>
        <v>-1.4830849372290886</v>
      </c>
      <c r="P527" s="56">
        <v>-2.2199847588875992</v>
      </c>
      <c r="Q527" s="143">
        <v>2.2199847588875992</v>
      </c>
      <c r="R527" s="143">
        <v>1293.163674317866</v>
      </c>
      <c r="S527" s="34">
        <v>-31.836325682133975</v>
      </c>
      <c r="T527" s="56">
        <v>31.836325682133975</v>
      </c>
      <c r="U527" s="56">
        <v>1.5163545544994603</v>
      </c>
      <c r="V527" s="56">
        <v>-2.4027415609157718</v>
      </c>
      <c r="W527" s="33">
        <v>2.4027415609157718</v>
      </c>
    </row>
    <row r="528" spans="1:23" ht="15" x14ac:dyDescent="0.2">
      <c r="A528" s="103" t="s">
        <v>19</v>
      </c>
      <c r="B528" t="s">
        <v>892</v>
      </c>
      <c r="C528" s="24" t="s">
        <v>980</v>
      </c>
      <c r="D528" s="224" t="s">
        <v>824</v>
      </c>
      <c r="E528" s="35" t="s">
        <v>148</v>
      </c>
      <c r="F528" s="103" t="s">
        <v>968</v>
      </c>
      <c r="G528" s="103">
        <v>1</v>
      </c>
      <c r="H528" s="35" t="s">
        <v>494</v>
      </c>
      <c r="I528" s="35" t="s">
        <v>580</v>
      </c>
      <c r="J528" s="35">
        <v>1090</v>
      </c>
      <c r="K528">
        <v>1060.2239769868622</v>
      </c>
      <c r="L528" s="34">
        <v>-29.776023013137774</v>
      </c>
      <c r="M528" s="56">
        <v>29.776023013137774</v>
      </c>
      <c r="N528" s="56">
        <v>1.488212498047752</v>
      </c>
      <c r="O528" s="132">
        <f t="shared" si="9"/>
        <v>-1.488212498047752</v>
      </c>
      <c r="P528" s="56">
        <v>-2.7317452305630985</v>
      </c>
      <c r="Q528" s="143">
        <v>2.7317452305630985</v>
      </c>
      <c r="R528" s="143">
        <v>1041.5127527546599</v>
      </c>
      <c r="S528" s="34">
        <v>-48.487247245340086</v>
      </c>
      <c r="T528" s="56">
        <v>48.487247245340086</v>
      </c>
      <c r="U528" s="56">
        <v>1.6944932966196316</v>
      </c>
      <c r="V528" s="56">
        <v>-4.4483713069119348</v>
      </c>
      <c r="W528" s="33">
        <v>4.4483713069119348</v>
      </c>
    </row>
    <row r="529" spans="1:23" ht="16" x14ac:dyDescent="0.2">
      <c r="A529" s="103" t="s">
        <v>19</v>
      </c>
      <c r="B529" t="s">
        <v>883</v>
      </c>
      <c r="C529" s="103" t="s">
        <v>979</v>
      </c>
      <c r="D529" s="224" t="s">
        <v>824</v>
      </c>
      <c r="E529" s="35" t="s">
        <v>148</v>
      </c>
      <c r="F529" s="103" t="s">
        <v>967</v>
      </c>
      <c r="G529" s="103">
        <v>0</v>
      </c>
      <c r="H529" s="35" t="s">
        <v>374</v>
      </c>
      <c r="I529" s="35" t="s">
        <v>580</v>
      </c>
      <c r="J529" s="35">
        <v>1670</v>
      </c>
      <c r="K529" s="147">
        <v>1700</v>
      </c>
      <c r="L529" s="34">
        <v>30</v>
      </c>
      <c r="M529" s="56">
        <v>30</v>
      </c>
      <c r="N529" s="56">
        <v>1.4913616938342726</v>
      </c>
      <c r="O529" s="132">
        <f t="shared" si="9"/>
        <v>1.4913616938342726</v>
      </c>
      <c r="P529" s="56">
        <v>1.7964071856287425</v>
      </c>
      <c r="Q529" s="143">
        <v>1.7964071856287425</v>
      </c>
      <c r="R529" s="143">
        <v>1687.5</v>
      </c>
      <c r="S529" s="34">
        <v>17.5</v>
      </c>
      <c r="T529" s="56">
        <v>17.5</v>
      </c>
      <c r="U529" s="56">
        <v>1.2671717284030137</v>
      </c>
      <c r="V529" s="56">
        <v>1.0479041916167664</v>
      </c>
      <c r="W529" s="33">
        <v>1.0479041916167664</v>
      </c>
    </row>
    <row r="530" spans="1:23" ht="16" x14ac:dyDescent="0.2">
      <c r="A530" s="103" t="s">
        <v>19</v>
      </c>
      <c r="B530" t="s">
        <v>847</v>
      </c>
      <c r="C530" s="103" t="s">
        <v>979</v>
      </c>
      <c r="D530" s="224" t="s">
        <v>824</v>
      </c>
      <c r="E530" s="35" t="s">
        <v>148</v>
      </c>
      <c r="F530" s="103" t="s">
        <v>967</v>
      </c>
      <c r="G530" s="103">
        <v>0</v>
      </c>
      <c r="H530" s="35" t="s">
        <v>494</v>
      </c>
      <c r="I530" s="35" t="s">
        <v>580</v>
      </c>
      <c r="J530" s="35">
        <v>1170</v>
      </c>
      <c r="K530" s="147">
        <v>1200</v>
      </c>
      <c r="L530" s="34">
        <v>30</v>
      </c>
      <c r="M530" s="56">
        <v>30</v>
      </c>
      <c r="N530" s="56">
        <v>1.4913616938342726</v>
      </c>
      <c r="O530" s="132">
        <f t="shared" si="9"/>
        <v>1.4913616938342726</v>
      </c>
      <c r="P530" s="56">
        <v>2.5641025641025643</v>
      </c>
      <c r="Q530" s="143">
        <v>2.5641025641025643</v>
      </c>
      <c r="R530" s="143">
        <v>1200</v>
      </c>
      <c r="S530" s="34">
        <v>30</v>
      </c>
      <c r="T530" s="56">
        <v>30</v>
      </c>
      <c r="U530" s="56">
        <v>1.4913616938342726</v>
      </c>
      <c r="V530" s="56">
        <v>2.5641025641025643</v>
      </c>
      <c r="W530" s="33">
        <v>2.5641025641025643</v>
      </c>
    </row>
    <row r="531" spans="1:23" ht="15" x14ac:dyDescent="0.2">
      <c r="A531" s="103" t="s">
        <v>19</v>
      </c>
      <c r="B531" s="28" t="s">
        <v>136</v>
      </c>
      <c r="C531" s="224" t="s">
        <v>978</v>
      </c>
      <c r="D531" s="208" t="s">
        <v>403</v>
      </c>
      <c r="E531" s="35" t="s">
        <v>96</v>
      </c>
      <c r="F531" s="103" t="s">
        <v>968</v>
      </c>
      <c r="G531" s="103">
        <v>1</v>
      </c>
      <c r="H531" s="35" t="s">
        <v>374</v>
      </c>
      <c r="I531" s="35" t="s">
        <v>580</v>
      </c>
      <c r="J531" s="35">
        <v>2365.6</v>
      </c>
      <c r="K531" s="141">
        <v>2335.4573268725958</v>
      </c>
      <c r="L531" s="34">
        <v>-30.142673127404123</v>
      </c>
      <c r="M531" s="56">
        <v>30.142673127404123</v>
      </c>
      <c r="N531" s="56">
        <v>1.4933558874439097</v>
      </c>
      <c r="O531" s="132">
        <f t="shared" si="9"/>
        <v>-1.4933558874439097</v>
      </c>
      <c r="P531" s="56">
        <v>-1.2742083669007493</v>
      </c>
      <c r="Q531" s="143">
        <v>1.2742083669007493</v>
      </c>
      <c r="R531" s="143">
        <v>2365.2889796428426</v>
      </c>
      <c r="S531" s="34">
        <v>-0.31102035715730381</v>
      </c>
      <c r="T531" s="56">
        <v>0.31102035715730381</v>
      </c>
      <c r="U531" s="56">
        <v>0.11760943534564769</v>
      </c>
      <c r="V531" s="56">
        <v>-1.3147630924809936E-2</v>
      </c>
      <c r="W531" s="33">
        <v>1.3147630924809936E-2</v>
      </c>
    </row>
    <row r="532" spans="1:23" ht="16" x14ac:dyDescent="0.2">
      <c r="A532" s="103" t="s">
        <v>19</v>
      </c>
      <c r="B532" t="s">
        <v>869</v>
      </c>
      <c r="C532" s="224" t="s">
        <v>978</v>
      </c>
      <c r="D532" s="224" t="s">
        <v>824</v>
      </c>
      <c r="E532" s="35" t="s">
        <v>148</v>
      </c>
      <c r="F532" s="103" t="s">
        <v>968</v>
      </c>
      <c r="G532" s="103">
        <v>1</v>
      </c>
      <c r="H532" s="35" t="s">
        <v>374</v>
      </c>
      <c r="I532" s="35" t="s">
        <v>580</v>
      </c>
      <c r="J532" s="35">
        <v>1686</v>
      </c>
      <c r="K532" s="147">
        <v>1655.8341557116576</v>
      </c>
      <c r="L532" s="34">
        <v>-30.165844288342441</v>
      </c>
      <c r="M532" s="56">
        <v>30.165844288342441</v>
      </c>
      <c r="N532" s="56">
        <v>1.4936788965032184</v>
      </c>
      <c r="O532" s="132">
        <f t="shared" si="9"/>
        <v>-1.4936788965032184</v>
      </c>
      <c r="P532" s="56">
        <v>-1.789195983887452</v>
      </c>
      <c r="Q532" s="143">
        <v>1.789195983887452</v>
      </c>
      <c r="R532" s="143">
        <v>1649.6638428362296</v>
      </c>
      <c r="S532" s="34">
        <v>-36.336157163770395</v>
      </c>
      <c r="T532" s="56">
        <v>36.336157163770395</v>
      </c>
      <c r="U532" s="56">
        <v>1.5721296160111948</v>
      </c>
      <c r="V532" s="56">
        <v>-2.155169464043321</v>
      </c>
      <c r="W532" s="33">
        <v>2.155169464043321</v>
      </c>
    </row>
    <row r="533" spans="1:23" ht="15" x14ac:dyDescent="0.2">
      <c r="A533" s="103" t="s">
        <v>19</v>
      </c>
      <c r="B533" t="s">
        <v>836</v>
      </c>
      <c r="C533" s="103" t="s">
        <v>975</v>
      </c>
      <c r="D533" s="224" t="s">
        <v>824</v>
      </c>
      <c r="E533" s="35" t="s">
        <v>148</v>
      </c>
      <c r="F533" s="103" t="s">
        <v>967</v>
      </c>
      <c r="G533" s="103">
        <v>0</v>
      </c>
      <c r="H533" s="35" t="s">
        <v>374</v>
      </c>
      <c r="I533" s="35" t="s">
        <v>580</v>
      </c>
      <c r="J533" s="35">
        <v>2190</v>
      </c>
      <c r="K533">
        <v>2159.7919999999999</v>
      </c>
      <c r="L533" s="34">
        <v>-30.208000000000084</v>
      </c>
      <c r="M533" s="56">
        <v>30.208000000000084</v>
      </c>
      <c r="N533" s="56">
        <v>1.4942659373037361</v>
      </c>
      <c r="O533" s="132">
        <f t="shared" si="9"/>
        <v>-1.4942659373037361</v>
      </c>
      <c r="P533" s="56">
        <v>-1.3793607305936111</v>
      </c>
      <c r="Q533" s="143">
        <v>1.3793607305936111</v>
      </c>
      <c r="R533" s="143">
        <v>2203.2579999999998</v>
      </c>
      <c r="S533" s="34">
        <v>13.257999999999811</v>
      </c>
      <c r="T533" s="56">
        <v>13.257999999999811</v>
      </c>
      <c r="U533" s="56">
        <v>1.1540586103769652</v>
      </c>
      <c r="V533" s="56">
        <v>0.60538812785387264</v>
      </c>
      <c r="W533" s="33">
        <v>0.60538812785387264</v>
      </c>
    </row>
    <row r="534" spans="1:23" ht="15" x14ac:dyDescent="0.2">
      <c r="A534" s="103" t="s">
        <v>19</v>
      </c>
      <c r="B534" s="28" t="s">
        <v>435</v>
      </c>
      <c r="C534" s="103" t="s">
        <v>970</v>
      </c>
      <c r="D534" s="35" t="s">
        <v>458</v>
      </c>
      <c r="E534" s="208" t="s">
        <v>82</v>
      </c>
      <c r="F534" s="103" t="s">
        <v>967</v>
      </c>
      <c r="G534" s="103">
        <v>0</v>
      </c>
      <c r="H534" s="35" t="s">
        <v>494</v>
      </c>
      <c r="I534" s="35" t="s">
        <v>580</v>
      </c>
      <c r="J534" s="35">
        <v>1150</v>
      </c>
      <c r="K534" s="141">
        <v>1119.2842000000001</v>
      </c>
      <c r="L534" s="34">
        <v>-30.715799999999945</v>
      </c>
      <c r="M534" s="56">
        <v>30.715799999999945</v>
      </c>
      <c r="N534" s="56">
        <v>1.5012756705247043</v>
      </c>
      <c r="O534" s="132">
        <f t="shared" si="9"/>
        <v>-1.5012756705247043</v>
      </c>
      <c r="P534" s="56">
        <v>-2.6709391304347778</v>
      </c>
      <c r="Q534" s="143">
        <v>2.6709391304347778</v>
      </c>
      <c r="R534" s="143">
        <v>1118.6600000000003</v>
      </c>
      <c r="S534" s="34">
        <v>-31.339999999999691</v>
      </c>
      <c r="T534" s="56">
        <v>31.339999999999691</v>
      </c>
      <c r="U534" s="56">
        <v>1.5097400155703782</v>
      </c>
      <c r="V534" s="56">
        <v>-2.7252173913043207</v>
      </c>
      <c r="W534" s="33">
        <v>2.7252173913043207</v>
      </c>
    </row>
    <row r="535" spans="1:23" ht="16" x14ac:dyDescent="0.2">
      <c r="A535" s="103" t="s">
        <v>19</v>
      </c>
      <c r="B535" t="s">
        <v>859</v>
      </c>
      <c r="C535" s="224" t="s">
        <v>977</v>
      </c>
      <c r="D535" s="224" t="s">
        <v>824</v>
      </c>
      <c r="E535" s="35" t="s">
        <v>148</v>
      </c>
      <c r="F535" s="103" t="s">
        <v>968</v>
      </c>
      <c r="G535" s="103">
        <v>1</v>
      </c>
      <c r="H535" s="35" t="s">
        <v>494</v>
      </c>
      <c r="I535" s="35" t="s">
        <v>580</v>
      </c>
      <c r="J535" s="35">
        <v>1135</v>
      </c>
      <c r="K535" s="147">
        <v>1104.1950738857709</v>
      </c>
      <c r="L535" s="34">
        <v>-30.804926114229147</v>
      </c>
      <c r="M535" s="56">
        <v>30.804926114229147</v>
      </c>
      <c r="N535" s="56">
        <v>1.5024943910076669</v>
      </c>
      <c r="O535" s="132">
        <f t="shared" si="9"/>
        <v>-1.5024943910076669</v>
      </c>
      <c r="P535" s="56">
        <v>-2.7140904065400129</v>
      </c>
      <c r="Q535" s="143">
        <v>2.7140904065400129</v>
      </c>
      <c r="R535" s="143">
        <v>1133.9076453703744</v>
      </c>
      <c r="S535" s="34">
        <v>-1.0923546296255608</v>
      </c>
      <c r="T535" s="56">
        <v>1.0923546296255608</v>
      </c>
      <c r="U535" s="56">
        <v>0.32063529426646226</v>
      </c>
      <c r="V535" s="56">
        <v>-9.6242698645423869E-2</v>
      </c>
      <c r="W535" s="33">
        <v>9.6242698645423869E-2</v>
      </c>
    </row>
    <row r="536" spans="1:23" ht="16" x14ac:dyDescent="0.2">
      <c r="A536" s="103" t="s">
        <v>19</v>
      </c>
      <c r="B536" t="s">
        <v>853</v>
      </c>
      <c r="C536" s="224" t="s">
        <v>977</v>
      </c>
      <c r="D536" s="224" t="s">
        <v>824</v>
      </c>
      <c r="E536" s="35" t="s">
        <v>148</v>
      </c>
      <c r="F536" s="103" t="s">
        <v>968</v>
      </c>
      <c r="G536" s="103">
        <v>1</v>
      </c>
      <c r="H536" s="35" t="s">
        <v>374</v>
      </c>
      <c r="I536" s="35" t="s">
        <v>580</v>
      </c>
      <c r="J536" s="35">
        <v>1274</v>
      </c>
      <c r="K536" s="147">
        <v>1242.6861166335275</v>
      </c>
      <c r="L536" s="34">
        <v>-31.31388336647251</v>
      </c>
      <c r="M536" s="56">
        <v>31.31388336647251</v>
      </c>
      <c r="N536" s="56">
        <v>1.5093891531054162</v>
      </c>
      <c r="O536" s="132">
        <f t="shared" si="9"/>
        <v>-1.5093891531054162</v>
      </c>
      <c r="P536" s="56">
        <v>-2.4579186315912489</v>
      </c>
      <c r="Q536" s="143">
        <v>2.4579186315912489</v>
      </c>
      <c r="R536" s="143">
        <v>1229.2401174352347</v>
      </c>
      <c r="S536" s="34">
        <v>-44.759882564765348</v>
      </c>
      <c r="T536" s="56">
        <v>44.759882564765348</v>
      </c>
      <c r="U536" s="56">
        <v>1.660484901240828</v>
      </c>
      <c r="V536" s="56">
        <v>-3.5133345812217698</v>
      </c>
      <c r="W536" s="33">
        <v>3.5133345812217698</v>
      </c>
    </row>
    <row r="537" spans="1:23" ht="16" x14ac:dyDescent="0.2">
      <c r="A537" s="103" t="s">
        <v>19</v>
      </c>
      <c r="B537" t="s">
        <v>839</v>
      </c>
      <c r="C537" s="103" t="s">
        <v>970</v>
      </c>
      <c r="D537" s="224" t="s">
        <v>824</v>
      </c>
      <c r="E537" s="35" t="s">
        <v>148</v>
      </c>
      <c r="F537" s="103" t="s">
        <v>967</v>
      </c>
      <c r="G537" s="103">
        <v>0</v>
      </c>
      <c r="H537" s="35" t="s">
        <v>374</v>
      </c>
      <c r="I537" s="35" t="s">
        <v>580</v>
      </c>
      <c r="J537" s="35">
        <v>1380</v>
      </c>
      <c r="K537" s="147">
        <v>1348.6</v>
      </c>
      <c r="L537" s="34">
        <v>-31.400000000000091</v>
      </c>
      <c r="M537" s="56">
        <v>31.400000000000091</v>
      </c>
      <c r="N537" s="56">
        <v>1.5105450102066134</v>
      </c>
      <c r="O537" s="132">
        <f t="shared" si="9"/>
        <v>-1.5105450102066134</v>
      </c>
      <c r="P537" s="56">
        <v>-2.2753623188405863</v>
      </c>
      <c r="Q537" s="143">
        <v>2.2753623188405863</v>
      </c>
      <c r="R537" s="143">
        <v>1381.3430000000003</v>
      </c>
      <c r="S537" s="34">
        <v>1.343000000000302</v>
      </c>
      <c r="T537" s="56">
        <v>1.343000000000302</v>
      </c>
      <c r="U537" s="56">
        <v>0.36977228859701872</v>
      </c>
      <c r="V537" s="56">
        <v>9.731884057973203E-2</v>
      </c>
      <c r="W537" s="33">
        <v>9.731884057973203E-2</v>
      </c>
    </row>
    <row r="538" spans="1:23" ht="15" x14ac:dyDescent="0.2">
      <c r="A538" s="103" t="s">
        <v>19</v>
      </c>
      <c r="B538" s="28" t="s">
        <v>427</v>
      </c>
      <c r="C538" s="103" t="s">
        <v>975</v>
      </c>
      <c r="D538" s="35" t="s">
        <v>458</v>
      </c>
      <c r="E538" s="208" t="s">
        <v>82</v>
      </c>
      <c r="F538" s="103" t="s">
        <v>967</v>
      </c>
      <c r="G538" s="103">
        <v>0</v>
      </c>
      <c r="H538" s="35" t="s">
        <v>374</v>
      </c>
      <c r="I538" s="35" t="s">
        <v>580</v>
      </c>
      <c r="J538" s="35">
        <v>1650</v>
      </c>
      <c r="K538" s="141">
        <v>1681.415</v>
      </c>
      <c r="L538" s="34">
        <v>31.414999999999964</v>
      </c>
      <c r="M538" s="56">
        <v>31.414999999999964</v>
      </c>
      <c r="N538" s="56">
        <v>1.510746025938922</v>
      </c>
      <c r="O538" s="132">
        <f t="shared" si="9"/>
        <v>1.510746025938922</v>
      </c>
      <c r="P538" s="56">
        <v>1.9039393939393918</v>
      </c>
      <c r="Q538" s="143">
        <v>1.9039393939393918</v>
      </c>
      <c r="R538" s="143">
        <v>1702.8330000000001</v>
      </c>
      <c r="S538" s="34">
        <v>52.833000000000084</v>
      </c>
      <c r="T538" s="56">
        <v>52.833000000000084</v>
      </c>
      <c r="U538" s="56">
        <v>1.7310485828092155</v>
      </c>
      <c r="V538" s="56">
        <v>3.2020000000000053</v>
      </c>
      <c r="W538" s="33">
        <v>3.2020000000000053</v>
      </c>
    </row>
    <row r="539" spans="1:23" ht="16" x14ac:dyDescent="0.2">
      <c r="A539" s="103" t="s">
        <v>19</v>
      </c>
      <c r="B539" t="s">
        <v>861</v>
      </c>
      <c r="C539" s="103" t="s">
        <v>970</v>
      </c>
      <c r="D539" s="224" t="s">
        <v>824</v>
      </c>
      <c r="E539" s="35" t="s">
        <v>148</v>
      </c>
      <c r="F539" s="103" t="s">
        <v>967</v>
      </c>
      <c r="G539" s="103">
        <v>0</v>
      </c>
      <c r="H539" s="35" t="s">
        <v>494</v>
      </c>
      <c r="I539" s="35" t="s">
        <v>580</v>
      </c>
      <c r="J539" s="35">
        <v>1055</v>
      </c>
      <c r="K539" s="147">
        <v>1086.5248000000001</v>
      </c>
      <c r="L539" s="34">
        <v>31.524800000000141</v>
      </c>
      <c r="M539" s="56">
        <v>31.524800000000141</v>
      </c>
      <c r="N539" s="56">
        <v>1.5122146346982397</v>
      </c>
      <c r="O539" s="132">
        <f t="shared" si="9"/>
        <v>1.5122146346982397</v>
      </c>
      <c r="P539" s="56">
        <v>2.9881327014218142</v>
      </c>
      <c r="Q539" s="143">
        <v>2.9881327014218142</v>
      </c>
      <c r="R539" s="143">
        <v>1090.7150000000001</v>
      </c>
      <c r="S539" s="34">
        <v>35.715000000000146</v>
      </c>
      <c r="T539" s="56">
        <v>35.715000000000146</v>
      </c>
      <c r="U539" s="56">
        <v>1.5648435325438352</v>
      </c>
      <c r="V539" s="56">
        <v>3.3853080568720517</v>
      </c>
      <c r="W539" s="33">
        <v>3.3853080568720517</v>
      </c>
    </row>
    <row r="540" spans="1:23" ht="16" x14ac:dyDescent="0.2">
      <c r="A540" s="103" t="s">
        <v>19</v>
      </c>
      <c r="B540" t="s">
        <v>866</v>
      </c>
      <c r="C540" s="224" t="s">
        <v>977</v>
      </c>
      <c r="D540" s="224" t="s">
        <v>824</v>
      </c>
      <c r="E540" s="35" t="s">
        <v>148</v>
      </c>
      <c r="F540" s="103" t="s">
        <v>968</v>
      </c>
      <c r="G540" s="103">
        <v>1</v>
      </c>
      <c r="H540" s="35" t="s">
        <v>374</v>
      </c>
      <c r="I540" s="35" t="s">
        <v>580</v>
      </c>
      <c r="J540" s="35">
        <v>1565</v>
      </c>
      <c r="K540" s="147">
        <v>1533.4719588804367</v>
      </c>
      <c r="L540" s="34">
        <v>-31.528041119563341</v>
      </c>
      <c r="M540" s="56">
        <v>31.528041119563341</v>
      </c>
      <c r="N540" s="56">
        <v>1.5122579102975349</v>
      </c>
      <c r="O540" s="132">
        <f t="shared" ref="O540:O603" si="10">SIGN(L540)*N540</f>
        <v>-1.5122579102975349</v>
      </c>
      <c r="P540" s="56">
        <v>-2.0145713175439832</v>
      </c>
      <c r="Q540" s="143">
        <v>2.0145713175439832</v>
      </c>
      <c r="R540" s="143">
        <v>1509.7559556476579</v>
      </c>
      <c r="S540" s="34">
        <v>-55.244044352342144</v>
      </c>
      <c r="T540" s="56">
        <v>55.244044352342144</v>
      </c>
      <c r="U540" s="56">
        <v>1.7500765420393849</v>
      </c>
      <c r="V540" s="56">
        <v>-3.5299708851336833</v>
      </c>
      <c r="W540" s="33">
        <v>3.5299708851336833</v>
      </c>
    </row>
    <row r="541" spans="1:23" ht="15" x14ac:dyDescent="0.2">
      <c r="A541" s="103" t="s">
        <v>19</v>
      </c>
      <c r="B541" s="28" t="s">
        <v>435</v>
      </c>
      <c r="C541" s="224" t="s">
        <v>977</v>
      </c>
      <c r="D541" s="35" t="s">
        <v>458</v>
      </c>
      <c r="E541" s="208" t="s">
        <v>82</v>
      </c>
      <c r="F541" s="103" t="s">
        <v>968</v>
      </c>
      <c r="G541" s="103">
        <v>1</v>
      </c>
      <c r="H541" s="35" t="s">
        <v>494</v>
      </c>
      <c r="I541" s="35" t="s">
        <v>580</v>
      </c>
      <c r="J541" s="35">
        <v>1150</v>
      </c>
      <c r="K541" s="141">
        <v>1118.4537882013749</v>
      </c>
      <c r="L541" s="34">
        <v>-31.546211798625109</v>
      </c>
      <c r="M541" s="56">
        <v>31.546211798625109</v>
      </c>
      <c r="N541" s="56">
        <v>1.5125004463390619</v>
      </c>
      <c r="O541" s="132">
        <f t="shared" si="10"/>
        <v>-1.5125004463390619</v>
      </c>
      <c r="P541" s="56">
        <v>-2.7431488520543574</v>
      </c>
      <c r="Q541" s="143">
        <v>2.7431488520543574</v>
      </c>
      <c r="R541" s="143">
        <v>1111.3113955377892</v>
      </c>
      <c r="S541" s="34">
        <v>-38.688604462210833</v>
      </c>
      <c r="T541" s="56">
        <v>38.688604462210833</v>
      </c>
      <c r="U541" s="56">
        <v>1.5986658284355977</v>
      </c>
      <c r="V541" s="56">
        <v>-3.3642264749748549</v>
      </c>
      <c r="W541" s="33">
        <v>3.3642264749748549</v>
      </c>
    </row>
    <row r="542" spans="1:23" ht="16" x14ac:dyDescent="0.2">
      <c r="A542" s="103" t="s">
        <v>19</v>
      </c>
      <c r="B542" t="s">
        <v>871</v>
      </c>
      <c r="C542" s="224" t="s">
        <v>977</v>
      </c>
      <c r="D542" s="224" t="s">
        <v>824</v>
      </c>
      <c r="E542" s="35" t="s">
        <v>148</v>
      </c>
      <c r="F542" s="103" t="s">
        <v>968</v>
      </c>
      <c r="G542" s="103">
        <v>1</v>
      </c>
      <c r="H542" s="35" t="s">
        <v>374</v>
      </c>
      <c r="I542" s="35" t="s">
        <v>580</v>
      </c>
      <c r="J542" s="35">
        <v>1575</v>
      </c>
      <c r="K542" s="147">
        <v>1543.2550534015791</v>
      </c>
      <c r="L542" s="34">
        <v>-31.744946598420938</v>
      </c>
      <c r="M542" s="56">
        <v>31.744946598420938</v>
      </c>
      <c r="N542" s="56">
        <v>1.5151442865031004</v>
      </c>
      <c r="O542" s="132">
        <f t="shared" si="10"/>
        <v>-1.5151442865031004</v>
      </c>
      <c r="P542" s="56">
        <v>-2.0155521649791073</v>
      </c>
      <c r="Q542" s="143">
        <v>2.0155521649791073</v>
      </c>
      <c r="R542" s="143">
        <v>1546.9097996363096</v>
      </c>
      <c r="S542" s="34">
        <v>-28.090200363690428</v>
      </c>
      <c r="T542" s="56">
        <v>28.090200363690428</v>
      </c>
      <c r="U542" s="56">
        <v>1.4637467125342869</v>
      </c>
      <c r="V542" s="56">
        <v>-1.7835047849962176</v>
      </c>
      <c r="W542" s="33">
        <v>1.7835047849962176</v>
      </c>
    </row>
    <row r="543" spans="1:23" ht="16" x14ac:dyDescent="0.2">
      <c r="A543" s="103" t="s">
        <v>19</v>
      </c>
      <c r="B543" t="s">
        <v>874</v>
      </c>
      <c r="C543" s="24" t="s">
        <v>980</v>
      </c>
      <c r="D543" s="224" t="s">
        <v>824</v>
      </c>
      <c r="E543" s="35" t="s">
        <v>148</v>
      </c>
      <c r="F543" s="103" t="s">
        <v>968</v>
      </c>
      <c r="G543" s="103">
        <v>1</v>
      </c>
      <c r="H543" s="35" t="s">
        <v>374</v>
      </c>
      <c r="I543" s="35" t="s">
        <v>580</v>
      </c>
      <c r="J543" s="35">
        <v>1540</v>
      </c>
      <c r="K543" s="147">
        <v>1571.8428543056348</v>
      </c>
      <c r="L543" s="34">
        <v>31.842854305634773</v>
      </c>
      <c r="M543" s="56">
        <v>31.842854305634773</v>
      </c>
      <c r="N543" s="56">
        <v>1.5164408937372731</v>
      </c>
      <c r="O543" s="132">
        <f t="shared" si="10"/>
        <v>1.5164408937372731</v>
      </c>
      <c r="P543" s="56">
        <v>2.0677178120542061</v>
      </c>
      <c r="Q543" s="143">
        <v>2.0677178120542061</v>
      </c>
      <c r="R543" s="143">
        <v>1569.9112035924754</v>
      </c>
      <c r="S543" s="34">
        <v>29.911203592475431</v>
      </c>
      <c r="T543" s="56">
        <v>29.911203592475431</v>
      </c>
      <c r="U543" s="56">
        <v>1.4901159155580941</v>
      </c>
      <c r="V543" s="56">
        <v>1.9422859475633396</v>
      </c>
      <c r="W543" s="33">
        <v>1.9422859475633396</v>
      </c>
    </row>
    <row r="544" spans="1:23" ht="16" x14ac:dyDescent="0.2">
      <c r="A544" s="103" t="s">
        <v>19</v>
      </c>
      <c r="B544" t="s">
        <v>859</v>
      </c>
      <c r="C544" s="103" t="s">
        <v>970</v>
      </c>
      <c r="D544" s="224" t="s">
        <v>824</v>
      </c>
      <c r="E544" s="35" t="s">
        <v>148</v>
      </c>
      <c r="F544" s="103" t="s">
        <v>967</v>
      </c>
      <c r="G544" s="103">
        <v>0</v>
      </c>
      <c r="H544" s="35" t="s">
        <v>494</v>
      </c>
      <c r="I544" s="35" t="s">
        <v>580</v>
      </c>
      <c r="J544" s="35">
        <v>1135</v>
      </c>
      <c r="K544" s="147">
        <v>1102.9045000000001</v>
      </c>
      <c r="L544" s="34">
        <v>-32.095499999999902</v>
      </c>
      <c r="M544" s="56">
        <v>32.095499999999902</v>
      </c>
      <c r="N544" s="56">
        <v>1.5197689467054007</v>
      </c>
      <c r="O544" s="132">
        <f t="shared" si="10"/>
        <v>-1.5197689467054007</v>
      </c>
      <c r="P544" s="56">
        <v>-2.8277973568281851</v>
      </c>
      <c r="Q544" s="143">
        <v>2.8277973568281851</v>
      </c>
      <c r="R544" s="143">
        <v>1146.605</v>
      </c>
      <c r="S544" s="34">
        <v>11.605000000000018</v>
      </c>
      <c r="T544" s="56">
        <v>11.605000000000018</v>
      </c>
      <c r="U544" s="56">
        <v>1.1005428500124654</v>
      </c>
      <c r="V544" s="56">
        <v>1.0224669603524246</v>
      </c>
      <c r="W544" s="33">
        <v>1.0224669603524246</v>
      </c>
    </row>
    <row r="545" spans="1:23" ht="16" x14ac:dyDescent="0.2">
      <c r="A545" s="103" t="s">
        <v>19</v>
      </c>
      <c r="B545" t="s">
        <v>841</v>
      </c>
      <c r="C545" s="24" t="s">
        <v>980</v>
      </c>
      <c r="D545" s="224" t="s">
        <v>824</v>
      </c>
      <c r="E545" s="35" t="s">
        <v>148</v>
      </c>
      <c r="F545" s="103" t="s">
        <v>968</v>
      </c>
      <c r="G545" s="103">
        <v>1</v>
      </c>
      <c r="H545" s="35" t="s">
        <v>374</v>
      </c>
      <c r="I545" s="35" t="s">
        <v>580</v>
      </c>
      <c r="J545" s="35">
        <v>1325</v>
      </c>
      <c r="K545" s="147">
        <v>1292.8433760975963</v>
      </c>
      <c r="L545" s="34">
        <v>-32.15662390240368</v>
      </c>
      <c r="M545" s="56">
        <v>32.15662390240368</v>
      </c>
      <c r="N545" s="56">
        <v>1.5205703030844724</v>
      </c>
      <c r="O545" s="132">
        <f t="shared" si="10"/>
        <v>-1.5205703030844724</v>
      </c>
      <c r="P545" s="56">
        <v>-2.4269150115021647</v>
      </c>
      <c r="Q545" s="143">
        <v>2.4269150115021647</v>
      </c>
      <c r="R545" s="143">
        <v>1290.4389053750222</v>
      </c>
      <c r="S545" s="34">
        <v>-34.561094624977841</v>
      </c>
      <c r="T545" s="56">
        <v>34.561094624977841</v>
      </c>
      <c r="U545" s="56">
        <v>1.5509751207534894</v>
      </c>
      <c r="V545" s="56">
        <v>-2.6083844999983277</v>
      </c>
      <c r="W545" s="33">
        <v>2.6083844999983277</v>
      </c>
    </row>
    <row r="546" spans="1:23" ht="16" x14ac:dyDescent="0.2">
      <c r="A546" s="103" t="s">
        <v>19</v>
      </c>
      <c r="B546" t="s">
        <v>846</v>
      </c>
      <c r="C546" s="103" t="s">
        <v>975</v>
      </c>
      <c r="D546" s="224" t="s">
        <v>824</v>
      </c>
      <c r="E546" s="35" t="s">
        <v>148</v>
      </c>
      <c r="F546" s="103" t="s">
        <v>967</v>
      </c>
      <c r="G546" s="103">
        <v>0</v>
      </c>
      <c r="H546" s="35" t="s">
        <v>374</v>
      </c>
      <c r="I546" s="35" t="s">
        <v>580</v>
      </c>
      <c r="J546" s="35">
        <v>1312</v>
      </c>
      <c r="K546" s="147">
        <v>1344.4712</v>
      </c>
      <c r="L546" s="34">
        <v>32.471199999999953</v>
      </c>
      <c r="M546" s="56">
        <v>32.471199999999953</v>
      </c>
      <c r="N546" s="56">
        <v>1.5246712828398814</v>
      </c>
      <c r="O546" s="132">
        <f t="shared" si="10"/>
        <v>1.5246712828398814</v>
      </c>
      <c r="P546" s="56">
        <v>2.4749390243902405</v>
      </c>
      <c r="Q546" s="143">
        <v>2.4749390243902405</v>
      </c>
      <c r="R546" s="143">
        <v>1350.5337999999999</v>
      </c>
      <c r="S546" s="34">
        <v>38.533799999999928</v>
      </c>
      <c r="T546" s="56">
        <v>38.533799999999928</v>
      </c>
      <c r="U546" s="56">
        <v>1.5969685608573672</v>
      </c>
      <c r="V546" s="56">
        <v>2.9370274390243849</v>
      </c>
      <c r="W546" s="33">
        <v>2.9370274390243849</v>
      </c>
    </row>
    <row r="547" spans="1:23" ht="16" x14ac:dyDescent="0.2">
      <c r="A547" s="103" t="s">
        <v>19</v>
      </c>
      <c r="B547" t="s">
        <v>862</v>
      </c>
      <c r="C547" s="224" t="s">
        <v>977</v>
      </c>
      <c r="D547" s="224" t="s">
        <v>824</v>
      </c>
      <c r="E547" s="35" t="s">
        <v>148</v>
      </c>
      <c r="F547" s="103" t="s">
        <v>968</v>
      </c>
      <c r="G547" s="103">
        <v>1</v>
      </c>
      <c r="H547" s="35" t="s">
        <v>374</v>
      </c>
      <c r="I547" s="35" t="s">
        <v>580</v>
      </c>
      <c r="J547" s="35">
        <v>1280</v>
      </c>
      <c r="K547" s="147">
        <v>1247.4870294087882</v>
      </c>
      <c r="L547" s="34">
        <v>-32.512970591211797</v>
      </c>
      <c r="M547" s="56">
        <v>32.512970591211797</v>
      </c>
      <c r="N547" s="56">
        <v>1.5252129254238069</v>
      </c>
      <c r="O547" s="132">
        <f t="shared" si="10"/>
        <v>-1.5252129254238069</v>
      </c>
      <c r="P547" s="56">
        <v>-2.5400758274384216</v>
      </c>
      <c r="Q547" s="143">
        <v>2.5400758274384216</v>
      </c>
      <c r="R547" s="143">
        <v>1201.9331739909244</v>
      </c>
      <c r="S547" s="34">
        <v>-78.066826009075612</v>
      </c>
      <c r="T547" s="56">
        <v>78.066826009075612</v>
      </c>
      <c r="U547" s="56">
        <v>1.8979943052018104</v>
      </c>
      <c r="V547" s="56">
        <v>-6.0989707819590322</v>
      </c>
      <c r="W547" s="33">
        <v>6.0989707819590322</v>
      </c>
    </row>
    <row r="548" spans="1:23" ht="15" x14ac:dyDescent="0.2">
      <c r="A548" s="103" t="s">
        <v>19</v>
      </c>
      <c r="B548" s="218" t="s">
        <v>344</v>
      </c>
      <c r="C548" s="103" t="s">
        <v>979</v>
      </c>
      <c r="D548" s="208" t="s">
        <v>403</v>
      </c>
      <c r="E548" s="35" t="s">
        <v>82</v>
      </c>
      <c r="F548" s="103" t="s">
        <v>967</v>
      </c>
      <c r="G548" s="103">
        <v>0</v>
      </c>
      <c r="H548" s="35" t="s">
        <v>374</v>
      </c>
      <c r="I548" s="35" t="s">
        <v>580</v>
      </c>
      <c r="J548" s="35">
        <v>1427.7</v>
      </c>
      <c r="K548" s="141">
        <v>1395.0434782608695</v>
      </c>
      <c r="L548" s="34">
        <v>-32.65652173913054</v>
      </c>
      <c r="M548" s="56">
        <v>32.65652173913054</v>
      </c>
      <c r="N548" s="56">
        <v>1.5270692314390892</v>
      </c>
      <c r="O548" s="132">
        <f t="shared" si="10"/>
        <v>-1.5270692314390892</v>
      </c>
      <c r="P548" s="56">
        <v>-2.2873518063410057</v>
      </c>
      <c r="Q548" s="143">
        <v>2.2873518063410057</v>
      </c>
      <c r="R548" s="143">
        <v>1402.0833333333335</v>
      </c>
      <c r="S548" s="34">
        <v>-25.616666666666561</v>
      </c>
      <c r="T548" s="56">
        <v>25.616666666666561</v>
      </c>
      <c r="U548" s="56">
        <v>1.4251536657548376</v>
      </c>
      <c r="V548" s="56">
        <v>-1.7942611659779057</v>
      </c>
      <c r="W548" s="33">
        <v>1.7942611659779057</v>
      </c>
    </row>
    <row r="549" spans="1:23" ht="15" x14ac:dyDescent="0.2">
      <c r="A549" s="103" t="s">
        <v>19</v>
      </c>
      <c r="B549" t="s">
        <v>891</v>
      </c>
      <c r="C549" s="224" t="s">
        <v>977</v>
      </c>
      <c r="D549" s="224" t="s">
        <v>824</v>
      </c>
      <c r="E549" s="35" t="s">
        <v>148</v>
      </c>
      <c r="F549" s="103" t="s">
        <v>968</v>
      </c>
      <c r="G549" s="103">
        <v>1</v>
      </c>
      <c r="H549" s="35" t="s">
        <v>374</v>
      </c>
      <c r="I549" s="35" t="s">
        <v>580</v>
      </c>
      <c r="J549" s="35">
        <v>1704</v>
      </c>
      <c r="K549">
        <v>1670.9245211168936</v>
      </c>
      <c r="L549" s="34">
        <v>-33.075478883106371</v>
      </c>
      <c r="M549" s="56">
        <v>33.075478883106371</v>
      </c>
      <c r="N549" s="56">
        <v>1.5324419679499734</v>
      </c>
      <c r="O549" s="132">
        <f t="shared" si="10"/>
        <v>-1.5324419679499734</v>
      </c>
      <c r="P549" s="56">
        <v>-1.941049230229247</v>
      </c>
      <c r="Q549" s="143">
        <v>1.941049230229247</v>
      </c>
      <c r="R549" s="143">
        <v>1658.8397402411433</v>
      </c>
      <c r="S549" s="34">
        <v>-45.160259758856682</v>
      </c>
      <c r="T549" s="56">
        <v>45.160259758856682</v>
      </c>
      <c r="U549" s="56">
        <v>1.6642682440714329</v>
      </c>
      <c r="V549" s="56">
        <v>-2.6502499858483968</v>
      </c>
      <c r="W549" s="33">
        <v>2.6502499858483968</v>
      </c>
    </row>
    <row r="550" spans="1:23" ht="15" x14ac:dyDescent="0.2">
      <c r="A550" s="103" t="s">
        <v>19</v>
      </c>
      <c r="B550" s="28" t="s">
        <v>423</v>
      </c>
      <c r="C550" s="224" t="s">
        <v>978</v>
      </c>
      <c r="D550" s="35" t="s">
        <v>458</v>
      </c>
      <c r="E550" s="208" t="s">
        <v>82</v>
      </c>
      <c r="F550" s="103" t="s">
        <v>968</v>
      </c>
      <c r="G550" s="103">
        <v>1</v>
      </c>
      <c r="H550" s="35" t="s">
        <v>494</v>
      </c>
      <c r="I550" s="35" t="s">
        <v>580</v>
      </c>
      <c r="J550" s="35">
        <v>1150</v>
      </c>
      <c r="K550" s="141">
        <v>1116.8022179512875</v>
      </c>
      <c r="L550" s="34">
        <v>-33.197782048712497</v>
      </c>
      <c r="M550" s="56">
        <v>33.197782048712497</v>
      </c>
      <c r="N550" s="56">
        <v>1.5339979401134165</v>
      </c>
      <c r="O550" s="132">
        <f t="shared" si="10"/>
        <v>-1.5339979401134165</v>
      </c>
      <c r="P550" s="56">
        <v>-2.8867636564097823</v>
      </c>
      <c r="Q550" s="143">
        <v>2.8867636564097823</v>
      </c>
      <c r="R550" s="143">
        <v>1080.6902044552403</v>
      </c>
      <c r="S550" s="34">
        <v>-69.309795544759709</v>
      </c>
      <c r="T550" s="56">
        <v>69.309795544759709</v>
      </c>
      <c r="U550" s="56">
        <v>1.8470158350437065</v>
      </c>
      <c r="V550" s="56">
        <v>-6.0269387430225834</v>
      </c>
      <c r="W550" s="33">
        <v>6.0269387430225834</v>
      </c>
    </row>
    <row r="551" spans="1:23" ht="15" x14ac:dyDescent="0.2">
      <c r="A551" s="103" t="s">
        <v>19</v>
      </c>
      <c r="B551" t="s">
        <v>892</v>
      </c>
      <c r="C551" s="224" t="s">
        <v>974</v>
      </c>
      <c r="D551" s="224" t="s">
        <v>824</v>
      </c>
      <c r="E551" s="35" t="s">
        <v>148</v>
      </c>
      <c r="F551" s="103" t="s">
        <v>967</v>
      </c>
      <c r="G551" s="103">
        <v>0</v>
      </c>
      <c r="H551" s="35" t="s">
        <v>494</v>
      </c>
      <c r="I551" s="35" t="s">
        <v>580</v>
      </c>
      <c r="J551" s="35">
        <v>1090</v>
      </c>
      <c r="K551">
        <v>1123.2511999999999</v>
      </c>
      <c r="L551" s="34">
        <v>33.251199999999926</v>
      </c>
      <c r="M551" s="56">
        <v>33.251199999999926</v>
      </c>
      <c r="N551" s="56">
        <v>1.5346757917189195</v>
      </c>
      <c r="O551" s="132">
        <f t="shared" si="10"/>
        <v>1.5346757917189195</v>
      </c>
      <c r="P551" s="56">
        <v>3.0505688073394426</v>
      </c>
      <c r="Q551" s="143">
        <v>3.0505688073394426</v>
      </c>
      <c r="R551" s="143">
        <v>1048.9598999999998</v>
      </c>
      <c r="S551" s="34">
        <v>-41.040100000000166</v>
      </c>
      <c r="T551" s="56">
        <v>41.040100000000166</v>
      </c>
      <c r="U551" s="56">
        <v>1.6236637404056007</v>
      </c>
      <c r="V551" s="56">
        <v>-3.7651467889908408</v>
      </c>
      <c r="W551" s="33">
        <v>3.7651467889908408</v>
      </c>
    </row>
    <row r="552" spans="1:23" ht="15" x14ac:dyDescent="0.2">
      <c r="A552" s="103" t="s">
        <v>19</v>
      </c>
      <c r="B552" s="28" t="s">
        <v>301</v>
      </c>
      <c r="C552" s="103" t="s">
        <v>970</v>
      </c>
      <c r="D552" s="208" t="s">
        <v>403</v>
      </c>
      <c r="E552" s="35" t="s">
        <v>82</v>
      </c>
      <c r="F552" s="103" t="s">
        <v>967</v>
      </c>
      <c r="G552" s="103">
        <v>0</v>
      </c>
      <c r="H552" s="35" t="s">
        <v>374</v>
      </c>
      <c r="I552" s="35" t="s">
        <v>580</v>
      </c>
      <c r="J552" s="35">
        <v>1300</v>
      </c>
      <c r="K552" s="141">
        <v>1266.7015000000001</v>
      </c>
      <c r="L552" s="34">
        <v>-33.298499999999876</v>
      </c>
      <c r="M552" s="56">
        <v>33.298499999999876</v>
      </c>
      <c r="N552" s="56">
        <v>1.5352751271574154</v>
      </c>
      <c r="O552" s="132">
        <f t="shared" si="10"/>
        <v>-1.5352751271574154</v>
      </c>
      <c r="P552" s="56">
        <v>-2.5614230769230675</v>
      </c>
      <c r="Q552" s="143">
        <v>2.5614230769230675</v>
      </c>
      <c r="R552" s="143">
        <v>1286.33</v>
      </c>
      <c r="S552" s="34">
        <v>-13.670000000000073</v>
      </c>
      <c r="T552" s="56">
        <v>13.670000000000073</v>
      </c>
      <c r="U552" s="56">
        <v>1.1664301138432849</v>
      </c>
      <c r="V552" s="56">
        <v>-1.0515384615384671</v>
      </c>
      <c r="W552" s="33">
        <v>1.0515384615384671</v>
      </c>
    </row>
    <row r="553" spans="1:23" ht="16" x14ac:dyDescent="0.2">
      <c r="A553" s="103" t="s">
        <v>19</v>
      </c>
      <c r="B553" t="s">
        <v>850</v>
      </c>
      <c r="C553" s="103" t="s">
        <v>970</v>
      </c>
      <c r="D553" s="224" t="s">
        <v>824</v>
      </c>
      <c r="E553" s="35" t="s">
        <v>148</v>
      </c>
      <c r="F553" s="103" t="s">
        <v>967</v>
      </c>
      <c r="G553" s="103">
        <v>0</v>
      </c>
      <c r="H553" s="35" t="s">
        <v>374</v>
      </c>
      <c r="I553" s="35" t="s">
        <v>580</v>
      </c>
      <c r="J553" s="35">
        <v>1240</v>
      </c>
      <c r="K553" s="147">
        <v>1206.6426000000001</v>
      </c>
      <c r="L553" s="34">
        <v>-33.35739999999987</v>
      </c>
      <c r="M553" s="56">
        <v>33.35739999999987</v>
      </c>
      <c r="N553" s="56">
        <v>1.5360202911202991</v>
      </c>
      <c r="O553" s="132">
        <f t="shared" si="10"/>
        <v>-1.5360202911202991</v>
      </c>
      <c r="P553" s="56">
        <v>-2.690112903225796</v>
      </c>
      <c r="Q553" s="143">
        <v>2.690112903225796</v>
      </c>
      <c r="R553" s="143">
        <v>1202.4949999999999</v>
      </c>
      <c r="S553" s="34">
        <v>-37.505000000000109</v>
      </c>
      <c r="T553" s="56">
        <v>37.505000000000109</v>
      </c>
      <c r="U553" s="56">
        <v>1.5855171277271258</v>
      </c>
      <c r="V553" s="56">
        <v>-3.0245967741935571</v>
      </c>
      <c r="W553" s="33">
        <v>3.0245967741935571</v>
      </c>
    </row>
    <row r="554" spans="1:23" ht="16" x14ac:dyDescent="0.2">
      <c r="A554" s="103" t="s">
        <v>19</v>
      </c>
      <c r="B554" t="s">
        <v>846</v>
      </c>
      <c r="C554" s="103" t="s">
        <v>979</v>
      </c>
      <c r="D554" s="224" t="s">
        <v>824</v>
      </c>
      <c r="E554" s="35" t="s">
        <v>148</v>
      </c>
      <c r="F554" s="103" t="s">
        <v>967</v>
      </c>
      <c r="G554" s="103">
        <v>0</v>
      </c>
      <c r="H554" s="35" t="s">
        <v>374</v>
      </c>
      <c r="I554" s="35" t="s">
        <v>580</v>
      </c>
      <c r="J554" s="35">
        <v>1312</v>
      </c>
      <c r="K554" s="147">
        <v>1278.2608695652173</v>
      </c>
      <c r="L554" s="34">
        <v>-33.739130434782737</v>
      </c>
      <c r="M554" s="56">
        <v>33.739130434782737</v>
      </c>
      <c r="N554" s="56">
        <v>1.5408189432964001</v>
      </c>
      <c r="O554" s="132">
        <f t="shared" si="10"/>
        <v>-1.5408189432964001</v>
      </c>
      <c r="P554" s="56">
        <v>-2.5715800636267332</v>
      </c>
      <c r="Q554" s="143">
        <v>2.5715800636267332</v>
      </c>
      <c r="R554" s="143">
        <v>1279.1666666666667</v>
      </c>
      <c r="S554" s="34">
        <v>-32.833333333333258</v>
      </c>
      <c r="T554" s="56">
        <v>32.833333333333258</v>
      </c>
      <c r="U554" s="56">
        <v>1.5293447875295683</v>
      </c>
      <c r="V554" s="56">
        <v>-2.5025406504064982</v>
      </c>
      <c r="W554" s="33">
        <v>2.5025406504064982</v>
      </c>
    </row>
    <row r="555" spans="1:23" ht="16" x14ac:dyDescent="0.2">
      <c r="A555" s="103" t="s">
        <v>19</v>
      </c>
      <c r="B555" t="s">
        <v>880</v>
      </c>
      <c r="C555" s="103" t="s">
        <v>971</v>
      </c>
      <c r="D555" s="224" t="s">
        <v>824</v>
      </c>
      <c r="E555" s="35" t="s">
        <v>148</v>
      </c>
      <c r="F555" s="103" t="s">
        <v>968</v>
      </c>
      <c r="G555" s="103">
        <v>1</v>
      </c>
      <c r="H555" s="35" t="s">
        <v>374</v>
      </c>
      <c r="I555" s="35" t="s">
        <v>580</v>
      </c>
      <c r="J555" s="35">
        <v>1695</v>
      </c>
      <c r="K555" s="147">
        <v>1661.2564193478629</v>
      </c>
      <c r="L555" s="34">
        <v>-33.743580652137098</v>
      </c>
      <c r="M555" s="56">
        <v>33.743580652137098</v>
      </c>
      <c r="N555" s="56">
        <v>1.5408745745408543</v>
      </c>
      <c r="O555" s="132">
        <f t="shared" si="10"/>
        <v>-1.5408745745408543</v>
      </c>
      <c r="P555" s="56">
        <v>-1.9907717198900943</v>
      </c>
      <c r="Q555" s="143">
        <v>1.9907717198900943</v>
      </c>
      <c r="R555" s="143">
        <v>1842.639234134667</v>
      </c>
      <c r="S555" s="34">
        <v>147.63923413466705</v>
      </c>
      <c r="T555" s="56">
        <v>147.63923413466705</v>
      </c>
      <c r="U555" s="56">
        <v>2.1721334589481076</v>
      </c>
      <c r="V555" s="56">
        <v>8.7102792999803569</v>
      </c>
      <c r="W555" s="33">
        <v>8.7102792999803569</v>
      </c>
    </row>
    <row r="556" spans="1:23" ht="16" x14ac:dyDescent="0.2">
      <c r="A556" s="103" t="s">
        <v>19</v>
      </c>
      <c r="B556" t="s">
        <v>870</v>
      </c>
      <c r="C556" s="103" t="s">
        <v>979</v>
      </c>
      <c r="D556" s="224" t="s">
        <v>824</v>
      </c>
      <c r="E556" s="35" t="s">
        <v>148</v>
      </c>
      <c r="F556" s="103" t="s">
        <v>967</v>
      </c>
      <c r="G556" s="103">
        <v>0</v>
      </c>
      <c r="H556" s="35" t="s">
        <v>374</v>
      </c>
      <c r="I556" s="35" t="s">
        <v>580</v>
      </c>
      <c r="J556" s="35">
        <v>1582</v>
      </c>
      <c r="K556" s="147">
        <v>1547.8260869565217</v>
      </c>
      <c r="L556" s="34">
        <v>-34.173913043478251</v>
      </c>
      <c r="M556" s="56">
        <v>34.173913043478251</v>
      </c>
      <c r="N556" s="56">
        <v>1.5462206855946794</v>
      </c>
      <c r="O556" s="132">
        <f t="shared" si="10"/>
        <v>-1.5462206855946794</v>
      </c>
      <c r="P556" s="56">
        <v>-2.160171494530863</v>
      </c>
      <c r="Q556" s="143">
        <v>2.160171494530863</v>
      </c>
      <c r="R556" s="143">
        <v>1558.3333333333335</v>
      </c>
      <c r="S556" s="34">
        <v>-23.666666666666515</v>
      </c>
      <c r="T556" s="56">
        <v>23.666666666666515</v>
      </c>
      <c r="U556" s="56">
        <v>1.3921104650113112</v>
      </c>
      <c r="V556" s="56">
        <v>-1.495996628739982</v>
      </c>
      <c r="W556" s="33">
        <v>1.495996628739982</v>
      </c>
    </row>
    <row r="557" spans="1:23" ht="15" x14ac:dyDescent="0.2">
      <c r="A557" s="103" t="s">
        <v>19</v>
      </c>
      <c r="B557" s="28" t="s">
        <v>422</v>
      </c>
      <c r="C557" s="24" t="s">
        <v>980</v>
      </c>
      <c r="D557" s="35" t="s">
        <v>458</v>
      </c>
      <c r="E557" s="35" t="s">
        <v>82</v>
      </c>
      <c r="F557" s="103" t="s">
        <v>968</v>
      </c>
      <c r="G557" s="103">
        <v>1</v>
      </c>
      <c r="H557" s="35" t="s">
        <v>494</v>
      </c>
      <c r="I557" s="35" t="s">
        <v>580</v>
      </c>
      <c r="J557" s="35">
        <v>1070</v>
      </c>
      <c r="K557" s="141">
        <v>1104.314845144386</v>
      </c>
      <c r="L557" s="34">
        <v>34.314845144386027</v>
      </c>
      <c r="M557" s="56">
        <v>34.314845144386027</v>
      </c>
      <c r="N557" s="56">
        <v>1.5479573062098368</v>
      </c>
      <c r="O557" s="132">
        <f t="shared" si="10"/>
        <v>1.5479573062098368</v>
      </c>
      <c r="P557" s="56">
        <v>3.2069948733071052</v>
      </c>
      <c r="Q557" s="143">
        <v>3.2069948733071052</v>
      </c>
      <c r="R557" s="143">
        <v>1078.6512869165899</v>
      </c>
      <c r="S557" s="34">
        <v>8.6512869165899247</v>
      </c>
      <c r="T557" s="56">
        <v>8.6512869165899247</v>
      </c>
      <c r="U557" s="56">
        <v>0.98458522666085968</v>
      </c>
      <c r="V557" s="56">
        <v>0.80853148753176862</v>
      </c>
      <c r="W557" s="33">
        <v>0.80853148753176862</v>
      </c>
    </row>
    <row r="558" spans="1:23" ht="16" x14ac:dyDescent="0.2">
      <c r="A558" s="103" t="s">
        <v>19</v>
      </c>
      <c r="B558" t="s">
        <v>847</v>
      </c>
      <c r="C558" s="224" t="s">
        <v>977</v>
      </c>
      <c r="D558" s="224" t="s">
        <v>824</v>
      </c>
      <c r="E558" s="35" t="s">
        <v>148</v>
      </c>
      <c r="F558" s="103" t="s">
        <v>968</v>
      </c>
      <c r="G558" s="103">
        <v>1</v>
      </c>
      <c r="H558" s="35" t="s">
        <v>494</v>
      </c>
      <c r="I558" s="35" t="s">
        <v>580</v>
      </c>
      <c r="J558" s="35">
        <v>1170</v>
      </c>
      <c r="K558" s="147">
        <v>1204.3382792533635</v>
      </c>
      <c r="L558" s="34">
        <v>34.338279253363453</v>
      </c>
      <c r="M558" s="56">
        <v>34.338279253363453</v>
      </c>
      <c r="N558" s="56">
        <v>1.5482453983409965</v>
      </c>
      <c r="O558" s="132">
        <f t="shared" si="10"/>
        <v>1.5482453983409965</v>
      </c>
      <c r="P558" s="56">
        <v>2.9348956626806371</v>
      </c>
      <c r="Q558" s="143">
        <v>2.9348956626806371</v>
      </c>
      <c r="R558" s="143">
        <v>1192.8429757087717</v>
      </c>
      <c r="S558" s="34">
        <v>22.842975708771746</v>
      </c>
      <c r="T558" s="56">
        <v>22.842975708771746</v>
      </c>
      <c r="U558" s="56">
        <v>1.3773604563220359</v>
      </c>
      <c r="V558" s="56">
        <v>1.9523910862198073</v>
      </c>
      <c r="W558" s="33">
        <v>1.9523910862198073</v>
      </c>
    </row>
    <row r="559" spans="1:23" ht="16" x14ac:dyDescent="0.2">
      <c r="A559" s="103" t="s">
        <v>19</v>
      </c>
      <c r="B559" t="s">
        <v>867</v>
      </c>
      <c r="C559" s="103" t="s">
        <v>970</v>
      </c>
      <c r="D559" s="224" t="s">
        <v>824</v>
      </c>
      <c r="E559" s="35" t="s">
        <v>148</v>
      </c>
      <c r="F559" s="103" t="s">
        <v>967</v>
      </c>
      <c r="G559" s="103">
        <v>0</v>
      </c>
      <c r="H559" s="35" t="s">
        <v>374</v>
      </c>
      <c r="I559" s="35" t="s">
        <v>580</v>
      </c>
      <c r="J559" s="35">
        <v>1842</v>
      </c>
      <c r="K559" s="147">
        <v>1807.2316000000001</v>
      </c>
      <c r="L559" s="34">
        <v>-34.768399999999929</v>
      </c>
      <c r="M559" s="56">
        <v>34.768399999999929</v>
      </c>
      <c r="N559" s="56">
        <v>1.5534995136263974</v>
      </c>
      <c r="O559" s="132">
        <f t="shared" si="10"/>
        <v>-1.5534995136263974</v>
      </c>
      <c r="P559" s="56">
        <v>-1.8875352877307237</v>
      </c>
      <c r="Q559" s="143">
        <v>1.8875352877307237</v>
      </c>
      <c r="R559" s="143">
        <v>1873.1750000000002</v>
      </c>
      <c r="S559" s="34">
        <v>31.175000000000182</v>
      </c>
      <c r="T559" s="56">
        <v>31.175000000000182</v>
      </c>
      <c r="U559" s="56">
        <v>1.5075185555764268</v>
      </c>
      <c r="V559" s="56">
        <v>1.6924538545059817</v>
      </c>
      <c r="W559" s="33">
        <v>1.6924538545059817</v>
      </c>
    </row>
    <row r="560" spans="1:23" ht="15" x14ac:dyDescent="0.2">
      <c r="A560" s="103" t="s">
        <v>19</v>
      </c>
      <c r="B560" s="218" t="s">
        <v>344</v>
      </c>
      <c r="C560" s="103" t="s">
        <v>970</v>
      </c>
      <c r="D560" s="208" t="s">
        <v>403</v>
      </c>
      <c r="E560" s="35" t="s">
        <v>82</v>
      </c>
      <c r="F560" s="103" t="s">
        <v>967</v>
      </c>
      <c r="G560" s="103">
        <v>0</v>
      </c>
      <c r="H560" s="35" t="s">
        <v>374</v>
      </c>
      <c r="I560" s="35" t="s">
        <v>580</v>
      </c>
      <c r="J560" s="35">
        <v>1427.7</v>
      </c>
      <c r="K560" s="141">
        <v>1462.4935140000002</v>
      </c>
      <c r="L560" s="34">
        <v>34.793514000000187</v>
      </c>
      <c r="M560" s="56">
        <v>34.793514000000187</v>
      </c>
      <c r="N560" s="56">
        <v>1.5538043370011996</v>
      </c>
      <c r="O560" s="132">
        <f t="shared" si="10"/>
        <v>1.5538043370011996</v>
      </c>
      <c r="P560" s="56">
        <v>2.4370325698676321</v>
      </c>
      <c r="Q560" s="143">
        <v>2.4370325698676321</v>
      </c>
      <c r="R560" s="143">
        <v>1490.3285000000001</v>
      </c>
      <c r="S560" s="34">
        <v>62.628500000000031</v>
      </c>
      <c r="T560" s="56">
        <v>62.628500000000031</v>
      </c>
      <c r="U560" s="56">
        <v>1.8036516851503932</v>
      </c>
      <c r="V560" s="56">
        <v>4.3866708692302323</v>
      </c>
      <c r="W560" s="33">
        <v>4.3866708692302323</v>
      </c>
    </row>
    <row r="561" spans="1:23" ht="15" x14ac:dyDescent="0.2">
      <c r="A561" s="103" t="s">
        <v>19</v>
      </c>
      <c r="B561" t="s">
        <v>890</v>
      </c>
      <c r="C561" s="224" t="s">
        <v>977</v>
      </c>
      <c r="D561" s="224" t="s">
        <v>824</v>
      </c>
      <c r="E561" s="35" t="s">
        <v>148</v>
      </c>
      <c r="F561" s="103" t="s">
        <v>968</v>
      </c>
      <c r="G561" s="103">
        <v>1</v>
      </c>
      <c r="H561" s="35" t="s">
        <v>374</v>
      </c>
      <c r="I561" s="35" t="s">
        <v>580</v>
      </c>
      <c r="J561" s="35">
        <v>1316</v>
      </c>
      <c r="K561">
        <v>1281.1388919363008</v>
      </c>
      <c r="L561" s="34">
        <v>-34.861108063699248</v>
      </c>
      <c r="M561" s="56">
        <v>34.861108063699248</v>
      </c>
      <c r="N561" s="56">
        <v>1.554623704593578</v>
      </c>
      <c r="O561" s="132">
        <f t="shared" si="10"/>
        <v>-1.554623704593578</v>
      </c>
      <c r="P561" s="56">
        <v>-2.6490203695820096</v>
      </c>
      <c r="Q561" s="143">
        <v>2.6490203695820096</v>
      </c>
      <c r="R561" s="143">
        <v>1274.8706509366782</v>
      </c>
      <c r="S561" s="34">
        <v>-41.129349063321797</v>
      </c>
      <c r="T561" s="56">
        <v>41.129349063321797</v>
      </c>
      <c r="U561" s="56">
        <v>1.6245847489347904</v>
      </c>
      <c r="V561" s="56">
        <v>-3.1253304759363068</v>
      </c>
      <c r="W561" s="33">
        <v>3.1253304759363068</v>
      </c>
    </row>
    <row r="562" spans="1:23" ht="16" x14ac:dyDescent="0.2">
      <c r="A562" s="103" t="s">
        <v>19</v>
      </c>
      <c r="B562" t="s">
        <v>861</v>
      </c>
      <c r="C562" s="224" t="s">
        <v>977</v>
      </c>
      <c r="D562" s="224" t="s">
        <v>824</v>
      </c>
      <c r="E562" s="35" t="s">
        <v>148</v>
      </c>
      <c r="F562" s="103" t="s">
        <v>968</v>
      </c>
      <c r="G562" s="103">
        <v>1</v>
      </c>
      <c r="H562" s="35" t="s">
        <v>494</v>
      </c>
      <c r="I562" s="35" t="s">
        <v>580</v>
      </c>
      <c r="J562" s="35">
        <v>1055</v>
      </c>
      <c r="K562" s="147">
        <v>1089.9526223552932</v>
      </c>
      <c r="L562" s="34">
        <v>34.952622355293215</v>
      </c>
      <c r="M562" s="56">
        <v>34.952622355293215</v>
      </c>
      <c r="N562" s="56">
        <v>1.5557305729636339</v>
      </c>
      <c r="O562" s="132">
        <f t="shared" si="10"/>
        <v>1.5557305729636339</v>
      </c>
      <c r="P562" s="56">
        <v>3.313044773013575</v>
      </c>
      <c r="Q562" s="143">
        <v>3.313044773013575</v>
      </c>
      <c r="R562" s="143">
        <v>1088.7557010352145</v>
      </c>
      <c r="S562" s="34">
        <v>33.755701035214543</v>
      </c>
      <c r="T562" s="56">
        <v>33.755701035214543</v>
      </c>
      <c r="U562" s="56">
        <v>1.5410260528127058</v>
      </c>
      <c r="V562" s="56">
        <v>3.1995925151862123</v>
      </c>
      <c r="W562" s="33">
        <v>3.1995925151862123</v>
      </c>
    </row>
    <row r="563" spans="1:23" ht="15" x14ac:dyDescent="0.2">
      <c r="A563" s="103" t="s">
        <v>19</v>
      </c>
      <c r="B563" t="s">
        <v>891</v>
      </c>
      <c r="C563" s="103" t="s">
        <v>975</v>
      </c>
      <c r="D563" s="224" t="s">
        <v>824</v>
      </c>
      <c r="E563" s="35" t="s">
        <v>148</v>
      </c>
      <c r="F563" s="103" t="s">
        <v>967</v>
      </c>
      <c r="G563" s="103">
        <v>0</v>
      </c>
      <c r="H563" s="35" t="s">
        <v>374</v>
      </c>
      <c r="I563" s="35" t="s">
        <v>580</v>
      </c>
      <c r="J563" s="35">
        <v>1704</v>
      </c>
      <c r="K563">
        <v>1668.9355999999998</v>
      </c>
      <c r="L563" s="34">
        <v>-35.064400000000205</v>
      </c>
      <c r="M563" s="56">
        <v>35.064400000000205</v>
      </c>
      <c r="N563" s="56">
        <v>1.5570787112701128</v>
      </c>
      <c r="O563" s="132">
        <f t="shared" si="10"/>
        <v>-1.5570787112701128</v>
      </c>
      <c r="P563" s="56">
        <v>-2.0577699530516553</v>
      </c>
      <c r="Q563" s="143">
        <v>2.0577699530516553</v>
      </c>
      <c r="R563" s="143">
        <v>1678.8126</v>
      </c>
      <c r="S563" s="34">
        <v>-25.187400000000025</v>
      </c>
      <c r="T563" s="56">
        <v>25.187400000000025</v>
      </c>
      <c r="U563" s="56">
        <v>1.418092381903455</v>
      </c>
      <c r="V563" s="56">
        <v>-1.4781338028169029</v>
      </c>
      <c r="W563" s="33">
        <v>1.4781338028169029</v>
      </c>
    </row>
    <row r="564" spans="1:23" ht="15" x14ac:dyDescent="0.2">
      <c r="A564" s="103" t="s">
        <v>19</v>
      </c>
      <c r="B564" s="28" t="s">
        <v>422</v>
      </c>
      <c r="C564" s="103" t="s">
        <v>971</v>
      </c>
      <c r="D564" s="35" t="s">
        <v>458</v>
      </c>
      <c r="E564" s="35" t="s">
        <v>82</v>
      </c>
      <c r="F564" s="103" t="s">
        <v>968</v>
      </c>
      <c r="G564" s="103">
        <v>1</v>
      </c>
      <c r="H564" s="35" t="s">
        <v>494</v>
      </c>
      <c r="I564" s="35" t="s">
        <v>580</v>
      </c>
      <c r="J564" s="35">
        <v>1070</v>
      </c>
      <c r="K564" s="141">
        <v>1034.8736676381002</v>
      </c>
      <c r="L564" s="34">
        <v>-35.126332361899813</v>
      </c>
      <c r="M564" s="56">
        <v>35.126332361899813</v>
      </c>
      <c r="N564" s="56">
        <v>1.5578238731141019</v>
      </c>
      <c r="O564" s="132">
        <f t="shared" si="10"/>
        <v>-1.5578238731141019</v>
      </c>
      <c r="P564" s="56">
        <v>-3.2828348001775525</v>
      </c>
      <c r="Q564" s="143">
        <v>3.2828348001775525</v>
      </c>
      <c r="R564" s="143">
        <v>1178.1159195567418</v>
      </c>
      <c r="S564" s="34">
        <v>108.1159195567418</v>
      </c>
      <c r="T564" s="56">
        <v>108.1159195567418</v>
      </c>
      <c r="U564" s="56">
        <v>2.0378881169611858</v>
      </c>
      <c r="V564" s="56">
        <v>10.104291547359045</v>
      </c>
      <c r="W564" s="33">
        <v>10.104291547359045</v>
      </c>
    </row>
    <row r="565" spans="1:23" ht="16" x14ac:dyDescent="0.2">
      <c r="A565" s="103" t="s">
        <v>19</v>
      </c>
      <c r="B565" t="s">
        <v>878</v>
      </c>
      <c r="C565" s="224" t="s">
        <v>978</v>
      </c>
      <c r="D565" s="224" t="s">
        <v>824</v>
      </c>
      <c r="E565" s="35" t="s">
        <v>148</v>
      </c>
      <c r="F565" s="103" t="s">
        <v>968</v>
      </c>
      <c r="G565" s="103">
        <v>1</v>
      </c>
      <c r="H565" s="35" t="s">
        <v>374</v>
      </c>
      <c r="I565" s="35" t="s">
        <v>580</v>
      </c>
      <c r="J565" s="35">
        <v>1520</v>
      </c>
      <c r="K565" s="147">
        <v>1484.4885997210692</v>
      </c>
      <c r="L565" s="34">
        <v>-35.511400278930751</v>
      </c>
      <c r="M565" s="56">
        <v>35.511400278930751</v>
      </c>
      <c r="N565" s="56">
        <v>1.5624284892562486</v>
      </c>
      <c r="O565" s="132">
        <f t="shared" si="10"/>
        <v>-1.5624284892562486</v>
      </c>
      <c r="P565" s="56">
        <v>-2.3362763341401811</v>
      </c>
      <c r="Q565" s="143">
        <v>2.3362763341401811</v>
      </c>
      <c r="R565" s="143">
        <v>1477.1888783974962</v>
      </c>
      <c r="S565" s="34">
        <v>-42.811121602503817</v>
      </c>
      <c r="T565" s="56">
        <v>42.811121602503817</v>
      </c>
      <c r="U565" s="56">
        <v>1.6415843716338494</v>
      </c>
      <c r="V565" s="56">
        <v>-2.8165211580594618</v>
      </c>
      <c r="W565" s="33">
        <v>2.8165211580594618</v>
      </c>
    </row>
    <row r="566" spans="1:23" ht="16" x14ac:dyDescent="0.2">
      <c r="A566" s="103" t="s">
        <v>19</v>
      </c>
      <c r="B566" t="s">
        <v>854</v>
      </c>
      <c r="C566" s="224" t="s">
        <v>974</v>
      </c>
      <c r="D566" s="224" t="s">
        <v>824</v>
      </c>
      <c r="E566" s="35" t="s">
        <v>148</v>
      </c>
      <c r="F566" s="103" t="s">
        <v>967</v>
      </c>
      <c r="G566" s="103">
        <v>0</v>
      </c>
      <c r="H566" s="35" t="s">
        <v>374</v>
      </c>
      <c r="I566" s="35" t="s">
        <v>580</v>
      </c>
      <c r="J566" s="35">
        <v>1340</v>
      </c>
      <c r="K566" s="147">
        <v>1375.6304</v>
      </c>
      <c r="L566" s="34">
        <v>35.630400000000009</v>
      </c>
      <c r="M566" s="56">
        <v>35.630400000000009</v>
      </c>
      <c r="N566" s="56">
        <v>1.5638416611391359</v>
      </c>
      <c r="O566" s="132">
        <f t="shared" si="10"/>
        <v>1.5638416611391359</v>
      </c>
      <c r="P566" s="56">
        <v>2.6589850746268664</v>
      </c>
      <c r="Q566" s="143">
        <v>2.6589850746268664</v>
      </c>
      <c r="R566" s="143">
        <v>1273.8407999999999</v>
      </c>
      <c r="S566" s="34">
        <v>-66.159200000000055</v>
      </c>
      <c r="T566" s="56">
        <v>66.159200000000055</v>
      </c>
      <c r="U566" s="56">
        <v>1.8271055141834798</v>
      </c>
      <c r="V566" s="56">
        <v>-4.9372537313432874</v>
      </c>
      <c r="W566" s="33">
        <v>4.9372537313432874</v>
      </c>
    </row>
    <row r="567" spans="1:23" ht="15" x14ac:dyDescent="0.2">
      <c r="A567" s="103" t="s">
        <v>19</v>
      </c>
      <c r="B567" s="28" t="s">
        <v>427</v>
      </c>
      <c r="C567" s="224" t="s">
        <v>977</v>
      </c>
      <c r="D567" s="35" t="s">
        <v>458</v>
      </c>
      <c r="E567" s="208" t="s">
        <v>82</v>
      </c>
      <c r="F567" s="103" t="s">
        <v>968</v>
      </c>
      <c r="G567" s="103">
        <v>1</v>
      </c>
      <c r="H567" s="35" t="s">
        <v>374</v>
      </c>
      <c r="I567" s="35" t="s">
        <v>580</v>
      </c>
      <c r="J567" s="35">
        <v>1650</v>
      </c>
      <c r="K567" s="141">
        <v>1685.7125808519991</v>
      </c>
      <c r="L567" s="34">
        <v>35.712580851999064</v>
      </c>
      <c r="M567" s="56">
        <v>35.712580851999064</v>
      </c>
      <c r="N567" s="56">
        <v>1.5648149159772544</v>
      </c>
      <c r="O567" s="132">
        <f t="shared" si="10"/>
        <v>1.5648149159772544</v>
      </c>
      <c r="P567" s="56">
        <v>2.1643988395150946</v>
      </c>
      <c r="Q567" s="143">
        <v>2.1643988395150946</v>
      </c>
      <c r="R567" s="143">
        <v>1686.9287205416531</v>
      </c>
      <c r="S567" s="34">
        <v>36.928720541653092</v>
      </c>
      <c r="T567" s="56">
        <v>36.928720541653092</v>
      </c>
      <c r="U567" s="56">
        <v>1.5789681927931698</v>
      </c>
      <c r="V567" s="56">
        <v>2.2381042752517026</v>
      </c>
      <c r="W567" s="33">
        <v>2.2381042752517026</v>
      </c>
    </row>
    <row r="568" spans="1:23" ht="15" x14ac:dyDescent="0.2">
      <c r="A568" s="103" t="s">
        <v>19</v>
      </c>
      <c r="B568" s="28" t="s">
        <v>136</v>
      </c>
      <c r="C568" s="103" t="s">
        <v>970</v>
      </c>
      <c r="D568" s="208" t="s">
        <v>403</v>
      </c>
      <c r="E568" s="35" t="s">
        <v>96</v>
      </c>
      <c r="F568" s="103" t="s">
        <v>967</v>
      </c>
      <c r="G568" s="103">
        <v>0</v>
      </c>
      <c r="H568" s="35" t="s">
        <v>374</v>
      </c>
      <c r="I568" s="35" t="s">
        <v>580</v>
      </c>
      <c r="J568" s="35">
        <v>2365.6</v>
      </c>
      <c r="K568" s="141">
        <v>2401.4871160000002</v>
      </c>
      <c r="L568" s="34">
        <v>35.887116000000333</v>
      </c>
      <c r="M568" s="56">
        <v>35.887116000000333</v>
      </c>
      <c r="N568" s="56">
        <v>1.5668747014656859</v>
      </c>
      <c r="O568" s="132">
        <f t="shared" si="10"/>
        <v>1.5668747014656859</v>
      </c>
      <c r="P568" s="56">
        <v>1.5170407507609205</v>
      </c>
      <c r="Q568" s="143">
        <v>1.5170407507609205</v>
      </c>
      <c r="R568" s="143">
        <v>2544.9728000000005</v>
      </c>
      <c r="S568" s="34">
        <v>179.37280000000055</v>
      </c>
      <c r="T568" s="56">
        <v>179.37280000000055</v>
      </c>
      <c r="U568" s="56">
        <v>2.2561710470610143</v>
      </c>
      <c r="V568" s="56">
        <v>7.5825498816368189</v>
      </c>
      <c r="W568" s="33">
        <v>7.5825498816368189</v>
      </c>
    </row>
    <row r="569" spans="1:23" ht="16" x14ac:dyDescent="0.2">
      <c r="A569" s="103" t="s">
        <v>19</v>
      </c>
      <c r="B569" t="s">
        <v>853</v>
      </c>
      <c r="C569" s="24" t="s">
        <v>980</v>
      </c>
      <c r="D569" s="224" t="s">
        <v>824</v>
      </c>
      <c r="E569" s="35" t="s">
        <v>148</v>
      </c>
      <c r="F569" s="103" t="s">
        <v>968</v>
      </c>
      <c r="G569" s="103">
        <v>1</v>
      </c>
      <c r="H569" s="35" t="s">
        <v>374</v>
      </c>
      <c r="I569" s="35" t="s">
        <v>580</v>
      </c>
      <c r="J569" s="35">
        <v>1274</v>
      </c>
      <c r="K569" s="147">
        <v>1237.8904516731147</v>
      </c>
      <c r="L569" s="34">
        <v>-36.10954832688526</v>
      </c>
      <c r="M569" s="56">
        <v>36.10954832688526</v>
      </c>
      <c r="N569" s="56">
        <v>1.5694856684329892</v>
      </c>
      <c r="O569" s="132">
        <f t="shared" si="10"/>
        <v>-1.5694856684329892</v>
      </c>
      <c r="P569" s="56">
        <v>-2.8343444526597534</v>
      </c>
      <c r="Q569" s="143">
        <v>2.8343444526597534</v>
      </c>
      <c r="R569" s="143">
        <v>1224.0452073342542</v>
      </c>
      <c r="S569" s="34">
        <v>-49.954792665745799</v>
      </c>
      <c r="T569" s="56">
        <v>49.954792665745799</v>
      </c>
      <c r="U569" s="56">
        <v>1.7071850387918519</v>
      </c>
      <c r="V569" s="56">
        <v>-3.9210983254117582</v>
      </c>
      <c r="W569" s="33">
        <v>3.9210983254117582</v>
      </c>
    </row>
    <row r="570" spans="1:23" ht="15" x14ac:dyDescent="0.2">
      <c r="A570" s="103" t="s">
        <v>19</v>
      </c>
      <c r="B570" t="s">
        <v>898</v>
      </c>
      <c r="C570" s="24" t="s">
        <v>980</v>
      </c>
      <c r="D570" s="224" t="s">
        <v>824</v>
      </c>
      <c r="E570" s="35" t="s">
        <v>148</v>
      </c>
      <c r="F570" s="103" t="s">
        <v>968</v>
      </c>
      <c r="G570" s="103">
        <v>1</v>
      </c>
      <c r="H570" s="225" t="s">
        <v>494</v>
      </c>
      <c r="I570" s="35" t="s">
        <v>580</v>
      </c>
      <c r="J570" s="35">
        <v>874</v>
      </c>
      <c r="K570">
        <v>910.14969143015594</v>
      </c>
      <c r="L570" s="34">
        <v>36.14969143015594</v>
      </c>
      <c r="M570" s="56">
        <v>36.14969143015594</v>
      </c>
      <c r="N570" s="56">
        <v>1.5699552108089196</v>
      </c>
      <c r="O570" s="132">
        <f t="shared" si="10"/>
        <v>1.5699552108089196</v>
      </c>
      <c r="P570" s="56">
        <v>4.1361203009331735</v>
      </c>
      <c r="Q570" s="143">
        <v>4.1361203009331735</v>
      </c>
      <c r="R570" s="143">
        <v>908.30261007754825</v>
      </c>
      <c r="S570" s="34">
        <v>34.302610077548252</v>
      </c>
      <c r="T570" s="56">
        <v>34.302610077548252</v>
      </c>
      <c r="U570" s="56">
        <v>1.5478068158799365</v>
      </c>
      <c r="V570" s="56">
        <v>3.9247837617332095</v>
      </c>
      <c r="W570" s="33">
        <v>3.9247837617332095</v>
      </c>
    </row>
    <row r="571" spans="1:23" ht="16" x14ac:dyDescent="0.2">
      <c r="A571" s="103" t="s">
        <v>19</v>
      </c>
      <c r="B571" t="s">
        <v>876</v>
      </c>
      <c r="C571" s="103" t="s">
        <v>979</v>
      </c>
      <c r="D571" s="224" t="s">
        <v>824</v>
      </c>
      <c r="E571" s="35" t="s">
        <v>148</v>
      </c>
      <c r="F571" s="103" t="s">
        <v>967</v>
      </c>
      <c r="G571" s="103">
        <v>0</v>
      </c>
      <c r="H571" s="35" t="s">
        <v>374</v>
      </c>
      <c r="I571" s="35" t="s">
        <v>580</v>
      </c>
      <c r="J571" s="35">
        <v>1668</v>
      </c>
      <c r="K571" s="147">
        <v>1704.3478260869565</v>
      </c>
      <c r="L571" s="34">
        <v>36.347826086956502</v>
      </c>
      <c r="M571" s="56">
        <v>36.347826086956502</v>
      </c>
      <c r="N571" s="56">
        <v>1.5722653278136491</v>
      </c>
      <c r="O571" s="132">
        <f t="shared" si="10"/>
        <v>1.5722653278136491</v>
      </c>
      <c r="P571" s="56">
        <v>2.1791262642060252</v>
      </c>
      <c r="Q571" s="143">
        <v>2.1791262642060252</v>
      </c>
      <c r="R571" s="143">
        <v>1700</v>
      </c>
      <c r="S571" s="34">
        <v>32</v>
      </c>
      <c r="T571" s="56">
        <v>32</v>
      </c>
      <c r="U571" s="56">
        <v>1.5185139398778875</v>
      </c>
      <c r="V571" s="56">
        <v>1.9184652278177459</v>
      </c>
      <c r="W571" s="33">
        <v>1.9184652278177459</v>
      </c>
    </row>
    <row r="572" spans="1:23" ht="15" x14ac:dyDescent="0.2">
      <c r="A572" s="103" t="s">
        <v>19</v>
      </c>
      <c r="B572" t="s">
        <v>898</v>
      </c>
      <c r="C572" s="103" t="s">
        <v>971</v>
      </c>
      <c r="D572" s="224" t="s">
        <v>824</v>
      </c>
      <c r="E572" s="35" t="s">
        <v>148</v>
      </c>
      <c r="F572" s="103" t="s">
        <v>968</v>
      </c>
      <c r="G572" s="103">
        <v>1</v>
      </c>
      <c r="H572" s="225" t="s">
        <v>494</v>
      </c>
      <c r="I572" s="35" t="s">
        <v>580</v>
      </c>
      <c r="J572" s="35">
        <v>874</v>
      </c>
      <c r="K572">
        <v>837.24886755917248</v>
      </c>
      <c r="L572" s="34">
        <v>-36.751132440827519</v>
      </c>
      <c r="M572" s="56">
        <v>36.751132440827519</v>
      </c>
      <c r="N572" s="56">
        <v>1.5769299839235067</v>
      </c>
      <c r="O572" s="132">
        <f t="shared" si="10"/>
        <v>-1.5769299839235067</v>
      </c>
      <c r="P572" s="56">
        <v>-4.2049350618795787</v>
      </c>
      <c r="Q572" s="143">
        <v>4.2049350618795787</v>
      </c>
      <c r="R572" s="143">
        <v>983.9614181860843</v>
      </c>
      <c r="S572" s="34">
        <v>109.9614181860843</v>
      </c>
      <c r="T572" s="56">
        <v>109.9614181860843</v>
      </c>
      <c r="U572" s="56">
        <v>2.045171998772283</v>
      </c>
      <c r="V572" s="56">
        <v>12.581397961794542</v>
      </c>
      <c r="W572" s="33">
        <v>12.581397961794542</v>
      </c>
    </row>
    <row r="573" spans="1:23" ht="16" x14ac:dyDescent="0.2">
      <c r="A573" s="103" t="s">
        <v>19</v>
      </c>
      <c r="B573" t="s">
        <v>862</v>
      </c>
      <c r="C573" s="24" t="s">
        <v>980</v>
      </c>
      <c r="D573" s="224" t="s">
        <v>824</v>
      </c>
      <c r="E573" s="35" t="s">
        <v>148</v>
      </c>
      <c r="F573" s="103" t="s">
        <v>968</v>
      </c>
      <c r="G573" s="103">
        <v>1</v>
      </c>
      <c r="H573" s="35" t="s">
        <v>374</v>
      </c>
      <c r="I573" s="35" t="s">
        <v>580</v>
      </c>
      <c r="J573" s="35">
        <v>1280</v>
      </c>
      <c r="K573" s="147">
        <v>1242.8737778941406</v>
      </c>
      <c r="L573" s="34">
        <v>-37.12622210585937</v>
      </c>
      <c r="M573" s="56">
        <v>37.12622210585937</v>
      </c>
      <c r="N573" s="56">
        <v>1.5812237735436814</v>
      </c>
      <c r="O573" s="132">
        <f t="shared" si="10"/>
        <v>-1.5812237735436814</v>
      </c>
      <c r="P573" s="56">
        <v>-2.9004861020202632</v>
      </c>
      <c r="Q573" s="143">
        <v>2.9004861020202632</v>
      </c>
      <c r="R573" s="143">
        <v>1195.7267459984785</v>
      </c>
      <c r="S573" s="34">
        <v>-84.273254001521536</v>
      </c>
      <c r="T573" s="56">
        <v>84.273254001521536</v>
      </c>
      <c r="U573" s="56">
        <v>1.9308128358452801</v>
      </c>
      <c r="V573" s="56">
        <v>-6.5838479688688691</v>
      </c>
      <c r="W573" s="33">
        <v>6.5838479688688691</v>
      </c>
    </row>
    <row r="574" spans="1:23" ht="16" x14ac:dyDescent="0.2">
      <c r="A574" s="103" t="s">
        <v>19</v>
      </c>
      <c r="B574" t="s">
        <v>865</v>
      </c>
      <c r="C574" s="103" t="s">
        <v>979</v>
      </c>
      <c r="D574" s="224" t="s">
        <v>824</v>
      </c>
      <c r="E574" s="35" t="s">
        <v>148</v>
      </c>
      <c r="F574" s="103" t="s">
        <v>967</v>
      </c>
      <c r="G574" s="103">
        <v>0</v>
      </c>
      <c r="H574" s="35" t="s">
        <v>374</v>
      </c>
      <c r="I574" s="35" t="s">
        <v>580</v>
      </c>
      <c r="J574" s="35">
        <v>1598</v>
      </c>
      <c r="K574" s="147">
        <v>1560.8695652173913</v>
      </c>
      <c r="L574" s="34">
        <v>-37.130434782608745</v>
      </c>
      <c r="M574" s="56">
        <v>37.130434782608745</v>
      </c>
      <c r="N574" s="56">
        <v>1.5812717573484483</v>
      </c>
      <c r="O574" s="132">
        <f t="shared" si="10"/>
        <v>-1.5812717573484483</v>
      </c>
      <c r="P574" s="56">
        <v>-2.3235566196876563</v>
      </c>
      <c r="Q574" s="143">
        <v>2.3235566196876563</v>
      </c>
      <c r="R574" s="143">
        <v>1562.5</v>
      </c>
      <c r="S574" s="34">
        <v>-35.5</v>
      </c>
      <c r="T574" s="56">
        <v>35.5</v>
      </c>
      <c r="U574" s="56">
        <v>1.5622928644564746</v>
      </c>
      <c r="V574" s="56">
        <v>-2.2215269086357949</v>
      </c>
      <c r="W574" s="33">
        <v>2.2215269086357949</v>
      </c>
    </row>
    <row r="575" spans="1:23" ht="16" x14ac:dyDescent="0.2">
      <c r="A575" s="103" t="s">
        <v>19</v>
      </c>
      <c r="B575" t="s">
        <v>873</v>
      </c>
      <c r="C575" s="103" t="s">
        <v>979</v>
      </c>
      <c r="D575" s="224" t="s">
        <v>824</v>
      </c>
      <c r="E575" s="35" t="s">
        <v>148</v>
      </c>
      <c r="F575" s="103" t="s">
        <v>967</v>
      </c>
      <c r="G575" s="103">
        <v>0</v>
      </c>
      <c r="H575" s="35" t="s">
        <v>374</v>
      </c>
      <c r="I575" s="35" t="s">
        <v>580</v>
      </c>
      <c r="J575" s="35">
        <v>1646</v>
      </c>
      <c r="K575" s="147">
        <v>1608.695652173913</v>
      </c>
      <c r="L575" s="34">
        <v>-37.304347826086996</v>
      </c>
      <c r="M575" s="56">
        <v>37.304347826086996</v>
      </c>
      <c r="N575" s="56">
        <v>1.5832480723944555</v>
      </c>
      <c r="O575" s="132">
        <f t="shared" si="10"/>
        <v>-1.5832480723944555</v>
      </c>
      <c r="P575" s="56">
        <v>-2.2663637804427093</v>
      </c>
      <c r="Q575" s="143">
        <v>2.2663637804427093</v>
      </c>
      <c r="R575" s="143">
        <v>1625</v>
      </c>
      <c r="S575" s="34">
        <v>-21</v>
      </c>
      <c r="T575" s="56">
        <v>21</v>
      </c>
      <c r="U575" s="56">
        <v>1.3424226808222062</v>
      </c>
      <c r="V575" s="56">
        <v>-1.2758201701093561</v>
      </c>
      <c r="W575" s="33">
        <v>1.2758201701093561</v>
      </c>
    </row>
    <row r="576" spans="1:23" ht="16" x14ac:dyDescent="0.2">
      <c r="A576" s="103" t="s">
        <v>19</v>
      </c>
      <c r="B576" t="s">
        <v>879</v>
      </c>
      <c r="C576" s="224" t="s">
        <v>977</v>
      </c>
      <c r="D576" s="224" t="s">
        <v>824</v>
      </c>
      <c r="E576" s="35" t="s">
        <v>148</v>
      </c>
      <c r="F576" s="103" t="s">
        <v>968</v>
      </c>
      <c r="G576" s="103">
        <v>1</v>
      </c>
      <c r="H576" s="35" t="s">
        <v>374</v>
      </c>
      <c r="I576" s="35" t="s">
        <v>580</v>
      </c>
      <c r="J576" s="35">
        <v>1550</v>
      </c>
      <c r="K576" s="147">
        <v>1587.3464705158938</v>
      </c>
      <c r="L576" s="34">
        <v>37.34647051589377</v>
      </c>
      <c r="M576" s="56">
        <v>37.34647051589377</v>
      </c>
      <c r="N576" s="56">
        <v>1.5837253968114215</v>
      </c>
      <c r="O576" s="132">
        <f t="shared" si="10"/>
        <v>1.5837253968114215</v>
      </c>
      <c r="P576" s="56">
        <v>2.4094497107028241</v>
      </c>
      <c r="Q576" s="143">
        <v>2.4094497107028241</v>
      </c>
      <c r="R576" s="143">
        <v>1570.171208730731</v>
      </c>
      <c r="S576" s="34">
        <v>20.171208730730996</v>
      </c>
      <c r="T576" s="56">
        <v>20.171208730730996</v>
      </c>
      <c r="U576" s="56">
        <v>1.3257456539618264</v>
      </c>
      <c r="V576" s="56">
        <v>1.3013683052084513</v>
      </c>
      <c r="W576" s="33">
        <v>1.3013683052084513</v>
      </c>
    </row>
    <row r="577" spans="1:23" ht="16" x14ac:dyDescent="0.2">
      <c r="A577" s="103" t="s">
        <v>19</v>
      </c>
      <c r="B577" t="s">
        <v>844</v>
      </c>
      <c r="C577" s="224" t="s">
        <v>974</v>
      </c>
      <c r="D577" s="224" t="s">
        <v>824</v>
      </c>
      <c r="E577" s="35" t="s">
        <v>148</v>
      </c>
      <c r="F577" s="103" t="s">
        <v>967</v>
      </c>
      <c r="G577" s="103">
        <v>0</v>
      </c>
      <c r="H577" s="225" t="s">
        <v>494</v>
      </c>
      <c r="I577" s="35" t="s">
        <v>580</v>
      </c>
      <c r="J577" s="35">
        <v>1028</v>
      </c>
      <c r="K577" s="147">
        <v>1065.4142999999999</v>
      </c>
      <c r="L577" s="34">
        <v>37.414299999999912</v>
      </c>
      <c r="M577" s="56">
        <v>37.414299999999912</v>
      </c>
      <c r="N577" s="56">
        <v>1.5844929237168166</v>
      </c>
      <c r="O577" s="132">
        <f t="shared" si="10"/>
        <v>1.5844929237168166</v>
      </c>
      <c r="P577" s="56">
        <v>3.6395233463034935</v>
      </c>
      <c r="Q577" s="143">
        <v>3.6395233463034935</v>
      </c>
      <c r="R577" s="143">
        <v>1005.8976000000001</v>
      </c>
      <c r="S577" s="34">
        <v>-22.102399999999875</v>
      </c>
      <c r="T577" s="56">
        <v>22.102399999999875</v>
      </c>
      <c r="U577" s="56">
        <v>1.3636570990529433</v>
      </c>
      <c r="V577" s="56">
        <v>-2.1500389105058244</v>
      </c>
      <c r="W577" s="33">
        <v>2.1500389105058244</v>
      </c>
    </row>
    <row r="578" spans="1:23" ht="16" x14ac:dyDescent="0.2">
      <c r="A578" s="103" t="s">
        <v>19</v>
      </c>
      <c r="B578" t="s">
        <v>874</v>
      </c>
      <c r="C578" s="103" t="s">
        <v>975</v>
      </c>
      <c r="D578" s="224" t="s">
        <v>824</v>
      </c>
      <c r="E578" s="35" t="s">
        <v>148</v>
      </c>
      <c r="F578" s="103" t="s">
        <v>967</v>
      </c>
      <c r="G578" s="103">
        <v>0</v>
      </c>
      <c r="H578" s="35" t="s">
        <v>374</v>
      </c>
      <c r="I578" s="35" t="s">
        <v>580</v>
      </c>
      <c r="J578" s="35">
        <v>1540</v>
      </c>
      <c r="K578" s="147">
        <v>1577.4199999999998</v>
      </c>
      <c r="L578" s="34">
        <v>37.419999999999845</v>
      </c>
      <c r="M578" s="56">
        <v>37.419999999999845</v>
      </c>
      <c r="N578" s="56">
        <v>1.5845573605256731</v>
      </c>
      <c r="O578" s="132">
        <f t="shared" si="10"/>
        <v>1.5845573605256731</v>
      </c>
      <c r="P578" s="56">
        <v>2.4298701298701197</v>
      </c>
      <c r="Q578" s="143">
        <v>2.4298701298701197</v>
      </c>
      <c r="R578" s="143">
        <v>1594.7411999999999</v>
      </c>
      <c r="S578" s="34">
        <v>54.741199999999935</v>
      </c>
      <c r="T578" s="56">
        <v>54.741199999999935</v>
      </c>
      <c r="U578" s="56">
        <v>1.7461763139963831</v>
      </c>
      <c r="V578" s="56">
        <v>3.5546233766233724</v>
      </c>
      <c r="W578" s="33">
        <v>3.5546233766233724</v>
      </c>
    </row>
    <row r="579" spans="1:23" ht="15" x14ac:dyDescent="0.2">
      <c r="A579" s="103" t="s">
        <v>19</v>
      </c>
      <c r="B579" t="s">
        <v>891</v>
      </c>
      <c r="C579" s="103" t="s">
        <v>970</v>
      </c>
      <c r="D579" s="224" t="s">
        <v>824</v>
      </c>
      <c r="E579" s="35" t="s">
        <v>148</v>
      </c>
      <c r="F579" s="103" t="s">
        <v>967</v>
      </c>
      <c r="G579" s="103">
        <v>0</v>
      </c>
      <c r="H579" s="35" t="s">
        <v>374</v>
      </c>
      <c r="I579" s="35" t="s">
        <v>580</v>
      </c>
      <c r="J579" s="35">
        <v>1704</v>
      </c>
      <c r="K579">
        <v>1741.7128000000002</v>
      </c>
      <c r="L579" s="34">
        <v>37.712800000000243</v>
      </c>
      <c r="M579" s="56">
        <v>37.712800000000243</v>
      </c>
      <c r="N579" s="56">
        <v>1.5878545838886364</v>
      </c>
      <c r="O579" s="132">
        <f t="shared" si="10"/>
        <v>1.5878545838886364</v>
      </c>
      <c r="P579" s="56">
        <v>2.213192488262925</v>
      </c>
      <c r="Q579" s="143">
        <v>2.213192488262925</v>
      </c>
      <c r="R579" s="143">
        <v>1783.7510000000002</v>
      </c>
      <c r="S579" s="34">
        <v>79.751000000000204</v>
      </c>
      <c r="T579" s="56">
        <v>79.751000000000204</v>
      </c>
      <c r="U579" s="56">
        <v>1.9071479092296777</v>
      </c>
      <c r="V579" s="56">
        <v>4.6802230046948479</v>
      </c>
      <c r="W579" s="33">
        <v>4.6802230046948479</v>
      </c>
    </row>
    <row r="580" spans="1:23" ht="16" x14ac:dyDescent="0.2">
      <c r="A580" s="103" t="s">
        <v>19</v>
      </c>
      <c r="B580" t="s">
        <v>862</v>
      </c>
      <c r="C580" s="224" t="s">
        <v>974</v>
      </c>
      <c r="D580" s="224" t="s">
        <v>824</v>
      </c>
      <c r="E580" s="35" t="s">
        <v>148</v>
      </c>
      <c r="F580" s="103" t="s">
        <v>967</v>
      </c>
      <c r="G580" s="103">
        <v>0</v>
      </c>
      <c r="H580" s="35" t="s">
        <v>374</v>
      </c>
      <c r="I580" s="35" t="s">
        <v>580</v>
      </c>
      <c r="J580" s="35">
        <v>1280</v>
      </c>
      <c r="K580" s="147">
        <v>1317.7935</v>
      </c>
      <c r="L580" s="34">
        <v>37.793499999999995</v>
      </c>
      <c r="M580" s="56">
        <v>37.793499999999995</v>
      </c>
      <c r="N580" s="56">
        <v>1.5887589639804387</v>
      </c>
      <c r="O580" s="132">
        <f t="shared" si="10"/>
        <v>1.5887589639804387</v>
      </c>
      <c r="P580" s="56">
        <v>2.9526171874999996</v>
      </c>
      <c r="Q580" s="143">
        <v>2.9526171874999996</v>
      </c>
      <c r="R580" s="143">
        <v>1206.8549999999998</v>
      </c>
      <c r="S580" s="34">
        <v>-73.145000000000209</v>
      </c>
      <c r="T580" s="56">
        <v>73.145000000000209</v>
      </c>
      <c r="U580" s="56">
        <v>1.8700818695164592</v>
      </c>
      <c r="V580" s="56">
        <v>-5.7144531250000163</v>
      </c>
      <c r="W580" s="33">
        <v>5.7144531250000163</v>
      </c>
    </row>
    <row r="581" spans="1:23" ht="15" x14ac:dyDescent="0.2">
      <c r="A581" s="103" t="s">
        <v>19</v>
      </c>
      <c r="B581" s="28" t="s">
        <v>459</v>
      </c>
      <c r="C581" s="224" t="s">
        <v>977</v>
      </c>
      <c r="D581" s="35" t="s">
        <v>458</v>
      </c>
      <c r="E581" s="208" t="s">
        <v>82</v>
      </c>
      <c r="F581" s="103" t="s">
        <v>968</v>
      </c>
      <c r="G581" s="103">
        <v>1</v>
      </c>
      <c r="H581" s="35" t="s">
        <v>374</v>
      </c>
      <c r="I581" s="35" t="s">
        <v>580</v>
      </c>
      <c r="J581" s="35">
        <v>1640</v>
      </c>
      <c r="K581" s="141">
        <v>1602.0678589574541</v>
      </c>
      <c r="L581" s="34">
        <v>-37.932141042545936</v>
      </c>
      <c r="M581" s="56">
        <v>37.932141042545936</v>
      </c>
      <c r="N581" s="56">
        <v>1.5903082880591524</v>
      </c>
      <c r="O581" s="132">
        <f t="shared" si="10"/>
        <v>-1.5903082880591524</v>
      </c>
      <c r="P581" s="56">
        <v>-2.3129354294235327</v>
      </c>
      <c r="Q581" s="143">
        <v>2.3129354294235327</v>
      </c>
      <c r="R581" s="143">
        <v>1593.4631300088072</v>
      </c>
      <c r="S581" s="34">
        <v>-46.536869991192816</v>
      </c>
      <c r="T581" s="56">
        <v>46.536869991192816</v>
      </c>
      <c r="U581" s="56">
        <v>1.6770305827286247</v>
      </c>
      <c r="V581" s="56">
        <v>-2.8376140238532206</v>
      </c>
      <c r="W581" s="33">
        <v>2.8376140238532206</v>
      </c>
    </row>
    <row r="582" spans="1:23" ht="15" x14ac:dyDescent="0.2">
      <c r="A582" s="103" t="s">
        <v>19</v>
      </c>
      <c r="B582" t="s">
        <v>890</v>
      </c>
      <c r="C582" s="24" t="s">
        <v>980</v>
      </c>
      <c r="D582" s="224" t="s">
        <v>824</v>
      </c>
      <c r="E582" s="35" t="s">
        <v>148</v>
      </c>
      <c r="F582" s="103" t="s">
        <v>968</v>
      </c>
      <c r="G582" s="103">
        <v>1</v>
      </c>
      <c r="H582" s="35" t="s">
        <v>374</v>
      </c>
      <c r="I582" s="35" t="s">
        <v>580</v>
      </c>
      <c r="J582" s="35">
        <v>1316</v>
      </c>
      <c r="K582">
        <v>1277.8266740820682</v>
      </c>
      <c r="L582" s="34">
        <v>-38.173325917931834</v>
      </c>
      <c r="M582" s="56">
        <v>38.173325917931834</v>
      </c>
      <c r="N582" s="56">
        <v>1.5929904458518096</v>
      </c>
      <c r="O582" s="132">
        <f t="shared" si="10"/>
        <v>-1.5929904458518096</v>
      </c>
      <c r="P582" s="56">
        <v>-2.9007086563777991</v>
      </c>
      <c r="Q582" s="143">
        <v>2.9007086563777991</v>
      </c>
      <c r="R582" s="143">
        <v>1271.4246364409021</v>
      </c>
      <c r="S582" s="34">
        <v>-44.575363559097923</v>
      </c>
      <c r="T582" s="56">
        <v>44.575363559097923</v>
      </c>
      <c r="U582" s="56">
        <v>1.6587301417500597</v>
      </c>
      <c r="V582" s="56">
        <v>-3.3871856807825171</v>
      </c>
      <c r="W582" s="33">
        <v>3.3871856807825171</v>
      </c>
    </row>
    <row r="583" spans="1:23" ht="16" x14ac:dyDescent="0.2">
      <c r="A583" s="103" t="s">
        <v>19</v>
      </c>
      <c r="B583" t="s">
        <v>847</v>
      </c>
      <c r="C583" s="103" t="s">
        <v>971</v>
      </c>
      <c r="D583" s="224" t="s">
        <v>824</v>
      </c>
      <c r="E583" s="35" t="s">
        <v>148</v>
      </c>
      <c r="F583" s="103" t="s">
        <v>968</v>
      </c>
      <c r="G583" s="103">
        <v>1</v>
      </c>
      <c r="H583" s="35" t="s">
        <v>494</v>
      </c>
      <c r="I583" s="35" t="s">
        <v>580</v>
      </c>
      <c r="J583" s="35">
        <v>1170</v>
      </c>
      <c r="K583" s="147">
        <v>1131.5866687290327</v>
      </c>
      <c r="L583" s="34">
        <v>-38.413331270967319</v>
      </c>
      <c r="M583" s="56">
        <v>38.413331270967319</v>
      </c>
      <c r="N583" s="56">
        <v>1.5956431436059306</v>
      </c>
      <c r="O583" s="132">
        <f t="shared" si="10"/>
        <v>-1.5956431436059306</v>
      </c>
      <c r="P583" s="56">
        <v>-3.2831907069202835</v>
      </c>
      <c r="Q583" s="143">
        <v>3.2831907069202835</v>
      </c>
      <c r="R583" s="143">
        <v>1301.5881756790452</v>
      </c>
      <c r="S583" s="34">
        <v>131.58817567904521</v>
      </c>
      <c r="T583" s="56">
        <v>131.58817567904521</v>
      </c>
      <c r="U583" s="56">
        <v>2.1225047950618281</v>
      </c>
      <c r="V583" s="56">
        <v>11.246852622140615</v>
      </c>
      <c r="W583" s="33">
        <v>11.246852622140615</v>
      </c>
    </row>
    <row r="584" spans="1:23" ht="16" x14ac:dyDescent="0.2">
      <c r="A584" s="103" t="s">
        <v>19</v>
      </c>
      <c r="B584" t="s">
        <v>853</v>
      </c>
      <c r="C584" s="224" t="s">
        <v>974</v>
      </c>
      <c r="D584" s="224" t="s">
        <v>824</v>
      </c>
      <c r="E584" s="35" t="s">
        <v>148</v>
      </c>
      <c r="F584" s="103" t="s">
        <v>967</v>
      </c>
      <c r="G584" s="103">
        <v>0</v>
      </c>
      <c r="H584" s="35" t="s">
        <v>374</v>
      </c>
      <c r="I584" s="35" t="s">
        <v>580</v>
      </c>
      <c r="J584" s="35">
        <v>1274</v>
      </c>
      <c r="K584" s="147">
        <v>1312.5355999999999</v>
      </c>
      <c r="L584" s="34">
        <v>38.535599999999931</v>
      </c>
      <c r="M584" s="56">
        <v>38.535599999999931</v>
      </c>
      <c r="N584" s="56">
        <v>1.5969883341215518</v>
      </c>
      <c r="O584" s="132">
        <f t="shared" si="10"/>
        <v>1.5969883341215518</v>
      </c>
      <c r="P584" s="56">
        <v>3.0247723704866507</v>
      </c>
      <c r="Q584" s="143">
        <v>3.0247723704866507</v>
      </c>
      <c r="R584" s="143">
        <v>1235.5631999999998</v>
      </c>
      <c r="S584" s="34">
        <v>-38.436800000000176</v>
      </c>
      <c r="T584" s="56">
        <v>38.436800000000176</v>
      </c>
      <c r="U584" s="56">
        <v>1.595901667964811</v>
      </c>
      <c r="V584" s="56">
        <v>-3.0170172684458536</v>
      </c>
      <c r="W584" s="33">
        <v>3.0170172684458536</v>
      </c>
    </row>
    <row r="585" spans="1:23" ht="15" x14ac:dyDescent="0.2">
      <c r="A585" s="103" t="s">
        <v>19</v>
      </c>
      <c r="B585" t="s">
        <v>890</v>
      </c>
      <c r="C585" s="224" t="s">
        <v>974</v>
      </c>
      <c r="D585" s="224" t="s">
        <v>824</v>
      </c>
      <c r="E585" s="35" t="s">
        <v>148</v>
      </c>
      <c r="F585" s="103" t="s">
        <v>967</v>
      </c>
      <c r="G585" s="103">
        <v>0</v>
      </c>
      <c r="H585" s="35" t="s">
        <v>374</v>
      </c>
      <c r="I585" s="35" t="s">
        <v>580</v>
      </c>
      <c r="J585" s="35">
        <v>1316</v>
      </c>
      <c r="K585">
        <v>1354.5988</v>
      </c>
      <c r="L585" s="34">
        <v>38.598799999999983</v>
      </c>
      <c r="M585" s="56">
        <v>38.598799999999983</v>
      </c>
      <c r="N585" s="56">
        <v>1.5976820252872619</v>
      </c>
      <c r="O585" s="132">
        <f t="shared" si="10"/>
        <v>1.5976820252872619</v>
      </c>
      <c r="P585" s="56">
        <v>2.9330395136778105</v>
      </c>
      <c r="Q585" s="143">
        <v>2.9330395136778105</v>
      </c>
      <c r="R585" s="143">
        <v>1283.4101999999998</v>
      </c>
      <c r="S585" s="34">
        <v>-32.589800000000196</v>
      </c>
      <c r="T585" s="56">
        <v>32.589800000000196</v>
      </c>
      <c r="U585" s="56">
        <v>1.5262074179781668</v>
      </c>
      <c r="V585" s="56">
        <v>-2.4764285714285865</v>
      </c>
      <c r="W585" s="33">
        <v>2.4764285714285865</v>
      </c>
    </row>
    <row r="586" spans="1:23" ht="15" x14ac:dyDescent="0.2">
      <c r="A586" s="103" t="s">
        <v>19</v>
      </c>
      <c r="B586" s="28" t="s">
        <v>289</v>
      </c>
      <c r="C586" s="224" t="s">
        <v>977</v>
      </c>
      <c r="D586" s="208" t="s">
        <v>403</v>
      </c>
      <c r="E586" s="35" t="s">
        <v>148</v>
      </c>
      <c r="F586" s="103" t="s">
        <v>968</v>
      </c>
      <c r="G586" s="103">
        <v>1</v>
      </c>
      <c r="H586" s="35" t="s">
        <v>494</v>
      </c>
      <c r="I586" s="35" t="s">
        <v>580</v>
      </c>
      <c r="J586" s="35">
        <v>899.05</v>
      </c>
      <c r="K586" s="141">
        <v>937.68895350454216</v>
      </c>
      <c r="L586" s="34">
        <v>38.638953504542201</v>
      </c>
      <c r="M586" s="56">
        <v>38.638953504542201</v>
      </c>
      <c r="N586" s="56">
        <v>1.5981221802935104</v>
      </c>
      <c r="O586" s="132">
        <f t="shared" si="10"/>
        <v>1.5981221802935104</v>
      </c>
      <c r="P586" s="56">
        <v>4.297753573721395</v>
      </c>
      <c r="Q586" s="143">
        <v>4.297753573721395</v>
      </c>
      <c r="R586" s="143">
        <v>924.8190314574889</v>
      </c>
      <c r="S586" s="34">
        <v>25.76903145748895</v>
      </c>
      <c r="T586" s="56">
        <v>25.76903145748895</v>
      </c>
      <c r="U586" s="56">
        <v>1.4276326580648744</v>
      </c>
      <c r="V586" s="56">
        <v>2.8662512048817028</v>
      </c>
      <c r="W586" s="33">
        <v>2.8662512048817028</v>
      </c>
    </row>
    <row r="587" spans="1:23" ht="15" x14ac:dyDescent="0.2">
      <c r="A587" s="103" t="s">
        <v>19</v>
      </c>
      <c r="B587" s="218" t="s">
        <v>344</v>
      </c>
      <c r="C587" s="224" t="s">
        <v>978</v>
      </c>
      <c r="D587" s="208" t="s">
        <v>403</v>
      </c>
      <c r="E587" s="35" t="s">
        <v>82</v>
      </c>
      <c r="F587" s="103" t="s">
        <v>968</v>
      </c>
      <c r="G587" s="103">
        <v>1</v>
      </c>
      <c r="H587" s="35" t="s">
        <v>374</v>
      </c>
      <c r="I587" s="35" t="s">
        <v>580</v>
      </c>
      <c r="J587" s="35">
        <v>1427.7</v>
      </c>
      <c r="K587" s="141">
        <v>1388.8431417935403</v>
      </c>
      <c r="L587" s="34">
        <v>-38.856858206459719</v>
      </c>
      <c r="M587" s="56">
        <v>38.856858206459719</v>
      </c>
      <c r="N587" s="56">
        <v>1.6005030616154812</v>
      </c>
      <c r="O587" s="132">
        <f t="shared" si="10"/>
        <v>-1.6005030616154812</v>
      </c>
      <c r="P587" s="56">
        <v>-2.7216402750199427</v>
      </c>
      <c r="Q587" s="143">
        <v>2.7216402750199427</v>
      </c>
      <c r="R587" s="143">
        <v>1379.80451730909</v>
      </c>
      <c r="S587" s="34">
        <v>-47.895482690910057</v>
      </c>
      <c r="T587" s="56">
        <v>47.895482690910057</v>
      </c>
      <c r="U587" s="56">
        <v>1.6892687377937137</v>
      </c>
      <c r="V587" s="56">
        <v>-3.3547301737697035</v>
      </c>
      <c r="W587" s="33">
        <v>3.3547301737697035</v>
      </c>
    </row>
    <row r="588" spans="1:23" ht="15" x14ac:dyDescent="0.2">
      <c r="A588" s="103" t="s">
        <v>19</v>
      </c>
      <c r="B588" t="s">
        <v>897</v>
      </c>
      <c r="C588" s="24" t="s">
        <v>980</v>
      </c>
      <c r="D588" s="224" t="s">
        <v>824</v>
      </c>
      <c r="E588" s="35" t="s">
        <v>148</v>
      </c>
      <c r="F588" s="103" t="s">
        <v>968</v>
      </c>
      <c r="G588" s="103">
        <v>1</v>
      </c>
      <c r="H588" s="35" t="s">
        <v>494</v>
      </c>
      <c r="I588" s="35" t="s">
        <v>580</v>
      </c>
      <c r="J588" s="35">
        <v>1031</v>
      </c>
      <c r="K588">
        <v>992.09457636409627</v>
      </c>
      <c r="L588" s="34">
        <v>-38.90542363590373</v>
      </c>
      <c r="M588" s="56">
        <v>38.90542363590373</v>
      </c>
      <c r="N588" s="56">
        <v>1.6010319256383769</v>
      </c>
      <c r="O588" s="132">
        <f t="shared" si="10"/>
        <v>-1.6010319256383769</v>
      </c>
      <c r="P588" s="56">
        <v>-3.7735619433466274</v>
      </c>
      <c r="Q588" s="143">
        <v>3.7735619433466274</v>
      </c>
      <c r="R588" s="143">
        <v>981.51649717891257</v>
      </c>
      <c r="S588" s="34">
        <v>-49.483502821087427</v>
      </c>
      <c r="T588" s="56">
        <v>49.483502821087427</v>
      </c>
      <c r="U588" s="56">
        <v>1.703149481004137</v>
      </c>
      <c r="V588" s="56">
        <v>-4.7995638041791873</v>
      </c>
      <c r="W588" s="33">
        <v>4.7995638041791873</v>
      </c>
    </row>
    <row r="589" spans="1:23" ht="16" x14ac:dyDescent="0.2">
      <c r="A589" s="103" t="s">
        <v>19</v>
      </c>
      <c r="B589" t="s">
        <v>853</v>
      </c>
      <c r="C589" s="103" t="s">
        <v>979</v>
      </c>
      <c r="D589" s="224" t="s">
        <v>824</v>
      </c>
      <c r="E589" s="35" t="s">
        <v>148</v>
      </c>
      <c r="F589" s="103" t="s">
        <v>967</v>
      </c>
      <c r="G589" s="103">
        <v>0</v>
      </c>
      <c r="H589" s="35" t="s">
        <v>374</v>
      </c>
      <c r="I589" s="35" t="s">
        <v>580</v>
      </c>
      <c r="J589" s="35">
        <v>1274</v>
      </c>
      <c r="K589" s="147">
        <v>1234.782608695652</v>
      </c>
      <c r="L589" s="34">
        <v>-39.217391304347984</v>
      </c>
      <c r="M589" s="56">
        <v>39.217391304347984</v>
      </c>
      <c r="N589" s="56">
        <v>1.6044138967214414</v>
      </c>
      <c r="O589" s="132">
        <f t="shared" si="10"/>
        <v>-1.6044138967214414</v>
      </c>
      <c r="P589" s="56">
        <v>-3.0782881714558856</v>
      </c>
      <c r="Q589" s="143">
        <v>3.0782881714558856</v>
      </c>
      <c r="R589" s="143">
        <v>1233.3333333333335</v>
      </c>
      <c r="S589" s="34">
        <v>-40.666666666666515</v>
      </c>
      <c r="T589" s="56">
        <v>40.666666666666515</v>
      </c>
      <c r="U589" s="56">
        <v>1.6197887582883923</v>
      </c>
      <c r="V589" s="56">
        <v>-3.1920460491888942</v>
      </c>
      <c r="W589" s="33">
        <v>3.1920460491888942</v>
      </c>
    </row>
    <row r="590" spans="1:23" ht="16" x14ac:dyDescent="0.2">
      <c r="A590" s="103" t="s">
        <v>19</v>
      </c>
      <c r="B590" t="s">
        <v>854</v>
      </c>
      <c r="C590" s="224" t="s">
        <v>977</v>
      </c>
      <c r="D590" s="224" t="s">
        <v>824</v>
      </c>
      <c r="E590" s="35" t="s">
        <v>148</v>
      </c>
      <c r="F590" s="103" t="s">
        <v>968</v>
      </c>
      <c r="G590" s="103">
        <v>1</v>
      </c>
      <c r="H590" s="35" t="s">
        <v>374</v>
      </c>
      <c r="I590" s="35" t="s">
        <v>580</v>
      </c>
      <c r="J590" s="35">
        <v>1340</v>
      </c>
      <c r="K590" s="147">
        <v>1300.4038134456923</v>
      </c>
      <c r="L590" s="34">
        <v>-39.596186554307678</v>
      </c>
      <c r="M590" s="56">
        <v>39.596186554307678</v>
      </c>
      <c r="N590" s="56">
        <v>1.6084852395819904</v>
      </c>
      <c r="O590" s="132">
        <f t="shared" si="10"/>
        <v>-1.6084852395819904</v>
      </c>
      <c r="P590" s="56">
        <v>-2.9549392950975881</v>
      </c>
      <c r="Q590" s="143">
        <v>2.9549392950975881</v>
      </c>
      <c r="R590" s="143">
        <v>1265.7328149671487</v>
      </c>
      <c r="S590" s="34">
        <v>-74.26718503285133</v>
      </c>
      <c r="T590" s="56">
        <v>74.26718503285133</v>
      </c>
      <c r="U590" s="56">
        <v>1.8766056738719223</v>
      </c>
      <c r="V590" s="56">
        <v>-5.5423272412575617</v>
      </c>
      <c r="W590" s="33">
        <v>5.5423272412575617</v>
      </c>
    </row>
    <row r="591" spans="1:23" ht="16" x14ac:dyDescent="0.2">
      <c r="A591" s="103" t="s">
        <v>19</v>
      </c>
      <c r="B591" t="s">
        <v>849</v>
      </c>
      <c r="C591" s="24" t="s">
        <v>980</v>
      </c>
      <c r="D591" s="224" t="s">
        <v>824</v>
      </c>
      <c r="E591" s="35" t="s">
        <v>148</v>
      </c>
      <c r="F591" s="103" t="s">
        <v>968</v>
      </c>
      <c r="G591" s="103">
        <v>1</v>
      </c>
      <c r="H591" s="35" t="s">
        <v>374</v>
      </c>
      <c r="I591" s="35" t="s">
        <v>580</v>
      </c>
      <c r="J591" s="35">
        <v>1413</v>
      </c>
      <c r="K591" s="147">
        <v>1373.2970117681998</v>
      </c>
      <c r="L591" s="34">
        <v>-39.702988231800191</v>
      </c>
      <c r="M591" s="56">
        <v>39.702988231800191</v>
      </c>
      <c r="N591" s="56">
        <v>1.6096262943589292</v>
      </c>
      <c r="O591" s="132">
        <f t="shared" si="10"/>
        <v>-1.6096262943589292</v>
      </c>
      <c r="P591" s="56">
        <v>-2.8098363929087182</v>
      </c>
      <c r="Q591" s="143">
        <v>2.8098363929087182</v>
      </c>
      <c r="R591" s="143">
        <v>1371.63675243378</v>
      </c>
      <c r="S591" s="34">
        <v>-41.363247566220025</v>
      </c>
      <c r="T591" s="56">
        <v>41.363247566220025</v>
      </c>
      <c r="U591" s="56">
        <v>1.6269892457231472</v>
      </c>
      <c r="V591" s="56">
        <v>-2.9273352842335476</v>
      </c>
      <c r="W591" s="33">
        <v>2.9273352842335476</v>
      </c>
    </row>
    <row r="592" spans="1:23" ht="16" x14ac:dyDescent="0.2">
      <c r="A592" s="103" t="s">
        <v>19</v>
      </c>
      <c r="B592" t="s">
        <v>882</v>
      </c>
      <c r="C592" s="224" t="s">
        <v>978</v>
      </c>
      <c r="D592" s="224" t="s">
        <v>824</v>
      </c>
      <c r="E592" s="35" t="s">
        <v>148</v>
      </c>
      <c r="F592" s="103" t="s">
        <v>968</v>
      </c>
      <c r="G592" s="103">
        <v>1</v>
      </c>
      <c r="H592" s="35" t="s">
        <v>374</v>
      </c>
      <c r="I592" s="35" t="s">
        <v>580</v>
      </c>
      <c r="J592" s="35">
        <v>1643</v>
      </c>
      <c r="K592" s="147">
        <v>1682.8969077103134</v>
      </c>
      <c r="L592" s="34">
        <v>39.896907710313371</v>
      </c>
      <c r="M592" s="56">
        <v>39.896907710313371</v>
      </c>
      <c r="N592" s="56">
        <v>1.611690471451888</v>
      </c>
      <c r="O592" s="132">
        <f t="shared" si="10"/>
        <v>1.611690471451888</v>
      </c>
      <c r="P592" s="56">
        <v>2.428296269647801</v>
      </c>
      <c r="Q592" s="143">
        <v>2.428296269647801</v>
      </c>
      <c r="R592" s="143">
        <v>1659.9112418339287</v>
      </c>
      <c r="S592" s="34">
        <v>16.911241833928671</v>
      </c>
      <c r="T592" s="56">
        <v>16.911241833928671</v>
      </c>
      <c r="U592" s="56">
        <v>1.2531256976818583</v>
      </c>
      <c r="V592" s="56">
        <v>1.0292904342013798</v>
      </c>
      <c r="W592" s="33">
        <v>1.0292904342013798</v>
      </c>
    </row>
    <row r="593" spans="1:23" ht="16" x14ac:dyDescent="0.2">
      <c r="A593" s="103" t="s">
        <v>19</v>
      </c>
      <c r="B593" t="s">
        <v>848</v>
      </c>
      <c r="C593" s="103" t="s">
        <v>971</v>
      </c>
      <c r="D593" s="224" t="s">
        <v>824</v>
      </c>
      <c r="E593" s="35" t="s">
        <v>148</v>
      </c>
      <c r="F593" s="103" t="s">
        <v>968</v>
      </c>
      <c r="G593" s="103">
        <v>1</v>
      </c>
      <c r="H593" s="35" t="s">
        <v>374</v>
      </c>
      <c r="I593" s="35" t="s">
        <v>580</v>
      </c>
      <c r="J593" s="35">
        <v>1244</v>
      </c>
      <c r="K593" s="147">
        <v>1203.9399848810897</v>
      </c>
      <c r="L593" s="34">
        <v>-40.060015118910314</v>
      </c>
      <c r="M593" s="56">
        <v>40.060015118910314</v>
      </c>
      <c r="N593" s="56">
        <v>1.6134191049483118</v>
      </c>
      <c r="O593" s="132">
        <f t="shared" si="10"/>
        <v>-1.6134191049483118</v>
      </c>
      <c r="P593" s="56">
        <v>-3.2202584500731763</v>
      </c>
      <c r="Q593" s="143">
        <v>3.2202584500731763</v>
      </c>
      <c r="R593" s="143">
        <v>1377.7150565605041</v>
      </c>
      <c r="S593" s="34">
        <v>133.71505656050408</v>
      </c>
      <c r="T593" s="56">
        <v>133.71505656050408</v>
      </c>
      <c r="U593" s="56">
        <v>2.1294161377846925</v>
      </c>
      <c r="V593" s="56">
        <v>10.748798758882966</v>
      </c>
      <c r="W593" s="33">
        <v>10.748798758882966</v>
      </c>
    </row>
    <row r="594" spans="1:23" ht="16" x14ac:dyDescent="0.2">
      <c r="A594" s="103" t="s">
        <v>19</v>
      </c>
      <c r="B594" t="s">
        <v>849</v>
      </c>
      <c r="C594" s="224" t="s">
        <v>977</v>
      </c>
      <c r="D594" s="224" t="s">
        <v>824</v>
      </c>
      <c r="E594" s="35" t="s">
        <v>148</v>
      </c>
      <c r="F594" s="103" t="s">
        <v>968</v>
      </c>
      <c r="G594" s="103">
        <v>1</v>
      </c>
      <c r="H594" s="35" t="s">
        <v>374</v>
      </c>
      <c r="I594" s="35" t="s">
        <v>580</v>
      </c>
      <c r="J594" s="35">
        <v>1413</v>
      </c>
      <c r="K594" s="147">
        <v>1372.8698710879501</v>
      </c>
      <c r="L594" s="34">
        <v>-40.13012891204994</v>
      </c>
      <c r="M594" s="56">
        <v>40.13012891204994</v>
      </c>
      <c r="N594" s="56">
        <v>1.6141600706981905</v>
      </c>
      <c r="O594" s="132">
        <f t="shared" si="10"/>
        <v>-1.6141600706981905</v>
      </c>
      <c r="P594" s="56">
        <v>-2.8400657404140084</v>
      </c>
      <c r="Q594" s="143">
        <v>2.8400657404140084</v>
      </c>
      <c r="R594" s="143">
        <v>1371.1614766625828</v>
      </c>
      <c r="S594" s="34">
        <v>-41.8385233374172</v>
      </c>
      <c r="T594" s="56">
        <v>41.8385233374172</v>
      </c>
      <c r="U594" s="56">
        <v>1.6318344920976269</v>
      </c>
      <c r="V594" s="56">
        <v>-2.9609712199162916</v>
      </c>
      <c r="W594" s="33">
        <v>2.9609712199162916</v>
      </c>
    </row>
    <row r="595" spans="1:23" ht="16" x14ac:dyDescent="0.2">
      <c r="A595" s="103" t="s">
        <v>19</v>
      </c>
      <c r="B595" t="s">
        <v>859</v>
      </c>
      <c r="C595" s="24" t="s">
        <v>980</v>
      </c>
      <c r="D595" s="224" t="s">
        <v>824</v>
      </c>
      <c r="E595" s="35" t="s">
        <v>148</v>
      </c>
      <c r="F595" s="103" t="s">
        <v>968</v>
      </c>
      <c r="G595" s="103">
        <v>1</v>
      </c>
      <c r="H595" s="35" t="s">
        <v>494</v>
      </c>
      <c r="I595" s="35" t="s">
        <v>580</v>
      </c>
      <c r="J595" s="35">
        <v>1135</v>
      </c>
      <c r="K595" s="147">
        <v>1094.4975068592519</v>
      </c>
      <c r="L595" s="34">
        <v>-40.502493140748129</v>
      </c>
      <c r="M595" s="56">
        <v>40.502493140748129</v>
      </c>
      <c r="N595" s="56">
        <v>1.6180741864650356</v>
      </c>
      <c r="O595" s="132">
        <f t="shared" si="10"/>
        <v>-1.6180741864650356</v>
      </c>
      <c r="P595" s="56">
        <v>-3.5685015983037998</v>
      </c>
      <c r="Q595" s="143">
        <v>3.5685015983037998</v>
      </c>
      <c r="R595" s="143">
        <v>1125.2999539430198</v>
      </c>
      <c r="S595" s="34">
        <v>-9.7000460569802271</v>
      </c>
      <c r="T595" s="56">
        <v>9.7000460569802271</v>
      </c>
      <c r="U595" s="56">
        <v>1.0293856470543048</v>
      </c>
      <c r="V595" s="56">
        <v>-0.85462960854451342</v>
      </c>
      <c r="W595" s="33">
        <v>0.85462960854451342</v>
      </c>
    </row>
    <row r="596" spans="1:23" ht="16" x14ac:dyDescent="0.2">
      <c r="A596" s="103" t="s">
        <v>19</v>
      </c>
      <c r="B596" t="s">
        <v>861</v>
      </c>
      <c r="C596" s="103" t="s">
        <v>979</v>
      </c>
      <c r="D596" s="224" t="s">
        <v>824</v>
      </c>
      <c r="E596" s="35" t="s">
        <v>148</v>
      </c>
      <c r="F596" s="103" t="s">
        <v>967</v>
      </c>
      <c r="G596" s="103">
        <v>0</v>
      </c>
      <c r="H596" s="35" t="s">
        <v>494</v>
      </c>
      <c r="I596" s="35" t="s">
        <v>580</v>
      </c>
      <c r="J596" s="35">
        <v>1055</v>
      </c>
      <c r="K596" s="147">
        <v>1095.6521739130435</v>
      </c>
      <c r="L596" s="34">
        <v>40.652173913043498</v>
      </c>
      <c r="M596" s="56">
        <v>40.652173913043498</v>
      </c>
      <c r="N596" s="56">
        <v>1.6196376730609516</v>
      </c>
      <c r="O596" s="132">
        <f t="shared" si="10"/>
        <v>1.6196376730609516</v>
      </c>
      <c r="P596" s="56">
        <v>3.8532866268287678</v>
      </c>
      <c r="Q596" s="143">
        <v>3.8532866268287678</v>
      </c>
      <c r="R596" s="143">
        <v>1104.1666666666667</v>
      </c>
      <c r="S596" s="34">
        <v>49.166666666666742</v>
      </c>
      <c r="T596" s="56">
        <v>49.166666666666742</v>
      </c>
      <c r="U596" s="56">
        <v>1.7004152452102004</v>
      </c>
      <c r="V596" s="56">
        <v>4.6603475513428192</v>
      </c>
      <c r="W596" s="33">
        <v>4.6603475513428192</v>
      </c>
    </row>
    <row r="597" spans="1:23" ht="15" x14ac:dyDescent="0.2">
      <c r="A597" s="103" t="s">
        <v>19</v>
      </c>
      <c r="B597" s="28" t="s">
        <v>435</v>
      </c>
      <c r="C597" s="24" t="s">
        <v>980</v>
      </c>
      <c r="D597" s="35" t="s">
        <v>458</v>
      </c>
      <c r="E597" s="208" t="s">
        <v>82</v>
      </c>
      <c r="F597" s="103" t="s">
        <v>968</v>
      </c>
      <c r="G597" s="103">
        <v>1</v>
      </c>
      <c r="H597" s="35" t="s">
        <v>494</v>
      </c>
      <c r="I597" s="35" t="s">
        <v>580</v>
      </c>
      <c r="J597" s="35">
        <v>1150</v>
      </c>
      <c r="K597" s="141">
        <v>1109.2276180784049</v>
      </c>
      <c r="L597" s="34">
        <v>-40.77238192159507</v>
      </c>
      <c r="M597" s="56">
        <v>40.77238192159507</v>
      </c>
      <c r="N597" s="56">
        <v>1.6208892400702788</v>
      </c>
      <c r="O597" s="132">
        <f t="shared" si="10"/>
        <v>-1.6208892400702788</v>
      </c>
      <c r="P597" s="56">
        <v>-3.5454245149213106</v>
      </c>
      <c r="Q597" s="143">
        <v>3.5454245149213106</v>
      </c>
      <c r="R597" s="143">
        <v>1101.9447356633996</v>
      </c>
      <c r="S597" s="34">
        <v>-48.05526433660043</v>
      </c>
      <c r="T597" s="56">
        <v>48.05526433660043</v>
      </c>
      <c r="U597" s="56">
        <v>1.6906856202716671</v>
      </c>
      <c r="V597" s="56">
        <v>-4.1787186379652548</v>
      </c>
      <c r="W597" s="33">
        <v>4.1787186379652548</v>
      </c>
    </row>
    <row r="598" spans="1:23" ht="15" x14ac:dyDescent="0.2">
      <c r="A598" s="103" t="s">
        <v>19</v>
      </c>
      <c r="B598" s="206" t="s">
        <v>593</v>
      </c>
      <c r="C598" s="224" t="s">
        <v>978</v>
      </c>
      <c r="D598" s="35" t="s">
        <v>403</v>
      </c>
      <c r="E598" s="35" t="s">
        <v>82</v>
      </c>
      <c r="F598" s="103" t="s">
        <v>968</v>
      </c>
      <c r="G598" s="103">
        <v>1</v>
      </c>
      <c r="H598" s="35" t="s">
        <v>374</v>
      </c>
      <c r="I598" s="35" t="s">
        <v>580</v>
      </c>
      <c r="J598" s="35">
        <v>1284.8</v>
      </c>
      <c r="K598" s="141">
        <v>1243.9700265516806</v>
      </c>
      <c r="L598" s="34">
        <v>-40.829973448319379</v>
      </c>
      <c r="M598" s="56">
        <v>40.829973448319379</v>
      </c>
      <c r="N598" s="56">
        <v>1.6214875889112055</v>
      </c>
      <c r="O598" s="132">
        <f t="shared" si="10"/>
        <v>-1.6214875889112055</v>
      </c>
      <c r="P598" s="56">
        <v>-3.1779244589289681</v>
      </c>
      <c r="Q598" s="143">
        <v>3.1779244589289681</v>
      </c>
      <c r="R598" s="143">
        <v>1229.1959673990098</v>
      </c>
      <c r="S598" s="34">
        <v>-55.604032600990195</v>
      </c>
      <c r="T598" s="56">
        <v>55.604032600990195</v>
      </c>
      <c r="U598" s="56">
        <v>1.7528473724245199</v>
      </c>
      <c r="V598" s="56">
        <v>-4.3278356632153017</v>
      </c>
      <c r="W598" s="33">
        <v>4.3278356632153017</v>
      </c>
    </row>
    <row r="599" spans="1:23" ht="16" x14ac:dyDescent="0.2">
      <c r="A599" s="103" t="s">
        <v>19</v>
      </c>
      <c r="B599" t="s">
        <v>862</v>
      </c>
      <c r="C599" s="103" t="s">
        <v>979</v>
      </c>
      <c r="D599" s="224" t="s">
        <v>824</v>
      </c>
      <c r="E599" s="35" t="s">
        <v>148</v>
      </c>
      <c r="F599" s="103" t="s">
        <v>967</v>
      </c>
      <c r="G599" s="103">
        <v>0</v>
      </c>
      <c r="H599" s="35" t="s">
        <v>374</v>
      </c>
      <c r="I599" s="35" t="s">
        <v>580</v>
      </c>
      <c r="J599" s="35">
        <v>1280</v>
      </c>
      <c r="K599" s="147">
        <v>1239.1304347826087</v>
      </c>
      <c r="L599" s="34">
        <v>-40.869565217391255</v>
      </c>
      <c r="M599" s="56">
        <v>40.869565217391255</v>
      </c>
      <c r="N599" s="56">
        <v>1.6218984511069412</v>
      </c>
      <c r="O599" s="132">
        <f t="shared" si="10"/>
        <v>-1.6218984511069412</v>
      </c>
      <c r="P599" s="56">
        <v>-3.1929347826086918</v>
      </c>
      <c r="Q599" s="143">
        <v>3.1929347826086918</v>
      </c>
      <c r="R599" s="143">
        <v>1208.3333333333335</v>
      </c>
      <c r="S599" s="34">
        <v>-71.666666666666515</v>
      </c>
      <c r="T599" s="56">
        <v>71.666666666666515</v>
      </c>
      <c r="U599" s="56">
        <v>1.8613352388849416</v>
      </c>
      <c r="V599" s="56">
        <v>-5.5989583333333215</v>
      </c>
      <c r="W599" s="33">
        <v>5.5989583333333215</v>
      </c>
    </row>
    <row r="600" spans="1:23" ht="15" x14ac:dyDescent="0.2">
      <c r="A600" s="103" t="s">
        <v>19</v>
      </c>
      <c r="B600" s="28" t="s">
        <v>136</v>
      </c>
      <c r="C600" s="24" t="s">
        <v>980</v>
      </c>
      <c r="D600" s="208" t="s">
        <v>403</v>
      </c>
      <c r="E600" s="35" t="s">
        <v>96</v>
      </c>
      <c r="F600" s="103" t="s">
        <v>968</v>
      </c>
      <c r="G600" s="103">
        <v>1</v>
      </c>
      <c r="H600" s="35" t="s">
        <v>374</v>
      </c>
      <c r="I600" s="35" t="s">
        <v>580</v>
      </c>
      <c r="J600" s="35">
        <v>2365.6</v>
      </c>
      <c r="K600" s="141">
        <v>2324.3538823577378</v>
      </c>
      <c r="L600" s="34">
        <v>-41.246117642262107</v>
      </c>
      <c r="M600" s="56">
        <v>41.246117642262107</v>
      </c>
      <c r="N600" s="56">
        <v>1.6257868040782688</v>
      </c>
      <c r="O600" s="132">
        <f t="shared" si="10"/>
        <v>-1.6257868040782688</v>
      </c>
      <c r="P600" s="56">
        <v>-1.7435795418609279</v>
      </c>
      <c r="Q600" s="143">
        <v>1.7435795418609279</v>
      </c>
      <c r="R600" s="143">
        <v>2357.4483370916932</v>
      </c>
      <c r="S600" s="34">
        <v>-8.1516629083066618</v>
      </c>
      <c r="T600" s="56">
        <v>8.1516629083066618</v>
      </c>
      <c r="U600" s="56">
        <v>0.96150001497184356</v>
      </c>
      <c r="V600" s="56">
        <v>-0.34459176988107298</v>
      </c>
      <c r="W600" s="33">
        <v>0.34459176988107298</v>
      </c>
    </row>
    <row r="601" spans="1:23" ht="15" x14ac:dyDescent="0.2">
      <c r="A601" s="103" t="s">
        <v>19</v>
      </c>
      <c r="B601" s="28" t="s">
        <v>426</v>
      </c>
      <c r="C601" s="103" t="s">
        <v>971</v>
      </c>
      <c r="D601" s="35" t="s">
        <v>458</v>
      </c>
      <c r="E601" s="208" t="s">
        <v>82</v>
      </c>
      <c r="F601" s="103" t="s">
        <v>968</v>
      </c>
      <c r="G601" s="103">
        <v>1</v>
      </c>
      <c r="H601" s="35" t="s">
        <v>374</v>
      </c>
      <c r="I601" s="35" t="s">
        <v>580</v>
      </c>
      <c r="J601" s="35">
        <v>1620</v>
      </c>
      <c r="K601" s="141">
        <v>1661.2564193478629</v>
      </c>
      <c r="L601" s="34">
        <v>41.256419347862902</v>
      </c>
      <c r="M601" s="56">
        <v>41.256419347862902</v>
      </c>
      <c r="N601" s="56">
        <v>1.6258926937729015</v>
      </c>
      <c r="O601" s="132">
        <f t="shared" si="10"/>
        <v>1.6258926937729015</v>
      </c>
      <c r="P601" s="56">
        <v>2.5466925523372161</v>
      </c>
      <c r="Q601" s="143">
        <v>2.5466925523372161</v>
      </c>
      <c r="R601" s="143">
        <v>1871.3324880467017</v>
      </c>
      <c r="S601" s="34">
        <v>251.33248804670166</v>
      </c>
      <c r="T601" s="56">
        <v>251.33248804670166</v>
      </c>
      <c r="U601" s="56">
        <v>2.4019731699431528</v>
      </c>
      <c r="V601" s="56">
        <v>15.514351113993929</v>
      </c>
      <c r="W601" s="33">
        <v>15.514351113993929</v>
      </c>
    </row>
    <row r="602" spans="1:23" ht="15" x14ac:dyDescent="0.2">
      <c r="A602" s="103" t="s">
        <v>19</v>
      </c>
      <c r="B602" s="28" t="s">
        <v>416</v>
      </c>
      <c r="C602" s="103" t="s">
        <v>979</v>
      </c>
      <c r="D602" s="35" t="s">
        <v>458</v>
      </c>
      <c r="E602" s="35" t="s">
        <v>82</v>
      </c>
      <c r="F602" s="103" t="s">
        <v>967</v>
      </c>
      <c r="G602" s="103">
        <v>0</v>
      </c>
      <c r="H602" s="35" t="s">
        <v>374</v>
      </c>
      <c r="I602" s="35" t="s">
        <v>580</v>
      </c>
      <c r="J602" s="35">
        <v>1250</v>
      </c>
      <c r="K602" s="141">
        <v>1291.304347826087</v>
      </c>
      <c r="L602" s="34">
        <v>41.304347826086996</v>
      </c>
      <c r="M602" s="56">
        <v>41.304347826086996</v>
      </c>
      <c r="N602" s="56">
        <v>1.6263850042507595</v>
      </c>
      <c r="O602" s="132">
        <f t="shared" si="10"/>
        <v>1.6263850042507595</v>
      </c>
      <c r="P602" s="56">
        <v>3.3043478260869596</v>
      </c>
      <c r="Q602" s="143">
        <v>3.3043478260869596</v>
      </c>
      <c r="R602" s="143">
        <v>1270.8333333333335</v>
      </c>
      <c r="S602" s="34">
        <v>20.833333333333485</v>
      </c>
      <c r="T602" s="56">
        <v>20.833333333333485</v>
      </c>
      <c r="U602" s="56">
        <v>1.3391200452721237</v>
      </c>
      <c r="V602" s="56">
        <v>1.6666666666666787</v>
      </c>
      <c r="W602" s="33">
        <v>1.6666666666666787</v>
      </c>
    </row>
    <row r="603" spans="1:23" ht="16" x14ac:dyDescent="0.2">
      <c r="A603" s="103" t="s">
        <v>19</v>
      </c>
      <c r="B603" t="s">
        <v>849</v>
      </c>
      <c r="C603" s="224" t="s">
        <v>974</v>
      </c>
      <c r="D603" s="224" t="s">
        <v>824</v>
      </c>
      <c r="E603" s="35" t="s">
        <v>148</v>
      </c>
      <c r="F603" s="103" t="s">
        <v>967</v>
      </c>
      <c r="G603" s="103">
        <v>0</v>
      </c>
      <c r="H603" s="35" t="s">
        <v>374</v>
      </c>
      <c r="I603" s="35" t="s">
        <v>580</v>
      </c>
      <c r="J603" s="35">
        <v>1413</v>
      </c>
      <c r="K603" s="147">
        <v>1454.4989</v>
      </c>
      <c r="L603" s="34">
        <v>41.498900000000049</v>
      </c>
      <c r="M603" s="56">
        <v>41.498900000000049</v>
      </c>
      <c r="N603" s="56">
        <v>1.6283776893417823</v>
      </c>
      <c r="O603" s="132">
        <f t="shared" si="10"/>
        <v>1.6283776893417823</v>
      </c>
      <c r="P603" s="56">
        <v>2.9369355980184042</v>
      </c>
      <c r="Q603" s="143">
        <v>2.9369355980184042</v>
      </c>
      <c r="R603" s="143">
        <v>1383.8888999999999</v>
      </c>
      <c r="S603" s="34">
        <v>-29.111100000000079</v>
      </c>
      <c r="T603" s="56">
        <v>29.111100000000079</v>
      </c>
      <c r="U603" s="56">
        <v>1.4787266211787859</v>
      </c>
      <c r="V603" s="56">
        <v>-2.0602335456475638</v>
      </c>
      <c r="W603" s="33">
        <v>2.0602335456475638</v>
      </c>
    </row>
    <row r="604" spans="1:23" ht="16" x14ac:dyDescent="0.2">
      <c r="A604" s="103" t="s">
        <v>19</v>
      </c>
      <c r="B604" t="s">
        <v>878</v>
      </c>
      <c r="C604" s="103" t="s">
        <v>970</v>
      </c>
      <c r="D604" s="224" t="s">
        <v>824</v>
      </c>
      <c r="E604" s="35" t="s">
        <v>148</v>
      </c>
      <c r="F604" s="103" t="s">
        <v>967</v>
      </c>
      <c r="G604" s="103">
        <v>0</v>
      </c>
      <c r="H604" s="35" t="s">
        <v>374</v>
      </c>
      <c r="I604" s="35" t="s">
        <v>580</v>
      </c>
      <c r="J604" s="35">
        <v>1520</v>
      </c>
      <c r="K604" s="147">
        <v>1561.5361000000003</v>
      </c>
      <c r="L604" s="34">
        <v>41.53610000000026</v>
      </c>
      <c r="M604" s="56">
        <v>41.53610000000026</v>
      </c>
      <c r="N604" s="56">
        <v>1.6287576683094429</v>
      </c>
      <c r="O604" s="132">
        <f t="shared" ref="O604:O667" si="11">SIGN(L604)*N604</f>
        <v>1.6287576683094429</v>
      </c>
      <c r="P604" s="56">
        <v>2.7326381578947538</v>
      </c>
      <c r="Q604" s="143">
        <v>2.7326381578947538</v>
      </c>
      <c r="R604" s="143">
        <v>1599.3140000000003</v>
      </c>
      <c r="S604" s="34">
        <v>79.314000000000306</v>
      </c>
      <c r="T604" s="56">
        <v>79.314000000000306</v>
      </c>
      <c r="U604" s="56">
        <v>1.9047912562722702</v>
      </c>
      <c r="V604" s="56">
        <v>5.2180263157894942</v>
      </c>
      <c r="W604" s="33">
        <v>5.2180263157894942</v>
      </c>
    </row>
    <row r="605" spans="1:23" ht="16" x14ac:dyDescent="0.2">
      <c r="A605" s="103" t="s">
        <v>19</v>
      </c>
      <c r="B605" t="s">
        <v>854</v>
      </c>
      <c r="C605" s="24" t="s">
        <v>980</v>
      </c>
      <c r="D605" s="224" t="s">
        <v>824</v>
      </c>
      <c r="E605" s="35" t="s">
        <v>148</v>
      </c>
      <c r="F605" s="103" t="s">
        <v>968</v>
      </c>
      <c r="G605" s="103">
        <v>1</v>
      </c>
      <c r="H605" s="35" t="s">
        <v>374</v>
      </c>
      <c r="I605" s="35" t="s">
        <v>580</v>
      </c>
      <c r="J605" s="35">
        <v>1340</v>
      </c>
      <c r="K605" s="147">
        <v>1297.853809290292</v>
      </c>
      <c r="L605" s="34">
        <v>-42.14619070970798</v>
      </c>
      <c r="M605" s="56">
        <v>42.14619070970798</v>
      </c>
      <c r="N605" s="56">
        <v>1.6349424587584955</v>
      </c>
      <c r="O605" s="132">
        <f t="shared" si="11"/>
        <v>-1.6349424587584955</v>
      </c>
      <c r="P605" s="56">
        <v>-3.1452381126647748</v>
      </c>
      <c r="Q605" s="143">
        <v>3.1452381126647748</v>
      </c>
      <c r="R605" s="143">
        <v>1261.9307935660077</v>
      </c>
      <c r="S605" s="34">
        <v>-78.069206433992349</v>
      </c>
      <c r="T605" s="56">
        <v>78.069206433992349</v>
      </c>
      <c r="U605" s="56">
        <v>1.8980073800891721</v>
      </c>
      <c r="V605" s="56">
        <v>-5.8260601816412203</v>
      </c>
      <c r="W605" s="33">
        <v>5.8260601816412203</v>
      </c>
    </row>
    <row r="606" spans="1:23" ht="16" x14ac:dyDescent="0.2">
      <c r="A606" s="103" t="s">
        <v>19</v>
      </c>
      <c r="B606" t="s">
        <v>855</v>
      </c>
      <c r="C606" s="224" t="s">
        <v>978</v>
      </c>
      <c r="D606" s="224" t="s">
        <v>824</v>
      </c>
      <c r="E606" s="35" t="s">
        <v>148</v>
      </c>
      <c r="F606" s="103" t="s">
        <v>968</v>
      </c>
      <c r="G606" s="103">
        <v>1</v>
      </c>
      <c r="H606" s="225" t="s">
        <v>494</v>
      </c>
      <c r="I606" s="35" t="s">
        <v>580</v>
      </c>
      <c r="J606" s="35">
        <v>980</v>
      </c>
      <c r="K606" s="147">
        <v>937.80162711048672</v>
      </c>
      <c r="L606" s="34">
        <v>-42.19837288951328</v>
      </c>
      <c r="M606" s="56">
        <v>42.19837288951328</v>
      </c>
      <c r="N606" s="56">
        <v>1.6354673889812568</v>
      </c>
      <c r="O606" s="132">
        <f t="shared" si="11"/>
        <v>-1.6354673889812568</v>
      </c>
      <c r="P606" s="56">
        <v>-4.3059564172972742</v>
      </c>
      <c r="Q606" s="143">
        <v>4.3059564172972742</v>
      </c>
      <c r="R606" s="143">
        <v>930.37348395905929</v>
      </c>
      <c r="S606" s="34">
        <v>-49.626516040940714</v>
      </c>
      <c r="T606" s="56">
        <v>49.626516040940714</v>
      </c>
      <c r="U606" s="56">
        <v>1.7043780416223611</v>
      </c>
      <c r="V606" s="56">
        <v>-5.063930208259257</v>
      </c>
      <c r="W606" s="33">
        <v>5.063930208259257</v>
      </c>
    </row>
    <row r="607" spans="1:23" ht="15" x14ac:dyDescent="0.2">
      <c r="A607" s="103" t="s">
        <v>19</v>
      </c>
      <c r="B607" s="28" t="s">
        <v>282</v>
      </c>
      <c r="C607" s="103" t="s">
        <v>970</v>
      </c>
      <c r="D607" s="208" t="s">
        <v>403</v>
      </c>
      <c r="E607" s="35" t="s">
        <v>96</v>
      </c>
      <c r="F607" s="103" t="s">
        <v>967</v>
      </c>
      <c r="G607" s="103">
        <v>0</v>
      </c>
      <c r="H607" s="35" t="s">
        <v>494</v>
      </c>
      <c r="I607" s="35" t="s">
        <v>580</v>
      </c>
      <c r="J607" s="35">
        <v>872.2</v>
      </c>
      <c r="K607" s="141">
        <v>829.90950000000009</v>
      </c>
      <c r="L607" s="34">
        <v>-42.290499999999952</v>
      </c>
      <c r="M607" s="56">
        <v>42.290499999999952</v>
      </c>
      <c r="N607" s="56">
        <v>1.6363926018904704</v>
      </c>
      <c r="O607" s="132">
        <f t="shared" si="11"/>
        <v>-1.6363926018904704</v>
      </c>
      <c r="P607" s="56">
        <v>-4.8487158908507171</v>
      </c>
      <c r="Q607" s="143">
        <v>4.8487158908507171</v>
      </c>
      <c r="R607" s="143">
        <v>805.11710000000005</v>
      </c>
      <c r="S607" s="34">
        <v>-67.082899999999995</v>
      </c>
      <c r="T607" s="56">
        <v>67.082899999999995</v>
      </c>
      <c r="U607" s="56">
        <v>1.8330380463005889</v>
      </c>
      <c r="V607" s="56">
        <v>-7.6912290759000213</v>
      </c>
      <c r="W607" s="33">
        <v>7.6912290759000213</v>
      </c>
    </row>
    <row r="608" spans="1:23" ht="16" x14ac:dyDescent="0.2">
      <c r="A608" s="103" t="s">
        <v>19</v>
      </c>
      <c r="B608" t="s">
        <v>875</v>
      </c>
      <c r="C608" s="224" t="s">
        <v>978</v>
      </c>
      <c r="D608" s="224" t="s">
        <v>824</v>
      </c>
      <c r="E608" s="35" t="s">
        <v>148</v>
      </c>
      <c r="F608" s="103" t="s">
        <v>968</v>
      </c>
      <c r="G608" s="103">
        <v>1</v>
      </c>
      <c r="H608" s="35" t="s">
        <v>374</v>
      </c>
      <c r="I608" s="35" t="s">
        <v>580</v>
      </c>
      <c r="J608" s="35">
        <v>1490</v>
      </c>
      <c r="K608" s="147">
        <v>1532.3483203378696</v>
      </c>
      <c r="L608" s="34">
        <v>42.348320337869609</v>
      </c>
      <c r="M608" s="56">
        <v>42.348320337869609</v>
      </c>
      <c r="N608" s="56">
        <v>1.6369722740814971</v>
      </c>
      <c r="O608" s="132">
        <f t="shared" si="11"/>
        <v>1.6369722740814971</v>
      </c>
      <c r="P608" s="56">
        <v>2.8421691501925914</v>
      </c>
      <c r="Q608" s="143">
        <v>2.8421691501925914</v>
      </c>
      <c r="R608" s="143">
        <v>1487.2417736295602</v>
      </c>
      <c r="S608" s="34">
        <v>-2.7582263704398429</v>
      </c>
      <c r="T608" s="56">
        <v>2.7582263704398429</v>
      </c>
      <c r="U608" s="56">
        <v>0.57498293554950375</v>
      </c>
      <c r="V608" s="56">
        <v>-0.18511586378790892</v>
      </c>
      <c r="W608" s="33">
        <v>0.18511586378790892</v>
      </c>
    </row>
    <row r="609" spans="1:23" ht="16" x14ac:dyDescent="0.2">
      <c r="A609" s="103" t="s">
        <v>19</v>
      </c>
      <c r="B609" t="s">
        <v>841</v>
      </c>
      <c r="C609" s="103" t="s">
        <v>979</v>
      </c>
      <c r="D609" s="224" t="s">
        <v>824</v>
      </c>
      <c r="E609" s="35" t="s">
        <v>148</v>
      </c>
      <c r="F609" s="103" t="s">
        <v>967</v>
      </c>
      <c r="G609" s="103">
        <v>0</v>
      </c>
      <c r="H609" s="35" t="s">
        <v>374</v>
      </c>
      <c r="I609" s="35" t="s">
        <v>580</v>
      </c>
      <c r="J609" s="35">
        <v>1325</v>
      </c>
      <c r="K609" s="147">
        <v>1282.6086956521738</v>
      </c>
      <c r="L609" s="34">
        <v>-42.391304347826235</v>
      </c>
      <c r="M609" s="56">
        <v>42.391304347826235</v>
      </c>
      <c r="N609" s="56">
        <v>1.6374027052697797</v>
      </c>
      <c r="O609" s="132">
        <f t="shared" si="11"/>
        <v>-1.6374027052697797</v>
      </c>
      <c r="P609" s="56">
        <v>-3.199343724364244</v>
      </c>
      <c r="Q609" s="143">
        <v>3.199343724364244</v>
      </c>
      <c r="R609" s="143">
        <v>1291.6666666666667</v>
      </c>
      <c r="S609" s="34">
        <v>-33.333333333333258</v>
      </c>
      <c r="T609" s="56">
        <v>33.333333333333258</v>
      </c>
      <c r="U609" s="56">
        <v>1.5357159699855087</v>
      </c>
      <c r="V609" s="56">
        <v>-2.5157232704402457</v>
      </c>
      <c r="W609" s="33">
        <v>2.5157232704402457</v>
      </c>
    </row>
    <row r="610" spans="1:23" ht="16" x14ac:dyDescent="0.2">
      <c r="A610" s="103" t="s">
        <v>19</v>
      </c>
      <c r="B610" t="s">
        <v>882</v>
      </c>
      <c r="C610" s="103" t="s">
        <v>975</v>
      </c>
      <c r="D610" s="224" t="s">
        <v>824</v>
      </c>
      <c r="E610" s="35" t="s">
        <v>148</v>
      </c>
      <c r="F610" s="103" t="s">
        <v>967</v>
      </c>
      <c r="G610" s="103">
        <v>0</v>
      </c>
      <c r="H610" s="35" t="s">
        <v>374</v>
      </c>
      <c r="I610" s="35" t="s">
        <v>580</v>
      </c>
      <c r="J610" s="35">
        <v>1643</v>
      </c>
      <c r="K610" s="147">
        <v>1685.5747999999999</v>
      </c>
      <c r="L610" s="34">
        <v>42.574799999999868</v>
      </c>
      <c r="M610" s="56">
        <v>42.574799999999868</v>
      </c>
      <c r="N610" s="56">
        <v>1.6392354024579741</v>
      </c>
      <c r="O610" s="132">
        <f t="shared" si="11"/>
        <v>1.6392354024579741</v>
      </c>
      <c r="P610" s="56">
        <v>2.5912842361533701</v>
      </c>
      <c r="Q610" s="143">
        <v>2.5912842361533701</v>
      </c>
      <c r="R610" s="143">
        <v>1690.8228000000001</v>
      </c>
      <c r="S610" s="34">
        <v>47.822800000000143</v>
      </c>
      <c r="T610" s="56">
        <v>47.822800000000143</v>
      </c>
      <c r="U610" s="56">
        <v>1.6886226826944239</v>
      </c>
      <c r="V610" s="56">
        <v>2.910699939135736</v>
      </c>
      <c r="W610" s="33">
        <v>2.910699939135736</v>
      </c>
    </row>
    <row r="611" spans="1:23" ht="16" x14ac:dyDescent="0.2">
      <c r="A611" s="103" t="s">
        <v>19</v>
      </c>
      <c r="B611" t="s">
        <v>868</v>
      </c>
      <c r="C611" s="224" t="s">
        <v>977</v>
      </c>
      <c r="D611" s="224" t="s">
        <v>824</v>
      </c>
      <c r="E611" s="35" t="s">
        <v>148</v>
      </c>
      <c r="F611" s="103" t="s">
        <v>968</v>
      </c>
      <c r="G611" s="103">
        <v>1</v>
      </c>
      <c r="H611" s="35" t="s">
        <v>374</v>
      </c>
      <c r="I611" s="35" t="s">
        <v>580</v>
      </c>
      <c r="J611" s="35">
        <v>1530</v>
      </c>
      <c r="K611" s="147">
        <v>1572.6371446579628</v>
      </c>
      <c r="L611" s="34">
        <v>42.637144657962835</v>
      </c>
      <c r="M611" s="56">
        <v>42.637144657962835</v>
      </c>
      <c r="N611" s="56">
        <v>1.6398563253292129</v>
      </c>
      <c r="O611" s="132">
        <f t="shared" si="11"/>
        <v>1.6398563253292129</v>
      </c>
      <c r="P611" s="56">
        <v>2.7867414809126037</v>
      </c>
      <c r="Q611" s="143">
        <v>2.7867414809126037</v>
      </c>
      <c r="R611" s="143">
        <v>1593.4631300088072</v>
      </c>
      <c r="S611" s="34">
        <v>63.463130008807184</v>
      </c>
      <c r="T611" s="56">
        <v>63.463130008807184</v>
      </c>
      <c r="U611" s="56">
        <v>1.8093113888671504</v>
      </c>
      <c r="V611" s="56">
        <v>4.1479169940396856</v>
      </c>
      <c r="W611" s="33">
        <v>4.1479169940396856</v>
      </c>
    </row>
    <row r="612" spans="1:23" ht="15" x14ac:dyDescent="0.2">
      <c r="A612" s="103" t="s">
        <v>19</v>
      </c>
      <c r="B612" t="s">
        <v>897</v>
      </c>
      <c r="C612" s="103" t="s">
        <v>970</v>
      </c>
      <c r="D612" s="224" t="s">
        <v>824</v>
      </c>
      <c r="E612" s="35" t="s">
        <v>148</v>
      </c>
      <c r="F612" s="103" t="s">
        <v>967</v>
      </c>
      <c r="G612" s="103">
        <v>0</v>
      </c>
      <c r="H612" s="35" t="s">
        <v>494</v>
      </c>
      <c r="I612" s="35" t="s">
        <v>580</v>
      </c>
      <c r="J612" s="35">
        <v>1031</v>
      </c>
      <c r="K612">
        <v>988.24660000000006</v>
      </c>
      <c r="L612" s="34">
        <v>-42.753399999999942</v>
      </c>
      <c r="M612" s="56">
        <v>42.753399999999942</v>
      </c>
      <c r="N612" s="56">
        <v>1.6410118069323871</v>
      </c>
      <c r="O612" s="132">
        <f t="shared" si="11"/>
        <v>-1.6410118069323871</v>
      </c>
      <c r="P612" s="56">
        <v>-4.1467895247332631</v>
      </c>
      <c r="Q612" s="143">
        <v>4.1467895247332631</v>
      </c>
      <c r="R612" s="143">
        <v>973.34600000000012</v>
      </c>
      <c r="S612" s="34">
        <v>-57.653999999999883</v>
      </c>
      <c r="T612" s="56">
        <v>57.653999999999883</v>
      </c>
      <c r="U612" s="56">
        <v>1.7682976348435591</v>
      </c>
      <c r="V612" s="56">
        <v>-5.5920465567410176</v>
      </c>
      <c r="W612" s="33">
        <v>5.5920465567410176</v>
      </c>
    </row>
    <row r="613" spans="1:23" ht="15" x14ac:dyDescent="0.2">
      <c r="A613" s="103" t="s">
        <v>19</v>
      </c>
      <c r="B613" t="s">
        <v>891</v>
      </c>
      <c r="C613" s="224" t="s">
        <v>978</v>
      </c>
      <c r="D613" s="224" t="s">
        <v>824</v>
      </c>
      <c r="E613" s="35" t="s">
        <v>148</v>
      </c>
      <c r="F613" s="103" t="s">
        <v>968</v>
      </c>
      <c r="G613" s="103">
        <v>1</v>
      </c>
      <c r="H613" s="35" t="s">
        <v>374</v>
      </c>
      <c r="I613" s="35" t="s">
        <v>580</v>
      </c>
      <c r="J613" s="35">
        <v>1704</v>
      </c>
      <c r="K613">
        <v>1661.2405842157045</v>
      </c>
      <c r="L613" s="34">
        <v>-42.75941578429547</v>
      </c>
      <c r="M613" s="56">
        <v>42.75941578429547</v>
      </c>
      <c r="N613" s="56">
        <v>1.6410715152597806</v>
      </c>
      <c r="O613" s="132">
        <f t="shared" si="11"/>
        <v>-1.6410715152597806</v>
      </c>
      <c r="P613" s="56">
        <v>-2.5093553864023161</v>
      </c>
      <c r="Q613" s="143">
        <v>2.5093553864023161</v>
      </c>
      <c r="R613" s="143">
        <v>1644.5442894918456</v>
      </c>
      <c r="S613" s="34">
        <v>-59.455710508154425</v>
      </c>
      <c r="T613" s="56">
        <v>59.455710508154425</v>
      </c>
      <c r="U613" s="56">
        <v>1.7814373295979005</v>
      </c>
      <c r="V613" s="56">
        <v>-3.4891848889761987</v>
      </c>
      <c r="W613" s="33">
        <v>3.4891848889761987</v>
      </c>
    </row>
    <row r="614" spans="1:23" ht="15" x14ac:dyDescent="0.2">
      <c r="A614" s="103" t="s">
        <v>19</v>
      </c>
      <c r="B614" s="28" t="s">
        <v>365</v>
      </c>
      <c r="C614" s="24" t="s">
        <v>980</v>
      </c>
      <c r="D614" s="208" t="s">
        <v>403</v>
      </c>
      <c r="E614" s="35" t="s">
        <v>148</v>
      </c>
      <c r="F614" s="103" t="s">
        <v>968</v>
      </c>
      <c r="G614" s="103">
        <v>1</v>
      </c>
      <c r="H614" s="35" t="s">
        <v>494</v>
      </c>
      <c r="I614" s="35" t="s">
        <v>580</v>
      </c>
      <c r="J614" s="35">
        <v>992.24</v>
      </c>
      <c r="K614" s="141">
        <v>949.37291562501969</v>
      </c>
      <c r="L614" s="34">
        <v>-42.867084374980323</v>
      </c>
      <c r="M614" s="56">
        <v>42.867084374980323</v>
      </c>
      <c r="N614" s="56">
        <v>1.6421387699887902</v>
      </c>
      <c r="O614" s="132">
        <f t="shared" si="11"/>
        <v>-1.6421387699887902</v>
      </c>
      <c r="P614" s="56">
        <v>-4.3202334490627594</v>
      </c>
      <c r="Q614" s="143">
        <v>4.3202334490627594</v>
      </c>
      <c r="R614" s="143">
        <v>971.45370253316821</v>
      </c>
      <c r="S614" s="34">
        <v>-20.786297466831797</v>
      </c>
      <c r="T614" s="56">
        <v>20.786297466831797</v>
      </c>
      <c r="U614" s="56">
        <v>1.3381834291286132</v>
      </c>
      <c r="V614" s="56">
        <v>-2.0948860625284</v>
      </c>
      <c r="W614" s="33">
        <v>2.0948860625284</v>
      </c>
    </row>
    <row r="615" spans="1:23" ht="15" x14ac:dyDescent="0.2">
      <c r="A615" s="103" t="s">
        <v>19</v>
      </c>
      <c r="B615" t="s">
        <v>895</v>
      </c>
      <c r="C615" s="224" t="s">
        <v>978</v>
      </c>
      <c r="D615" s="224" t="s">
        <v>824</v>
      </c>
      <c r="E615" s="35" t="s">
        <v>148</v>
      </c>
      <c r="F615" s="103" t="s">
        <v>968</v>
      </c>
      <c r="G615" s="103">
        <v>1</v>
      </c>
      <c r="H615" s="35" t="s">
        <v>494</v>
      </c>
      <c r="I615" s="35" t="s">
        <v>580</v>
      </c>
      <c r="J615" s="35">
        <v>1185</v>
      </c>
      <c r="K615">
        <v>1142.0838696734827</v>
      </c>
      <c r="L615" s="34">
        <v>-42.916130326517305</v>
      </c>
      <c r="M615" s="56">
        <v>42.916130326517305</v>
      </c>
      <c r="N615" s="56">
        <v>1.6426240652334687</v>
      </c>
      <c r="O615" s="132">
        <f t="shared" si="11"/>
        <v>-1.6426240652334687</v>
      </c>
      <c r="P615" s="56">
        <v>-3.6216143735457642</v>
      </c>
      <c r="Q615" s="143">
        <v>3.6216143735457642</v>
      </c>
      <c r="R615" s="143">
        <v>1128.4466171623942</v>
      </c>
      <c r="S615" s="34">
        <v>-56.553382837605795</v>
      </c>
      <c r="T615" s="56">
        <v>56.553382837605795</v>
      </c>
      <c r="U615" s="56">
        <v>1.7600708554119999</v>
      </c>
      <c r="V615" s="56">
        <v>-4.7724373702620921</v>
      </c>
      <c r="W615" s="33">
        <v>4.7724373702620921</v>
      </c>
    </row>
    <row r="616" spans="1:23" ht="16" x14ac:dyDescent="0.2">
      <c r="A616" s="103" t="s">
        <v>19</v>
      </c>
      <c r="B616" t="s">
        <v>857</v>
      </c>
      <c r="C616" s="224" t="s">
        <v>974</v>
      </c>
      <c r="D616" s="224" t="s">
        <v>824</v>
      </c>
      <c r="E616" s="35" t="s">
        <v>148</v>
      </c>
      <c r="F616" s="103" t="s">
        <v>967</v>
      </c>
      <c r="G616" s="103">
        <v>0</v>
      </c>
      <c r="H616" s="225" t="s">
        <v>494</v>
      </c>
      <c r="I616" s="35" t="s">
        <v>580</v>
      </c>
      <c r="J616" s="35">
        <v>1022</v>
      </c>
      <c r="K616" s="147">
        <v>1065.4142999999999</v>
      </c>
      <c r="L616" s="34">
        <v>43.414299999999912</v>
      </c>
      <c r="M616" s="56">
        <v>43.414299999999912</v>
      </c>
      <c r="N616" s="56">
        <v>1.6475228217183557</v>
      </c>
      <c r="O616" s="132">
        <f t="shared" si="11"/>
        <v>1.6475228217183557</v>
      </c>
      <c r="P616" s="56">
        <v>4.2479745596868801</v>
      </c>
      <c r="Q616" s="143">
        <v>4.2479745596868801</v>
      </c>
      <c r="R616" s="143">
        <v>1001.1129</v>
      </c>
      <c r="S616" s="34">
        <v>-20.887100000000032</v>
      </c>
      <c r="T616" s="56">
        <v>20.887100000000032</v>
      </c>
      <c r="U616" s="56">
        <v>1.3401882221695089</v>
      </c>
      <c r="V616" s="56">
        <v>-2.0437475538160501</v>
      </c>
      <c r="W616" s="33">
        <v>2.0437475538160501</v>
      </c>
    </row>
    <row r="617" spans="1:23" ht="15" x14ac:dyDescent="0.2">
      <c r="A617" s="103" t="s">
        <v>19</v>
      </c>
      <c r="B617" s="28" t="s">
        <v>422</v>
      </c>
      <c r="C617" s="224" t="s">
        <v>977</v>
      </c>
      <c r="D617" s="35" t="s">
        <v>458</v>
      </c>
      <c r="E617" s="35" t="s">
        <v>82</v>
      </c>
      <c r="F617" s="103" t="s">
        <v>968</v>
      </c>
      <c r="G617" s="103">
        <v>1</v>
      </c>
      <c r="H617" s="35" t="s">
        <v>494</v>
      </c>
      <c r="I617" s="35" t="s">
        <v>580</v>
      </c>
      <c r="J617" s="35">
        <v>1070</v>
      </c>
      <c r="K617" s="141">
        <v>1113.6990870786656</v>
      </c>
      <c r="L617" s="34">
        <v>43.699087078665571</v>
      </c>
      <c r="M617" s="56">
        <v>43.699087078665571</v>
      </c>
      <c r="N617" s="56">
        <v>1.6502986533165742</v>
      </c>
      <c r="O617" s="132">
        <f t="shared" si="11"/>
        <v>1.6502986533165742</v>
      </c>
      <c r="P617" s="56">
        <v>4.0840268297818287</v>
      </c>
      <c r="Q617" s="143">
        <v>4.0840268297818287</v>
      </c>
      <c r="R617" s="143">
        <v>1088.7557010352145</v>
      </c>
      <c r="S617" s="34">
        <v>18.755701035214543</v>
      </c>
      <c r="T617" s="56">
        <v>18.755701035214543</v>
      </c>
      <c r="U617" s="56">
        <v>1.2956924453221168</v>
      </c>
      <c r="V617" s="56">
        <v>1.7528692556275274</v>
      </c>
      <c r="W617" s="33">
        <v>1.7528692556275274</v>
      </c>
    </row>
    <row r="618" spans="1:23" ht="15" x14ac:dyDescent="0.2">
      <c r="A618" s="103" t="s">
        <v>19</v>
      </c>
      <c r="B618" t="s">
        <v>894</v>
      </c>
      <c r="C618" s="224" t="s">
        <v>974</v>
      </c>
      <c r="D618" s="224" t="s">
        <v>824</v>
      </c>
      <c r="E618" s="35" t="s">
        <v>148</v>
      </c>
      <c r="F618" s="103" t="s">
        <v>967</v>
      </c>
      <c r="G618" s="103">
        <v>0</v>
      </c>
      <c r="H618" s="35" t="s">
        <v>494</v>
      </c>
      <c r="I618" s="35" t="s">
        <v>580</v>
      </c>
      <c r="J618" s="35">
        <v>1111</v>
      </c>
      <c r="K618">
        <v>1154.7986000000001</v>
      </c>
      <c r="L618" s="34">
        <v>43.798600000000079</v>
      </c>
      <c r="M618" s="56">
        <v>43.798600000000079</v>
      </c>
      <c r="N618" s="56">
        <v>1.651264442083523</v>
      </c>
      <c r="O618" s="132">
        <f t="shared" si="11"/>
        <v>1.651264442083523</v>
      </c>
      <c r="P618" s="56">
        <v>3.9422682268226894</v>
      </c>
      <c r="Q618" s="143">
        <v>3.9422682268226894</v>
      </c>
      <c r="R618" s="143">
        <v>1082.4527999999998</v>
      </c>
      <c r="S618" s="34">
        <v>-28.547200000000203</v>
      </c>
      <c r="T618" s="56">
        <v>28.547200000000203</v>
      </c>
      <c r="U618" s="56">
        <v>1.4705163318445205</v>
      </c>
      <c r="V618" s="56">
        <v>-2.5695049504950678</v>
      </c>
      <c r="W618" s="33">
        <v>2.5695049504950678</v>
      </c>
    </row>
    <row r="619" spans="1:23" ht="15" x14ac:dyDescent="0.2">
      <c r="A619" s="103" t="s">
        <v>19</v>
      </c>
      <c r="B619" s="28" t="s">
        <v>290</v>
      </c>
      <c r="C619" s="224" t="s">
        <v>977</v>
      </c>
      <c r="D619" s="208" t="s">
        <v>403</v>
      </c>
      <c r="E619" s="35" t="s">
        <v>82</v>
      </c>
      <c r="F619" s="103" t="s">
        <v>968</v>
      </c>
      <c r="G619" s="103">
        <v>1</v>
      </c>
      <c r="H619" s="35" t="s">
        <v>374</v>
      </c>
      <c r="I619" s="35" t="s">
        <v>580</v>
      </c>
      <c r="J619" s="35">
        <v>1369.3</v>
      </c>
      <c r="K619" s="141">
        <v>1413.1147872565073</v>
      </c>
      <c r="L619" s="34">
        <v>43.814787256507316</v>
      </c>
      <c r="M619" s="56">
        <v>43.814787256507316</v>
      </c>
      <c r="N619" s="56">
        <v>1.6514213390934438</v>
      </c>
      <c r="O619" s="132">
        <f t="shared" si="11"/>
        <v>1.6514213390934438</v>
      </c>
      <c r="P619" s="56">
        <v>3.1997945852995922</v>
      </c>
      <c r="Q619" s="143">
        <v>3.1997945852995922</v>
      </c>
      <c r="R619" s="143">
        <v>1385.1053906267257</v>
      </c>
      <c r="S619" s="34">
        <v>15.805390626725739</v>
      </c>
      <c r="T619" s="56">
        <v>15.805390626725739</v>
      </c>
      <c r="U619" s="56">
        <v>1.2254486117212837</v>
      </c>
      <c r="V619" s="56">
        <v>1.1542679198660439</v>
      </c>
      <c r="W619" s="33">
        <v>1.1542679198660439</v>
      </c>
    </row>
    <row r="620" spans="1:23" ht="15" x14ac:dyDescent="0.2">
      <c r="A620" s="103" t="s">
        <v>19</v>
      </c>
      <c r="B620" s="28" t="s">
        <v>422</v>
      </c>
      <c r="C620" s="103" t="s">
        <v>970</v>
      </c>
      <c r="D620" s="35" t="s">
        <v>458</v>
      </c>
      <c r="E620" s="35" t="s">
        <v>82</v>
      </c>
      <c r="F620" s="103" t="s">
        <v>967</v>
      </c>
      <c r="G620" s="103">
        <v>0</v>
      </c>
      <c r="H620" s="35" t="s">
        <v>494</v>
      </c>
      <c r="I620" s="35" t="s">
        <v>580</v>
      </c>
      <c r="J620" s="35">
        <v>1070</v>
      </c>
      <c r="K620" s="141">
        <v>1113.8243000000002</v>
      </c>
      <c r="L620" s="34">
        <v>43.824300000000221</v>
      </c>
      <c r="M620" s="56">
        <v>43.824300000000221</v>
      </c>
      <c r="N620" s="56">
        <v>1.6515135161146224</v>
      </c>
      <c r="O620" s="132">
        <f t="shared" si="11"/>
        <v>1.6515135161146224</v>
      </c>
      <c r="P620" s="56">
        <v>4.0957289719626377</v>
      </c>
      <c r="Q620" s="143">
        <v>4.0957289719626377</v>
      </c>
      <c r="R620" s="143">
        <v>1090.7150000000001</v>
      </c>
      <c r="S620" s="34">
        <v>20.715000000000146</v>
      </c>
      <c r="T620" s="56">
        <v>20.715000000000146</v>
      </c>
      <c r="U620" s="56">
        <v>1.3367598336982509</v>
      </c>
      <c r="V620" s="56">
        <v>1.9359813084112285</v>
      </c>
      <c r="W620" s="33">
        <v>1.9359813084112285</v>
      </c>
    </row>
    <row r="621" spans="1:23" ht="15" x14ac:dyDescent="0.2">
      <c r="A621" s="103" t="s">
        <v>19</v>
      </c>
      <c r="B621" t="s">
        <v>885</v>
      </c>
      <c r="C621" s="24" t="s">
        <v>980</v>
      </c>
      <c r="D621" s="224" t="s">
        <v>824</v>
      </c>
      <c r="E621" s="35" t="s">
        <v>148</v>
      </c>
      <c r="F621" s="103" t="s">
        <v>968</v>
      </c>
      <c r="G621" s="103">
        <v>1</v>
      </c>
      <c r="H621" s="35" t="s">
        <v>374</v>
      </c>
      <c r="I621" s="35" t="s">
        <v>580</v>
      </c>
      <c r="J621" s="35">
        <v>1714</v>
      </c>
      <c r="K621">
        <v>1669.7462889777796</v>
      </c>
      <c r="L621" s="34">
        <v>-44.253711022220386</v>
      </c>
      <c r="M621" s="56">
        <v>44.253711022220386</v>
      </c>
      <c r="N621" s="56">
        <v>1.655654199240407</v>
      </c>
      <c r="O621" s="132">
        <f t="shared" si="11"/>
        <v>-1.655654199240407</v>
      </c>
      <c r="P621" s="56">
        <v>-2.5818967924282608</v>
      </c>
      <c r="Q621" s="143">
        <v>2.5818967924282608</v>
      </c>
      <c r="R621" s="143">
        <v>1653.075334653186</v>
      </c>
      <c r="S621" s="34">
        <v>-60.924665346813981</v>
      </c>
      <c r="T621" s="56">
        <v>60.924665346813981</v>
      </c>
      <c r="U621" s="56">
        <v>1.7918636682506117</v>
      </c>
      <c r="V621" s="56">
        <v>-3.5545312337697772</v>
      </c>
      <c r="W621" s="33">
        <v>3.5545312337697772</v>
      </c>
    </row>
    <row r="622" spans="1:23" ht="16" x14ac:dyDescent="0.2">
      <c r="A622" s="103" t="s">
        <v>19</v>
      </c>
      <c r="B622" t="s">
        <v>843</v>
      </c>
      <c r="C622" s="224" t="s">
        <v>974</v>
      </c>
      <c r="D622" s="224" t="s">
        <v>824</v>
      </c>
      <c r="E622" s="35" t="s">
        <v>148</v>
      </c>
      <c r="F622" s="103" t="s">
        <v>967</v>
      </c>
      <c r="G622" s="103">
        <v>0</v>
      </c>
      <c r="H622" s="35" t="s">
        <v>494</v>
      </c>
      <c r="I622" s="35" t="s">
        <v>580</v>
      </c>
      <c r="J622" s="35">
        <v>1126</v>
      </c>
      <c r="K622" s="147">
        <v>1170.5723</v>
      </c>
      <c r="L622" s="34">
        <v>44.572300000000041</v>
      </c>
      <c r="M622" s="56">
        <v>44.572300000000041</v>
      </c>
      <c r="N622" s="56">
        <v>1.6587009476542434</v>
      </c>
      <c r="O622" s="132">
        <f t="shared" si="11"/>
        <v>1.6587009476542434</v>
      </c>
      <c r="P622" s="56">
        <v>3.9584635879218508</v>
      </c>
      <c r="Q622" s="143">
        <v>3.9584635879218508</v>
      </c>
      <c r="R622" s="143">
        <v>1120.7303999999999</v>
      </c>
      <c r="S622" s="34">
        <v>-5.2696000000000822</v>
      </c>
      <c r="T622" s="56">
        <v>5.2696000000000822</v>
      </c>
      <c r="U622" s="56">
        <v>0.7972398337598714</v>
      </c>
      <c r="V622" s="56">
        <v>-0.46799289520427018</v>
      </c>
      <c r="W622" s="33">
        <v>0.46799289520427018</v>
      </c>
    </row>
    <row r="623" spans="1:23" ht="16" x14ac:dyDescent="0.2">
      <c r="A623" s="103" t="s">
        <v>19</v>
      </c>
      <c r="B623" t="s">
        <v>858</v>
      </c>
      <c r="C623" s="224" t="s">
        <v>978</v>
      </c>
      <c r="D623" s="224" t="s">
        <v>824</v>
      </c>
      <c r="E623" s="35" t="s">
        <v>148</v>
      </c>
      <c r="F623" s="103" t="s">
        <v>968</v>
      </c>
      <c r="G623" s="103">
        <v>1</v>
      </c>
      <c r="H623" s="225" t="s">
        <v>494</v>
      </c>
      <c r="I623" s="35" t="s">
        <v>580</v>
      </c>
      <c r="J623" s="35">
        <v>1062</v>
      </c>
      <c r="K623" s="147">
        <v>1106.7172881826846</v>
      </c>
      <c r="L623" s="34">
        <v>44.71728818268457</v>
      </c>
      <c r="M623" s="56">
        <v>44.71728818268457</v>
      </c>
      <c r="N623" s="56">
        <v>1.660080461394613</v>
      </c>
      <c r="O623" s="132">
        <f t="shared" si="11"/>
        <v>1.660080461394613</v>
      </c>
      <c r="P623" s="56">
        <v>4.2106674371642718</v>
      </c>
      <c r="Q623" s="143">
        <v>4.2106674371642718</v>
      </c>
      <c r="R623" s="143">
        <v>1080.6902044552403</v>
      </c>
      <c r="S623" s="34">
        <v>18.690204455240291</v>
      </c>
      <c r="T623" s="56">
        <v>18.690204455240291</v>
      </c>
      <c r="U623" s="56">
        <v>1.294250225702448</v>
      </c>
      <c r="V623" s="56">
        <v>1.7599062575555831</v>
      </c>
      <c r="W623" s="33">
        <v>1.7599062575555831</v>
      </c>
    </row>
    <row r="624" spans="1:23" ht="15" x14ac:dyDescent="0.2">
      <c r="A624" s="103" t="s">
        <v>19</v>
      </c>
      <c r="B624" s="28" t="s">
        <v>435</v>
      </c>
      <c r="C624" s="103" t="s">
        <v>975</v>
      </c>
      <c r="D624" s="35" t="s">
        <v>458</v>
      </c>
      <c r="E624" s="208" t="s">
        <v>82</v>
      </c>
      <c r="F624" s="103" t="s">
        <v>967</v>
      </c>
      <c r="G624" s="103">
        <v>0</v>
      </c>
      <c r="H624" s="35" t="s">
        <v>494</v>
      </c>
      <c r="I624" s="35" t="s">
        <v>580</v>
      </c>
      <c r="J624" s="35">
        <v>1150</v>
      </c>
      <c r="K624" s="141">
        <v>1194.7184</v>
      </c>
      <c r="L624" s="34">
        <v>44.718399999999974</v>
      </c>
      <c r="M624" s="56">
        <v>44.718399999999974</v>
      </c>
      <c r="N624" s="56">
        <v>1.660091023050233</v>
      </c>
      <c r="O624" s="132">
        <f t="shared" si="11"/>
        <v>1.660091023050233</v>
      </c>
      <c r="P624" s="56">
        <v>3.8885565217391282</v>
      </c>
      <c r="Q624" s="143">
        <v>3.8885565217391282</v>
      </c>
      <c r="R624" s="143">
        <v>1202.4080000000001</v>
      </c>
      <c r="S624" s="34">
        <v>52.408000000000129</v>
      </c>
      <c r="T624" s="56">
        <v>52.408000000000129</v>
      </c>
      <c r="U624" s="56">
        <v>1.7276063149991538</v>
      </c>
      <c r="V624" s="56">
        <v>4.5572173913043592</v>
      </c>
      <c r="W624" s="33">
        <v>4.5572173913043592</v>
      </c>
    </row>
    <row r="625" spans="1:23" ht="16" x14ac:dyDescent="0.2">
      <c r="A625" s="103" t="s">
        <v>19</v>
      </c>
      <c r="B625" t="s">
        <v>840</v>
      </c>
      <c r="C625" s="24" t="s">
        <v>980</v>
      </c>
      <c r="D625" s="224" t="s">
        <v>824</v>
      </c>
      <c r="E625" s="35" t="s">
        <v>148</v>
      </c>
      <c r="F625" s="103" t="s">
        <v>968</v>
      </c>
      <c r="G625" s="103">
        <v>1</v>
      </c>
      <c r="H625" s="225" t="s">
        <v>293</v>
      </c>
      <c r="I625" s="35" t="s">
        <v>580</v>
      </c>
      <c r="J625" s="29">
        <v>2645</v>
      </c>
      <c r="K625" s="147">
        <v>2689.789322527281</v>
      </c>
      <c r="L625" s="34">
        <v>44.789322527281001</v>
      </c>
      <c r="M625" s="56">
        <v>44.789322527281001</v>
      </c>
      <c r="N625" s="56">
        <v>1.6607642180015985</v>
      </c>
      <c r="O625" s="132">
        <f t="shared" si="11"/>
        <v>1.6607642180015985</v>
      </c>
      <c r="P625" s="56">
        <v>1.6933581295758413</v>
      </c>
      <c r="Q625" s="143">
        <v>1.6933581295758413</v>
      </c>
      <c r="R625" s="143">
        <v>2692.7428497888218</v>
      </c>
      <c r="S625" s="34">
        <v>47.742849788821786</v>
      </c>
      <c r="T625" s="56">
        <v>47.742849788821786</v>
      </c>
      <c r="U625" s="56">
        <v>1.6879109169574287</v>
      </c>
      <c r="V625" s="56">
        <v>1.8050226763259654</v>
      </c>
      <c r="W625" s="33">
        <v>1.8050226763259654</v>
      </c>
    </row>
    <row r="626" spans="1:23" ht="15" x14ac:dyDescent="0.2">
      <c r="A626" s="103" t="s">
        <v>19</v>
      </c>
      <c r="B626" s="28" t="s">
        <v>136</v>
      </c>
      <c r="C626" s="224" t="s">
        <v>974</v>
      </c>
      <c r="D626" s="208" t="s">
        <v>403</v>
      </c>
      <c r="E626" s="35" t="s">
        <v>96</v>
      </c>
      <c r="F626" s="103" t="s">
        <v>967</v>
      </c>
      <c r="G626" s="103">
        <v>0</v>
      </c>
      <c r="H626" s="35" t="s">
        <v>374</v>
      </c>
      <c r="I626" s="35" t="s">
        <v>580</v>
      </c>
      <c r="J626" s="35">
        <v>2365.6</v>
      </c>
      <c r="K626" s="141">
        <v>2410.5954360000001</v>
      </c>
      <c r="L626" s="34">
        <v>44.995436000000154</v>
      </c>
      <c r="M626" s="56">
        <v>44.995436000000154</v>
      </c>
      <c r="N626" s="56">
        <v>1.6627147399782647</v>
      </c>
      <c r="O626" s="132">
        <f t="shared" si="11"/>
        <v>1.6627147399782647</v>
      </c>
      <c r="P626" s="56">
        <v>1.9020728779168141</v>
      </c>
      <c r="Q626" s="143">
        <v>1.9020728779168141</v>
      </c>
      <c r="R626" s="143">
        <v>2332.2164400000001</v>
      </c>
      <c r="S626" s="34">
        <v>-33.383559999999761</v>
      </c>
      <c r="T626" s="56">
        <v>33.383559999999761</v>
      </c>
      <c r="U626" s="56">
        <v>1.5363508405974959</v>
      </c>
      <c r="V626" s="56">
        <v>-1.4112089956036422</v>
      </c>
      <c r="W626" s="33">
        <v>1.4112089956036422</v>
      </c>
    </row>
    <row r="627" spans="1:23" ht="16" x14ac:dyDescent="0.2">
      <c r="A627" s="103" t="s">
        <v>19</v>
      </c>
      <c r="B627" t="s">
        <v>850</v>
      </c>
      <c r="C627" s="224" t="s">
        <v>977</v>
      </c>
      <c r="D627" s="224" t="s">
        <v>824</v>
      </c>
      <c r="E627" s="35" t="s">
        <v>148</v>
      </c>
      <c r="F627" s="103" t="s">
        <v>968</v>
      </c>
      <c r="G627" s="103">
        <v>1</v>
      </c>
      <c r="H627" s="35" t="s">
        <v>374</v>
      </c>
      <c r="I627" s="35" t="s">
        <v>580</v>
      </c>
      <c r="J627" s="35">
        <v>1240</v>
      </c>
      <c r="K627" s="147">
        <v>1194.768034647044</v>
      </c>
      <c r="L627" s="34">
        <v>-45.231965352955967</v>
      </c>
      <c r="M627" s="56">
        <v>45.231965352955967</v>
      </c>
      <c r="N627" s="56">
        <v>1.6649423559905625</v>
      </c>
      <c r="O627" s="132">
        <f t="shared" si="11"/>
        <v>-1.6649423559905625</v>
      </c>
      <c r="P627" s="56">
        <v>-3.6477391413674165</v>
      </c>
      <c r="Q627" s="143">
        <v>3.6477391413674165</v>
      </c>
      <c r="R627" s="143">
        <v>1179.2191676723578</v>
      </c>
      <c r="S627" s="34">
        <v>-60.780832327642202</v>
      </c>
      <c r="T627" s="56">
        <v>60.780832327642202</v>
      </c>
      <c r="U627" s="56">
        <v>1.7908537549344701</v>
      </c>
      <c r="V627" s="56">
        <v>-4.901680026422758</v>
      </c>
      <c r="W627" s="33">
        <v>4.901680026422758</v>
      </c>
    </row>
    <row r="628" spans="1:23" ht="16" x14ac:dyDescent="0.2">
      <c r="A628" s="103" t="s">
        <v>19</v>
      </c>
      <c r="B628" t="s">
        <v>861</v>
      </c>
      <c r="C628" s="103" t="s">
        <v>971</v>
      </c>
      <c r="D628" s="224" t="s">
        <v>824</v>
      </c>
      <c r="E628" s="35" t="s">
        <v>148</v>
      </c>
      <c r="F628" s="103" t="s">
        <v>968</v>
      </c>
      <c r="G628" s="103">
        <v>1</v>
      </c>
      <c r="H628" s="35" t="s">
        <v>494</v>
      </c>
      <c r="I628" s="35" t="s">
        <v>580</v>
      </c>
      <c r="J628" s="35">
        <v>1055</v>
      </c>
      <c r="K628" s="147">
        <v>1009.7164310456532</v>
      </c>
      <c r="L628" s="34">
        <v>-45.283568954346833</v>
      </c>
      <c r="M628" s="56">
        <v>45.283568954346833</v>
      </c>
      <c r="N628" s="56">
        <v>1.6654268402844141</v>
      </c>
      <c r="O628" s="132">
        <f t="shared" si="11"/>
        <v>-1.6654268402844141</v>
      </c>
      <c r="P628" s="56">
        <v>-4.2922814174736335</v>
      </c>
      <c r="Q628" s="143">
        <v>4.2922814174736335</v>
      </c>
      <c r="R628" s="143">
        <v>1178.1159195567418</v>
      </c>
      <c r="S628" s="34">
        <v>123.1159195567418</v>
      </c>
      <c r="T628" s="56">
        <v>123.1159195567418</v>
      </c>
      <c r="U628" s="56">
        <v>2.09382748925244</v>
      </c>
      <c r="V628" s="56">
        <v>11.66975540822197</v>
      </c>
      <c r="W628" s="33">
        <v>11.66975540822197</v>
      </c>
    </row>
    <row r="629" spans="1:23" ht="16" x14ac:dyDescent="0.2">
      <c r="A629" s="103" t="s">
        <v>19</v>
      </c>
      <c r="B629" t="s">
        <v>841</v>
      </c>
      <c r="C629" s="224" t="s">
        <v>974</v>
      </c>
      <c r="D629" s="224" t="s">
        <v>824</v>
      </c>
      <c r="E629" s="35" t="s">
        <v>148</v>
      </c>
      <c r="F629" s="103" t="s">
        <v>967</v>
      </c>
      <c r="G629" s="103">
        <v>0</v>
      </c>
      <c r="H629" s="35" t="s">
        <v>374</v>
      </c>
      <c r="I629" s="35" t="s">
        <v>580</v>
      </c>
      <c r="J629" s="35">
        <v>1325</v>
      </c>
      <c r="K629" s="147">
        <v>1370.3724999999999</v>
      </c>
      <c r="L629" s="34">
        <v>45.372499999999945</v>
      </c>
      <c r="M629" s="56">
        <v>45.372499999999945</v>
      </c>
      <c r="N629" s="56">
        <v>1.6662605098905749</v>
      </c>
      <c r="O629" s="132">
        <f t="shared" si="11"/>
        <v>1.6662605098905749</v>
      </c>
      <c r="P629" s="56">
        <v>3.4243396226415053</v>
      </c>
      <c r="Q629" s="143">
        <v>3.4243396226415053</v>
      </c>
      <c r="R629" s="143">
        <v>1302.549</v>
      </c>
      <c r="S629" s="34">
        <v>-22.451000000000022</v>
      </c>
      <c r="T629" s="56">
        <v>22.451000000000022</v>
      </c>
      <c r="U629" s="56">
        <v>1.3701613666767807</v>
      </c>
      <c r="V629" s="56">
        <v>-1.6944150943396243</v>
      </c>
      <c r="W629" s="33">
        <v>1.6944150943396243</v>
      </c>
    </row>
    <row r="630" spans="1:23" ht="15" x14ac:dyDescent="0.2">
      <c r="A630" s="103" t="s">
        <v>19</v>
      </c>
      <c r="B630" t="s">
        <v>885</v>
      </c>
      <c r="C630" s="224" t="s">
        <v>974</v>
      </c>
      <c r="D630" s="224" t="s">
        <v>824</v>
      </c>
      <c r="E630" s="35" t="s">
        <v>148</v>
      </c>
      <c r="F630" s="103" t="s">
        <v>967</v>
      </c>
      <c r="G630" s="103">
        <v>0</v>
      </c>
      <c r="H630" s="35" t="s">
        <v>374</v>
      </c>
      <c r="I630" s="35" t="s">
        <v>580</v>
      </c>
      <c r="J630" s="35">
        <v>1714</v>
      </c>
      <c r="K630">
        <v>1759.4571000000001</v>
      </c>
      <c r="L630" s="34">
        <v>45.457100000000082</v>
      </c>
      <c r="M630" s="56">
        <v>45.457100000000082</v>
      </c>
      <c r="N630" s="56">
        <v>1.6670520962669237</v>
      </c>
      <c r="O630" s="132">
        <f t="shared" si="11"/>
        <v>1.6670520962669237</v>
      </c>
      <c r="P630" s="56">
        <v>2.6521061843640656</v>
      </c>
      <c r="Q630" s="143">
        <v>2.6521061843640656</v>
      </c>
      <c r="R630" s="143">
        <v>1661.4014999999999</v>
      </c>
      <c r="S630" s="34">
        <v>-52.598500000000058</v>
      </c>
      <c r="T630" s="56">
        <v>52.598500000000058</v>
      </c>
      <c r="U630" s="56">
        <v>1.7291526357592193</v>
      </c>
      <c r="V630" s="56">
        <v>-3.0687572928821503</v>
      </c>
      <c r="W630" s="33">
        <v>3.0687572928821503</v>
      </c>
    </row>
    <row r="631" spans="1:23" ht="15" x14ac:dyDescent="0.2">
      <c r="A631" s="103" t="s">
        <v>19</v>
      </c>
      <c r="B631" s="28" t="s">
        <v>433</v>
      </c>
      <c r="C631" s="103" t="s">
        <v>970</v>
      </c>
      <c r="D631" s="35" t="s">
        <v>458</v>
      </c>
      <c r="E631" s="208" t="s">
        <v>82</v>
      </c>
      <c r="F631" s="103" t="s">
        <v>967</v>
      </c>
      <c r="G631" s="103">
        <v>0</v>
      </c>
      <c r="H631" s="35" t="s">
        <v>374</v>
      </c>
      <c r="I631" s="35" t="s">
        <v>580</v>
      </c>
      <c r="J631" s="35">
        <v>1520</v>
      </c>
      <c r="K631" s="141">
        <v>1474.1777000000002</v>
      </c>
      <c r="L631" s="34">
        <v>-45.822299999999814</v>
      </c>
      <c r="M631" s="56">
        <v>45.822299999999814</v>
      </c>
      <c r="N631" s="56">
        <v>1.6704527432515608</v>
      </c>
      <c r="O631" s="132">
        <f t="shared" si="11"/>
        <v>-1.6704527432515608</v>
      </c>
      <c r="P631" s="56">
        <v>-3.0146249999999877</v>
      </c>
      <c r="Q631" s="143">
        <v>3.0146249999999877</v>
      </c>
      <c r="R631" s="143">
        <v>1481.9450000000002</v>
      </c>
      <c r="S631" s="34">
        <v>-38.054999999999836</v>
      </c>
      <c r="T631" s="56">
        <v>38.054999999999836</v>
      </c>
      <c r="U631" s="56">
        <v>1.5916766421416826</v>
      </c>
      <c r="V631" s="56">
        <v>-2.5036184210526207</v>
      </c>
      <c r="W631" s="33">
        <v>2.5036184210526207</v>
      </c>
    </row>
    <row r="632" spans="1:23" ht="15" x14ac:dyDescent="0.2">
      <c r="A632" s="103" t="s">
        <v>19</v>
      </c>
      <c r="B632" s="28" t="s">
        <v>290</v>
      </c>
      <c r="C632" s="24" t="s">
        <v>980</v>
      </c>
      <c r="D632" s="208" t="s">
        <v>403</v>
      </c>
      <c r="E632" s="35" t="s">
        <v>82</v>
      </c>
      <c r="F632" s="103" t="s">
        <v>968</v>
      </c>
      <c r="G632" s="103">
        <v>1</v>
      </c>
      <c r="H632" s="35" t="s">
        <v>374</v>
      </c>
      <c r="I632" s="35" t="s">
        <v>580</v>
      </c>
      <c r="J632" s="35">
        <v>1369.3</v>
      </c>
      <c r="K632" s="141">
        <v>1415.2680884644537</v>
      </c>
      <c r="L632" s="34">
        <v>45.968088464453785</v>
      </c>
      <c r="M632" s="56">
        <v>45.968088464453785</v>
      </c>
      <c r="N632" s="56">
        <v>1.6718028853645812</v>
      </c>
      <c r="O632" s="132">
        <f t="shared" si="11"/>
        <v>1.6718028853645812</v>
      </c>
      <c r="P632" s="56">
        <v>3.3570502055396032</v>
      </c>
      <c r="Q632" s="143">
        <v>3.3570502055396032</v>
      </c>
      <c r="R632" s="143">
        <v>1386.1734948992305</v>
      </c>
      <c r="S632" s="34">
        <v>16.873494899230536</v>
      </c>
      <c r="T632" s="56">
        <v>16.873494899230536</v>
      </c>
      <c r="U632" s="56">
        <v>1.2522094807120072</v>
      </c>
      <c r="V632" s="56">
        <v>1.2322715912678404</v>
      </c>
      <c r="W632" s="33">
        <v>1.2322715912678404</v>
      </c>
    </row>
    <row r="633" spans="1:23" ht="16" x14ac:dyDescent="0.2">
      <c r="A633" s="103" t="s">
        <v>19</v>
      </c>
      <c r="B633" t="s">
        <v>878</v>
      </c>
      <c r="C633" s="103" t="s">
        <v>979</v>
      </c>
      <c r="D633" s="224" t="s">
        <v>824</v>
      </c>
      <c r="E633" s="35" t="s">
        <v>148</v>
      </c>
      <c r="F633" s="103" t="s">
        <v>967</v>
      </c>
      <c r="G633" s="103">
        <v>0</v>
      </c>
      <c r="H633" s="35" t="s">
        <v>374</v>
      </c>
      <c r="I633" s="35" t="s">
        <v>580</v>
      </c>
      <c r="J633" s="35">
        <v>1520</v>
      </c>
      <c r="K633" s="147">
        <v>1473.9130434782608</v>
      </c>
      <c r="L633" s="34">
        <v>-46.086956521739239</v>
      </c>
      <c r="M633" s="56">
        <v>46.086956521739239</v>
      </c>
      <c r="N633" s="56">
        <v>1.6729006206077286</v>
      </c>
      <c r="O633" s="132">
        <f t="shared" si="11"/>
        <v>-1.6729006206077286</v>
      </c>
      <c r="P633" s="56">
        <v>-3.0320366132723184</v>
      </c>
      <c r="Q633" s="143">
        <v>3.0320366132723184</v>
      </c>
      <c r="R633" s="143">
        <v>1483.3333333333335</v>
      </c>
      <c r="S633" s="34">
        <v>-36.666666666666515</v>
      </c>
      <c r="T633" s="56">
        <v>36.666666666666515</v>
      </c>
      <c r="U633" s="56">
        <v>1.5759571887637556</v>
      </c>
      <c r="V633" s="56">
        <v>-2.4122807017543759</v>
      </c>
      <c r="W633" s="33">
        <v>2.4122807017543759</v>
      </c>
    </row>
    <row r="634" spans="1:23" ht="15" x14ac:dyDescent="0.2">
      <c r="A634" s="103" t="s">
        <v>19</v>
      </c>
      <c r="B634" t="s">
        <v>899</v>
      </c>
      <c r="C634" s="224" t="s">
        <v>977</v>
      </c>
      <c r="D634" s="224" t="s">
        <v>824</v>
      </c>
      <c r="E634" s="35" t="s">
        <v>148</v>
      </c>
      <c r="F634" s="103" t="s">
        <v>968</v>
      </c>
      <c r="G634" s="103">
        <v>1</v>
      </c>
      <c r="H634" s="35" t="s">
        <v>374</v>
      </c>
      <c r="I634" s="35" t="s">
        <v>580</v>
      </c>
      <c r="J634" s="35">
        <v>2060</v>
      </c>
      <c r="K634">
        <v>2013.8186568017638</v>
      </c>
      <c r="L634" s="34">
        <v>-46.181343198236164</v>
      </c>
      <c r="M634" s="56">
        <v>46.181343198236164</v>
      </c>
      <c r="N634" s="56">
        <v>1.6737703005868474</v>
      </c>
      <c r="O634" s="132">
        <f t="shared" si="11"/>
        <v>-1.6737703005868474</v>
      </c>
      <c r="P634" s="56">
        <v>-2.2418127766134059</v>
      </c>
      <c r="Q634" s="143">
        <v>2.2418127766134059</v>
      </c>
      <c r="R634" s="143">
        <v>1974.7592227978682</v>
      </c>
      <c r="S634" s="34">
        <v>-85.240777202131767</v>
      </c>
      <c r="T634" s="56">
        <v>85.240777202131767</v>
      </c>
      <c r="U634" s="56">
        <v>1.9357126617234173</v>
      </c>
      <c r="V634" s="56">
        <v>-4.1379018059287258</v>
      </c>
      <c r="W634" s="33">
        <v>4.1379018059287258</v>
      </c>
    </row>
    <row r="635" spans="1:23" ht="15" x14ac:dyDescent="0.2">
      <c r="A635" s="103" t="s">
        <v>19</v>
      </c>
      <c r="B635" t="s">
        <v>887</v>
      </c>
      <c r="C635" s="224" t="s">
        <v>974</v>
      </c>
      <c r="D635" s="224" t="s">
        <v>824</v>
      </c>
      <c r="E635" s="35" t="s">
        <v>148</v>
      </c>
      <c r="F635" s="103" t="s">
        <v>967</v>
      </c>
      <c r="G635" s="103">
        <v>0</v>
      </c>
      <c r="H635" s="225" t="s">
        <v>494</v>
      </c>
      <c r="I635" s="35" t="s">
        <v>580</v>
      </c>
      <c r="J635" s="35">
        <v>1056</v>
      </c>
      <c r="K635">
        <v>1102.2195999999999</v>
      </c>
      <c r="L635" s="34">
        <v>46.2195999999999</v>
      </c>
      <c r="M635" s="56">
        <v>46.2195999999999</v>
      </c>
      <c r="N635" s="56">
        <v>1.6741223038242714</v>
      </c>
      <c r="O635" s="132">
        <f t="shared" si="11"/>
        <v>1.6741223038242714</v>
      </c>
      <c r="P635" s="56">
        <v>4.3768560606060509</v>
      </c>
      <c r="Q635" s="143">
        <v>4.3768560606060509</v>
      </c>
      <c r="R635" s="143">
        <v>1048.9598999999998</v>
      </c>
      <c r="S635" s="34">
        <v>-7.0401000000001659</v>
      </c>
      <c r="T635" s="56">
        <v>7.0401000000001659</v>
      </c>
      <c r="U635" s="56">
        <v>0.90526145038752848</v>
      </c>
      <c r="V635" s="56">
        <v>-0.66667613636365208</v>
      </c>
      <c r="W635" s="33">
        <v>0.66667613636365208</v>
      </c>
    </row>
    <row r="636" spans="1:23" ht="15" x14ac:dyDescent="0.2">
      <c r="A636" s="103" t="s">
        <v>19</v>
      </c>
      <c r="B636" t="s">
        <v>890</v>
      </c>
      <c r="C636" s="103" t="s">
        <v>979</v>
      </c>
      <c r="D636" s="224" t="s">
        <v>824</v>
      </c>
      <c r="E636" s="35" t="s">
        <v>148</v>
      </c>
      <c r="F636" s="103" t="s">
        <v>967</v>
      </c>
      <c r="G636" s="103">
        <v>0</v>
      </c>
      <c r="H636" s="35" t="s">
        <v>374</v>
      </c>
      <c r="I636" s="35" t="s">
        <v>580</v>
      </c>
      <c r="J636" s="35">
        <v>1316</v>
      </c>
      <c r="K636">
        <v>1269.5652173913043</v>
      </c>
      <c r="L636" s="34">
        <v>-46.434782608695741</v>
      </c>
      <c r="M636" s="56">
        <v>46.434782608695741</v>
      </c>
      <c r="N636" s="56">
        <v>1.6760969145707498</v>
      </c>
      <c r="O636" s="132">
        <f t="shared" si="11"/>
        <v>-1.6760969145707498</v>
      </c>
      <c r="P636" s="56">
        <v>-3.5284789216334151</v>
      </c>
      <c r="Q636" s="143">
        <v>3.5284789216334151</v>
      </c>
      <c r="R636" s="143">
        <v>1275</v>
      </c>
      <c r="S636" s="34">
        <v>-41</v>
      </c>
      <c r="T636" s="56">
        <v>41</v>
      </c>
      <c r="U636" s="56">
        <v>1.6232492903979006</v>
      </c>
      <c r="V636" s="56">
        <v>-3.115501519756839</v>
      </c>
      <c r="W636" s="33">
        <v>3.115501519756839</v>
      </c>
    </row>
    <row r="637" spans="1:23" ht="16" x14ac:dyDescent="0.2">
      <c r="A637" s="103" t="s">
        <v>19</v>
      </c>
      <c r="B637" t="s">
        <v>869</v>
      </c>
      <c r="C637" s="103" t="s">
        <v>971</v>
      </c>
      <c r="D637" s="224" t="s">
        <v>824</v>
      </c>
      <c r="E637" s="35" t="s">
        <v>148</v>
      </c>
      <c r="F637" s="103" t="s">
        <v>968</v>
      </c>
      <c r="G637" s="103">
        <v>1</v>
      </c>
      <c r="H637" s="35" t="s">
        <v>374</v>
      </c>
      <c r="I637" s="35" t="s">
        <v>580</v>
      </c>
      <c r="J637" s="35">
        <v>1686</v>
      </c>
      <c r="K637" s="147">
        <v>1639.090244078744</v>
      </c>
      <c r="L637" s="34">
        <v>-46.909755921255964</v>
      </c>
      <c r="M637" s="56">
        <v>46.909755921255964</v>
      </c>
      <c r="N637" s="56">
        <v>1.6804239583279492</v>
      </c>
      <c r="O637" s="132">
        <f t="shared" si="11"/>
        <v>-1.6804239583279492</v>
      </c>
      <c r="P637" s="56">
        <v>-2.7823105528621568</v>
      </c>
      <c r="Q637" s="143">
        <v>2.7823105528621568</v>
      </c>
      <c r="R637" s="143">
        <v>1871.3324880467017</v>
      </c>
      <c r="S637" s="34">
        <v>185.33248804670166</v>
      </c>
      <c r="T637" s="56">
        <v>185.33248804670166</v>
      </c>
      <c r="U637" s="56">
        <v>2.2702885830192523</v>
      </c>
      <c r="V637" s="56">
        <v>10.992437013446125</v>
      </c>
      <c r="W637" s="33">
        <v>10.992437013446125</v>
      </c>
    </row>
    <row r="638" spans="1:23" ht="16" x14ac:dyDescent="0.2">
      <c r="A638" s="103" t="s">
        <v>19</v>
      </c>
      <c r="B638" t="s">
        <v>860</v>
      </c>
      <c r="C638" s="224" t="s">
        <v>978</v>
      </c>
      <c r="D638" s="224" t="s">
        <v>824</v>
      </c>
      <c r="E638" s="35" t="s">
        <v>148</v>
      </c>
      <c r="F638" s="103" t="s">
        <v>968</v>
      </c>
      <c r="G638" s="103">
        <v>1</v>
      </c>
      <c r="H638" s="35" t="s">
        <v>494</v>
      </c>
      <c r="I638" s="35" t="s">
        <v>580</v>
      </c>
      <c r="J638" s="35">
        <v>1029</v>
      </c>
      <c r="K638" s="147">
        <v>982.03659265130682</v>
      </c>
      <c r="L638" s="34">
        <v>-46.963407348693181</v>
      </c>
      <c r="M638" s="56">
        <v>46.963407348693181</v>
      </c>
      <c r="N638" s="56">
        <v>1.6809100280584093</v>
      </c>
      <c r="O638" s="132">
        <f t="shared" si="11"/>
        <v>-1.6809100280584093</v>
      </c>
      <c r="P638" s="56">
        <v>-4.5639851650819416</v>
      </c>
      <c r="Q638" s="143">
        <v>4.5639851650819416</v>
      </c>
      <c r="R638" s="143">
        <v>962.91767974553238</v>
      </c>
      <c r="S638" s="34">
        <v>-66.082320254467618</v>
      </c>
      <c r="T638" s="56">
        <v>66.082320254467618</v>
      </c>
      <c r="U638" s="56">
        <v>1.8266080756437217</v>
      </c>
      <c r="V638" s="56">
        <v>-6.4219941938258129</v>
      </c>
      <c r="W638" s="33">
        <v>6.4219941938258129</v>
      </c>
    </row>
    <row r="639" spans="1:23" ht="16" x14ac:dyDescent="0.2">
      <c r="A639" s="103" t="s">
        <v>19</v>
      </c>
      <c r="B639" t="s">
        <v>859</v>
      </c>
      <c r="C639" s="103" t="s">
        <v>975</v>
      </c>
      <c r="D639" s="224" t="s">
        <v>824</v>
      </c>
      <c r="E639" s="35" t="s">
        <v>148</v>
      </c>
      <c r="F639" s="103" t="s">
        <v>967</v>
      </c>
      <c r="G639" s="103">
        <v>0</v>
      </c>
      <c r="H639" s="35" t="s">
        <v>494</v>
      </c>
      <c r="I639" s="35" t="s">
        <v>580</v>
      </c>
      <c r="J639" s="35">
        <v>1135</v>
      </c>
      <c r="K639" s="147">
        <v>1182.239</v>
      </c>
      <c r="L639" s="34">
        <v>47.239000000000033</v>
      </c>
      <c r="M639" s="56">
        <v>47.239000000000033</v>
      </c>
      <c r="N639" s="56">
        <v>1.6833982962510139</v>
      </c>
      <c r="O639" s="132">
        <f t="shared" si="11"/>
        <v>1.6833982962510139</v>
      </c>
      <c r="P639" s="56">
        <v>4.1620264317180649</v>
      </c>
      <c r="Q639" s="143">
        <v>4.1620264317180649</v>
      </c>
      <c r="R639" s="143">
        <v>1222.425</v>
      </c>
      <c r="S639" s="34">
        <v>87.424999999999955</v>
      </c>
      <c r="T639" s="56">
        <v>87.424999999999955</v>
      </c>
      <c r="U639" s="56">
        <v>1.9465750684867889</v>
      </c>
      <c r="V639" s="56">
        <v>7.7026431718061641</v>
      </c>
      <c r="W639" s="33">
        <v>7.7026431718061641</v>
      </c>
    </row>
    <row r="640" spans="1:23" ht="16" x14ac:dyDescent="0.2">
      <c r="A640" s="103" t="s">
        <v>19</v>
      </c>
      <c r="B640" t="s">
        <v>845</v>
      </c>
      <c r="C640" s="224" t="s">
        <v>978</v>
      </c>
      <c r="D640" s="224" t="s">
        <v>824</v>
      </c>
      <c r="E640" s="35" t="s">
        <v>148</v>
      </c>
      <c r="F640" s="103" t="s">
        <v>968</v>
      </c>
      <c r="G640" s="103">
        <v>1</v>
      </c>
      <c r="H640" s="225" t="s">
        <v>494</v>
      </c>
      <c r="I640" s="35" t="s">
        <v>580</v>
      </c>
      <c r="J640" s="35">
        <v>1059</v>
      </c>
      <c r="K640" s="147">
        <v>1011.7216476169904</v>
      </c>
      <c r="L640" s="34">
        <v>-47.278352383009633</v>
      </c>
      <c r="M640" s="56">
        <v>47.278352383009633</v>
      </c>
      <c r="N640" s="56">
        <v>1.6837524403155968</v>
      </c>
      <c r="O640" s="132">
        <f t="shared" si="11"/>
        <v>-1.6837524403155968</v>
      </c>
      <c r="P640" s="56">
        <v>-4.464433652786556</v>
      </c>
      <c r="Q640" s="143">
        <v>4.464433652786556</v>
      </c>
      <c r="R640" s="143">
        <v>986.28166267386018</v>
      </c>
      <c r="S640" s="34">
        <v>-72.718337326139817</v>
      </c>
      <c r="T640" s="56">
        <v>72.718337326139817</v>
      </c>
      <c r="U640" s="56">
        <v>1.8675755314001863</v>
      </c>
      <c r="V640" s="56">
        <v>-6.8666985199376596</v>
      </c>
      <c r="W640" s="33">
        <v>6.8666985199376596</v>
      </c>
    </row>
    <row r="641" spans="1:23" ht="15" x14ac:dyDescent="0.2">
      <c r="A641" s="103" t="s">
        <v>19</v>
      </c>
      <c r="B641" s="28" t="s">
        <v>422</v>
      </c>
      <c r="C641" s="103" t="s">
        <v>979</v>
      </c>
      <c r="D641" s="35" t="s">
        <v>458</v>
      </c>
      <c r="E641" s="35" t="s">
        <v>82</v>
      </c>
      <c r="F641" s="103" t="s">
        <v>967</v>
      </c>
      <c r="G641" s="103">
        <v>0</v>
      </c>
      <c r="H641" s="35" t="s">
        <v>494</v>
      </c>
      <c r="I641" s="35" t="s">
        <v>580</v>
      </c>
      <c r="J641" s="35">
        <v>1070</v>
      </c>
      <c r="K641" s="141">
        <v>1117.391304347826</v>
      </c>
      <c r="L641" s="34">
        <v>47.391304347826008</v>
      </c>
      <c r="M641" s="56">
        <v>47.391304347826008</v>
      </c>
      <c r="N641" s="56">
        <v>1.6847673283171147</v>
      </c>
      <c r="O641" s="132">
        <f t="shared" si="11"/>
        <v>1.6847673283171147</v>
      </c>
      <c r="P641" s="56">
        <v>4.4290938642828044</v>
      </c>
      <c r="Q641" s="143">
        <v>4.4290938642828044</v>
      </c>
      <c r="R641" s="143">
        <v>1104.1666666666667</v>
      </c>
      <c r="S641" s="34">
        <v>34.166666666666742</v>
      </c>
      <c r="T641" s="56">
        <v>34.166666666666742</v>
      </c>
      <c r="U641" s="56">
        <v>1.5461312049140499</v>
      </c>
      <c r="V641" s="56">
        <v>3.1931464174454898</v>
      </c>
      <c r="W641" s="33">
        <v>3.1931464174454898</v>
      </c>
    </row>
    <row r="642" spans="1:23" ht="16" x14ac:dyDescent="0.2">
      <c r="A642" s="103" t="s">
        <v>19</v>
      </c>
      <c r="B642" t="s">
        <v>879</v>
      </c>
      <c r="C642" s="24" t="s">
        <v>980</v>
      </c>
      <c r="D642" s="224" t="s">
        <v>824</v>
      </c>
      <c r="E642" s="35" t="s">
        <v>148</v>
      </c>
      <c r="F642" s="103" t="s">
        <v>968</v>
      </c>
      <c r="G642" s="103">
        <v>1</v>
      </c>
      <c r="H642" s="35" t="s">
        <v>374</v>
      </c>
      <c r="I642" s="35" t="s">
        <v>580</v>
      </c>
      <c r="J642" s="35">
        <v>1550</v>
      </c>
      <c r="K642" s="147">
        <v>1597.534912277416</v>
      </c>
      <c r="L642" s="34">
        <v>47.53491227741597</v>
      </c>
      <c r="M642" s="56">
        <v>47.53491227741597</v>
      </c>
      <c r="N642" s="56">
        <v>1.6860542490117816</v>
      </c>
      <c r="O642" s="132">
        <f t="shared" si="11"/>
        <v>1.6860542490117816</v>
      </c>
      <c r="P642" s="56">
        <v>3.0667685340268367</v>
      </c>
      <c r="Q642" s="143">
        <v>3.0667685340268367</v>
      </c>
      <c r="R642" s="143">
        <v>1579.6672074490571</v>
      </c>
      <c r="S642" s="34">
        <v>29.667207449057059</v>
      </c>
      <c r="T642" s="56">
        <v>29.667207449057059</v>
      </c>
      <c r="U642" s="56">
        <v>1.4866742309977616</v>
      </c>
      <c r="V642" s="56">
        <v>1.914013383810133</v>
      </c>
      <c r="W642" s="33">
        <v>1.914013383810133</v>
      </c>
    </row>
    <row r="643" spans="1:23" ht="16" x14ac:dyDescent="0.2">
      <c r="A643" s="103" t="s">
        <v>19</v>
      </c>
      <c r="B643" t="s">
        <v>847</v>
      </c>
      <c r="C643" s="103" t="s">
        <v>970</v>
      </c>
      <c r="D643" s="224" t="s">
        <v>824</v>
      </c>
      <c r="E643" s="35" t="s">
        <v>148</v>
      </c>
      <c r="F643" s="103" t="s">
        <v>967</v>
      </c>
      <c r="G643" s="103">
        <v>0</v>
      </c>
      <c r="H643" s="35" t="s">
        <v>494</v>
      </c>
      <c r="I643" s="35" t="s">
        <v>580</v>
      </c>
      <c r="J643" s="35">
        <v>1170</v>
      </c>
      <c r="K643" s="147">
        <v>1217.5624000000003</v>
      </c>
      <c r="L643" s="34">
        <v>47.562400000000252</v>
      </c>
      <c r="M643" s="56">
        <v>47.562400000000252</v>
      </c>
      <c r="N643" s="56">
        <v>1.6863001418439796</v>
      </c>
      <c r="O643" s="132">
        <f t="shared" si="11"/>
        <v>1.6863001418439796</v>
      </c>
      <c r="P643" s="56">
        <v>4.0651623931624146</v>
      </c>
      <c r="Q643" s="143">
        <v>4.0651623931624146</v>
      </c>
      <c r="R643" s="143">
        <v>1219.2620000000002</v>
      </c>
      <c r="S643" s="34">
        <v>49.262000000000171</v>
      </c>
      <c r="T643" s="56">
        <v>49.262000000000171</v>
      </c>
      <c r="U643" s="56">
        <v>1.7012397658260443</v>
      </c>
      <c r="V643" s="56">
        <v>4.2104273504273646</v>
      </c>
      <c r="W643" s="33">
        <v>4.2104273504273646</v>
      </c>
    </row>
    <row r="644" spans="1:23" ht="16" x14ac:dyDescent="0.2">
      <c r="A644" s="103" t="s">
        <v>19</v>
      </c>
      <c r="B644" t="s">
        <v>882</v>
      </c>
      <c r="C644" s="224" t="s">
        <v>977</v>
      </c>
      <c r="D644" s="224" t="s">
        <v>824</v>
      </c>
      <c r="E644" s="35" t="s">
        <v>148</v>
      </c>
      <c r="F644" s="103" t="s">
        <v>968</v>
      </c>
      <c r="G644" s="103">
        <v>1</v>
      </c>
      <c r="H644" s="35" t="s">
        <v>374</v>
      </c>
      <c r="I644" s="35" t="s">
        <v>580</v>
      </c>
      <c r="J644" s="35">
        <v>1643</v>
      </c>
      <c r="K644" s="147">
        <v>1690.6444893216526</v>
      </c>
      <c r="L644" s="34">
        <v>47.6444893216526</v>
      </c>
      <c r="M644" s="56">
        <v>47.6444893216526</v>
      </c>
      <c r="N644" s="56">
        <v>1.6870336484532409</v>
      </c>
      <c r="O644" s="132">
        <f t="shared" si="11"/>
        <v>1.6870336484532409</v>
      </c>
      <c r="P644" s="56">
        <v>2.8998471893884723</v>
      </c>
      <c r="Q644" s="143">
        <v>2.8998471893884723</v>
      </c>
      <c r="R644" s="143">
        <v>1672.8790174010835</v>
      </c>
      <c r="S644" s="34">
        <v>29.879017401083502</v>
      </c>
      <c r="T644" s="56">
        <v>29.879017401083502</v>
      </c>
      <c r="U644" s="56">
        <v>1.4896634722311572</v>
      </c>
      <c r="V644" s="56">
        <v>1.8185646622692333</v>
      </c>
      <c r="W644" s="33">
        <v>1.8185646622692333</v>
      </c>
    </row>
    <row r="645" spans="1:23" ht="16" x14ac:dyDescent="0.2">
      <c r="A645" s="103" t="s">
        <v>19</v>
      </c>
      <c r="B645" t="s">
        <v>879</v>
      </c>
      <c r="C645" s="103" t="s">
        <v>975</v>
      </c>
      <c r="D645" s="224" t="s">
        <v>824</v>
      </c>
      <c r="E645" s="35" t="s">
        <v>148</v>
      </c>
      <c r="F645" s="103" t="s">
        <v>967</v>
      </c>
      <c r="G645" s="103">
        <v>0</v>
      </c>
      <c r="H645" s="35" t="s">
        <v>374</v>
      </c>
      <c r="I645" s="35" t="s">
        <v>580</v>
      </c>
      <c r="J645" s="35">
        <v>1550</v>
      </c>
      <c r="K645" s="147">
        <v>1598.2189999999998</v>
      </c>
      <c r="L645" s="34">
        <v>48.218999999999824</v>
      </c>
      <c r="M645" s="56">
        <v>48.218999999999824</v>
      </c>
      <c r="N645" s="56">
        <v>1.692132785740335</v>
      </c>
      <c r="O645" s="132">
        <f t="shared" si="11"/>
        <v>1.692132785740335</v>
      </c>
      <c r="P645" s="56">
        <v>3.1109032258064402</v>
      </c>
      <c r="Q645" s="143">
        <v>3.1109032258064402</v>
      </c>
      <c r="R645" s="143">
        <v>1602.748</v>
      </c>
      <c r="S645" s="34">
        <v>52.748000000000047</v>
      </c>
      <c r="T645" s="56">
        <v>52.748000000000047</v>
      </c>
      <c r="U645" s="56">
        <v>1.730362308492313</v>
      </c>
      <c r="V645" s="56">
        <v>3.4030967741935516</v>
      </c>
      <c r="W645" s="33">
        <v>3.4030967741935516</v>
      </c>
    </row>
    <row r="646" spans="1:23" ht="15" x14ac:dyDescent="0.2">
      <c r="A646" s="103" t="s">
        <v>19</v>
      </c>
      <c r="B646" s="206" t="s">
        <v>460</v>
      </c>
      <c r="C646" s="224" t="s">
        <v>977</v>
      </c>
      <c r="D646" s="35" t="s">
        <v>403</v>
      </c>
      <c r="E646" s="35" t="s">
        <v>82</v>
      </c>
      <c r="F646" s="103" t="s">
        <v>968</v>
      </c>
      <c r="G646" s="103">
        <v>1</v>
      </c>
      <c r="H646" s="35" t="s">
        <v>203</v>
      </c>
      <c r="I646" s="35" t="s">
        <v>581</v>
      </c>
      <c r="J646" s="35">
        <v>4340</v>
      </c>
      <c r="K646" s="141">
        <v>4291.6769471356674</v>
      </c>
      <c r="L646" s="34">
        <v>-48.323052864332567</v>
      </c>
      <c r="M646" s="56">
        <v>48.323052864332567</v>
      </c>
      <c r="N646" s="56">
        <v>1.6930499495356384</v>
      </c>
      <c r="O646" s="132">
        <f t="shared" si="11"/>
        <v>-1.6930499495356384</v>
      </c>
      <c r="P646" s="56">
        <v>-1.1134343977956813</v>
      </c>
      <c r="Q646" s="143">
        <v>1.1134343977956813</v>
      </c>
      <c r="R646" s="143">
        <v>4229.2772999640147</v>
      </c>
      <c r="S646" s="34">
        <v>-110.72270003598533</v>
      </c>
      <c r="T646" s="56">
        <v>110.72270003598533</v>
      </c>
      <c r="U646" s="56">
        <v>2.0481414228807382</v>
      </c>
      <c r="V646" s="56">
        <v>-2.5512142865434408</v>
      </c>
      <c r="W646" s="33">
        <v>2.5512142865434408</v>
      </c>
    </row>
    <row r="647" spans="1:23" ht="16" x14ac:dyDescent="0.2">
      <c r="A647" s="103" t="s">
        <v>19</v>
      </c>
      <c r="B647" t="s">
        <v>850</v>
      </c>
      <c r="C647" s="103" t="s">
        <v>979</v>
      </c>
      <c r="D647" s="224" t="s">
        <v>824</v>
      </c>
      <c r="E647" s="35" t="s">
        <v>148</v>
      </c>
      <c r="F647" s="103" t="s">
        <v>967</v>
      </c>
      <c r="G647" s="103">
        <v>0</v>
      </c>
      <c r="H647" s="35" t="s">
        <v>374</v>
      </c>
      <c r="I647" s="35" t="s">
        <v>580</v>
      </c>
      <c r="J647" s="35">
        <v>1240</v>
      </c>
      <c r="K647" s="147">
        <v>1191.304347826087</v>
      </c>
      <c r="L647" s="34">
        <v>-48.695652173913004</v>
      </c>
      <c r="M647" s="56">
        <v>48.695652173913004</v>
      </c>
      <c r="N647" s="56">
        <v>1.6963183943776885</v>
      </c>
      <c r="O647" s="132">
        <f t="shared" si="11"/>
        <v>-1.6963183943776885</v>
      </c>
      <c r="P647" s="56">
        <v>-3.9270687237026616</v>
      </c>
      <c r="Q647" s="143">
        <v>3.9270687237026616</v>
      </c>
      <c r="R647" s="143">
        <v>1187.5</v>
      </c>
      <c r="S647" s="34">
        <v>-52.5</v>
      </c>
      <c r="T647" s="56">
        <v>52.5</v>
      </c>
      <c r="U647" s="56">
        <v>1.7283537820212285</v>
      </c>
      <c r="V647" s="56">
        <v>-4.2338709677419351</v>
      </c>
      <c r="W647" s="33">
        <v>4.2338709677419351</v>
      </c>
    </row>
    <row r="648" spans="1:23" ht="15" x14ac:dyDescent="0.2">
      <c r="A648" s="103" t="s">
        <v>19</v>
      </c>
      <c r="B648" s="28" t="s">
        <v>289</v>
      </c>
      <c r="C648" s="103" t="s">
        <v>971</v>
      </c>
      <c r="D648" s="208" t="s">
        <v>403</v>
      </c>
      <c r="E648" s="35" t="s">
        <v>148</v>
      </c>
      <c r="F648" s="103" t="s">
        <v>968</v>
      </c>
      <c r="G648" s="103">
        <v>1</v>
      </c>
      <c r="H648" s="35" t="s">
        <v>494</v>
      </c>
      <c r="I648" s="35" t="s">
        <v>580</v>
      </c>
      <c r="J648" s="35">
        <v>899.05</v>
      </c>
      <c r="K648" s="141">
        <v>850.31812318938046</v>
      </c>
      <c r="L648" s="34">
        <v>-48.731876810619497</v>
      </c>
      <c r="M648" s="56">
        <v>48.731876810619497</v>
      </c>
      <c r="N648" s="56">
        <v>1.6966348492003587</v>
      </c>
      <c r="O648" s="132">
        <f t="shared" si="11"/>
        <v>-1.6966348492003587</v>
      </c>
      <c r="P648" s="56">
        <v>-5.4203744853589342</v>
      </c>
      <c r="Q648" s="143">
        <v>5.4203744853589342</v>
      </c>
      <c r="R648" s="143">
        <v>985.87386792291613</v>
      </c>
      <c r="S648" s="34">
        <v>86.823867922916179</v>
      </c>
      <c r="T648" s="56">
        <v>86.823867922916179</v>
      </c>
      <c r="U648" s="56">
        <v>1.9436125603086476</v>
      </c>
      <c r="V648" s="56">
        <v>9.6572902422463915</v>
      </c>
      <c r="W648" s="33">
        <v>9.6572902422463915</v>
      </c>
    </row>
    <row r="649" spans="1:23" ht="15" x14ac:dyDescent="0.2">
      <c r="A649" s="103" t="s">
        <v>19</v>
      </c>
      <c r="B649" s="28" t="s">
        <v>327</v>
      </c>
      <c r="C649" s="224" t="s">
        <v>978</v>
      </c>
      <c r="D649" s="208" t="s">
        <v>403</v>
      </c>
      <c r="E649" s="35" t="s">
        <v>82</v>
      </c>
      <c r="F649" s="103" t="s">
        <v>968</v>
      </c>
      <c r="G649" s="103">
        <v>1</v>
      </c>
      <c r="H649" s="35" t="s">
        <v>374</v>
      </c>
      <c r="I649" s="35" t="s">
        <v>580</v>
      </c>
      <c r="J649" s="35">
        <v>1217.5999999999999</v>
      </c>
      <c r="K649" s="141">
        <v>1168.4806136685445</v>
      </c>
      <c r="L649" s="34">
        <v>-49.119386331455416</v>
      </c>
      <c r="M649" s="56">
        <v>49.119386331455416</v>
      </c>
      <c r="N649" s="56">
        <v>1.7000057447942944</v>
      </c>
      <c r="O649" s="132">
        <f t="shared" si="11"/>
        <v>-1.7000057447942944</v>
      </c>
      <c r="P649" s="56">
        <v>-4.0341151717686774</v>
      </c>
      <c r="Q649" s="143">
        <v>4.0341151717686774</v>
      </c>
      <c r="R649" s="143">
        <v>1170.2832848364271</v>
      </c>
      <c r="S649" s="34">
        <v>-47.316715163572781</v>
      </c>
      <c r="T649" s="56">
        <v>47.316715163572781</v>
      </c>
      <c r="U649" s="56">
        <v>1.6840974008856997</v>
      </c>
      <c r="V649" s="56">
        <v>-3.8860639917520357</v>
      </c>
      <c r="W649" s="33">
        <v>3.8860639917520357</v>
      </c>
    </row>
    <row r="650" spans="1:23" ht="15" x14ac:dyDescent="0.2">
      <c r="A650" s="103" t="s">
        <v>19</v>
      </c>
      <c r="B650" t="s">
        <v>884</v>
      </c>
      <c r="C650" s="103" t="s">
        <v>979</v>
      </c>
      <c r="D650" s="224" t="s">
        <v>824</v>
      </c>
      <c r="E650" s="35" t="s">
        <v>148</v>
      </c>
      <c r="F650" s="103" t="s">
        <v>967</v>
      </c>
      <c r="G650" s="103">
        <v>0</v>
      </c>
      <c r="H650" s="35" t="s">
        <v>374</v>
      </c>
      <c r="I650" s="35" t="s">
        <v>580</v>
      </c>
      <c r="J650" s="35">
        <v>1733</v>
      </c>
      <c r="K650">
        <v>1782.6086956521738</v>
      </c>
      <c r="L650" s="34">
        <v>49.608695652173765</v>
      </c>
      <c r="M650" s="56">
        <v>49.608695652173765</v>
      </c>
      <c r="N650" s="56">
        <v>1.7042251442962755</v>
      </c>
      <c r="O650" s="132">
        <f t="shared" si="11"/>
        <v>1.7042251442962755</v>
      </c>
      <c r="P650" s="56">
        <v>2.8625906319777128</v>
      </c>
      <c r="Q650" s="143">
        <v>2.8625906319777128</v>
      </c>
      <c r="R650" s="143">
        <v>1791.6666666666667</v>
      </c>
      <c r="S650" s="34">
        <v>58.666666666666742</v>
      </c>
      <c r="T650" s="56">
        <v>58.666666666666742</v>
      </c>
      <c r="U650" s="56">
        <v>1.7757317762602314</v>
      </c>
      <c r="V650" s="56">
        <v>3.3852663973841168</v>
      </c>
      <c r="W650" s="33">
        <v>3.3852663973841168</v>
      </c>
    </row>
    <row r="651" spans="1:23" ht="16" x14ac:dyDescent="0.2">
      <c r="A651" s="103" t="s">
        <v>19</v>
      </c>
      <c r="B651" t="s">
        <v>848</v>
      </c>
      <c r="C651" s="103" t="s">
        <v>970</v>
      </c>
      <c r="D651" s="224" t="s">
        <v>824</v>
      </c>
      <c r="E651" s="35" t="s">
        <v>148</v>
      </c>
      <c r="F651" s="103" t="s">
        <v>967</v>
      </c>
      <c r="G651" s="103">
        <v>0</v>
      </c>
      <c r="H651" s="35" t="s">
        <v>374</v>
      </c>
      <c r="I651" s="35" t="s">
        <v>580</v>
      </c>
      <c r="J651" s="35">
        <v>1244</v>
      </c>
      <c r="K651" s="147">
        <v>1294.0010000000002</v>
      </c>
      <c r="L651" s="34">
        <v>50.001000000000204</v>
      </c>
      <c r="M651" s="56">
        <v>50.001000000000204</v>
      </c>
      <c r="N651" s="56">
        <v>1.7075786915925297</v>
      </c>
      <c r="O651" s="132">
        <f t="shared" si="11"/>
        <v>1.7075786915925297</v>
      </c>
      <c r="P651" s="56">
        <v>4.0193729903537143</v>
      </c>
      <c r="Q651" s="143">
        <v>4.0193729903537143</v>
      </c>
      <c r="R651" s="143">
        <v>1297.5080000000003</v>
      </c>
      <c r="S651" s="34">
        <v>53.508000000000266</v>
      </c>
      <c r="T651" s="56">
        <v>53.508000000000266</v>
      </c>
      <c r="U651" s="56">
        <v>1.7364602472469488</v>
      </c>
      <c r="V651" s="56">
        <v>4.3012861736334616</v>
      </c>
      <c r="W651" s="33">
        <v>4.3012861736334616</v>
      </c>
    </row>
    <row r="652" spans="1:23" ht="16" x14ac:dyDescent="0.2">
      <c r="A652" s="103" t="s">
        <v>19</v>
      </c>
      <c r="B652" t="s">
        <v>863</v>
      </c>
      <c r="C652" s="224" t="s">
        <v>974</v>
      </c>
      <c r="D652" s="224" t="s">
        <v>824</v>
      </c>
      <c r="E652" s="35" t="s">
        <v>148</v>
      </c>
      <c r="F652" s="103" t="s">
        <v>967</v>
      </c>
      <c r="G652" s="103">
        <v>0</v>
      </c>
      <c r="H652" s="225" t="s">
        <v>494</v>
      </c>
      <c r="I652" s="35" t="s">
        <v>580</v>
      </c>
      <c r="J652" s="35">
        <v>1110</v>
      </c>
      <c r="K652" s="147">
        <v>1160.0564999999999</v>
      </c>
      <c r="L652" s="34">
        <v>50.056499999999915</v>
      </c>
      <c r="M652" s="56">
        <v>50.056499999999915</v>
      </c>
      <c r="N652" s="56">
        <v>1.7080510399475557</v>
      </c>
      <c r="O652" s="132">
        <f t="shared" si="11"/>
        <v>1.7080510399475557</v>
      </c>
      <c r="P652" s="56">
        <v>4.5095945945945868</v>
      </c>
      <c r="Q652" s="143">
        <v>4.5095945945945868</v>
      </c>
      <c r="R652" s="143">
        <v>1087.2375</v>
      </c>
      <c r="S652" s="34">
        <v>-22.762500000000045</v>
      </c>
      <c r="T652" s="56">
        <v>22.762500000000045</v>
      </c>
      <c r="U652" s="56">
        <v>1.3758921298735003</v>
      </c>
      <c r="V652" s="56">
        <v>-2.0506756756756799</v>
      </c>
      <c r="W652" s="33">
        <v>2.0506756756756799</v>
      </c>
    </row>
    <row r="653" spans="1:23" ht="16" x14ac:dyDescent="0.2">
      <c r="A653" s="103" t="s">
        <v>19</v>
      </c>
      <c r="B653" t="s">
        <v>869</v>
      </c>
      <c r="C653" s="103" t="s">
        <v>970</v>
      </c>
      <c r="D653" s="224" t="s">
        <v>824</v>
      </c>
      <c r="E653" s="35" t="s">
        <v>148</v>
      </c>
      <c r="F653" s="103" t="s">
        <v>967</v>
      </c>
      <c r="G653" s="103">
        <v>0</v>
      </c>
      <c r="H653" s="35" t="s">
        <v>374</v>
      </c>
      <c r="I653" s="35" t="s">
        <v>580</v>
      </c>
      <c r="J653" s="35">
        <v>1686</v>
      </c>
      <c r="K653" s="147">
        <v>1736.2529</v>
      </c>
      <c r="L653" s="34">
        <v>50.252899999999954</v>
      </c>
      <c r="M653" s="56">
        <v>50.252899999999954</v>
      </c>
      <c r="N653" s="56">
        <v>1.70971844374468</v>
      </c>
      <c r="O653" s="132">
        <f t="shared" si="11"/>
        <v>1.70971844374468</v>
      </c>
      <c r="P653" s="56">
        <v>2.9805990510083009</v>
      </c>
      <c r="Q653" s="143">
        <v>2.9805990510083009</v>
      </c>
      <c r="R653" s="143">
        <v>1789.3400000000001</v>
      </c>
      <c r="S653" s="34">
        <v>103.34000000000015</v>
      </c>
      <c r="T653" s="56">
        <v>103.34000000000015</v>
      </c>
      <c r="U653" s="56">
        <v>2.0184508323863568</v>
      </c>
      <c r="V653" s="56">
        <v>6.1293001186239708</v>
      </c>
      <c r="W653" s="33">
        <v>6.1293001186239708</v>
      </c>
    </row>
    <row r="654" spans="1:23" ht="15" x14ac:dyDescent="0.2">
      <c r="A654" s="103" t="s">
        <v>19</v>
      </c>
      <c r="B654" s="28" t="s">
        <v>427</v>
      </c>
      <c r="C654" s="24" t="s">
        <v>980</v>
      </c>
      <c r="D654" s="35" t="s">
        <v>458</v>
      </c>
      <c r="E654" s="208" t="s">
        <v>82</v>
      </c>
      <c r="F654" s="103" t="s">
        <v>968</v>
      </c>
      <c r="G654" s="103">
        <v>1</v>
      </c>
      <c r="H654" s="35" t="s">
        <v>374</v>
      </c>
      <c r="I654" s="35" t="s">
        <v>580</v>
      </c>
      <c r="J654" s="35">
        <v>1650</v>
      </c>
      <c r="K654" s="141">
        <v>1700.8150471457745</v>
      </c>
      <c r="L654" s="34">
        <v>50.815047145774543</v>
      </c>
      <c r="M654" s="56">
        <v>50.815047145774543</v>
      </c>
      <c r="N654" s="56">
        <v>1.7144558976490265</v>
      </c>
      <c r="O654" s="132">
        <f t="shared" si="11"/>
        <v>1.7144558976490265</v>
      </c>
      <c r="P654" s="56">
        <v>3.0796998270166389</v>
      </c>
      <c r="Q654" s="143">
        <v>3.0796998270166389</v>
      </c>
      <c r="R654" s="143">
        <v>1702.2428252243062</v>
      </c>
      <c r="S654" s="34">
        <v>52.242825224306216</v>
      </c>
      <c r="T654" s="56">
        <v>52.242825224306216</v>
      </c>
      <c r="U654" s="56">
        <v>1.7262610923843833</v>
      </c>
      <c r="V654" s="56">
        <v>3.1662318317761344</v>
      </c>
      <c r="W654" s="33">
        <v>3.1662318317761344</v>
      </c>
    </row>
    <row r="655" spans="1:23" ht="15" x14ac:dyDescent="0.2">
      <c r="A655" s="103" t="s">
        <v>19</v>
      </c>
      <c r="B655" t="s">
        <v>893</v>
      </c>
      <c r="C655" s="103" t="s">
        <v>970</v>
      </c>
      <c r="D655" s="224" t="s">
        <v>824</v>
      </c>
      <c r="E655" s="35" t="s">
        <v>148</v>
      </c>
      <c r="F655" s="103" t="s">
        <v>967</v>
      </c>
      <c r="G655" s="103">
        <v>0</v>
      </c>
      <c r="H655" s="35" t="s">
        <v>374</v>
      </c>
      <c r="I655" s="35" t="s">
        <v>580</v>
      </c>
      <c r="J655" s="35">
        <v>1274</v>
      </c>
      <c r="K655">
        <v>1223.0223000000001</v>
      </c>
      <c r="L655" s="34">
        <v>-50.977699999999913</v>
      </c>
      <c r="M655" s="56">
        <v>50.977699999999913</v>
      </c>
      <c r="N655" s="56">
        <v>1.7158170581698395</v>
      </c>
      <c r="O655" s="132">
        <f t="shared" si="11"/>
        <v>-1.7158170581698395</v>
      </c>
      <c r="P655" s="56">
        <v>-4.0013893249607468</v>
      </c>
      <c r="Q655" s="143">
        <v>4.0013893249607468</v>
      </c>
      <c r="R655" s="143">
        <v>1213.6730000000002</v>
      </c>
      <c r="S655" s="34">
        <v>-60.326999999999771</v>
      </c>
      <c r="T655" s="56">
        <v>60.326999999999771</v>
      </c>
      <c r="U655" s="56">
        <v>1.7876517203484652</v>
      </c>
      <c r="V655" s="56">
        <v>-4.7352433281004531</v>
      </c>
      <c r="W655" s="33">
        <v>4.7352433281004531</v>
      </c>
    </row>
    <row r="656" spans="1:23" ht="15" x14ac:dyDescent="0.2">
      <c r="A656" s="103" t="s">
        <v>19</v>
      </c>
      <c r="B656" t="s">
        <v>898</v>
      </c>
      <c r="C656" s="224" t="s">
        <v>977</v>
      </c>
      <c r="D656" s="224" t="s">
        <v>824</v>
      </c>
      <c r="E656" s="35" t="s">
        <v>148</v>
      </c>
      <c r="F656" s="103" t="s">
        <v>968</v>
      </c>
      <c r="G656" s="103">
        <v>1</v>
      </c>
      <c r="H656" s="225" t="s">
        <v>494</v>
      </c>
      <c r="I656" s="35" t="s">
        <v>580</v>
      </c>
      <c r="J656" s="35">
        <v>874</v>
      </c>
      <c r="K656">
        <v>925.0550010906868</v>
      </c>
      <c r="L656" s="34">
        <v>51.055001090686801</v>
      </c>
      <c r="M656" s="56">
        <v>51.055001090686801</v>
      </c>
      <c r="N656" s="56">
        <v>1.7164624599128859</v>
      </c>
      <c r="O656" s="132">
        <f t="shared" si="11"/>
        <v>1.7164624599128859</v>
      </c>
      <c r="P656" s="56">
        <v>5.8415333055705725</v>
      </c>
      <c r="Q656" s="143">
        <v>5.8415333055705725</v>
      </c>
      <c r="R656" s="143">
        <v>923.17544742347354</v>
      </c>
      <c r="S656" s="34">
        <v>49.175447423473543</v>
      </c>
      <c r="T656" s="56">
        <v>49.175447423473543</v>
      </c>
      <c r="U656" s="56">
        <v>1.7004912538586614</v>
      </c>
      <c r="V656" s="56">
        <v>5.6264813985667672</v>
      </c>
      <c r="W656" s="33">
        <v>5.6264813985667672</v>
      </c>
    </row>
    <row r="657" spans="1:23" ht="16" x14ac:dyDescent="0.2">
      <c r="A657" s="103" t="s">
        <v>19</v>
      </c>
      <c r="B657" t="s">
        <v>850</v>
      </c>
      <c r="C657" s="24" t="s">
        <v>980</v>
      </c>
      <c r="D657" s="224" t="s">
        <v>824</v>
      </c>
      <c r="E657" s="35" t="s">
        <v>148</v>
      </c>
      <c r="F657" s="103" t="s">
        <v>968</v>
      </c>
      <c r="G657" s="103">
        <v>1</v>
      </c>
      <c r="H657" s="35" t="s">
        <v>374</v>
      </c>
      <c r="I657" s="35" t="s">
        <v>580</v>
      </c>
      <c r="J657" s="35">
        <v>1240</v>
      </c>
      <c r="K657" s="147">
        <v>1188.1964314167765</v>
      </c>
      <c r="L657" s="34">
        <v>-51.803568583223523</v>
      </c>
      <c r="M657" s="56">
        <v>51.803568583223523</v>
      </c>
      <c r="N657" s="56">
        <v>1.7226632741177326</v>
      </c>
      <c r="O657" s="132">
        <f t="shared" si="11"/>
        <v>-1.7226632741177326</v>
      </c>
      <c r="P657" s="56">
        <v>-4.1777071438083491</v>
      </c>
      <c r="Q657" s="143">
        <v>4.1777071438083491</v>
      </c>
      <c r="R657" s="143">
        <v>1172.1918757434262</v>
      </c>
      <c r="S657" s="34">
        <v>-67.808124256573819</v>
      </c>
      <c r="T657" s="56">
        <v>67.808124256573819</v>
      </c>
      <c r="U657" s="56">
        <v>1.8376397189258447</v>
      </c>
      <c r="V657" s="56">
        <v>-5.4683971174656305</v>
      </c>
      <c r="W657" s="33">
        <v>5.4683971174656305</v>
      </c>
    </row>
    <row r="658" spans="1:23" ht="16" x14ac:dyDescent="0.2">
      <c r="A658" s="103" t="s">
        <v>19</v>
      </c>
      <c r="B658" t="s">
        <v>868</v>
      </c>
      <c r="C658" s="24" t="s">
        <v>980</v>
      </c>
      <c r="D658" s="224" t="s">
        <v>824</v>
      </c>
      <c r="E658" s="35" t="s">
        <v>148</v>
      </c>
      <c r="F658" s="103" t="s">
        <v>968</v>
      </c>
      <c r="G658" s="103">
        <v>1</v>
      </c>
      <c r="H658" s="35" t="s">
        <v>374</v>
      </c>
      <c r="I658" s="35" t="s">
        <v>580</v>
      </c>
      <c r="J658" s="35">
        <v>1530</v>
      </c>
      <c r="K658" s="147">
        <v>1582.1134213543144</v>
      </c>
      <c r="L658" s="34">
        <v>52.113421354314369</v>
      </c>
      <c r="M658" s="56">
        <v>52.113421354314369</v>
      </c>
      <c r="N658" s="56">
        <v>1.7252042778349019</v>
      </c>
      <c r="O658" s="132">
        <f t="shared" si="11"/>
        <v>1.7252042778349019</v>
      </c>
      <c r="P658" s="56">
        <v>3.4061059708702204</v>
      </c>
      <c r="Q658" s="143">
        <v>3.4061059708702204</v>
      </c>
      <c r="R658" s="143">
        <v>1604.0901464543242</v>
      </c>
      <c r="S658" s="34">
        <v>74.090146454324213</v>
      </c>
      <c r="T658" s="56">
        <v>74.090146454324213</v>
      </c>
      <c r="U658" s="56">
        <v>1.8755829513680087</v>
      </c>
      <c r="V658" s="56">
        <v>4.8424932323087724</v>
      </c>
      <c r="W658" s="33">
        <v>4.8424932323087724</v>
      </c>
    </row>
    <row r="659" spans="1:23" ht="15" x14ac:dyDescent="0.2">
      <c r="A659" s="103" t="s">
        <v>19</v>
      </c>
      <c r="B659" s="28" t="s">
        <v>365</v>
      </c>
      <c r="C659" s="103" t="s">
        <v>970</v>
      </c>
      <c r="D659" s="208" t="s">
        <v>403</v>
      </c>
      <c r="E659" s="35" t="s">
        <v>148</v>
      </c>
      <c r="F659" s="103" t="s">
        <v>967</v>
      </c>
      <c r="G659" s="103">
        <v>0</v>
      </c>
      <c r="H659" s="35" t="s">
        <v>494</v>
      </c>
      <c r="I659" s="35" t="s">
        <v>580</v>
      </c>
      <c r="J659" s="35">
        <v>992.24</v>
      </c>
      <c r="K659" s="141">
        <v>939.98108400000012</v>
      </c>
      <c r="L659" s="34">
        <v>-52.258915999999886</v>
      </c>
      <c r="M659" s="56">
        <v>52.258915999999886</v>
      </c>
      <c r="N659" s="56">
        <v>1.7263923228237386</v>
      </c>
      <c r="O659" s="132">
        <f t="shared" si="11"/>
        <v>-1.7263923228237386</v>
      </c>
      <c r="P659" s="56">
        <v>-5.2667616705635609</v>
      </c>
      <c r="Q659" s="143">
        <v>5.2667616705635609</v>
      </c>
      <c r="R659" s="143">
        <v>961.10609000000011</v>
      </c>
      <c r="S659" s="34">
        <v>-31.133909999999901</v>
      </c>
      <c r="T659" s="56">
        <v>31.133909999999901</v>
      </c>
      <c r="U659" s="56">
        <v>1.5069635729872342</v>
      </c>
      <c r="V659" s="56">
        <v>-3.1377398613238632</v>
      </c>
      <c r="W659" s="33">
        <v>3.1377398613238632</v>
      </c>
    </row>
    <row r="660" spans="1:23" ht="15" x14ac:dyDescent="0.2">
      <c r="A660" s="103" t="s">
        <v>19</v>
      </c>
      <c r="B660" s="28" t="s">
        <v>301</v>
      </c>
      <c r="C660" s="224" t="s">
        <v>977</v>
      </c>
      <c r="D660" s="208" t="s">
        <v>403</v>
      </c>
      <c r="E660" s="35" t="s">
        <v>82</v>
      </c>
      <c r="F660" s="103" t="s">
        <v>968</v>
      </c>
      <c r="G660" s="103">
        <v>1</v>
      </c>
      <c r="H660" s="35" t="s">
        <v>374</v>
      </c>
      <c r="I660" s="35" t="s">
        <v>580</v>
      </c>
      <c r="J660" s="35">
        <v>1300</v>
      </c>
      <c r="K660" s="141">
        <v>1247.4870294087882</v>
      </c>
      <c r="L660" s="34">
        <v>-52.512970591211797</v>
      </c>
      <c r="M660" s="56">
        <v>52.512970591211797</v>
      </c>
      <c r="N660" s="56">
        <v>1.7284590600298058</v>
      </c>
      <c r="O660" s="132">
        <f t="shared" si="11"/>
        <v>-1.7284590600298058</v>
      </c>
      <c r="P660" s="56">
        <v>-4.0394592762470616</v>
      </c>
      <c r="Q660" s="143">
        <v>4.0394592762470616</v>
      </c>
      <c r="R660" s="143">
        <v>1247.4746665646248</v>
      </c>
      <c r="S660" s="34">
        <v>-52.52533343537516</v>
      </c>
      <c r="T660" s="56">
        <v>52.52533343537516</v>
      </c>
      <c r="U660" s="56">
        <v>1.7285593814067834</v>
      </c>
      <c r="V660" s="56">
        <v>-4.040410264259628</v>
      </c>
      <c r="W660" s="33">
        <v>4.040410264259628</v>
      </c>
    </row>
    <row r="661" spans="1:23" ht="15" x14ac:dyDescent="0.2">
      <c r="A661" s="103" t="s">
        <v>19</v>
      </c>
      <c r="B661" t="s">
        <v>886</v>
      </c>
      <c r="C661" s="103" t="s">
        <v>975</v>
      </c>
      <c r="D661" s="224" t="s">
        <v>824</v>
      </c>
      <c r="E661" s="35" t="s">
        <v>148</v>
      </c>
      <c r="F661" s="103" t="s">
        <v>967</v>
      </c>
      <c r="G661" s="103">
        <v>0</v>
      </c>
      <c r="H661" s="35" t="s">
        <v>374</v>
      </c>
      <c r="I661" s="35" t="s">
        <v>580</v>
      </c>
      <c r="J661" s="35">
        <v>2100</v>
      </c>
      <c r="K661">
        <v>2047.4774</v>
      </c>
      <c r="L661" s="34">
        <v>-52.522600000000011</v>
      </c>
      <c r="M661" s="56">
        <v>52.522600000000011</v>
      </c>
      <c r="N661" s="56">
        <v>1.7285372022602605</v>
      </c>
      <c r="O661" s="132">
        <f t="shared" si="11"/>
        <v>-1.7285372022602605</v>
      </c>
      <c r="P661" s="56">
        <v>-2.5010761904761911</v>
      </c>
      <c r="Q661" s="143">
        <v>2.5010761904761911</v>
      </c>
      <c r="R661" s="143">
        <v>2055.1322</v>
      </c>
      <c r="S661" s="34">
        <v>-44.867799999999988</v>
      </c>
      <c r="T661" s="56">
        <v>44.867799999999988</v>
      </c>
      <c r="U661" s="56">
        <v>1.6615079101609047</v>
      </c>
      <c r="V661" s="56">
        <v>-2.136561904761904</v>
      </c>
      <c r="W661" s="33">
        <v>2.136561904761904</v>
      </c>
    </row>
    <row r="662" spans="1:23" ht="15" x14ac:dyDescent="0.2">
      <c r="A662" s="103" t="s">
        <v>19</v>
      </c>
      <c r="B662" s="28" t="s">
        <v>416</v>
      </c>
      <c r="C662" s="24" t="s">
        <v>980</v>
      </c>
      <c r="D662" s="35" t="s">
        <v>458</v>
      </c>
      <c r="E662" s="35" t="s">
        <v>82</v>
      </c>
      <c r="F662" s="103" t="s">
        <v>968</v>
      </c>
      <c r="G662" s="103">
        <v>1</v>
      </c>
      <c r="H662" s="35" t="s">
        <v>374</v>
      </c>
      <c r="I662" s="35" t="s">
        <v>580</v>
      </c>
      <c r="J662" s="35">
        <v>1250</v>
      </c>
      <c r="K662" s="141">
        <v>1302.866663652964</v>
      </c>
      <c r="L662" s="34">
        <v>52.866663652964007</v>
      </c>
      <c r="M662" s="56">
        <v>52.866663652964007</v>
      </c>
      <c r="N662" s="56">
        <v>1.7313200774212352</v>
      </c>
      <c r="O662" s="132">
        <f t="shared" si="11"/>
        <v>1.7313200774212352</v>
      </c>
      <c r="P662" s="56">
        <v>4.2293330922371206</v>
      </c>
      <c r="Q662" s="143">
        <v>4.2293330922371206</v>
      </c>
      <c r="R662" s="143">
        <v>1266.6766021987301</v>
      </c>
      <c r="S662" s="34">
        <v>16.676602198730052</v>
      </c>
      <c r="T662" s="56">
        <v>16.676602198730052</v>
      </c>
      <c r="U662" s="56">
        <v>1.247398788496193</v>
      </c>
      <c r="V662" s="56">
        <v>1.334128175898404</v>
      </c>
      <c r="W662" s="33">
        <v>1.334128175898404</v>
      </c>
    </row>
    <row r="663" spans="1:23" ht="16" x14ac:dyDescent="0.2">
      <c r="A663" s="103" t="s">
        <v>19</v>
      </c>
      <c r="B663" t="s">
        <v>856</v>
      </c>
      <c r="C663" s="103" t="s">
        <v>971</v>
      </c>
      <c r="D663" s="224" t="s">
        <v>824</v>
      </c>
      <c r="E663" s="35" t="s">
        <v>148</v>
      </c>
      <c r="F663" s="103" t="s">
        <v>968</v>
      </c>
      <c r="G663" s="103">
        <v>1</v>
      </c>
      <c r="H663" s="225" t="s">
        <v>494</v>
      </c>
      <c r="I663" s="35" t="s">
        <v>580</v>
      </c>
      <c r="J663" s="35">
        <v>1098</v>
      </c>
      <c r="K663" s="147">
        <v>1044.971367123338</v>
      </c>
      <c r="L663" s="34">
        <v>-53.028632876661959</v>
      </c>
      <c r="M663" s="56">
        <v>53.028632876661959</v>
      </c>
      <c r="N663" s="56">
        <v>1.7326239784288209</v>
      </c>
      <c r="O663" s="132">
        <f t="shared" si="11"/>
        <v>-1.7326239784288209</v>
      </c>
      <c r="P663" s="56">
        <v>-4.8295658357615627</v>
      </c>
      <c r="Q663" s="143">
        <v>4.8295658357615627</v>
      </c>
      <c r="R663" s="143">
        <v>1220.8318763024647</v>
      </c>
      <c r="S663" s="34">
        <v>122.83187630246471</v>
      </c>
      <c r="T663" s="56">
        <v>122.83187630246471</v>
      </c>
      <c r="U663" s="56">
        <v>2.0928324534103995</v>
      </c>
      <c r="V663" s="56">
        <v>11.186873980188041</v>
      </c>
      <c r="W663" s="33">
        <v>11.186873980188041</v>
      </c>
    </row>
    <row r="664" spans="1:23" ht="16" x14ac:dyDescent="0.2">
      <c r="A664" s="103" t="s">
        <v>19</v>
      </c>
      <c r="B664" t="s">
        <v>854</v>
      </c>
      <c r="C664" s="103" t="s">
        <v>979</v>
      </c>
      <c r="D664" s="224" t="s">
        <v>824</v>
      </c>
      <c r="E664" s="35" t="s">
        <v>148</v>
      </c>
      <c r="F664" s="103" t="s">
        <v>967</v>
      </c>
      <c r="G664" s="103">
        <v>0</v>
      </c>
      <c r="H664" s="35" t="s">
        <v>374</v>
      </c>
      <c r="I664" s="35" t="s">
        <v>580</v>
      </c>
      <c r="J664" s="35">
        <v>1340</v>
      </c>
      <c r="K664" s="147">
        <v>1286.9565217391303</v>
      </c>
      <c r="L664" s="34">
        <v>-53.043478260869733</v>
      </c>
      <c r="M664" s="56">
        <v>53.043478260869733</v>
      </c>
      <c r="N664" s="56">
        <v>1.7327432926240531</v>
      </c>
      <c r="O664" s="132">
        <f t="shared" si="11"/>
        <v>-1.7327432926240531</v>
      </c>
      <c r="P664" s="56">
        <v>-3.9584685269305773</v>
      </c>
      <c r="Q664" s="143">
        <v>3.9584685269305773</v>
      </c>
      <c r="R664" s="143">
        <v>1266.6666666666667</v>
      </c>
      <c r="S664" s="34">
        <v>-73.333333333333258</v>
      </c>
      <c r="T664" s="56">
        <v>73.333333333333258</v>
      </c>
      <c r="U664" s="56">
        <v>1.8711836083284978</v>
      </c>
      <c r="V664" s="56">
        <v>-5.4726368159203922</v>
      </c>
      <c r="W664" s="33">
        <v>5.4726368159203922</v>
      </c>
    </row>
    <row r="665" spans="1:23" ht="16" x14ac:dyDescent="0.2">
      <c r="A665" s="103" t="s">
        <v>19</v>
      </c>
      <c r="B665" t="s">
        <v>846</v>
      </c>
      <c r="C665" s="224" t="s">
        <v>974</v>
      </c>
      <c r="D665" s="224" t="s">
        <v>824</v>
      </c>
      <c r="E665" s="35" t="s">
        <v>148</v>
      </c>
      <c r="F665" s="103" t="s">
        <v>967</v>
      </c>
      <c r="G665" s="103">
        <v>0</v>
      </c>
      <c r="H665" s="35" t="s">
        <v>374</v>
      </c>
      <c r="I665" s="35" t="s">
        <v>580</v>
      </c>
      <c r="J665" s="35">
        <v>1312</v>
      </c>
      <c r="K665" s="147">
        <v>1365.1145999999999</v>
      </c>
      <c r="L665" s="34">
        <v>53.114599999999882</v>
      </c>
      <c r="M665" s="56">
        <v>53.114599999999882</v>
      </c>
      <c r="N665" s="56">
        <v>1.7333144526112907</v>
      </c>
      <c r="O665" s="132">
        <f t="shared" si="11"/>
        <v>1.7333144526112907</v>
      </c>
      <c r="P665" s="56">
        <v>4.048368902439015</v>
      </c>
      <c r="Q665" s="143">
        <v>4.048368902439015</v>
      </c>
      <c r="R665" s="143">
        <v>1288.1949</v>
      </c>
      <c r="S665" s="34">
        <v>-23.805100000000039</v>
      </c>
      <c r="T665" s="56">
        <v>23.805100000000039</v>
      </c>
      <c r="U665" s="56">
        <v>1.3945409822031121</v>
      </c>
      <c r="V665" s="56">
        <v>-1.8144131097561005</v>
      </c>
      <c r="W665" s="33">
        <v>1.8144131097561005</v>
      </c>
    </row>
    <row r="666" spans="1:23" ht="16" x14ac:dyDescent="0.2">
      <c r="A666" s="103" t="s">
        <v>19</v>
      </c>
      <c r="B666" t="s">
        <v>871</v>
      </c>
      <c r="C666" s="224" t="s">
        <v>978</v>
      </c>
      <c r="D666" s="224" t="s">
        <v>824</v>
      </c>
      <c r="E666" s="35" t="s">
        <v>148</v>
      </c>
      <c r="F666" s="103" t="s">
        <v>968</v>
      </c>
      <c r="G666" s="103">
        <v>1</v>
      </c>
      <c r="H666" s="35" t="s">
        <v>374</v>
      </c>
      <c r="I666" s="35" t="s">
        <v>580</v>
      </c>
      <c r="J666" s="35">
        <v>1575</v>
      </c>
      <c r="K666" s="147">
        <v>1521.6900043876008</v>
      </c>
      <c r="L666" s="34">
        <v>-53.309995612399234</v>
      </c>
      <c r="M666" s="56">
        <v>53.309995612399234</v>
      </c>
      <c r="N666" s="56">
        <v>1.7348797677068077</v>
      </c>
      <c r="O666" s="132">
        <f t="shared" si="11"/>
        <v>-1.7348797677068077</v>
      </c>
      <c r="P666" s="56">
        <v>-3.3847616261840785</v>
      </c>
      <c r="Q666" s="143">
        <v>3.3847616261840785</v>
      </c>
      <c r="R666" s="143">
        <v>1522.519787048021</v>
      </c>
      <c r="S666" s="34">
        <v>-52.480212951978956</v>
      </c>
      <c r="T666" s="56">
        <v>52.480212951978956</v>
      </c>
      <c r="U666" s="56">
        <v>1.7281931279034328</v>
      </c>
      <c r="V666" s="56">
        <v>-3.3320770128240609</v>
      </c>
      <c r="W666" s="33">
        <v>3.3320770128240609</v>
      </c>
    </row>
    <row r="667" spans="1:23" ht="16" x14ac:dyDescent="0.2">
      <c r="A667" s="103" t="s">
        <v>19</v>
      </c>
      <c r="B667" t="s">
        <v>872</v>
      </c>
      <c r="C667" s="103" t="s">
        <v>979</v>
      </c>
      <c r="D667" s="224" t="s">
        <v>824</v>
      </c>
      <c r="E667" s="35" t="s">
        <v>148</v>
      </c>
      <c r="F667" s="103" t="s">
        <v>967</v>
      </c>
      <c r="G667" s="103">
        <v>0</v>
      </c>
      <c r="H667" s="35" t="s">
        <v>374</v>
      </c>
      <c r="I667" s="35" t="s">
        <v>580</v>
      </c>
      <c r="J667" s="35">
        <v>1684</v>
      </c>
      <c r="K667" s="147">
        <v>1630.4347826086955</v>
      </c>
      <c r="L667" s="34">
        <v>-53.565217391304486</v>
      </c>
      <c r="M667" s="56">
        <v>53.565217391304486</v>
      </c>
      <c r="N667" s="56">
        <v>1.7369158897994652</v>
      </c>
      <c r="O667" s="132">
        <f t="shared" si="11"/>
        <v>-1.7369158897994652</v>
      </c>
      <c r="P667" s="56">
        <v>-3.1808323866570358</v>
      </c>
      <c r="Q667" s="143">
        <v>3.1808323866570358</v>
      </c>
      <c r="R667" s="143">
        <v>1600</v>
      </c>
      <c r="S667" s="34">
        <v>-84</v>
      </c>
      <c r="T667" s="56">
        <v>84</v>
      </c>
      <c r="U667" s="56">
        <v>1.9294189257142926</v>
      </c>
      <c r="V667" s="56">
        <v>-4.9881235154394297</v>
      </c>
      <c r="W667" s="33">
        <v>4.9881235154394297</v>
      </c>
    </row>
    <row r="668" spans="1:23" ht="16" x14ac:dyDescent="0.2">
      <c r="A668" s="103" t="s">
        <v>19</v>
      </c>
      <c r="B668" t="s">
        <v>866</v>
      </c>
      <c r="C668" s="224" t="s">
        <v>978</v>
      </c>
      <c r="D668" s="224" t="s">
        <v>824</v>
      </c>
      <c r="E668" s="35" t="s">
        <v>148</v>
      </c>
      <c r="F668" s="103" t="s">
        <v>968</v>
      </c>
      <c r="G668" s="103">
        <v>1</v>
      </c>
      <c r="H668" s="35" t="s">
        <v>374</v>
      </c>
      <c r="I668" s="35" t="s">
        <v>580</v>
      </c>
      <c r="J668" s="35">
        <v>1565</v>
      </c>
      <c r="K668" s="147">
        <v>1511.04468002675</v>
      </c>
      <c r="L668" s="34">
        <v>-53.955319973249971</v>
      </c>
      <c r="M668" s="56">
        <v>53.955319973249971</v>
      </c>
      <c r="N668" s="56">
        <v>1.7400097408576241</v>
      </c>
      <c r="O668" s="132">
        <f t="shared" ref="O668:O731" si="12">SIGN(L668)*N668</f>
        <v>-1.7400097408576241</v>
      </c>
      <c r="P668" s="56">
        <v>-3.4476242794408929</v>
      </c>
      <c r="Q668" s="143">
        <v>3.4476242794408929</v>
      </c>
      <c r="R668" s="143">
        <v>1482.2138430689924</v>
      </c>
      <c r="S668" s="34">
        <v>-82.786156931007554</v>
      </c>
      <c r="T668" s="56">
        <v>82.786156931007554</v>
      </c>
      <c r="U668" s="56">
        <v>1.9231722708367858</v>
      </c>
      <c r="V668" s="56">
        <v>-5.2898502831314733</v>
      </c>
      <c r="W668" s="33">
        <v>5.2898502831314733</v>
      </c>
    </row>
    <row r="669" spans="1:23" ht="15" x14ac:dyDescent="0.2">
      <c r="A669" s="103" t="s">
        <v>19</v>
      </c>
      <c r="B669" s="28" t="s">
        <v>459</v>
      </c>
      <c r="C669" s="224" t="s">
        <v>978</v>
      </c>
      <c r="D669" s="35" t="s">
        <v>458</v>
      </c>
      <c r="E669" s="208" t="s">
        <v>82</v>
      </c>
      <c r="F669" s="103" t="s">
        <v>968</v>
      </c>
      <c r="G669" s="103">
        <v>1</v>
      </c>
      <c r="H669" s="35" t="s">
        <v>374</v>
      </c>
      <c r="I669" s="35" t="s">
        <v>580</v>
      </c>
      <c r="J669" s="35">
        <v>1640</v>
      </c>
      <c r="K669" s="141">
        <v>1585.8327317070425</v>
      </c>
      <c r="L669" s="34">
        <v>-54.167268292957488</v>
      </c>
      <c r="M669" s="56">
        <v>54.167268292957488</v>
      </c>
      <c r="N669" s="56">
        <v>1.7416814796135898</v>
      </c>
      <c r="O669" s="132">
        <f t="shared" si="12"/>
        <v>-1.7416814796135898</v>
      </c>
      <c r="P669" s="56">
        <v>-3.3028822129852125</v>
      </c>
      <c r="Q669" s="143">
        <v>3.3028822129852125</v>
      </c>
      <c r="R669" s="143">
        <v>1573.164159116835</v>
      </c>
      <c r="S669" s="34">
        <v>-66.835840883165019</v>
      </c>
      <c r="T669" s="56">
        <v>66.835840883165019</v>
      </c>
      <c r="U669" s="56">
        <v>1.8314592128208449</v>
      </c>
      <c r="V669" s="56">
        <v>-4.0753561514125014</v>
      </c>
      <c r="W669" s="33">
        <v>4.0753561514125014</v>
      </c>
    </row>
    <row r="670" spans="1:23" ht="15" x14ac:dyDescent="0.2">
      <c r="A670" s="103" t="s">
        <v>19</v>
      </c>
      <c r="B670" s="28" t="s">
        <v>433</v>
      </c>
      <c r="C670" s="103" t="s">
        <v>975</v>
      </c>
      <c r="D670" s="35" t="s">
        <v>458</v>
      </c>
      <c r="E670" s="208" t="s">
        <v>82</v>
      </c>
      <c r="F670" s="103" t="s">
        <v>967</v>
      </c>
      <c r="G670" s="103">
        <v>0</v>
      </c>
      <c r="H670" s="35" t="s">
        <v>374</v>
      </c>
      <c r="I670" s="35" t="s">
        <v>580</v>
      </c>
      <c r="J670" s="35">
        <v>1520</v>
      </c>
      <c r="K670" s="141">
        <v>1465.1053999999999</v>
      </c>
      <c r="L670" s="34">
        <v>-54.894600000000082</v>
      </c>
      <c r="M670" s="56">
        <v>54.894600000000082</v>
      </c>
      <c r="N670" s="56">
        <v>1.7473698525468262</v>
      </c>
      <c r="O670" s="132">
        <f t="shared" si="12"/>
        <v>-1.7473698525468262</v>
      </c>
      <c r="P670" s="56">
        <v>-3.6114868421052684</v>
      </c>
      <c r="Q670" s="143">
        <v>3.6114868421052684</v>
      </c>
      <c r="R670" s="143">
        <v>1462.6290000000001</v>
      </c>
      <c r="S670" s="34">
        <v>-57.370999999999867</v>
      </c>
      <c r="T670" s="56">
        <v>57.370999999999867</v>
      </c>
      <c r="U670" s="56">
        <v>1.7661971336178814</v>
      </c>
      <c r="V670" s="56">
        <v>-3.7744078947368336</v>
      </c>
      <c r="W670" s="33">
        <v>3.7744078947368336</v>
      </c>
    </row>
    <row r="671" spans="1:23" ht="15" x14ac:dyDescent="0.2">
      <c r="A671" s="103" t="s">
        <v>19</v>
      </c>
      <c r="B671" s="28" t="s">
        <v>416</v>
      </c>
      <c r="C671" s="224" t="s">
        <v>977</v>
      </c>
      <c r="D671" s="35" t="s">
        <v>458</v>
      </c>
      <c r="E671" s="35" t="s">
        <v>82</v>
      </c>
      <c r="F671" s="103" t="s">
        <v>968</v>
      </c>
      <c r="G671" s="103">
        <v>1</v>
      </c>
      <c r="H671" s="35" t="s">
        <v>374</v>
      </c>
      <c r="I671" s="35" t="s">
        <v>580</v>
      </c>
      <c r="J671" s="35">
        <v>1250</v>
      </c>
      <c r="K671" s="141">
        <v>1305.22400428028</v>
      </c>
      <c r="L671" s="34">
        <v>55.224004280280042</v>
      </c>
      <c r="M671" s="56">
        <v>55.224004280280042</v>
      </c>
      <c r="N671" s="56">
        <v>1.7499217728776286</v>
      </c>
      <c r="O671" s="132">
        <f t="shared" si="12"/>
        <v>1.7499217728776286</v>
      </c>
      <c r="P671" s="56">
        <v>4.4179203424224029</v>
      </c>
      <c r="Q671" s="143">
        <v>4.4179203424224029</v>
      </c>
      <c r="R671" s="143">
        <v>1270.3010064178213</v>
      </c>
      <c r="S671" s="34">
        <v>20.301006417821327</v>
      </c>
      <c r="T671" s="56">
        <v>20.301006417821327</v>
      </c>
      <c r="U671" s="56">
        <v>1.3284001232218661</v>
      </c>
      <c r="V671" s="56">
        <v>1.6240805134257061</v>
      </c>
      <c r="W671" s="33">
        <v>1.6240805134257061</v>
      </c>
    </row>
    <row r="672" spans="1:23" ht="15" x14ac:dyDescent="0.2">
      <c r="A672" s="103" t="s">
        <v>19</v>
      </c>
      <c r="B672" s="206" t="s">
        <v>593</v>
      </c>
      <c r="C672" s="103" t="s">
        <v>975</v>
      </c>
      <c r="D672" s="35" t="s">
        <v>403</v>
      </c>
      <c r="E672" s="35" t="s">
        <v>82</v>
      </c>
      <c r="F672" s="103" t="s">
        <v>967</v>
      </c>
      <c r="G672" s="103">
        <v>0</v>
      </c>
      <c r="H672" s="35" t="s">
        <v>374</v>
      </c>
      <c r="I672" s="35" t="s">
        <v>580</v>
      </c>
      <c r="J672" s="35">
        <v>1284.8</v>
      </c>
      <c r="K672" s="141">
        <v>1340.1450079999997</v>
      </c>
      <c r="L672" s="34">
        <v>55.34500799999978</v>
      </c>
      <c r="M672" s="56">
        <v>55.34500799999978</v>
      </c>
      <c r="N672" s="56">
        <v>1.7508554448880702</v>
      </c>
      <c r="O672" s="132">
        <f t="shared" si="12"/>
        <v>1.7508554448880702</v>
      </c>
      <c r="P672" s="56">
        <v>4.3076749688667331</v>
      </c>
      <c r="Q672" s="143">
        <v>4.3076749688667331</v>
      </c>
      <c r="R672" s="143">
        <v>1345.969924</v>
      </c>
      <c r="S672" s="34">
        <v>61.169924000000037</v>
      </c>
      <c r="T672" s="56">
        <v>61.169924000000037</v>
      </c>
      <c r="U672" s="56">
        <v>1.7935803364625618</v>
      </c>
      <c r="V672" s="56">
        <v>4.761046388542967</v>
      </c>
      <c r="W672" s="33">
        <v>4.761046388542967</v>
      </c>
    </row>
    <row r="673" spans="1:23" ht="16" x14ac:dyDescent="0.2">
      <c r="A673" s="103" t="s">
        <v>19</v>
      </c>
      <c r="B673" t="s">
        <v>868</v>
      </c>
      <c r="C673" s="103" t="s">
        <v>975</v>
      </c>
      <c r="D673" s="224" t="s">
        <v>824</v>
      </c>
      <c r="E673" s="35" t="s">
        <v>148</v>
      </c>
      <c r="F673" s="103" t="s">
        <v>967</v>
      </c>
      <c r="G673" s="103">
        <v>0</v>
      </c>
      <c r="H673" s="35" t="s">
        <v>374</v>
      </c>
      <c r="I673" s="35" t="s">
        <v>580</v>
      </c>
      <c r="J673" s="35">
        <v>1530</v>
      </c>
      <c r="K673" s="147">
        <v>1585.7395999999999</v>
      </c>
      <c r="L673" s="34">
        <v>55.739599999999882</v>
      </c>
      <c r="M673" s="56">
        <v>55.739599999999882</v>
      </c>
      <c r="N673" s="56">
        <v>1.7538862698030633</v>
      </c>
      <c r="O673" s="132">
        <f t="shared" si="12"/>
        <v>1.7538862698030633</v>
      </c>
      <c r="P673" s="56">
        <v>3.6431111111111032</v>
      </c>
      <c r="Q673" s="143">
        <v>3.6431111111111032</v>
      </c>
      <c r="R673" s="143">
        <v>1622.7650000000001</v>
      </c>
      <c r="S673" s="34">
        <v>92.7650000000001</v>
      </c>
      <c r="T673" s="56">
        <v>92.7650000000001</v>
      </c>
      <c r="U673" s="56">
        <v>1.9720407579584849</v>
      </c>
      <c r="V673" s="56">
        <v>6.0630718954248435</v>
      </c>
      <c r="W673" s="33">
        <v>6.0630718954248435</v>
      </c>
    </row>
    <row r="674" spans="1:23" ht="16" x14ac:dyDescent="0.2">
      <c r="A674" s="103" t="s">
        <v>19</v>
      </c>
      <c r="B674" t="s">
        <v>878</v>
      </c>
      <c r="C674" s="103" t="s">
        <v>971</v>
      </c>
      <c r="D674" s="224" t="s">
        <v>824</v>
      </c>
      <c r="E674" s="35" t="s">
        <v>148</v>
      </c>
      <c r="F674" s="103" t="s">
        <v>968</v>
      </c>
      <c r="G674" s="103">
        <v>1</v>
      </c>
      <c r="H674" s="35" t="s">
        <v>374</v>
      </c>
      <c r="I674" s="35" t="s">
        <v>580</v>
      </c>
      <c r="J674" s="35">
        <v>1520</v>
      </c>
      <c r="K674" s="147">
        <v>1463.9736102327165</v>
      </c>
      <c r="L674" s="34">
        <v>-56.02638976728349</v>
      </c>
      <c r="M674" s="56">
        <v>56.02638976728349</v>
      </c>
      <c r="N674" s="56">
        <v>1.7560758780943702</v>
      </c>
      <c r="O674" s="132">
        <f t="shared" si="12"/>
        <v>-1.7560758780943702</v>
      </c>
      <c r="P674" s="56">
        <v>-3.6859466952160189</v>
      </c>
      <c r="Q674" s="143">
        <v>3.6859466952160189</v>
      </c>
      <c r="R674" s="143">
        <v>1677.6928863474357</v>
      </c>
      <c r="S674" s="34">
        <v>157.69288634743566</v>
      </c>
      <c r="T674" s="56">
        <v>157.69288634743566</v>
      </c>
      <c r="U674" s="56">
        <v>2.2005574592734503</v>
      </c>
      <c r="V674" s="56">
        <v>10.374531996541821</v>
      </c>
      <c r="W674" s="33">
        <v>10.374531996541821</v>
      </c>
    </row>
    <row r="675" spans="1:23" ht="15" x14ac:dyDescent="0.2">
      <c r="A675" s="103" t="s">
        <v>19</v>
      </c>
      <c r="B675" s="28" t="s">
        <v>289</v>
      </c>
      <c r="C675" s="103" t="s">
        <v>979</v>
      </c>
      <c r="D675" s="208" t="s">
        <v>403</v>
      </c>
      <c r="E675" s="35" t="s">
        <v>148</v>
      </c>
      <c r="F675" s="103" t="s">
        <v>967</v>
      </c>
      <c r="G675" s="103">
        <v>0</v>
      </c>
      <c r="H675" s="35" t="s">
        <v>494</v>
      </c>
      <c r="I675" s="35" t="s">
        <v>580</v>
      </c>
      <c r="J675" s="35">
        <v>899.05</v>
      </c>
      <c r="K675" s="141">
        <v>955.21739130434776</v>
      </c>
      <c r="L675" s="34">
        <v>56.167391304347802</v>
      </c>
      <c r="M675" s="56">
        <v>56.167391304347802</v>
      </c>
      <c r="N675" s="56">
        <v>1.7571483746880201</v>
      </c>
      <c r="O675" s="132">
        <f t="shared" si="12"/>
        <v>1.7571483746880201</v>
      </c>
      <c r="P675" s="56">
        <v>6.2474157504418892</v>
      </c>
      <c r="Q675" s="143">
        <v>6.2474157504418892</v>
      </c>
      <c r="R675" s="143">
        <v>951.54166666666674</v>
      </c>
      <c r="S675" s="34">
        <v>52.491666666666788</v>
      </c>
      <c r="T675" s="56">
        <v>52.491666666666788</v>
      </c>
      <c r="U675" s="56">
        <v>1.7282861296366541</v>
      </c>
      <c r="V675" s="56">
        <v>5.8385703427692333</v>
      </c>
      <c r="W675" s="33">
        <v>5.8385703427692333</v>
      </c>
    </row>
    <row r="676" spans="1:23" ht="15" x14ac:dyDescent="0.2">
      <c r="A676" s="103" t="s">
        <v>19</v>
      </c>
      <c r="B676" t="s">
        <v>837</v>
      </c>
      <c r="C676" s="103" t="s">
        <v>975</v>
      </c>
      <c r="D676" s="224" t="s">
        <v>824</v>
      </c>
      <c r="E676" s="35" t="s">
        <v>148</v>
      </c>
      <c r="F676" s="103" t="s">
        <v>967</v>
      </c>
      <c r="G676" s="103">
        <v>0</v>
      </c>
      <c r="H676" s="225" t="s">
        <v>293</v>
      </c>
      <c r="I676" s="35" t="s">
        <v>580</v>
      </c>
      <c r="J676" s="29">
        <v>2570</v>
      </c>
      <c r="K676">
        <v>2513.3749999999995</v>
      </c>
      <c r="L676" s="34">
        <v>-56.625000000000455</v>
      </c>
      <c r="M676" s="56">
        <v>56.625000000000455</v>
      </c>
      <c r="N676" s="56">
        <v>1.760610938397708</v>
      </c>
      <c r="O676" s="132">
        <f t="shared" si="12"/>
        <v>-1.760610938397708</v>
      </c>
      <c r="P676" s="56">
        <v>-2.2033073929961264</v>
      </c>
      <c r="Q676" s="143">
        <v>2.2033073929961264</v>
      </c>
      <c r="R676" s="143">
        <v>2563.5639999999999</v>
      </c>
      <c r="S676" s="34">
        <v>-6.4360000000001492</v>
      </c>
      <c r="T676" s="56">
        <v>6.4360000000001492</v>
      </c>
      <c r="U676" s="56">
        <v>0.87133938109986964</v>
      </c>
      <c r="V676" s="56">
        <v>-0.25042801556420813</v>
      </c>
      <c r="W676" s="33">
        <v>0.25042801556420813</v>
      </c>
    </row>
    <row r="677" spans="1:23" ht="16" x14ac:dyDescent="0.2">
      <c r="A677" s="103" t="s">
        <v>19</v>
      </c>
      <c r="B677" t="s">
        <v>877</v>
      </c>
      <c r="C677" s="103" t="s">
        <v>975</v>
      </c>
      <c r="D677" s="224" t="s">
        <v>824</v>
      </c>
      <c r="E677" s="35" t="s">
        <v>148</v>
      </c>
      <c r="F677" s="103" t="s">
        <v>967</v>
      </c>
      <c r="G677" s="103">
        <v>0</v>
      </c>
      <c r="H677" s="35" t="s">
        <v>374</v>
      </c>
      <c r="I677" s="35" t="s">
        <v>580</v>
      </c>
      <c r="J677" s="35">
        <v>1647</v>
      </c>
      <c r="K677" s="147">
        <v>1589.8994</v>
      </c>
      <c r="L677" s="34">
        <v>-57.100599999999986</v>
      </c>
      <c r="M677" s="56">
        <v>57.100599999999986</v>
      </c>
      <c r="N677" s="56">
        <v>1.7641806173360046</v>
      </c>
      <c r="O677" s="132">
        <f t="shared" si="12"/>
        <v>-1.7641806173360046</v>
      </c>
      <c r="P677" s="56">
        <v>-3.4669459623557977</v>
      </c>
      <c r="Q677" s="143">
        <v>3.4669459623557977</v>
      </c>
      <c r="R677" s="143">
        <v>1602.748</v>
      </c>
      <c r="S677" s="34">
        <v>-44.251999999999953</v>
      </c>
      <c r="T677" s="56">
        <v>44.251999999999953</v>
      </c>
      <c r="U677" s="56">
        <v>1.6556377784532446</v>
      </c>
      <c r="V677" s="56">
        <v>-2.6868245294474775</v>
      </c>
      <c r="W677" s="33">
        <v>2.6868245294474775</v>
      </c>
    </row>
    <row r="678" spans="1:23" ht="15" x14ac:dyDescent="0.2">
      <c r="A678" s="103" t="s">
        <v>19</v>
      </c>
      <c r="B678" s="28" t="s">
        <v>301</v>
      </c>
      <c r="C678" s="24" t="s">
        <v>980</v>
      </c>
      <c r="D678" s="208" t="s">
        <v>403</v>
      </c>
      <c r="E678" s="35" t="s">
        <v>82</v>
      </c>
      <c r="F678" s="103" t="s">
        <v>968</v>
      </c>
      <c r="G678" s="103">
        <v>1</v>
      </c>
      <c r="H678" s="35" t="s">
        <v>374</v>
      </c>
      <c r="I678" s="35" t="s">
        <v>580</v>
      </c>
      <c r="J678" s="35">
        <v>1300</v>
      </c>
      <c r="K678" s="141">
        <v>1242.8737778941406</v>
      </c>
      <c r="L678" s="34">
        <v>-57.12622210585937</v>
      </c>
      <c r="M678" s="56">
        <v>57.12622210585937</v>
      </c>
      <c r="N678" s="56">
        <v>1.7643720970507231</v>
      </c>
      <c r="O678" s="132">
        <f t="shared" si="12"/>
        <v>-1.7643720970507231</v>
      </c>
      <c r="P678" s="56">
        <v>-4.3943247773737975</v>
      </c>
      <c r="Q678" s="143">
        <v>4.3943247773737975</v>
      </c>
      <c r="R678" s="143">
        <v>1242.969941162647</v>
      </c>
      <c r="S678" s="34">
        <v>-57.030058837352954</v>
      </c>
      <c r="T678" s="56">
        <v>57.030058837352954</v>
      </c>
      <c r="U678" s="56">
        <v>1.7636530109009902</v>
      </c>
      <c r="V678" s="56">
        <v>-4.3869276028733042</v>
      </c>
      <c r="W678" s="33">
        <v>4.3869276028733042</v>
      </c>
    </row>
    <row r="679" spans="1:23" ht="16" x14ac:dyDescent="0.2">
      <c r="A679" s="103" t="s">
        <v>19</v>
      </c>
      <c r="B679" t="s">
        <v>860</v>
      </c>
      <c r="C679" s="224" t="s">
        <v>974</v>
      </c>
      <c r="D679" s="224" t="s">
        <v>824</v>
      </c>
      <c r="E679" s="35" t="s">
        <v>148</v>
      </c>
      <c r="F679" s="103" t="s">
        <v>967</v>
      </c>
      <c r="G679" s="103">
        <v>0</v>
      </c>
      <c r="H679" s="35" t="s">
        <v>494</v>
      </c>
      <c r="I679" s="35" t="s">
        <v>580</v>
      </c>
      <c r="J679" s="35">
        <v>1029</v>
      </c>
      <c r="K679" s="147">
        <v>1086.4458999999999</v>
      </c>
      <c r="L679" s="34">
        <v>57.445899999999938</v>
      </c>
      <c r="M679" s="56">
        <v>57.445899999999938</v>
      </c>
      <c r="N679" s="56">
        <v>1.7667540506590311</v>
      </c>
      <c r="O679" s="132">
        <f t="shared" si="12"/>
        <v>1.7667540506590311</v>
      </c>
      <c r="P679" s="56">
        <v>5.5826919339164176</v>
      </c>
      <c r="Q679" s="143">
        <v>5.5826919339164176</v>
      </c>
      <c r="R679" s="143">
        <v>1015.467</v>
      </c>
      <c r="S679" s="34">
        <v>-13.533000000000015</v>
      </c>
      <c r="T679" s="56">
        <v>13.533000000000015</v>
      </c>
      <c r="U679" s="56">
        <v>1.1623552735520795</v>
      </c>
      <c r="V679" s="56">
        <v>-1.3151603498542288</v>
      </c>
      <c r="W679" s="33">
        <v>1.3151603498542288</v>
      </c>
    </row>
    <row r="680" spans="1:23" ht="15" x14ac:dyDescent="0.2">
      <c r="A680" s="103" t="s">
        <v>19</v>
      </c>
      <c r="B680" s="28" t="s">
        <v>426</v>
      </c>
      <c r="C680" s="224" t="s">
        <v>978</v>
      </c>
      <c r="D680" s="35" t="s">
        <v>458</v>
      </c>
      <c r="E680" s="208" t="s">
        <v>82</v>
      </c>
      <c r="F680" s="103" t="s">
        <v>968</v>
      </c>
      <c r="G680" s="103">
        <v>1</v>
      </c>
      <c r="H680" s="35" t="s">
        <v>374</v>
      </c>
      <c r="I680" s="35" t="s">
        <v>580</v>
      </c>
      <c r="J680" s="35">
        <v>1620</v>
      </c>
      <c r="K680" s="141">
        <v>1677.4782483335548</v>
      </c>
      <c r="L680" s="34">
        <v>57.478248333554802</v>
      </c>
      <c r="M680" s="56">
        <v>57.478248333554802</v>
      </c>
      <c r="N680" s="56">
        <v>1.7669943552209255</v>
      </c>
      <c r="O680" s="132">
        <f t="shared" si="12"/>
        <v>1.7669943552209255</v>
      </c>
      <c r="P680" s="56">
        <v>3.5480400205898026</v>
      </c>
      <c r="Q680" s="143">
        <v>3.5480400205898026</v>
      </c>
      <c r="R680" s="143">
        <v>1649.6638428362296</v>
      </c>
      <c r="S680" s="34">
        <v>29.663842836229605</v>
      </c>
      <c r="T680" s="56">
        <v>29.663842836229605</v>
      </c>
      <c r="U680" s="56">
        <v>1.4866265803288305</v>
      </c>
      <c r="V680" s="56">
        <v>1.8311014096438027</v>
      </c>
      <c r="W680" s="33">
        <v>1.8311014096438027</v>
      </c>
    </row>
    <row r="681" spans="1:23" ht="15" x14ac:dyDescent="0.2">
      <c r="A681" s="103" t="s">
        <v>19</v>
      </c>
      <c r="B681" t="s">
        <v>885</v>
      </c>
      <c r="C681" s="103" t="s">
        <v>975</v>
      </c>
      <c r="D681" s="224" t="s">
        <v>824</v>
      </c>
      <c r="E681" s="35" t="s">
        <v>148</v>
      </c>
      <c r="F681" s="103" t="s">
        <v>967</v>
      </c>
      <c r="G681" s="103">
        <v>0</v>
      </c>
      <c r="H681" s="35" t="s">
        <v>374</v>
      </c>
      <c r="I681" s="35" t="s">
        <v>580</v>
      </c>
      <c r="J681" s="35">
        <v>1714</v>
      </c>
      <c r="K681">
        <v>1656.4561999999999</v>
      </c>
      <c r="L681" s="34">
        <v>-57.543800000000147</v>
      </c>
      <c r="M681" s="56">
        <v>57.543800000000147</v>
      </c>
      <c r="N681" s="56">
        <v>1.7674809084884484</v>
      </c>
      <c r="O681" s="132">
        <f t="shared" si="12"/>
        <v>-1.7674809084884484</v>
      </c>
      <c r="P681" s="56">
        <v>-3.3572812135355976</v>
      </c>
      <c r="Q681" s="143">
        <v>3.3572812135355976</v>
      </c>
      <c r="R681" s="143">
        <v>1662.799</v>
      </c>
      <c r="S681" s="34">
        <v>-51.201000000000022</v>
      </c>
      <c r="T681" s="56">
        <v>51.201000000000022</v>
      </c>
      <c r="U681" s="56">
        <v>1.7176788227402326</v>
      </c>
      <c r="V681" s="56">
        <v>-2.9872228704784143</v>
      </c>
      <c r="W681" s="33">
        <v>2.9872228704784143</v>
      </c>
    </row>
    <row r="682" spans="1:23" ht="15" x14ac:dyDescent="0.2">
      <c r="A682" s="103" t="s">
        <v>19</v>
      </c>
      <c r="B682" t="s">
        <v>885</v>
      </c>
      <c r="C682" s="224" t="s">
        <v>977</v>
      </c>
      <c r="D682" s="224" t="s">
        <v>824</v>
      </c>
      <c r="E682" s="35" t="s">
        <v>148</v>
      </c>
      <c r="F682" s="103" t="s">
        <v>968</v>
      </c>
      <c r="G682" s="103">
        <v>1</v>
      </c>
      <c r="H682" s="35" t="s">
        <v>374</v>
      </c>
      <c r="I682" s="35" t="s">
        <v>580</v>
      </c>
      <c r="J682" s="35">
        <v>1714</v>
      </c>
      <c r="K682">
        <v>1656.1480250565612</v>
      </c>
      <c r="L682" s="34">
        <v>-57.85197494343879</v>
      </c>
      <c r="M682" s="56">
        <v>57.85197494343879</v>
      </c>
      <c r="N682" s="56">
        <v>1.7697610413960378</v>
      </c>
      <c r="O682" s="132">
        <f t="shared" si="12"/>
        <v>-1.7697610413960378</v>
      </c>
      <c r="P682" s="56">
        <v>-3.3752610818809097</v>
      </c>
      <c r="Q682" s="143">
        <v>3.3752610818809097</v>
      </c>
      <c r="R682" s="143">
        <v>1640.1370478225808</v>
      </c>
      <c r="S682" s="34">
        <v>-73.862952177419174</v>
      </c>
      <c r="T682" s="56">
        <v>73.862952177419174</v>
      </c>
      <c r="U682" s="56">
        <v>1.8742669492689548</v>
      </c>
      <c r="V682" s="56">
        <v>-4.3093904420897999</v>
      </c>
      <c r="W682" s="33">
        <v>4.3093904420897999</v>
      </c>
    </row>
    <row r="683" spans="1:23" ht="15" x14ac:dyDescent="0.2">
      <c r="A683" s="103" t="s">
        <v>19</v>
      </c>
      <c r="B683" t="s">
        <v>899</v>
      </c>
      <c r="C683" s="103" t="s">
        <v>970</v>
      </c>
      <c r="D683" s="224" t="s">
        <v>824</v>
      </c>
      <c r="E683" s="35" t="s">
        <v>148</v>
      </c>
      <c r="F683" s="103" t="s">
        <v>967</v>
      </c>
      <c r="G683" s="103">
        <v>0</v>
      </c>
      <c r="H683" s="35" t="s">
        <v>374</v>
      </c>
      <c r="I683" s="35" t="s">
        <v>580</v>
      </c>
      <c r="J683" s="35">
        <v>2060</v>
      </c>
      <c r="K683">
        <v>2118.4459000000002</v>
      </c>
      <c r="L683" s="34">
        <v>58.445900000000165</v>
      </c>
      <c r="M683" s="56">
        <v>58.445900000000165</v>
      </c>
      <c r="N683" s="56">
        <v>1.7741219065782796</v>
      </c>
      <c r="O683" s="132">
        <f t="shared" si="12"/>
        <v>1.7741219065782796</v>
      </c>
      <c r="P683" s="56">
        <v>2.8371796116504933</v>
      </c>
      <c r="Q683" s="143">
        <v>2.8371796116504933</v>
      </c>
      <c r="R683" s="143">
        <v>2158.2140000000004</v>
      </c>
      <c r="S683" s="34">
        <v>98.214000000000397</v>
      </c>
      <c r="T683" s="56">
        <v>98.214000000000397</v>
      </c>
      <c r="U683" s="56">
        <v>1.9965729593895241</v>
      </c>
      <c r="V683" s="56">
        <v>4.7676699029126404</v>
      </c>
      <c r="W683" s="33">
        <v>4.7676699029126404</v>
      </c>
    </row>
    <row r="684" spans="1:23" ht="16" x14ac:dyDescent="0.2">
      <c r="A684" s="103" t="s">
        <v>19</v>
      </c>
      <c r="B684" t="s">
        <v>863</v>
      </c>
      <c r="C684" s="224" t="s">
        <v>978</v>
      </c>
      <c r="D684" s="224" t="s">
        <v>824</v>
      </c>
      <c r="E684" s="35" t="s">
        <v>148</v>
      </c>
      <c r="F684" s="103" t="s">
        <v>968</v>
      </c>
      <c r="G684" s="103">
        <v>1</v>
      </c>
      <c r="H684" s="225" t="s">
        <v>494</v>
      </c>
      <c r="I684" s="35" t="s">
        <v>580</v>
      </c>
      <c r="J684" s="35">
        <v>1110</v>
      </c>
      <c r="K684" s="147">
        <v>1051.538530441346</v>
      </c>
      <c r="L684" s="34">
        <v>-58.461469558654017</v>
      </c>
      <c r="M684" s="56">
        <v>58.461469558654017</v>
      </c>
      <c r="N684" s="56">
        <v>1.7742356383591233</v>
      </c>
      <c r="O684" s="132">
        <f t="shared" si="12"/>
        <v>-1.7742356383591233</v>
      </c>
      <c r="P684" s="56">
        <v>-5.2667990593381999</v>
      </c>
      <c r="Q684" s="143">
        <v>5.2667990593381999</v>
      </c>
      <c r="R684" s="143">
        <v>1033.2982799846441</v>
      </c>
      <c r="S684" s="34">
        <v>-76.701720015355932</v>
      </c>
      <c r="T684" s="56">
        <v>76.701720015355932</v>
      </c>
      <c r="U684" s="56">
        <v>1.8904306325063203</v>
      </c>
      <c r="V684" s="56">
        <v>-6.9100648662482822</v>
      </c>
      <c r="W684" s="33">
        <v>6.9100648662482822</v>
      </c>
    </row>
    <row r="685" spans="1:23" ht="16" x14ac:dyDescent="0.2">
      <c r="A685" s="103" t="s">
        <v>19</v>
      </c>
      <c r="B685" t="s">
        <v>845</v>
      </c>
      <c r="C685" s="224" t="s">
        <v>974</v>
      </c>
      <c r="D685" s="224" t="s">
        <v>824</v>
      </c>
      <c r="E685" s="35" t="s">
        <v>148</v>
      </c>
      <c r="F685" s="103" t="s">
        <v>967</v>
      </c>
      <c r="G685" s="103">
        <v>0</v>
      </c>
      <c r="H685" s="225" t="s">
        <v>494</v>
      </c>
      <c r="I685" s="35" t="s">
        <v>580</v>
      </c>
      <c r="J685" s="35">
        <v>1059</v>
      </c>
      <c r="K685" s="147">
        <v>1117.9932999999999</v>
      </c>
      <c r="L685" s="34">
        <v>58.993299999999863</v>
      </c>
      <c r="M685" s="56">
        <v>58.993299999999863</v>
      </c>
      <c r="N685" s="56">
        <v>1.7781027514585896</v>
      </c>
      <c r="O685" s="132">
        <f t="shared" si="12"/>
        <v>1.7781027514585896</v>
      </c>
      <c r="P685" s="56">
        <v>5.5706610009442743</v>
      </c>
      <c r="Q685" s="143">
        <v>5.5706610009442743</v>
      </c>
      <c r="R685" s="143">
        <v>1039.3905</v>
      </c>
      <c r="S685" s="34">
        <v>-19.609500000000025</v>
      </c>
      <c r="T685" s="56">
        <v>19.609500000000025</v>
      </c>
      <c r="U685" s="56">
        <v>1.3140674556377774</v>
      </c>
      <c r="V685" s="56">
        <v>-1.8516997167138833</v>
      </c>
      <c r="W685" s="33">
        <v>1.8516997167138833</v>
      </c>
    </row>
    <row r="686" spans="1:23" ht="16" x14ac:dyDescent="0.2">
      <c r="A686" s="103" t="s">
        <v>19</v>
      </c>
      <c r="B686" t="s">
        <v>855</v>
      </c>
      <c r="C686" s="224" t="s">
        <v>974</v>
      </c>
      <c r="D686" s="224" t="s">
        <v>824</v>
      </c>
      <c r="E686" s="35" t="s">
        <v>148</v>
      </c>
      <c r="F686" s="103" t="s">
        <v>967</v>
      </c>
      <c r="G686" s="103">
        <v>0</v>
      </c>
      <c r="H686" s="225" t="s">
        <v>494</v>
      </c>
      <c r="I686" s="35" t="s">
        <v>580</v>
      </c>
      <c r="J686" s="35">
        <v>980</v>
      </c>
      <c r="K686" s="147">
        <v>1039.1248000000001</v>
      </c>
      <c r="L686" s="34">
        <v>59.12480000000005</v>
      </c>
      <c r="M686" s="56">
        <v>59.12480000000005</v>
      </c>
      <c r="N686" s="56">
        <v>1.7790536447408765</v>
      </c>
      <c r="O686" s="132">
        <f t="shared" si="12"/>
        <v>1.7790536447408765</v>
      </c>
      <c r="P686" s="56">
        <v>6.0331428571428622</v>
      </c>
      <c r="Q686" s="143">
        <v>6.0331428571428622</v>
      </c>
      <c r="R686" s="143">
        <v>981.97410000000002</v>
      </c>
      <c r="S686" s="34">
        <v>1.9741000000000213</v>
      </c>
      <c r="T686" s="56">
        <v>1.9741000000000213</v>
      </c>
      <c r="U686" s="56">
        <v>0.47335556698286341</v>
      </c>
      <c r="V686" s="56">
        <v>0.20143877551020625</v>
      </c>
      <c r="W686" s="33">
        <v>0.20143877551020625</v>
      </c>
    </row>
    <row r="687" spans="1:23" ht="15" x14ac:dyDescent="0.2">
      <c r="A687" s="103" t="s">
        <v>19</v>
      </c>
      <c r="B687" t="s">
        <v>887</v>
      </c>
      <c r="C687" s="224" t="s">
        <v>978</v>
      </c>
      <c r="D687" s="224" t="s">
        <v>824</v>
      </c>
      <c r="E687" s="35" t="s">
        <v>148</v>
      </c>
      <c r="F687" s="103" t="s">
        <v>968</v>
      </c>
      <c r="G687" s="103">
        <v>1</v>
      </c>
      <c r="H687" s="225" t="s">
        <v>494</v>
      </c>
      <c r="I687" s="35" t="s">
        <v>580</v>
      </c>
      <c r="J687" s="35">
        <v>1056</v>
      </c>
      <c r="K687">
        <v>996.85986700632316</v>
      </c>
      <c r="L687" s="34">
        <v>-59.140132993676843</v>
      </c>
      <c r="M687" s="56">
        <v>59.140132993676843</v>
      </c>
      <c r="N687" s="56">
        <v>1.779164384162838</v>
      </c>
      <c r="O687" s="132">
        <f t="shared" si="12"/>
        <v>-1.779164384162838</v>
      </c>
      <c r="P687" s="56">
        <v>-5.6003913819769737</v>
      </c>
      <c r="Q687" s="143">
        <v>5.6003913819769737</v>
      </c>
      <c r="R687" s="143">
        <v>995.65441748754699</v>
      </c>
      <c r="S687" s="34">
        <v>-60.345582512453007</v>
      </c>
      <c r="T687" s="56">
        <v>60.345582512453007</v>
      </c>
      <c r="U687" s="56">
        <v>1.7877832946988992</v>
      </c>
      <c r="V687" s="56">
        <v>-5.7145437985277461</v>
      </c>
      <c r="W687" s="33">
        <v>5.7145437985277461</v>
      </c>
    </row>
    <row r="688" spans="1:23" ht="15" x14ac:dyDescent="0.2">
      <c r="A688" s="103" t="s">
        <v>19</v>
      </c>
      <c r="B688" s="28" t="s">
        <v>423</v>
      </c>
      <c r="C688" s="103" t="s">
        <v>971</v>
      </c>
      <c r="D688" s="35" t="s">
        <v>458</v>
      </c>
      <c r="E688" s="208" t="s">
        <v>82</v>
      </c>
      <c r="F688" s="103" t="s">
        <v>968</v>
      </c>
      <c r="G688" s="103">
        <v>1</v>
      </c>
      <c r="H688" s="35" t="s">
        <v>494</v>
      </c>
      <c r="I688" s="35" t="s">
        <v>580</v>
      </c>
      <c r="J688" s="35">
        <v>1150</v>
      </c>
      <c r="K688" s="141">
        <v>1090.6533789266634</v>
      </c>
      <c r="L688" s="34">
        <v>-59.346621073336564</v>
      </c>
      <c r="M688" s="56">
        <v>59.346621073336564</v>
      </c>
      <c r="N688" s="56">
        <v>1.7806529581071606</v>
      </c>
      <c r="O688" s="132">
        <f t="shared" si="12"/>
        <v>-1.7806529581071606</v>
      </c>
      <c r="P688" s="56">
        <v>-5.1605757455075274</v>
      </c>
      <c r="Q688" s="143">
        <v>5.1605757455075274</v>
      </c>
      <c r="R688" s="143">
        <v>1231.5498377756001</v>
      </c>
      <c r="S688" s="34">
        <v>81.549837775600054</v>
      </c>
      <c r="T688" s="56">
        <v>81.549837775600054</v>
      </c>
      <c r="U688" s="56">
        <v>1.9167162241375046</v>
      </c>
      <c r="V688" s="56">
        <v>7.0912902413565266</v>
      </c>
      <c r="W688" s="33">
        <v>7.0912902413565266</v>
      </c>
    </row>
    <row r="689" spans="1:23" ht="15" x14ac:dyDescent="0.2">
      <c r="A689" s="103" t="s">
        <v>19</v>
      </c>
      <c r="B689" t="s">
        <v>891</v>
      </c>
      <c r="C689" s="103" t="s">
        <v>971</v>
      </c>
      <c r="D689" s="224" t="s">
        <v>824</v>
      </c>
      <c r="E689" s="35" t="s">
        <v>148</v>
      </c>
      <c r="F689" s="103" t="s">
        <v>968</v>
      </c>
      <c r="G689" s="103">
        <v>1</v>
      </c>
      <c r="H689" s="35" t="s">
        <v>374</v>
      </c>
      <c r="I689" s="35" t="s">
        <v>580</v>
      </c>
      <c r="J689" s="35">
        <v>1704</v>
      </c>
      <c r="K689">
        <v>1644.6261549107726</v>
      </c>
      <c r="L689" s="34">
        <v>-59.373845089227416</v>
      </c>
      <c r="M689" s="56">
        <v>59.373845089227416</v>
      </c>
      <c r="N689" s="56">
        <v>1.7808488360796852</v>
      </c>
      <c r="O689" s="132">
        <f t="shared" si="12"/>
        <v>-1.7808488360796852</v>
      </c>
      <c r="P689" s="56">
        <v>-3.4843805803537218</v>
      </c>
      <c r="Q689" s="143">
        <v>3.4843805803537218</v>
      </c>
      <c r="R689" s="143">
        <v>1865.5879935538881</v>
      </c>
      <c r="S689" s="34">
        <v>161.58799355388805</v>
      </c>
      <c r="T689" s="56">
        <v>161.58799355388805</v>
      </c>
      <c r="U689" s="56">
        <v>2.2110884716035764</v>
      </c>
      <c r="V689" s="56">
        <v>9.482863471472303</v>
      </c>
      <c r="W689" s="33">
        <v>9.482863471472303</v>
      </c>
    </row>
    <row r="690" spans="1:23" ht="15" x14ac:dyDescent="0.2">
      <c r="A690" s="103" t="s">
        <v>19</v>
      </c>
      <c r="B690" t="s">
        <v>836</v>
      </c>
      <c r="C690" s="103" t="s">
        <v>979</v>
      </c>
      <c r="D690" s="224" t="s">
        <v>824</v>
      </c>
      <c r="E690" s="35" t="s">
        <v>148</v>
      </c>
      <c r="F690" s="103" t="s">
        <v>967</v>
      </c>
      <c r="G690" s="103">
        <v>0</v>
      </c>
      <c r="H690" s="35" t="s">
        <v>374</v>
      </c>
      <c r="I690" s="35" t="s">
        <v>580</v>
      </c>
      <c r="J690" s="35">
        <v>2190</v>
      </c>
      <c r="K690">
        <v>2130.4347826086955</v>
      </c>
      <c r="L690" s="34">
        <v>-59.565217391304486</v>
      </c>
      <c r="M690" s="56">
        <v>59.565217391304486</v>
      </c>
      <c r="N690" s="56">
        <v>1.7822232804063716</v>
      </c>
      <c r="O690" s="132">
        <f t="shared" si="12"/>
        <v>-1.7822232804063716</v>
      </c>
      <c r="P690" s="56">
        <v>-2.7198729402422139</v>
      </c>
      <c r="Q690" s="143">
        <v>2.7198729402422139</v>
      </c>
      <c r="R690" s="143">
        <v>2166.666666666667</v>
      </c>
      <c r="S690" s="34">
        <v>-23.33333333333303</v>
      </c>
      <c r="T690" s="56">
        <v>23.33333333333303</v>
      </c>
      <c r="U690" s="56">
        <v>1.386201605400788</v>
      </c>
      <c r="V690" s="56">
        <v>-1.0654490106544763</v>
      </c>
      <c r="W690" s="33">
        <v>1.0654490106544763</v>
      </c>
    </row>
    <row r="691" spans="1:23" ht="16" x14ac:dyDescent="0.2">
      <c r="A691" s="103" t="s">
        <v>19</v>
      </c>
      <c r="B691" t="s">
        <v>857</v>
      </c>
      <c r="C691" s="224" t="s">
        <v>978</v>
      </c>
      <c r="D691" s="224" t="s">
        <v>824</v>
      </c>
      <c r="E691" s="35" t="s">
        <v>148</v>
      </c>
      <c r="F691" s="103" t="s">
        <v>968</v>
      </c>
      <c r="G691" s="103">
        <v>1</v>
      </c>
      <c r="H691" s="225" t="s">
        <v>494</v>
      </c>
      <c r="I691" s="35" t="s">
        <v>580</v>
      </c>
      <c r="J691" s="35">
        <v>1022</v>
      </c>
      <c r="K691" s="147">
        <v>962.33277952529465</v>
      </c>
      <c r="L691" s="34">
        <v>-59.667220474705346</v>
      </c>
      <c r="M691" s="56">
        <v>59.667220474705346</v>
      </c>
      <c r="N691" s="56">
        <v>1.7829540977930625</v>
      </c>
      <c r="O691" s="132">
        <f t="shared" si="12"/>
        <v>-1.7829540977930625</v>
      </c>
      <c r="P691" s="56">
        <v>-5.8382798898928909</v>
      </c>
      <c r="Q691" s="143">
        <v>5.8382798898928909</v>
      </c>
      <c r="R691" s="143">
        <v>948.94634119723719</v>
      </c>
      <c r="S691" s="34">
        <v>-73.053658802762811</v>
      </c>
      <c r="T691" s="56">
        <v>73.053658802762811</v>
      </c>
      <c r="U691" s="56">
        <v>1.869546520772088</v>
      </c>
      <c r="V691" s="56">
        <v>-7.1481075149474371</v>
      </c>
      <c r="W691" s="33">
        <v>7.1481075149474371</v>
      </c>
    </row>
    <row r="692" spans="1:23" ht="16" x14ac:dyDescent="0.2">
      <c r="A692" s="103" t="s">
        <v>19</v>
      </c>
      <c r="B692" t="s">
        <v>877</v>
      </c>
      <c r="C692" s="24" t="s">
        <v>980</v>
      </c>
      <c r="D692" s="224" t="s">
        <v>824</v>
      </c>
      <c r="E692" s="35" t="s">
        <v>148</v>
      </c>
      <c r="F692" s="103" t="s">
        <v>968</v>
      </c>
      <c r="G692" s="103">
        <v>1</v>
      </c>
      <c r="H692" s="35" t="s">
        <v>374</v>
      </c>
      <c r="I692" s="35" t="s">
        <v>580</v>
      </c>
      <c r="J692" s="35">
        <v>1647</v>
      </c>
      <c r="K692" s="147">
        <v>1587.2518380166405</v>
      </c>
      <c r="L692" s="34">
        <v>-59.748161983359523</v>
      </c>
      <c r="M692" s="56">
        <v>59.748161983359523</v>
      </c>
      <c r="N692" s="56">
        <v>1.7835331423105079</v>
      </c>
      <c r="O692" s="132">
        <f t="shared" si="12"/>
        <v>-1.7835331423105079</v>
      </c>
      <c r="P692" s="56">
        <v>-3.6276965381517621</v>
      </c>
      <c r="Q692" s="143">
        <v>3.6276965381517621</v>
      </c>
      <c r="R692" s="143">
        <v>1579.6672074490571</v>
      </c>
      <c r="S692" s="34">
        <v>-67.332792550942941</v>
      </c>
      <c r="T692" s="56">
        <v>67.332792550942941</v>
      </c>
      <c r="U692" s="56">
        <v>1.8346291693643253</v>
      </c>
      <c r="V692" s="56">
        <v>-4.0882084123219755</v>
      </c>
      <c r="W692" s="33">
        <v>4.0882084123219755</v>
      </c>
    </row>
    <row r="693" spans="1:23" ht="15" x14ac:dyDescent="0.2">
      <c r="A693" s="103" t="s">
        <v>19</v>
      </c>
      <c r="B693" s="28" t="s">
        <v>425</v>
      </c>
      <c r="C693" s="103" t="s">
        <v>975</v>
      </c>
      <c r="D693" s="35" t="s">
        <v>458</v>
      </c>
      <c r="E693" s="208" t="s">
        <v>82</v>
      </c>
      <c r="F693" s="103" t="s">
        <v>967</v>
      </c>
      <c r="G693" s="103">
        <v>0</v>
      </c>
      <c r="H693" s="35" t="s">
        <v>293</v>
      </c>
      <c r="I693" s="35" t="s">
        <v>580</v>
      </c>
      <c r="J693" s="35">
        <v>2690</v>
      </c>
      <c r="K693" s="141">
        <v>2629.8493999999996</v>
      </c>
      <c r="L693" s="34">
        <v>-60.150600000000395</v>
      </c>
      <c r="M693" s="56">
        <v>60.150600000000395</v>
      </c>
      <c r="N693" s="56">
        <v>1.7864007226218699</v>
      </c>
      <c r="O693" s="132">
        <f t="shared" si="12"/>
        <v>-1.7864007226218699</v>
      </c>
      <c r="P693" s="56">
        <v>-2.2360817843866316</v>
      </c>
      <c r="Q693" s="143">
        <v>2.2360817843866316</v>
      </c>
      <c r="R693" s="143">
        <v>2603.598</v>
      </c>
      <c r="S693" s="34">
        <v>-86.402000000000044</v>
      </c>
      <c r="T693" s="56">
        <v>86.402000000000044</v>
      </c>
      <c r="U693" s="56">
        <v>1.9415213706095276</v>
      </c>
      <c r="V693" s="56">
        <v>-3.2119702602230498</v>
      </c>
      <c r="W693" s="33">
        <v>3.2119702602230498</v>
      </c>
    </row>
    <row r="694" spans="1:23" ht="16" x14ac:dyDescent="0.2">
      <c r="A694" s="103" t="s">
        <v>19</v>
      </c>
      <c r="B694" t="s">
        <v>839</v>
      </c>
      <c r="C694" s="224" t="s">
        <v>977</v>
      </c>
      <c r="D694" s="224" t="s">
        <v>824</v>
      </c>
      <c r="E694" s="35" t="s">
        <v>148</v>
      </c>
      <c r="F694" s="103" t="s">
        <v>968</v>
      </c>
      <c r="G694" s="103">
        <v>1</v>
      </c>
      <c r="H694" s="35" t="s">
        <v>374</v>
      </c>
      <c r="I694" s="35" t="s">
        <v>580</v>
      </c>
      <c r="J694" s="35">
        <v>1380</v>
      </c>
      <c r="K694" s="147">
        <v>1319.6940049127575</v>
      </c>
      <c r="L694" s="34">
        <v>-60.305995087242536</v>
      </c>
      <c r="M694" s="56">
        <v>60.305995087242536</v>
      </c>
      <c r="N694" s="56">
        <v>1.7875029460681657</v>
      </c>
      <c r="O694" s="132">
        <f t="shared" si="12"/>
        <v>-1.7875029460681657</v>
      </c>
      <c r="P694" s="56">
        <v>-4.3699996440030819</v>
      </c>
      <c r="Q694" s="143">
        <v>4.3699996440030819</v>
      </c>
      <c r="R694" s="143">
        <v>1325.2314352780211</v>
      </c>
      <c r="S694" s="34">
        <v>-54.768564721978919</v>
      </c>
      <c r="T694" s="56">
        <v>54.768564721978919</v>
      </c>
      <c r="U694" s="56">
        <v>1.7463894674905633</v>
      </c>
      <c r="V694" s="56">
        <v>-3.9687365740564435</v>
      </c>
      <c r="W694" s="33">
        <v>3.9687365740564435</v>
      </c>
    </row>
    <row r="695" spans="1:23" ht="15" x14ac:dyDescent="0.2">
      <c r="A695" s="103" t="s">
        <v>19</v>
      </c>
      <c r="B695" s="28" t="s">
        <v>421</v>
      </c>
      <c r="C695" s="103" t="s">
        <v>970</v>
      </c>
      <c r="D695" s="35" t="s">
        <v>458</v>
      </c>
      <c r="E695" s="35" t="s">
        <v>82</v>
      </c>
      <c r="F695" s="103" t="s">
        <v>967</v>
      </c>
      <c r="G695" s="103">
        <v>0</v>
      </c>
      <c r="H695" s="35" t="s">
        <v>494</v>
      </c>
      <c r="I695" s="35" t="s">
        <v>580</v>
      </c>
      <c r="J695" s="35">
        <v>825</v>
      </c>
      <c r="K695" s="141">
        <v>764.39070000000004</v>
      </c>
      <c r="L695" s="34">
        <v>-60.609299999999962</v>
      </c>
      <c r="M695" s="56">
        <v>60.609299999999962</v>
      </c>
      <c r="N695" s="56">
        <v>1.7896462744018435</v>
      </c>
      <c r="O695" s="132">
        <f t="shared" si="12"/>
        <v>-1.7896462744018435</v>
      </c>
      <c r="P695" s="56">
        <v>-7.3465818181818143</v>
      </c>
      <c r="Q695" s="143">
        <v>7.3465818181818143</v>
      </c>
      <c r="R695" s="143">
        <v>755.37500000000011</v>
      </c>
      <c r="S695" s="34">
        <v>-69.624999999999886</v>
      </c>
      <c r="T695" s="56">
        <v>69.624999999999886</v>
      </c>
      <c r="U695" s="56">
        <v>1.8489584608274943</v>
      </c>
      <c r="V695" s="56">
        <v>-8.439393939393927</v>
      </c>
      <c r="W695" s="33">
        <v>8.439393939393927</v>
      </c>
    </row>
    <row r="696" spans="1:23" ht="16" x14ac:dyDescent="0.2">
      <c r="A696" s="103" t="s">
        <v>19</v>
      </c>
      <c r="B696" t="s">
        <v>849</v>
      </c>
      <c r="C696" s="103" t="s">
        <v>979</v>
      </c>
      <c r="D696" s="224" t="s">
        <v>824</v>
      </c>
      <c r="E696" s="35" t="s">
        <v>148</v>
      </c>
      <c r="F696" s="103" t="s">
        <v>967</v>
      </c>
      <c r="G696" s="103">
        <v>0</v>
      </c>
      <c r="H696" s="35" t="s">
        <v>374</v>
      </c>
      <c r="I696" s="35" t="s">
        <v>580</v>
      </c>
      <c r="J696" s="35">
        <v>1413</v>
      </c>
      <c r="K696" s="147">
        <v>1352.1739130434783</v>
      </c>
      <c r="L696" s="34">
        <v>-60.826086956521749</v>
      </c>
      <c r="M696" s="56">
        <v>60.826086956521749</v>
      </c>
      <c r="N696" s="56">
        <v>1.7911717603761548</v>
      </c>
      <c r="O696" s="132">
        <f t="shared" si="12"/>
        <v>-1.7911717603761548</v>
      </c>
      <c r="P696" s="56">
        <v>-4.3047478383950279</v>
      </c>
      <c r="Q696" s="143">
        <v>4.3047478383950279</v>
      </c>
      <c r="R696" s="143">
        <v>1362.5</v>
      </c>
      <c r="S696" s="34">
        <v>-50.5</v>
      </c>
      <c r="T696" s="56">
        <v>50.5</v>
      </c>
      <c r="U696" s="56">
        <v>1.711807229041191</v>
      </c>
      <c r="V696" s="56">
        <v>-3.5739561217268223</v>
      </c>
      <c r="W696" s="33">
        <v>3.5739561217268223</v>
      </c>
    </row>
    <row r="697" spans="1:23" ht="15" x14ac:dyDescent="0.2">
      <c r="A697" s="103" t="s">
        <v>19</v>
      </c>
      <c r="B697" s="28" t="s">
        <v>301</v>
      </c>
      <c r="C697" s="103" t="s">
        <v>979</v>
      </c>
      <c r="D697" s="208" t="s">
        <v>403</v>
      </c>
      <c r="E697" s="35" t="s">
        <v>82</v>
      </c>
      <c r="F697" s="103" t="s">
        <v>967</v>
      </c>
      <c r="G697" s="103">
        <v>0</v>
      </c>
      <c r="H697" s="35" t="s">
        <v>374</v>
      </c>
      <c r="I697" s="35" t="s">
        <v>580</v>
      </c>
      <c r="J697" s="35">
        <v>1300</v>
      </c>
      <c r="K697" s="141">
        <v>1239.1304347826087</v>
      </c>
      <c r="L697" s="34">
        <v>-60.869565217391255</v>
      </c>
      <c r="M697" s="56">
        <v>60.869565217391255</v>
      </c>
      <c r="N697" s="56">
        <v>1.791477064066691</v>
      </c>
      <c r="O697" s="132">
        <f t="shared" si="12"/>
        <v>-1.791477064066691</v>
      </c>
      <c r="P697" s="56">
        <v>-4.6822742474916348</v>
      </c>
      <c r="Q697" s="143">
        <v>4.6822742474916348</v>
      </c>
      <c r="R697" s="143">
        <v>1250</v>
      </c>
      <c r="S697" s="34">
        <v>-50</v>
      </c>
      <c r="T697" s="56">
        <v>50</v>
      </c>
      <c r="U697" s="56">
        <v>1.7075701760979363</v>
      </c>
      <c r="V697" s="56">
        <v>-3.8461538461538463</v>
      </c>
      <c r="W697" s="33">
        <v>3.8461538461538463</v>
      </c>
    </row>
    <row r="698" spans="1:23" ht="15" x14ac:dyDescent="0.2">
      <c r="A698" s="103" t="s">
        <v>19</v>
      </c>
      <c r="B698" s="28" t="s">
        <v>327</v>
      </c>
      <c r="C698" s="103" t="s">
        <v>975</v>
      </c>
      <c r="D698" s="208" t="s">
        <v>403</v>
      </c>
      <c r="E698" s="35" t="s">
        <v>82</v>
      </c>
      <c r="F698" s="103" t="s">
        <v>967</v>
      </c>
      <c r="G698" s="103">
        <v>0</v>
      </c>
      <c r="H698" s="35" t="s">
        <v>374</v>
      </c>
      <c r="I698" s="35" t="s">
        <v>580</v>
      </c>
      <c r="J698" s="35">
        <v>1217.5999999999999</v>
      </c>
      <c r="K698" s="141">
        <v>1278.7463599999999</v>
      </c>
      <c r="L698" s="34">
        <v>61.146359999999959</v>
      </c>
      <c r="M698" s="56">
        <v>61.146359999999959</v>
      </c>
      <c r="N698" s="56">
        <v>1.7934156964819432</v>
      </c>
      <c r="O698" s="132">
        <f t="shared" si="12"/>
        <v>1.7934156964819432</v>
      </c>
      <c r="P698" s="56">
        <v>5.0218758212877761</v>
      </c>
      <c r="Q698" s="143">
        <v>5.0218758212877761</v>
      </c>
      <c r="R698" s="143">
        <v>1297.2885799999999</v>
      </c>
      <c r="S698" s="34">
        <v>79.688580000000002</v>
      </c>
      <c r="T698" s="56">
        <v>79.688580000000002</v>
      </c>
      <c r="U698" s="56">
        <v>1.9068120725914586</v>
      </c>
      <c r="V698" s="56">
        <v>6.5447256898817354</v>
      </c>
      <c r="W698" s="33">
        <v>6.5447256898817354</v>
      </c>
    </row>
    <row r="699" spans="1:23" ht="15" x14ac:dyDescent="0.2">
      <c r="A699" s="103" t="s">
        <v>19</v>
      </c>
      <c r="B699" s="218" t="s">
        <v>344</v>
      </c>
      <c r="C699" s="103" t="s">
        <v>971</v>
      </c>
      <c r="D699" s="208" t="s">
        <v>403</v>
      </c>
      <c r="E699" s="35" t="s">
        <v>82</v>
      </c>
      <c r="F699" s="103" t="s">
        <v>968</v>
      </c>
      <c r="G699" s="103">
        <v>1</v>
      </c>
      <c r="H699" s="35" t="s">
        <v>374</v>
      </c>
      <c r="I699" s="35" t="s">
        <v>580</v>
      </c>
      <c r="J699" s="35">
        <v>1427.7</v>
      </c>
      <c r="K699" s="141">
        <v>1366.5200262843925</v>
      </c>
      <c r="L699" s="34">
        <v>-61.179973715607503</v>
      </c>
      <c r="M699" s="56">
        <v>61.179973715607503</v>
      </c>
      <c r="N699" s="56">
        <v>1.7936505341245252</v>
      </c>
      <c r="O699" s="132">
        <f t="shared" si="12"/>
        <v>-1.7936505341245252</v>
      </c>
      <c r="P699" s="56">
        <v>-4.2852121394976184</v>
      </c>
      <c r="Q699" s="143">
        <v>4.2852121394976184</v>
      </c>
      <c r="R699" s="143">
        <v>1568.2514945465718</v>
      </c>
      <c r="S699" s="34">
        <v>140.5514945465718</v>
      </c>
      <c r="T699" s="56">
        <v>140.5514945465718</v>
      </c>
      <c r="U699" s="56">
        <v>2.1509144591472715</v>
      </c>
      <c r="V699" s="56">
        <v>9.8446098302564824</v>
      </c>
      <c r="W699" s="33">
        <v>9.8446098302564824</v>
      </c>
    </row>
    <row r="700" spans="1:23" ht="15" x14ac:dyDescent="0.2">
      <c r="A700" s="103" t="s">
        <v>19</v>
      </c>
      <c r="B700" s="28" t="s">
        <v>426</v>
      </c>
      <c r="C700" s="103" t="s">
        <v>975</v>
      </c>
      <c r="D700" s="35" t="s">
        <v>458</v>
      </c>
      <c r="E700" s="208" t="s">
        <v>82</v>
      </c>
      <c r="F700" s="103" t="s">
        <v>967</v>
      </c>
      <c r="G700" s="103">
        <v>0</v>
      </c>
      <c r="H700" s="35" t="s">
        <v>374</v>
      </c>
      <c r="I700" s="35" t="s">
        <v>580</v>
      </c>
      <c r="J700" s="35">
        <v>1620</v>
      </c>
      <c r="K700" s="141">
        <v>1681.415</v>
      </c>
      <c r="L700" s="34">
        <v>61.414999999999964</v>
      </c>
      <c r="M700" s="56">
        <v>61.414999999999964</v>
      </c>
      <c r="N700" s="56">
        <v>1.7952889748486283</v>
      </c>
      <c r="O700" s="132">
        <f t="shared" si="12"/>
        <v>1.7952889748486283</v>
      </c>
      <c r="P700" s="56">
        <v>3.791049382716047</v>
      </c>
      <c r="Q700" s="143">
        <v>3.791049382716047</v>
      </c>
      <c r="R700" s="143">
        <v>1682.816</v>
      </c>
      <c r="S700" s="34">
        <v>62.816000000000031</v>
      </c>
      <c r="T700" s="56">
        <v>62.816000000000031</v>
      </c>
      <c r="U700" s="56">
        <v>1.8049295790431732</v>
      </c>
      <c r="V700" s="56">
        <v>3.8775308641975328</v>
      </c>
      <c r="W700" s="33">
        <v>3.8775308641975328</v>
      </c>
    </row>
    <row r="701" spans="1:23" ht="16" x14ac:dyDescent="0.2">
      <c r="A701" s="103" t="s">
        <v>19</v>
      </c>
      <c r="B701" t="s">
        <v>864</v>
      </c>
      <c r="C701" s="24" t="s">
        <v>980</v>
      </c>
      <c r="D701" s="224" t="s">
        <v>824</v>
      </c>
      <c r="E701" s="35" t="s">
        <v>148</v>
      </c>
      <c r="F701" s="103" t="s">
        <v>968</v>
      </c>
      <c r="G701" s="103">
        <v>1</v>
      </c>
      <c r="H701" s="35" t="s">
        <v>374</v>
      </c>
      <c r="I701" s="35" t="s">
        <v>580</v>
      </c>
      <c r="J701" s="35">
        <v>1460</v>
      </c>
      <c r="K701" s="147">
        <v>1398.5618772336802</v>
      </c>
      <c r="L701" s="34">
        <v>-61.438122766319793</v>
      </c>
      <c r="M701" s="56">
        <v>61.438122766319793</v>
      </c>
      <c r="N701" s="56">
        <v>1.7954498373038292</v>
      </c>
      <c r="O701" s="132">
        <f t="shared" si="12"/>
        <v>-1.7954498373038292</v>
      </c>
      <c r="P701" s="56">
        <v>-4.2080906004328629</v>
      </c>
      <c r="Q701" s="143">
        <v>4.2080906004328629</v>
      </c>
      <c r="R701" s="143">
        <v>1390.8312142369939</v>
      </c>
      <c r="S701" s="34">
        <v>-69.168785763006099</v>
      </c>
      <c r="T701" s="56">
        <v>69.168785763006099</v>
      </c>
      <c r="U701" s="56">
        <v>1.8461439613372979</v>
      </c>
      <c r="V701" s="56">
        <v>-4.7375880659593221</v>
      </c>
      <c r="W701" s="33">
        <v>4.7375880659593221</v>
      </c>
    </row>
    <row r="702" spans="1:23" ht="15" x14ac:dyDescent="0.2">
      <c r="A702" s="103" t="s">
        <v>19</v>
      </c>
      <c r="B702" s="28" t="s">
        <v>459</v>
      </c>
      <c r="C702" s="224" t="s">
        <v>974</v>
      </c>
      <c r="D702" s="35" t="s">
        <v>458</v>
      </c>
      <c r="E702" s="208" t="s">
        <v>82</v>
      </c>
      <c r="F702" s="103" t="s">
        <v>967</v>
      </c>
      <c r="G702" s="103">
        <v>0</v>
      </c>
      <c r="H702" s="35" t="s">
        <v>374</v>
      </c>
      <c r="I702" s="35" t="s">
        <v>580</v>
      </c>
      <c r="J702" s="35">
        <v>1640</v>
      </c>
      <c r="K702" s="141">
        <v>1701.6202000000001</v>
      </c>
      <c r="L702" s="34">
        <v>61.620200000000068</v>
      </c>
      <c r="M702" s="56">
        <v>61.620200000000068</v>
      </c>
      <c r="N702" s="56">
        <v>1.7967144503578321</v>
      </c>
      <c r="O702" s="132">
        <f t="shared" si="12"/>
        <v>1.7967144503578321</v>
      </c>
      <c r="P702" s="56">
        <v>3.7573292682926871</v>
      </c>
      <c r="Q702" s="143">
        <v>3.7573292682926871</v>
      </c>
      <c r="R702" s="143">
        <v>1613.5545</v>
      </c>
      <c r="S702" s="34">
        <v>-26.445500000000038</v>
      </c>
      <c r="T702" s="56">
        <v>26.445500000000038</v>
      </c>
      <c r="U702" s="56">
        <v>1.4384711471330454</v>
      </c>
      <c r="V702" s="56">
        <v>-1.6125304878048803</v>
      </c>
      <c r="W702" s="33">
        <v>1.6125304878048803</v>
      </c>
    </row>
    <row r="703" spans="1:23" ht="16" x14ac:dyDescent="0.2">
      <c r="A703" s="103" t="s">
        <v>19</v>
      </c>
      <c r="B703" t="s">
        <v>839</v>
      </c>
      <c r="C703" s="24" t="s">
        <v>980</v>
      </c>
      <c r="D703" s="224" t="s">
        <v>824</v>
      </c>
      <c r="E703" s="35" t="s">
        <v>148</v>
      </c>
      <c r="F703" s="103" t="s">
        <v>968</v>
      </c>
      <c r="G703" s="103">
        <v>1</v>
      </c>
      <c r="H703" s="35" t="s">
        <v>374</v>
      </c>
      <c r="I703" s="35" t="s">
        <v>580</v>
      </c>
      <c r="J703" s="35">
        <v>1380</v>
      </c>
      <c r="K703" s="147">
        <v>1317.9196840977086</v>
      </c>
      <c r="L703" s="34">
        <v>-62.080315902291431</v>
      </c>
      <c r="M703" s="56">
        <v>62.080315902291431</v>
      </c>
      <c r="N703" s="56">
        <v>1.7998938595820151</v>
      </c>
      <c r="O703" s="132">
        <f t="shared" si="12"/>
        <v>-1.7998938595820151</v>
      </c>
      <c r="P703" s="56">
        <v>-4.4985736161080752</v>
      </c>
      <c r="Q703" s="143">
        <v>4.4985736161080752</v>
      </c>
      <c r="R703" s="143">
        <v>1323.7981467492684</v>
      </c>
      <c r="S703" s="34">
        <v>-56.201853250731574</v>
      </c>
      <c r="T703" s="56">
        <v>56.201853250731574</v>
      </c>
      <c r="U703" s="56">
        <v>1.7574100994840751</v>
      </c>
      <c r="V703" s="56">
        <v>-4.0725980616472155</v>
      </c>
      <c r="W703" s="33">
        <v>4.0725980616472155</v>
      </c>
    </row>
    <row r="704" spans="1:23" ht="16" x14ac:dyDescent="0.2">
      <c r="A704" s="103" t="s">
        <v>19</v>
      </c>
      <c r="B704" t="s">
        <v>846</v>
      </c>
      <c r="C704" s="224" t="s">
        <v>978</v>
      </c>
      <c r="D704" s="224" t="s">
        <v>824</v>
      </c>
      <c r="E704" s="35" t="s">
        <v>148</v>
      </c>
      <c r="F704" s="103" t="s">
        <v>968</v>
      </c>
      <c r="G704" s="103">
        <v>1</v>
      </c>
      <c r="H704" s="35" t="s">
        <v>374</v>
      </c>
      <c r="I704" s="35" t="s">
        <v>580</v>
      </c>
      <c r="J704" s="35">
        <v>1312</v>
      </c>
      <c r="K704" s="147">
        <v>1249.3198757774578</v>
      </c>
      <c r="L704" s="34">
        <v>-62.68012422254219</v>
      </c>
      <c r="M704" s="56">
        <v>62.68012422254219</v>
      </c>
      <c r="N704" s="56">
        <v>1.8040039019204415</v>
      </c>
      <c r="O704" s="132">
        <f t="shared" si="12"/>
        <v>-1.8040039019204415</v>
      </c>
      <c r="P704" s="56">
        <v>-4.7774484925718133</v>
      </c>
      <c r="Q704" s="143">
        <v>4.7774484925718133</v>
      </c>
      <c r="R704" s="143">
        <v>1234.7446794733719</v>
      </c>
      <c r="S704" s="34">
        <v>-77.255320526628111</v>
      </c>
      <c r="T704" s="56">
        <v>77.255320526628111</v>
      </c>
      <c r="U704" s="56">
        <v>1.8935138746121345</v>
      </c>
      <c r="V704" s="56">
        <v>-5.8883628450173866</v>
      </c>
      <c r="W704" s="33">
        <v>5.8883628450173866</v>
      </c>
    </row>
    <row r="705" spans="1:23" ht="16" x14ac:dyDescent="0.2">
      <c r="A705" s="103" t="s">
        <v>19</v>
      </c>
      <c r="B705" t="s">
        <v>864</v>
      </c>
      <c r="C705" s="224" t="s">
        <v>977</v>
      </c>
      <c r="D705" s="224" t="s">
        <v>824</v>
      </c>
      <c r="E705" s="35" t="s">
        <v>148</v>
      </c>
      <c r="F705" s="103" t="s">
        <v>968</v>
      </c>
      <c r="G705" s="103">
        <v>1</v>
      </c>
      <c r="H705" s="35" t="s">
        <v>374</v>
      </c>
      <c r="I705" s="35" t="s">
        <v>580</v>
      </c>
      <c r="J705" s="35">
        <v>1460</v>
      </c>
      <c r="K705" s="147">
        <v>1397.1014937770574</v>
      </c>
      <c r="L705" s="34">
        <v>-62.898506222942615</v>
      </c>
      <c r="M705" s="56">
        <v>62.898506222942615</v>
      </c>
      <c r="N705" s="56">
        <v>1.8054907056276326</v>
      </c>
      <c r="O705" s="132">
        <f t="shared" si="12"/>
        <v>-1.8054907056276326</v>
      </c>
      <c r="P705" s="56">
        <v>-4.3081168645851102</v>
      </c>
      <c r="Q705" s="143">
        <v>4.3081168645851102</v>
      </c>
      <c r="R705" s="143">
        <v>1389.571913994821</v>
      </c>
      <c r="S705" s="34">
        <v>-70.428086005179011</v>
      </c>
      <c r="T705" s="56">
        <v>70.428086005179011</v>
      </c>
      <c r="U705" s="56">
        <v>1.8538690128779232</v>
      </c>
      <c r="V705" s="56">
        <v>-4.8238415072040421</v>
      </c>
      <c r="W705" s="33">
        <v>4.8238415072040421</v>
      </c>
    </row>
    <row r="706" spans="1:23" ht="16" x14ac:dyDescent="0.2">
      <c r="A706" s="103" t="s">
        <v>19</v>
      </c>
      <c r="B706" t="s">
        <v>882</v>
      </c>
      <c r="C706" s="24" t="s">
        <v>980</v>
      </c>
      <c r="D706" s="224" t="s">
        <v>824</v>
      </c>
      <c r="E706" s="35" t="s">
        <v>148</v>
      </c>
      <c r="F706" s="103" t="s">
        <v>968</v>
      </c>
      <c r="G706" s="103">
        <v>1</v>
      </c>
      <c r="H706" s="35" t="s">
        <v>374</v>
      </c>
      <c r="I706" s="35" t="s">
        <v>580</v>
      </c>
      <c r="J706" s="35">
        <v>1643</v>
      </c>
      <c r="K706" s="147">
        <v>1706.0001190895075</v>
      </c>
      <c r="L706" s="34">
        <v>63.000119089507507</v>
      </c>
      <c r="M706" s="56">
        <v>63.000119089507507</v>
      </c>
      <c r="N706" s="56">
        <v>1.8061807821068223</v>
      </c>
      <c r="O706" s="132">
        <f t="shared" si="12"/>
        <v>1.8061807821068223</v>
      </c>
      <c r="P706" s="56">
        <v>3.8344564266285763</v>
      </c>
      <c r="Q706" s="143">
        <v>3.8344564266285763</v>
      </c>
      <c r="R706" s="143">
        <v>1687.4736757592464</v>
      </c>
      <c r="S706" s="34">
        <v>44.473675759246362</v>
      </c>
      <c r="T706" s="56">
        <v>44.473675759246362</v>
      </c>
      <c r="U706" s="56">
        <v>1.6577600608124681</v>
      </c>
      <c r="V706" s="56">
        <v>2.7068579281342888</v>
      </c>
      <c r="W706" s="33">
        <v>2.7068579281342888</v>
      </c>
    </row>
    <row r="707" spans="1:23" ht="16" x14ac:dyDescent="0.2">
      <c r="A707" s="103" t="s">
        <v>19</v>
      </c>
      <c r="B707" t="s">
        <v>866</v>
      </c>
      <c r="C707" s="224" t="s">
        <v>974</v>
      </c>
      <c r="D707" s="224" t="s">
        <v>824</v>
      </c>
      <c r="E707" s="35" t="s">
        <v>148</v>
      </c>
      <c r="F707" s="103" t="s">
        <v>967</v>
      </c>
      <c r="G707" s="103">
        <v>0</v>
      </c>
      <c r="H707" s="35" t="s">
        <v>374</v>
      </c>
      <c r="I707" s="35" t="s">
        <v>580</v>
      </c>
      <c r="J707" s="35">
        <v>1565</v>
      </c>
      <c r="K707" s="147">
        <v>1628.0096000000001</v>
      </c>
      <c r="L707" s="34">
        <v>63.009600000000091</v>
      </c>
      <c r="M707" s="56">
        <v>63.009600000000091</v>
      </c>
      <c r="N707" s="56">
        <v>1.8062451132708488</v>
      </c>
      <c r="O707" s="132">
        <f t="shared" si="12"/>
        <v>1.8062451132708488</v>
      </c>
      <c r="P707" s="56">
        <v>4.0261725239616668</v>
      </c>
      <c r="Q707" s="143">
        <v>4.0261725239616668</v>
      </c>
      <c r="R707" s="143">
        <v>1527.4298999999999</v>
      </c>
      <c r="S707" s="34">
        <v>-37.570100000000139</v>
      </c>
      <c r="T707" s="56">
        <v>37.570100000000139</v>
      </c>
      <c r="U707" s="56">
        <v>1.586250764854944</v>
      </c>
      <c r="V707" s="56">
        <v>-2.4006453674121495</v>
      </c>
      <c r="W707" s="33">
        <v>2.4006453674121495</v>
      </c>
    </row>
    <row r="708" spans="1:23" ht="16" x14ac:dyDescent="0.2">
      <c r="A708" s="103" t="s">
        <v>19</v>
      </c>
      <c r="B708" t="s">
        <v>875</v>
      </c>
      <c r="C708" s="224" t="s">
        <v>977</v>
      </c>
      <c r="D708" s="224" t="s">
        <v>824</v>
      </c>
      <c r="E708" s="35" t="s">
        <v>148</v>
      </c>
      <c r="F708" s="103" t="s">
        <v>968</v>
      </c>
      <c r="G708" s="103">
        <v>1</v>
      </c>
      <c r="H708" s="35" t="s">
        <v>374</v>
      </c>
      <c r="I708" s="35" t="s">
        <v>580</v>
      </c>
      <c r="J708" s="35">
        <v>1490</v>
      </c>
      <c r="K708" s="147">
        <v>1553.0436348087781</v>
      </c>
      <c r="L708" s="34">
        <v>63.043634808778052</v>
      </c>
      <c r="M708" s="56">
        <v>63.043634808778052</v>
      </c>
      <c r="N708" s="56">
        <v>1.806475972413377</v>
      </c>
      <c r="O708" s="132">
        <f t="shared" si="12"/>
        <v>1.806475972413377</v>
      </c>
      <c r="P708" s="56">
        <v>4.2311164301193323</v>
      </c>
      <c r="Q708" s="143">
        <v>4.2311164301193323</v>
      </c>
      <c r="R708" s="143">
        <v>1514.3958074576315</v>
      </c>
      <c r="S708" s="34">
        <v>24.395807457631463</v>
      </c>
      <c r="T708" s="56">
        <v>24.395807457631463</v>
      </c>
      <c r="U708" s="56">
        <v>1.4047620257418492</v>
      </c>
      <c r="V708" s="56">
        <v>1.6373025139349975</v>
      </c>
      <c r="W708" s="33">
        <v>1.6373025139349975</v>
      </c>
    </row>
    <row r="709" spans="1:23" ht="16" x14ac:dyDescent="0.2">
      <c r="A709" s="103" t="s">
        <v>19</v>
      </c>
      <c r="B709" t="s">
        <v>880</v>
      </c>
      <c r="C709" s="103" t="s">
        <v>970</v>
      </c>
      <c r="D709" s="224" t="s">
        <v>824</v>
      </c>
      <c r="E709" s="35" t="s">
        <v>148</v>
      </c>
      <c r="F709" s="103" t="s">
        <v>967</v>
      </c>
      <c r="G709" s="103">
        <v>0</v>
      </c>
      <c r="H709" s="35" t="s">
        <v>374</v>
      </c>
      <c r="I709" s="35" t="s">
        <v>580</v>
      </c>
      <c r="J709" s="35">
        <v>1695</v>
      </c>
      <c r="K709" s="147">
        <v>1758.0925000000002</v>
      </c>
      <c r="L709" s="34">
        <v>63.0925000000002</v>
      </c>
      <c r="M709" s="56">
        <v>63.0925000000002</v>
      </c>
      <c r="N709" s="56">
        <v>1.8068072120588583</v>
      </c>
      <c r="O709" s="132">
        <f t="shared" si="12"/>
        <v>1.8068072120588583</v>
      </c>
      <c r="P709" s="56">
        <v>3.7222713864306902</v>
      </c>
      <c r="Q709" s="143">
        <v>3.7222713864306902</v>
      </c>
      <c r="R709" s="143">
        <v>1761.3950000000004</v>
      </c>
      <c r="S709" s="34">
        <v>66.395000000000437</v>
      </c>
      <c r="T709" s="56">
        <v>66.395000000000437</v>
      </c>
      <c r="U709" s="56">
        <v>1.8286276776487094</v>
      </c>
      <c r="V709" s="56">
        <v>3.9171091445427986</v>
      </c>
      <c r="W709" s="33">
        <v>3.9171091445427986</v>
      </c>
    </row>
    <row r="710" spans="1:23" ht="15" x14ac:dyDescent="0.2">
      <c r="A710" s="103" t="s">
        <v>19</v>
      </c>
      <c r="B710" t="s">
        <v>892</v>
      </c>
      <c r="C710" s="103" t="s">
        <v>975</v>
      </c>
      <c r="D710" s="224" t="s">
        <v>824</v>
      </c>
      <c r="E710" s="35" t="s">
        <v>148</v>
      </c>
      <c r="F710" s="103" t="s">
        <v>967</v>
      </c>
      <c r="G710" s="103">
        <v>0</v>
      </c>
      <c r="H710" s="35" t="s">
        <v>494</v>
      </c>
      <c r="I710" s="35" t="s">
        <v>580</v>
      </c>
      <c r="J710" s="35">
        <v>1090</v>
      </c>
      <c r="K710">
        <v>1153.1204</v>
      </c>
      <c r="L710" s="34">
        <v>63.120400000000018</v>
      </c>
      <c r="M710" s="56">
        <v>63.120400000000018</v>
      </c>
      <c r="N710" s="56">
        <v>1.8069962229343051</v>
      </c>
      <c r="O710" s="132">
        <f t="shared" si="12"/>
        <v>1.8069962229343051</v>
      </c>
      <c r="P710" s="56">
        <v>5.7908623853211028</v>
      </c>
      <c r="Q710" s="143">
        <v>5.7908623853211028</v>
      </c>
      <c r="R710" s="143">
        <v>1150.3638000000001</v>
      </c>
      <c r="S710" s="34">
        <v>60.363800000000083</v>
      </c>
      <c r="T710" s="56">
        <v>60.363800000000083</v>
      </c>
      <c r="U710" s="56">
        <v>1.7879122457898746</v>
      </c>
      <c r="V710" s="56">
        <v>5.537963302752301</v>
      </c>
      <c r="W710" s="33">
        <v>5.537963302752301</v>
      </c>
    </row>
    <row r="711" spans="1:23" ht="15" x14ac:dyDescent="0.2">
      <c r="A711" s="103" t="s">
        <v>19</v>
      </c>
      <c r="B711" t="s">
        <v>886</v>
      </c>
      <c r="C711" s="103" t="s">
        <v>971</v>
      </c>
      <c r="D711" s="224" t="s">
        <v>824</v>
      </c>
      <c r="E711" s="35" t="s">
        <v>148</v>
      </c>
      <c r="F711" s="103" t="s">
        <v>968</v>
      </c>
      <c r="G711" s="103">
        <v>1</v>
      </c>
      <c r="H711" s="35" t="s">
        <v>374</v>
      </c>
      <c r="I711" s="35" t="s">
        <v>580</v>
      </c>
      <c r="J711" s="35">
        <v>2100</v>
      </c>
      <c r="K711">
        <v>2163.2756184793698</v>
      </c>
      <c r="L711" s="34">
        <v>63.275618479369768</v>
      </c>
      <c r="M711" s="56">
        <v>63.275618479369768</v>
      </c>
      <c r="N711" s="56">
        <v>1.8080462642473785</v>
      </c>
      <c r="O711" s="132">
        <f t="shared" si="12"/>
        <v>1.8080462642473785</v>
      </c>
      <c r="P711" s="56">
        <v>3.0131246894937984</v>
      </c>
      <c r="Q711" s="143">
        <v>3.0131246894937984</v>
      </c>
      <c r="R711" s="143">
        <v>2417.5628845175424</v>
      </c>
      <c r="S711" s="34">
        <v>317.56288451754244</v>
      </c>
      <c r="T711" s="56">
        <v>317.56288451754244</v>
      </c>
      <c r="U711" s="56">
        <v>2.503195175143091</v>
      </c>
      <c r="V711" s="56">
        <v>15.122042119882973</v>
      </c>
      <c r="W711" s="33">
        <v>15.122042119882973</v>
      </c>
    </row>
    <row r="712" spans="1:23" ht="16" x14ac:dyDescent="0.2">
      <c r="A712" s="103" t="s">
        <v>19</v>
      </c>
      <c r="B712" t="s">
        <v>871</v>
      </c>
      <c r="C712" s="224" t="s">
        <v>974</v>
      </c>
      <c r="D712" s="224" t="s">
        <v>824</v>
      </c>
      <c r="E712" s="35" t="s">
        <v>148</v>
      </c>
      <c r="F712" s="103" t="s">
        <v>967</v>
      </c>
      <c r="G712" s="103">
        <v>0</v>
      </c>
      <c r="H712" s="35" t="s">
        <v>374</v>
      </c>
      <c r="I712" s="35" t="s">
        <v>580</v>
      </c>
      <c r="J712" s="35">
        <v>1575</v>
      </c>
      <c r="K712" s="147">
        <v>1638.5254</v>
      </c>
      <c r="L712" s="34">
        <v>63.525399999999991</v>
      </c>
      <c r="M712" s="56">
        <v>63.525399999999991</v>
      </c>
      <c r="N712" s="56">
        <v>1.8097307054631642</v>
      </c>
      <c r="O712" s="132">
        <f t="shared" si="12"/>
        <v>1.8097307054631642</v>
      </c>
      <c r="P712" s="56">
        <v>4.0333587301587297</v>
      </c>
      <c r="Q712" s="143">
        <v>4.0333587301587297</v>
      </c>
      <c r="R712" s="143">
        <v>1565.7075</v>
      </c>
      <c r="S712" s="34">
        <v>-9.2925000000000182</v>
      </c>
      <c r="T712" s="56">
        <v>9.2925000000000182</v>
      </c>
      <c r="U712" s="56">
        <v>1.0125208756695245</v>
      </c>
      <c r="V712" s="56">
        <v>-0.59000000000000119</v>
      </c>
      <c r="W712" s="33">
        <v>0.59000000000000119</v>
      </c>
    </row>
    <row r="713" spans="1:23" ht="15" x14ac:dyDescent="0.2">
      <c r="A713" s="103" t="s">
        <v>19</v>
      </c>
      <c r="B713" t="s">
        <v>889</v>
      </c>
      <c r="C713" s="224" t="s">
        <v>977</v>
      </c>
      <c r="D713" s="224" t="s">
        <v>824</v>
      </c>
      <c r="E713" s="35" t="s">
        <v>148</v>
      </c>
      <c r="F713" s="103" t="s">
        <v>968</v>
      </c>
      <c r="G713" s="103">
        <v>1</v>
      </c>
      <c r="H713" s="35" t="s">
        <v>374</v>
      </c>
      <c r="I713" s="35" t="s">
        <v>580</v>
      </c>
      <c r="J713" s="35">
        <v>1895</v>
      </c>
      <c r="K713">
        <v>1958.7820842145891</v>
      </c>
      <c r="L713" s="34">
        <v>63.782084214589077</v>
      </c>
      <c r="M713" s="56">
        <v>63.782084214589077</v>
      </c>
      <c r="N713" s="56">
        <v>1.8114549163251956</v>
      </c>
      <c r="O713" s="132">
        <f t="shared" si="12"/>
        <v>1.8114549163251956</v>
      </c>
      <c r="P713" s="56">
        <v>3.3658091933820091</v>
      </c>
      <c r="Q713" s="143">
        <v>3.3658091933820091</v>
      </c>
      <c r="R713" s="143">
        <v>1913.0864956828634</v>
      </c>
      <c r="S713" s="34">
        <v>18.086495682863415</v>
      </c>
      <c r="T713" s="56">
        <v>18.086495682863415</v>
      </c>
      <c r="U713" s="56">
        <v>1.2807261984146674</v>
      </c>
      <c r="V713" s="56">
        <v>0.95443248986086626</v>
      </c>
      <c r="W713" s="33">
        <v>0.95443248986086626</v>
      </c>
    </row>
    <row r="714" spans="1:23" ht="15" x14ac:dyDescent="0.2">
      <c r="A714" s="103" t="s">
        <v>19</v>
      </c>
      <c r="B714" t="s">
        <v>897</v>
      </c>
      <c r="C714" s="103" t="s">
        <v>975</v>
      </c>
      <c r="D714" s="224" t="s">
        <v>824</v>
      </c>
      <c r="E714" s="35" t="s">
        <v>148</v>
      </c>
      <c r="F714" s="103" t="s">
        <v>967</v>
      </c>
      <c r="G714" s="103">
        <v>0</v>
      </c>
      <c r="H714" s="35" t="s">
        <v>494</v>
      </c>
      <c r="I714" s="35" t="s">
        <v>580</v>
      </c>
      <c r="J714" s="35">
        <v>1031</v>
      </c>
      <c r="K714">
        <v>1094.8832</v>
      </c>
      <c r="L714" s="34">
        <v>63.883199999999988</v>
      </c>
      <c r="M714" s="56">
        <v>63.883199999999988</v>
      </c>
      <c r="N714" s="56">
        <v>1.81213226087127</v>
      </c>
      <c r="O714" s="132">
        <f t="shared" si="12"/>
        <v>1.81213226087127</v>
      </c>
      <c r="P714" s="56">
        <v>6.1962366634335586</v>
      </c>
      <c r="Q714" s="143">
        <v>6.1962366634335586</v>
      </c>
      <c r="R714" s="143">
        <v>1098.3196</v>
      </c>
      <c r="S714" s="34">
        <v>67.319600000000037</v>
      </c>
      <c r="T714" s="56">
        <v>67.319600000000037</v>
      </c>
      <c r="U714" s="56">
        <v>1.8345453149657658</v>
      </c>
      <c r="V714" s="56">
        <v>6.5295441319107699</v>
      </c>
      <c r="W714" s="33">
        <v>6.5295441319107699</v>
      </c>
    </row>
    <row r="715" spans="1:23" ht="15" x14ac:dyDescent="0.2">
      <c r="A715" s="103" t="s">
        <v>19</v>
      </c>
      <c r="B715" t="s">
        <v>886</v>
      </c>
      <c r="C715" s="24" t="s">
        <v>980</v>
      </c>
      <c r="D715" s="224" t="s">
        <v>824</v>
      </c>
      <c r="E715" s="35" t="s">
        <v>148</v>
      </c>
      <c r="F715" s="103" t="s">
        <v>968</v>
      </c>
      <c r="G715" s="103">
        <v>1</v>
      </c>
      <c r="H715" s="35" t="s">
        <v>374</v>
      </c>
      <c r="I715" s="35" t="s">
        <v>580</v>
      </c>
      <c r="J715" s="35">
        <v>2100</v>
      </c>
      <c r="K715">
        <v>2164.2051348871405</v>
      </c>
      <c r="L715" s="34">
        <v>64.205134887140503</v>
      </c>
      <c r="M715" s="56">
        <v>64.205134887140503</v>
      </c>
      <c r="N715" s="56">
        <v>1.8142817976543122</v>
      </c>
      <c r="O715" s="132">
        <f t="shared" si="12"/>
        <v>1.8142817976543122</v>
      </c>
      <c r="P715" s="56">
        <v>3.0573873755781191</v>
      </c>
      <c r="Q715" s="143">
        <v>3.0573873755781191</v>
      </c>
      <c r="R715" s="143">
        <v>2142.2127632416227</v>
      </c>
      <c r="S715" s="34">
        <v>42.212763241622724</v>
      </c>
      <c r="T715" s="56">
        <v>42.212763241622724</v>
      </c>
      <c r="U715" s="56">
        <v>1.6356120381746677</v>
      </c>
      <c r="V715" s="56">
        <v>2.0101315829344153</v>
      </c>
      <c r="W715" s="33">
        <v>2.0101315829344153</v>
      </c>
    </row>
    <row r="716" spans="1:23" ht="15" x14ac:dyDescent="0.2">
      <c r="A716" s="103" t="s">
        <v>19</v>
      </c>
      <c r="B716" s="28" t="s">
        <v>327</v>
      </c>
      <c r="C716" s="224" t="s">
        <v>974</v>
      </c>
      <c r="D716" s="208" t="s">
        <v>403</v>
      </c>
      <c r="E716" s="35" t="s">
        <v>82</v>
      </c>
      <c r="F716" s="103" t="s">
        <v>967</v>
      </c>
      <c r="G716" s="103">
        <v>0</v>
      </c>
      <c r="H716" s="35" t="s">
        <v>374</v>
      </c>
      <c r="I716" s="35" t="s">
        <v>580</v>
      </c>
      <c r="J716" s="35">
        <v>1217.5999999999999</v>
      </c>
      <c r="K716" s="141">
        <v>1282.0397799999998</v>
      </c>
      <c r="L716" s="34">
        <v>64.439779999999928</v>
      </c>
      <c r="M716" s="56">
        <v>64.439779999999928</v>
      </c>
      <c r="N716" s="56">
        <v>1.8158418306243507</v>
      </c>
      <c r="O716" s="132">
        <f t="shared" si="12"/>
        <v>1.8158418306243507</v>
      </c>
      <c r="P716" s="56">
        <v>5.2923603810775237</v>
      </c>
      <c r="Q716" s="143">
        <v>5.2923603810775237</v>
      </c>
      <c r="R716" s="143">
        <v>1224.5583899999999</v>
      </c>
      <c r="S716" s="34">
        <v>6.9583900000000085</v>
      </c>
      <c r="T716" s="56">
        <v>6.9583900000000085</v>
      </c>
      <c r="U716" s="56">
        <v>0.90082521788372716</v>
      </c>
      <c r="V716" s="56">
        <v>0.57148406701708354</v>
      </c>
      <c r="W716" s="33">
        <v>0.57148406701708354</v>
      </c>
    </row>
    <row r="717" spans="1:23" ht="15" x14ac:dyDescent="0.2">
      <c r="A717" s="103" t="s">
        <v>19</v>
      </c>
      <c r="B717" t="s">
        <v>894</v>
      </c>
      <c r="C717" s="224" t="s">
        <v>978</v>
      </c>
      <c r="D717" s="224" t="s">
        <v>824</v>
      </c>
      <c r="E717" s="35" t="s">
        <v>148</v>
      </c>
      <c r="F717" s="103" t="s">
        <v>968</v>
      </c>
      <c r="G717" s="103">
        <v>1</v>
      </c>
      <c r="H717" s="35" t="s">
        <v>494</v>
      </c>
      <c r="I717" s="35" t="s">
        <v>580</v>
      </c>
      <c r="J717" s="35">
        <v>1111</v>
      </c>
      <c r="K717">
        <v>1046.5468215293724</v>
      </c>
      <c r="L717" s="34">
        <v>-64.453178470627563</v>
      </c>
      <c r="M717" s="56">
        <v>64.453178470627563</v>
      </c>
      <c r="N717" s="56">
        <v>1.8159307411654193</v>
      </c>
      <c r="O717" s="132">
        <f t="shared" si="12"/>
        <v>-1.8159307411654193</v>
      </c>
      <c r="P717" s="56">
        <v>-5.8013661989763783</v>
      </c>
      <c r="Q717" s="143">
        <v>5.8013661989763783</v>
      </c>
      <c r="R717" s="143">
        <v>1028.5795446278428</v>
      </c>
      <c r="S717" s="34">
        <v>-82.420455372157221</v>
      </c>
      <c r="T717" s="56">
        <v>82.420455372157221</v>
      </c>
      <c r="U717" s="56">
        <v>1.9212725562251725</v>
      </c>
      <c r="V717" s="56">
        <v>-7.4185828417783286</v>
      </c>
      <c r="W717" s="33">
        <v>7.4185828417783286</v>
      </c>
    </row>
    <row r="718" spans="1:23" ht="16" x14ac:dyDescent="0.2">
      <c r="A718" s="103" t="s">
        <v>19</v>
      </c>
      <c r="B718" t="s">
        <v>843</v>
      </c>
      <c r="C718" s="224" t="s">
        <v>978</v>
      </c>
      <c r="D718" s="224" t="s">
        <v>824</v>
      </c>
      <c r="E718" s="35" t="s">
        <v>148</v>
      </c>
      <c r="F718" s="103" t="s">
        <v>968</v>
      </c>
      <c r="G718" s="103">
        <v>1</v>
      </c>
      <c r="H718" s="35" t="s">
        <v>494</v>
      </c>
      <c r="I718" s="35" t="s">
        <v>580</v>
      </c>
      <c r="J718" s="35">
        <v>1126</v>
      </c>
      <c r="K718" s="147">
        <v>1061.5343318643738</v>
      </c>
      <c r="L718" s="34">
        <v>-64.465668135626174</v>
      </c>
      <c r="M718" s="56">
        <v>64.465668135626174</v>
      </c>
      <c r="N718" s="56">
        <v>1.8160136045994746</v>
      </c>
      <c r="O718" s="132">
        <f t="shared" si="12"/>
        <v>-1.8160136045994746</v>
      </c>
      <c r="P718" s="56">
        <v>-5.7251925520094291</v>
      </c>
      <c r="Q718" s="143">
        <v>5.7251925520094291</v>
      </c>
      <c r="R718" s="143">
        <v>1066.4338774009157</v>
      </c>
      <c r="S718" s="34">
        <v>-59.566122599084338</v>
      </c>
      <c r="T718" s="56">
        <v>59.566122599084338</v>
      </c>
      <c r="U718" s="56">
        <v>1.7822297713234836</v>
      </c>
      <c r="V718" s="56">
        <v>-5.2900641739861758</v>
      </c>
      <c r="W718" s="33">
        <v>5.2900641739861758</v>
      </c>
    </row>
    <row r="719" spans="1:23" ht="16" x14ac:dyDescent="0.2">
      <c r="A719" s="103" t="s">
        <v>19</v>
      </c>
      <c r="B719" t="s">
        <v>843</v>
      </c>
      <c r="C719" s="103" t="s">
        <v>975</v>
      </c>
      <c r="D719" s="224" t="s">
        <v>824</v>
      </c>
      <c r="E719" s="35" t="s">
        <v>148</v>
      </c>
      <c r="F719" s="103" t="s">
        <v>967</v>
      </c>
      <c r="G719" s="103">
        <v>0</v>
      </c>
      <c r="H719" s="35" t="s">
        <v>494</v>
      </c>
      <c r="I719" s="35" t="s">
        <v>580</v>
      </c>
      <c r="J719" s="35">
        <v>1126</v>
      </c>
      <c r="K719" s="147">
        <v>1190.5585999999998</v>
      </c>
      <c r="L719" s="34">
        <v>64.558599999999842</v>
      </c>
      <c r="M719" s="56">
        <v>64.558599999999842</v>
      </c>
      <c r="N719" s="56">
        <v>1.8166296706646798</v>
      </c>
      <c r="O719" s="132">
        <f t="shared" si="12"/>
        <v>1.8166296706646798</v>
      </c>
      <c r="P719" s="56">
        <v>5.7334458259324901</v>
      </c>
      <c r="Q719" s="143">
        <v>5.7334458259324901</v>
      </c>
      <c r="R719" s="143">
        <v>1210.4148</v>
      </c>
      <c r="S719" s="34">
        <v>84.414800000000014</v>
      </c>
      <c r="T719" s="56">
        <v>84.414800000000014</v>
      </c>
      <c r="U719" s="56">
        <v>1.9315331283171293</v>
      </c>
      <c r="V719" s="56">
        <v>7.4968738898756673</v>
      </c>
      <c r="W719" s="33">
        <v>7.4968738898756673</v>
      </c>
    </row>
    <row r="720" spans="1:23" ht="16" x14ac:dyDescent="0.2">
      <c r="A720" s="103" t="s">
        <v>19</v>
      </c>
      <c r="B720" t="s">
        <v>880</v>
      </c>
      <c r="C720" s="103" t="s">
        <v>979</v>
      </c>
      <c r="D720" s="224" t="s">
        <v>824</v>
      </c>
      <c r="E720" s="35" t="s">
        <v>148</v>
      </c>
      <c r="F720" s="103" t="s">
        <v>967</v>
      </c>
      <c r="G720" s="103">
        <v>0</v>
      </c>
      <c r="H720" s="35" t="s">
        <v>374</v>
      </c>
      <c r="I720" s="35" t="s">
        <v>580</v>
      </c>
      <c r="J720" s="35">
        <v>1695</v>
      </c>
      <c r="K720" s="147">
        <v>1630.4347826086955</v>
      </c>
      <c r="L720" s="34">
        <v>-64.565217391304486</v>
      </c>
      <c r="M720" s="56">
        <v>64.565217391304486</v>
      </c>
      <c r="N720" s="56">
        <v>1.8166735055161634</v>
      </c>
      <c r="O720" s="132">
        <f t="shared" si="12"/>
        <v>-1.8166735055161634</v>
      </c>
      <c r="P720" s="56">
        <v>-3.8091573682185538</v>
      </c>
      <c r="Q720" s="143">
        <v>3.8091573682185538</v>
      </c>
      <c r="R720" s="143">
        <v>1604.1666666666667</v>
      </c>
      <c r="S720" s="34">
        <v>-90.833333333333258</v>
      </c>
      <c r="T720" s="56">
        <v>90.833333333333258</v>
      </c>
      <c r="U720" s="56">
        <v>1.9630003484681411</v>
      </c>
      <c r="V720" s="56">
        <v>-5.3588987217305748</v>
      </c>
      <c r="W720" s="33">
        <v>5.3588987217305748</v>
      </c>
    </row>
    <row r="721" spans="1:23" ht="15" x14ac:dyDescent="0.2">
      <c r="A721" s="103" t="s">
        <v>19</v>
      </c>
      <c r="B721" s="28" t="s">
        <v>434</v>
      </c>
      <c r="C721" s="103" t="s">
        <v>975</v>
      </c>
      <c r="D721" s="35" t="s">
        <v>458</v>
      </c>
      <c r="E721" s="208" t="s">
        <v>82</v>
      </c>
      <c r="F721" s="103" t="s">
        <v>967</v>
      </c>
      <c r="G721" s="103">
        <v>0</v>
      </c>
      <c r="H721" s="35" t="s">
        <v>374</v>
      </c>
      <c r="I721" s="35" t="s">
        <v>580</v>
      </c>
      <c r="J721" s="35">
        <v>2370</v>
      </c>
      <c r="K721" s="141">
        <v>2305.3849999999998</v>
      </c>
      <c r="L721" s="34">
        <v>-64.615000000000236</v>
      </c>
      <c r="M721" s="56">
        <v>64.615000000000236</v>
      </c>
      <c r="N721" s="56">
        <v>1.8170031331645873</v>
      </c>
      <c r="O721" s="132">
        <f t="shared" si="12"/>
        <v>-1.8170031331645873</v>
      </c>
      <c r="P721" s="56">
        <v>-2.7263713080168874</v>
      </c>
      <c r="Q721" s="143">
        <v>2.7263713080168874</v>
      </c>
      <c r="R721" s="143">
        <v>2323.3599999999997</v>
      </c>
      <c r="S721" s="34">
        <v>-46.640000000000327</v>
      </c>
      <c r="T721" s="56">
        <v>46.640000000000327</v>
      </c>
      <c r="U721" s="56">
        <v>1.677971752810743</v>
      </c>
      <c r="V721" s="56">
        <v>-1.9679324894514907</v>
      </c>
      <c r="W721" s="33">
        <v>1.9679324894514907</v>
      </c>
    </row>
    <row r="722" spans="1:23" ht="15" x14ac:dyDescent="0.2">
      <c r="A722" s="103" t="s">
        <v>19</v>
      </c>
      <c r="B722" t="s">
        <v>893</v>
      </c>
      <c r="C722" s="224" t="s">
        <v>977</v>
      </c>
      <c r="D722" s="224" t="s">
        <v>824</v>
      </c>
      <c r="E722" s="35" t="s">
        <v>148</v>
      </c>
      <c r="F722" s="103" t="s">
        <v>968</v>
      </c>
      <c r="G722" s="103">
        <v>1</v>
      </c>
      <c r="H722" s="35" t="s">
        <v>374</v>
      </c>
      <c r="I722" s="35" t="s">
        <v>580</v>
      </c>
      <c r="J722" s="35">
        <v>1274</v>
      </c>
      <c r="K722">
        <v>1209.1259278033285</v>
      </c>
      <c r="L722" s="34">
        <v>-64.874072196671477</v>
      </c>
      <c r="M722" s="56">
        <v>64.874072196671477</v>
      </c>
      <c r="N722" s="56">
        <v>1.818714511443321</v>
      </c>
      <c r="O722" s="132">
        <f t="shared" si="12"/>
        <v>-1.818714511443321</v>
      </c>
      <c r="P722" s="56">
        <v>-5.0921563733651078</v>
      </c>
      <c r="Q722" s="143">
        <v>5.0921563733651078</v>
      </c>
      <c r="R722" s="143">
        <v>1188.3001696309327</v>
      </c>
      <c r="S722" s="34">
        <v>-85.699830369067286</v>
      </c>
      <c r="T722" s="56">
        <v>85.699830369067286</v>
      </c>
      <c r="U722" s="56">
        <v>1.9380182477662897</v>
      </c>
      <c r="V722" s="56">
        <v>-6.7268312691575574</v>
      </c>
      <c r="W722" s="33">
        <v>6.7268312691575574</v>
      </c>
    </row>
    <row r="723" spans="1:23" ht="15" x14ac:dyDescent="0.2">
      <c r="A723" s="103" t="s">
        <v>19</v>
      </c>
      <c r="B723" s="28" t="s">
        <v>282</v>
      </c>
      <c r="C723" s="224" t="s">
        <v>978</v>
      </c>
      <c r="D723" s="208" t="s">
        <v>403</v>
      </c>
      <c r="E723" s="35" t="s">
        <v>96</v>
      </c>
      <c r="F723" s="103" t="s">
        <v>968</v>
      </c>
      <c r="G723" s="103">
        <v>1</v>
      </c>
      <c r="H723" s="35" t="s">
        <v>494</v>
      </c>
      <c r="I723" s="35" t="s">
        <v>580</v>
      </c>
      <c r="J723" s="35">
        <v>872.2</v>
      </c>
      <c r="K723" s="141">
        <v>807.30744570655736</v>
      </c>
      <c r="L723" s="34">
        <v>-64.892554293442686</v>
      </c>
      <c r="M723" s="56">
        <v>64.892554293442686</v>
      </c>
      <c r="N723" s="56">
        <v>1.8188363430923231</v>
      </c>
      <c r="O723" s="132">
        <f t="shared" si="12"/>
        <v>-1.8188363430923231</v>
      </c>
      <c r="P723" s="56">
        <v>-7.4401002400186513</v>
      </c>
      <c r="Q723" s="143">
        <v>7.4401002400186513</v>
      </c>
      <c r="R723" s="143">
        <v>797.24678308777095</v>
      </c>
      <c r="S723" s="34">
        <v>-74.953216912229095</v>
      </c>
      <c r="T723" s="56">
        <v>74.953216912229095</v>
      </c>
      <c r="U723" s="56">
        <v>1.8805461726378232</v>
      </c>
      <c r="V723" s="56">
        <v>-8.5935813932846923</v>
      </c>
      <c r="W723" s="33">
        <v>8.5935813932846923</v>
      </c>
    </row>
    <row r="724" spans="1:23" ht="15" x14ac:dyDescent="0.2">
      <c r="A724" s="103" t="s">
        <v>19</v>
      </c>
      <c r="B724" t="s">
        <v>886</v>
      </c>
      <c r="C724" s="224" t="s">
        <v>978</v>
      </c>
      <c r="D724" s="224" t="s">
        <v>824</v>
      </c>
      <c r="E724" s="35" t="s">
        <v>148</v>
      </c>
      <c r="F724" s="103" t="s">
        <v>968</v>
      </c>
      <c r="G724" s="103">
        <v>1</v>
      </c>
      <c r="H724" s="35" t="s">
        <v>374</v>
      </c>
      <c r="I724" s="35" t="s">
        <v>580</v>
      </c>
      <c r="J724" s="35">
        <v>2100</v>
      </c>
      <c r="K724">
        <v>2165.3276036965844</v>
      </c>
      <c r="L724" s="34">
        <v>65.327603696584447</v>
      </c>
      <c r="M724" s="56">
        <v>65.327603696584447</v>
      </c>
      <c r="N724" s="56">
        <v>1.8216943072614473</v>
      </c>
      <c r="O724" s="132">
        <f t="shared" si="12"/>
        <v>1.8216943072614473</v>
      </c>
      <c r="P724" s="56">
        <v>3.1108382712659259</v>
      </c>
      <c r="Q724" s="143">
        <v>3.1108382712659259</v>
      </c>
      <c r="R724" s="143">
        <v>2137.1927046052115</v>
      </c>
      <c r="S724" s="34">
        <v>37.192704605211475</v>
      </c>
      <c r="T724" s="56">
        <v>37.192704605211475</v>
      </c>
      <c r="U724" s="56">
        <v>1.5819804138990781</v>
      </c>
      <c r="V724" s="56">
        <v>1.771081171676737</v>
      </c>
      <c r="W724" s="33">
        <v>1.771081171676737</v>
      </c>
    </row>
    <row r="725" spans="1:23" ht="16" x14ac:dyDescent="0.2">
      <c r="A725" s="103" t="s">
        <v>19</v>
      </c>
      <c r="B725" t="s">
        <v>851</v>
      </c>
      <c r="C725" s="103" t="s">
        <v>975</v>
      </c>
      <c r="D725" s="224" t="s">
        <v>824</v>
      </c>
      <c r="E725" s="35" t="s">
        <v>148</v>
      </c>
      <c r="F725" s="103" t="s">
        <v>967</v>
      </c>
      <c r="G725" s="103">
        <v>0</v>
      </c>
      <c r="H725" s="35" t="s">
        <v>374</v>
      </c>
      <c r="I725" s="35" t="s">
        <v>580</v>
      </c>
      <c r="J725" s="35">
        <v>1622</v>
      </c>
      <c r="K725" s="147">
        <v>1556.6209999999999</v>
      </c>
      <c r="L725" s="34">
        <v>-65.379000000000133</v>
      </c>
      <c r="M725" s="56">
        <v>65.379000000000133</v>
      </c>
      <c r="N725" s="56">
        <v>1.8220307054731102</v>
      </c>
      <c r="O725" s="132">
        <f t="shared" si="12"/>
        <v>-1.8220307054731102</v>
      </c>
      <c r="P725" s="56">
        <v>-4.0307644882860751</v>
      </c>
      <c r="Q725" s="143">
        <v>4.0307644882860751</v>
      </c>
      <c r="R725" s="143">
        <v>1570.7208000000001</v>
      </c>
      <c r="S725" s="34">
        <v>-51.279199999999946</v>
      </c>
      <c r="T725" s="56">
        <v>51.279199999999946</v>
      </c>
      <c r="U725" s="56">
        <v>1.7183289331884639</v>
      </c>
      <c r="V725" s="56">
        <v>-3.1614796547472221</v>
      </c>
      <c r="W725" s="33">
        <v>3.1614796547472221</v>
      </c>
    </row>
    <row r="726" spans="1:23" ht="15" x14ac:dyDescent="0.2">
      <c r="A726" s="103" t="s">
        <v>19</v>
      </c>
      <c r="B726" s="206" t="s">
        <v>593</v>
      </c>
      <c r="C726" s="103" t="s">
        <v>971</v>
      </c>
      <c r="D726" s="35" t="s">
        <v>403</v>
      </c>
      <c r="E726" s="35" t="s">
        <v>82</v>
      </c>
      <c r="F726" s="103" t="s">
        <v>968</v>
      </c>
      <c r="G726" s="103">
        <v>1</v>
      </c>
      <c r="H726" s="35" t="s">
        <v>374</v>
      </c>
      <c r="I726" s="35" t="s">
        <v>580</v>
      </c>
      <c r="J726" s="35">
        <v>1284.8</v>
      </c>
      <c r="K726" s="141">
        <v>1219.3523413544428</v>
      </c>
      <c r="L726" s="34">
        <v>-65.447658645557112</v>
      </c>
      <c r="M726" s="56">
        <v>65.447658645557112</v>
      </c>
      <c r="N726" s="56">
        <v>1.8224796827169871</v>
      </c>
      <c r="O726" s="132">
        <f t="shared" si="12"/>
        <v>-1.8224796827169871</v>
      </c>
      <c r="P726" s="56">
        <v>-5.0939958472569362</v>
      </c>
      <c r="Q726" s="143">
        <v>5.0939958472569362</v>
      </c>
      <c r="R726" s="143">
        <v>1398.8286052804997</v>
      </c>
      <c r="S726" s="34">
        <v>114.02860528049973</v>
      </c>
      <c r="T726" s="56">
        <v>114.02860528049973</v>
      </c>
      <c r="U726" s="56">
        <v>2.0608058540115062</v>
      </c>
      <c r="V726" s="56">
        <v>8.875202777124823</v>
      </c>
      <c r="W726" s="33">
        <v>8.875202777124823</v>
      </c>
    </row>
    <row r="727" spans="1:23" ht="16" x14ac:dyDescent="0.2">
      <c r="A727" s="103" t="s">
        <v>19</v>
      </c>
      <c r="B727" t="s">
        <v>844</v>
      </c>
      <c r="C727" s="224" t="s">
        <v>978</v>
      </c>
      <c r="D727" s="224" t="s">
        <v>824</v>
      </c>
      <c r="E727" s="35" t="s">
        <v>148</v>
      </c>
      <c r="F727" s="103" t="s">
        <v>968</v>
      </c>
      <c r="G727" s="103">
        <v>1</v>
      </c>
      <c r="H727" s="225" t="s">
        <v>494</v>
      </c>
      <c r="I727" s="35" t="s">
        <v>580</v>
      </c>
      <c r="J727" s="35">
        <v>1028</v>
      </c>
      <c r="K727" s="147">
        <v>962.33277952529465</v>
      </c>
      <c r="L727" s="34">
        <v>-65.667220474705346</v>
      </c>
      <c r="M727" s="56">
        <v>65.667220474705346</v>
      </c>
      <c r="N727" s="56">
        <v>1.8239123486659623</v>
      </c>
      <c r="O727" s="132">
        <f t="shared" si="12"/>
        <v>-1.8239123486659623</v>
      </c>
      <c r="P727" s="56">
        <v>-6.3878619138818431</v>
      </c>
      <c r="Q727" s="143">
        <v>6.3878619138818431</v>
      </c>
      <c r="R727" s="143">
        <v>953.59950416395304</v>
      </c>
      <c r="S727" s="34">
        <v>-74.400495836046957</v>
      </c>
      <c r="T727" s="56">
        <v>74.400495836046957</v>
      </c>
      <c r="U727" s="56">
        <v>1.8773742018134223</v>
      </c>
      <c r="V727" s="56">
        <v>-7.2374023186816103</v>
      </c>
      <c r="W727" s="33">
        <v>7.2374023186816103</v>
      </c>
    </row>
    <row r="728" spans="1:23" ht="15" x14ac:dyDescent="0.2">
      <c r="A728" s="103" t="s">
        <v>19</v>
      </c>
      <c r="B728" s="28" t="s">
        <v>426</v>
      </c>
      <c r="C728" s="224" t="s">
        <v>977</v>
      </c>
      <c r="D728" s="35" t="s">
        <v>458</v>
      </c>
      <c r="E728" s="208" t="s">
        <v>82</v>
      </c>
      <c r="F728" s="103" t="s">
        <v>968</v>
      </c>
      <c r="G728" s="103">
        <v>1</v>
      </c>
      <c r="H728" s="35" t="s">
        <v>374</v>
      </c>
      <c r="I728" s="35" t="s">
        <v>580</v>
      </c>
      <c r="J728" s="35">
        <v>1620</v>
      </c>
      <c r="K728" s="141">
        <v>1685.7125808519991</v>
      </c>
      <c r="L728" s="34">
        <v>65.712580851999064</v>
      </c>
      <c r="M728" s="56">
        <v>65.712580851999064</v>
      </c>
      <c r="N728" s="56">
        <v>1.8242077421531206</v>
      </c>
      <c r="O728" s="132">
        <f t="shared" si="12"/>
        <v>1.8242077421531206</v>
      </c>
      <c r="P728" s="56">
        <v>4.0563321513579673</v>
      </c>
      <c r="Q728" s="143">
        <v>4.0563321513579673</v>
      </c>
      <c r="R728" s="143">
        <v>1663.5183363937106</v>
      </c>
      <c r="S728" s="34">
        <v>43.51833639371057</v>
      </c>
      <c r="T728" s="56">
        <v>43.51833639371057</v>
      </c>
      <c r="U728" s="56">
        <v>1.6485389268097763</v>
      </c>
      <c r="V728" s="56">
        <v>2.6863170613401586</v>
      </c>
      <c r="W728" s="33">
        <v>2.6863170613401586</v>
      </c>
    </row>
    <row r="729" spans="1:23" ht="15" x14ac:dyDescent="0.2">
      <c r="A729" s="103" t="s">
        <v>19</v>
      </c>
      <c r="B729" s="28" t="s">
        <v>365</v>
      </c>
      <c r="C729" s="103" t="s">
        <v>975</v>
      </c>
      <c r="D729" s="208" t="s">
        <v>403</v>
      </c>
      <c r="E729" s="35" t="s">
        <v>148</v>
      </c>
      <c r="F729" s="103" t="s">
        <v>967</v>
      </c>
      <c r="G729" s="103">
        <v>0</v>
      </c>
      <c r="H729" s="35" t="s">
        <v>494</v>
      </c>
      <c r="I729" s="35" t="s">
        <v>580</v>
      </c>
      <c r="J729" s="35">
        <v>992.24</v>
      </c>
      <c r="K729" s="141">
        <v>1058.1105679999998</v>
      </c>
      <c r="L729" s="34">
        <v>65.870567999999821</v>
      </c>
      <c r="M729" s="56">
        <v>65.870567999999821</v>
      </c>
      <c r="N729" s="56">
        <v>1.8252350121219578</v>
      </c>
      <c r="O729" s="132">
        <f t="shared" si="12"/>
        <v>1.8252350121219578</v>
      </c>
      <c r="P729" s="56">
        <v>6.6385721196484537</v>
      </c>
      <c r="Q729" s="143">
        <v>6.6385721196484537</v>
      </c>
      <c r="R729" s="143">
        <v>1089.552154</v>
      </c>
      <c r="S729" s="34">
        <v>97.312153999999964</v>
      </c>
      <c r="T729" s="56">
        <v>97.312153999999964</v>
      </c>
      <c r="U729" s="56">
        <v>1.9926072115131455</v>
      </c>
      <c r="V729" s="56">
        <v>9.8073202047891606</v>
      </c>
      <c r="W729" s="33">
        <v>9.8073202047891606</v>
      </c>
    </row>
    <row r="730" spans="1:23" ht="15" x14ac:dyDescent="0.2">
      <c r="A730" s="103" t="s">
        <v>19</v>
      </c>
      <c r="B730" s="28" t="s">
        <v>664</v>
      </c>
      <c r="C730" s="24" t="s">
        <v>980</v>
      </c>
      <c r="D730" s="208" t="s">
        <v>403</v>
      </c>
      <c r="E730" s="35" t="s">
        <v>82</v>
      </c>
      <c r="F730" s="103" t="s">
        <v>968</v>
      </c>
      <c r="G730" s="103">
        <v>1</v>
      </c>
      <c r="H730" s="35" t="s">
        <v>374</v>
      </c>
      <c r="I730" s="35" t="s">
        <v>580</v>
      </c>
      <c r="J730" s="35">
        <v>1730.8</v>
      </c>
      <c r="K730" s="141">
        <v>1664.2649465631184</v>
      </c>
      <c r="L730" s="34">
        <v>-66.535053436881526</v>
      </c>
      <c r="M730" s="56">
        <v>66.535053436881526</v>
      </c>
      <c r="N730" s="56">
        <v>1.8295292478342018</v>
      </c>
      <c r="O730" s="132">
        <f t="shared" si="12"/>
        <v>-1.8295292478342018</v>
      </c>
      <c r="P730" s="56">
        <v>-3.844179190945316</v>
      </c>
      <c r="Q730" s="143">
        <v>3.844179190945316</v>
      </c>
      <c r="R730" s="143">
        <v>1718.1129006695942</v>
      </c>
      <c r="S730" s="34">
        <v>-12.687099330405772</v>
      </c>
      <c r="T730" s="56">
        <v>12.687099330405772</v>
      </c>
      <c r="U730" s="56">
        <v>1.1363114190414914</v>
      </c>
      <c r="V730" s="56">
        <v>-0.73301937430123487</v>
      </c>
      <c r="W730" s="33">
        <v>0.73301937430123487</v>
      </c>
    </row>
    <row r="731" spans="1:23" ht="15" x14ac:dyDescent="0.2">
      <c r="A731" s="103" t="s">
        <v>19</v>
      </c>
      <c r="B731" t="s">
        <v>894</v>
      </c>
      <c r="C731" s="103" t="s">
        <v>975</v>
      </c>
      <c r="D731" s="224" t="s">
        <v>824</v>
      </c>
      <c r="E731" s="35" t="s">
        <v>148</v>
      </c>
      <c r="F731" s="103" t="s">
        <v>967</v>
      </c>
      <c r="G731" s="103">
        <v>0</v>
      </c>
      <c r="H731" s="35" t="s">
        <v>494</v>
      </c>
      <c r="I731" s="35" t="s">
        <v>580</v>
      </c>
      <c r="J731" s="35">
        <v>1111</v>
      </c>
      <c r="K731">
        <v>1178.0791999999999</v>
      </c>
      <c r="L731" s="34">
        <v>67.079199999999901</v>
      </c>
      <c r="M731" s="56">
        <v>67.079199999999901</v>
      </c>
      <c r="N731" s="56">
        <v>1.8330144437036331</v>
      </c>
      <c r="O731" s="132">
        <f t="shared" si="12"/>
        <v>1.8330144437036331</v>
      </c>
      <c r="P731" s="56">
        <v>6.0377317731773088</v>
      </c>
      <c r="Q731" s="143">
        <v>6.0377317731773088</v>
      </c>
      <c r="R731" s="143">
        <v>1178.3876</v>
      </c>
      <c r="S731" s="34">
        <v>67.38760000000002</v>
      </c>
      <c r="T731" s="56">
        <v>67.38760000000002</v>
      </c>
      <c r="U731" s="56">
        <v>1.8349773628345689</v>
      </c>
      <c r="V731" s="56">
        <v>6.0654905490549069</v>
      </c>
      <c r="W731" s="33">
        <v>6.0654905490549069</v>
      </c>
    </row>
    <row r="732" spans="1:23" ht="15" x14ac:dyDescent="0.2">
      <c r="A732" s="103" t="s">
        <v>19</v>
      </c>
      <c r="B732" s="28" t="s">
        <v>425</v>
      </c>
      <c r="C732" s="103" t="s">
        <v>979</v>
      </c>
      <c r="D732" s="35" t="s">
        <v>458</v>
      </c>
      <c r="E732" s="208" t="s">
        <v>82</v>
      </c>
      <c r="F732" s="103" t="s">
        <v>967</v>
      </c>
      <c r="G732" s="103">
        <v>0</v>
      </c>
      <c r="H732" s="35" t="s">
        <v>293</v>
      </c>
      <c r="I732" s="35" t="s">
        <v>580</v>
      </c>
      <c r="J732" s="35">
        <v>2690</v>
      </c>
      <c r="K732" s="141">
        <v>2621.7391304347825</v>
      </c>
      <c r="L732" s="34">
        <v>-68.26086956521749</v>
      </c>
      <c r="M732" s="56">
        <v>68.26086956521749</v>
      </c>
      <c r="N732" s="56">
        <v>1.8404879397835392</v>
      </c>
      <c r="O732" s="132">
        <f t="shared" ref="O732:O795" si="13">SIGN(L732)*N732</f>
        <v>-1.8404879397835392</v>
      </c>
      <c r="P732" s="56">
        <v>-2.5375787942460035</v>
      </c>
      <c r="Q732" s="143">
        <v>2.5375787942460035</v>
      </c>
      <c r="R732" s="143">
        <v>2583.3333333333335</v>
      </c>
      <c r="S732" s="34">
        <v>-106.66666666666652</v>
      </c>
      <c r="T732" s="56">
        <v>106.66666666666652</v>
      </c>
      <c r="U732" s="56">
        <v>2.0320812676114399</v>
      </c>
      <c r="V732" s="56">
        <v>-3.9653035935563761</v>
      </c>
      <c r="W732" s="33">
        <v>3.9653035935563761</v>
      </c>
    </row>
    <row r="733" spans="1:23" ht="15" x14ac:dyDescent="0.2">
      <c r="A733" s="103" t="s">
        <v>19</v>
      </c>
      <c r="B733" s="28" t="s">
        <v>434</v>
      </c>
      <c r="C733" s="224" t="s">
        <v>977</v>
      </c>
      <c r="D733" s="35" t="s">
        <v>458</v>
      </c>
      <c r="E733" s="208" t="s">
        <v>82</v>
      </c>
      <c r="F733" s="103" t="s">
        <v>968</v>
      </c>
      <c r="G733" s="103">
        <v>1</v>
      </c>
      <c r="H733" s="35" t="s">
        <v>374</v>
      </c>
      <c r="I733" s="35" t="s">
        <v>580</v>
      </c>
      <c r="J733" s="35">
        <v>2370</v>
      </c>
      <c r="K733" s="141">
        <v>2438.293512813294</v>
      </c>
      <c r="L733" s="34">
        <v>68.293512813294001</v>
      </c>
      <c r="M733" s="56">
        <v>68.293512813294001</v>
      </c>
      <c r="N733" s="56">
        <v>1.8406925783165105</v>
      </c>
      <c r="O733" s="132">
        <f t="shared" si="13"/>
        <v>1.8406925783165105</v>
      </c>
      <c r="P733" s="56">
        <v>2.8815828191263293</v>
      </c>
      <c r="Q733" s="143">
        <v>2.8815828191263293</v>
      </c>
      <c r="R733" s="143">
        <v>2425.5352400733977</v>
      </c>
      <c r="S733" s="34">
        <v>55.535240073397745</v>
      </c>
      <c r="T733" s="56">
        <v>55.535240073397745</v>
      </c>
      <c r="U733" s="56">
        <v>1.7523192407138388</v>
      </c>
      <c r="V733" s="56">
        <v>2.3432590748269089</v>
      </c>
      <c r="W733" s="33">
        <v>2.3432590748269089</v>
      </c>
    </row>
    <row r="734" spans="1:23" ht="15" x14ac:dyDescent="0.2">
      <c r="A734" s="103" t="s">
        <v>19</v>
      </c>
      <c r="B734" t="s">
        <v>895</v>
      </c>
      <c r="C734" s="103" t="s">
        <v>971</v>
      </c>
      <c r="D734" s="224" t="s">
        <v>824</v>
      </c>
      <c r="E734" s="35" t="s">
        <v>148</v>
      </c>
      <c r="F734" s="103" t="s">
        <v>968</v>
      </c>
      <c r="G734" s="103">
        <v>1</v>
      </c>
      <c r="H734" s="35" t="s">
        <v>494</v>
      </c>
      <c r="I734" s="35" t="s">
        <v>580</v>
      </c>
      <c r="J734" s="35">
        <v>1185</v>
      </c>
      <c r="K734">
        <v>1116.2010786415763</v>
      </c>
      <c r="L734" s="34">
        <v>-68.79892135842374</v>
      </c>
      <c r="M734" s="56">
        <v>68.79892135842374</v>
      </c>
      <c r="N734" s="56">
        <v>1.8438487112806956</v>
      </c>
      <c r="O734" s="132">
        <f t="shared" si="13"/>
        <v>-1.8438487112806956</v>
      </c>
      <c r="P734" s="56">
        <v>-5.8058161483901891</v>
      </c>
      <c r="Q734" s="143">
        <v>5.8058161483901891</v>
      </c>
      <c r="R734" s="143">
        <v>1285.3689668141506</v>
      </c>
      <c r="S734" s="34">
        <v>100.36896681415055</v>
      </c>
      <c r="T734" s="56">
        <v>100.36896681415055</v>
      </c>
      <c r="U734" s="56">
        <v>2.0059050200449202</v>
      </c>
      <c r="V734" s="56">
        <v>8.4699550054135493</v>
      </c>
      <c r="W734" s="33">
        <v>8.4699550054135493</v>
      </c>
    </row>
    <row r="735" spans="1:23" ht="16" x14ac:dyDescent="0.2">
      <c r="A735" s="103" t="s">
        <v>19</v>
      </c>
      <c r="B735" t="s">
        <v>852</v>
      </c>
      <c r="C735" s="103" t="s">
        <v>970</v>
      </c>
      <c r="D735" s="224" t="s">
        <v>824</v>
      </c>
      <c r="E735" s="35" t="s">
        <v>148</v>
      </c>
      <c r="F735" s="103" t="s">
        <v>967</v>
      </c>
      <c r="G735" s="103">
        <v>0</v>
      </c>
      <c r="H735" s="35" t="s">
        <v>374</v>
      </c>
      <c r="I735" s="35" t="s">
        <v>580</v>
      </c>
      <c r="J735" s="35">
        <v>1210</v>
      </c>
      <c r="K735" s="147">
        <v>1141.1237999999998</v>
      </c>
      <c r="L735" s="34">
        <v>-68.876200000000154</v>
      </c>
      <c r="M735" s="56">
        <v>68.876200000000154</v>
      </c>
      <c r="N735" s="56">
        <v>1.8443292791972115</v>
      </c>
      <c r="O735" s="132">
        <f t="shared" si="13"/>
        <v>-1.8443292791972115</v>
      </c>
      <c r="P735" s="56">
        <v>-5.6922479338843104</v>
      </c>
      <c r="Q735" s="143">
        <v>5.6922479338843104</v>
      </c>
      <c r="R735" s="143">
        <v>1146.605</v>
      </c>
      <c r="S735" s="34">
        <v>-63.394999999999982</v>
      </c>
      <c r="T735" s="56">
        <v>63.394999999999982</v>
      </c>
      <c r="U735" s="56">
        <v>1.80885214753512</v>
      </c>
      <c r="V735" s="56">
        <v>-5.239256198347106</v>
      </c>
      <c r="W735" s="33">
        <v>5.239256198347106</v>
      </c>
    </row>
    <row r="736" spans="1:23" ht="15" x14ac:dyDescent="0.2">
      <c r="A736" s="103" t="s">
        <v>19</v>
      </c>
      <c r="B736" t="s">
        <v>885</v>
      </c>
      <c r="C736" s="224" t="s">
        <v>978</v>
      </c>
      <c r="D736" s="224" t="s">
        <v>824</v>
      </c>
      <c r="E736" s="35" t="s">
        <v>148</v>
      </c>
      <c r="F736" s="103" t="s">
        <v>968</v>
      </c>
      <c r="G736" s="103">
        <v>1</v>
      </c>
      <c r="H736" s="35" t="s">
        <v>374</v>
      </c>
      <c r="I736" s="35" t="s">
        <v>580</v>
      </c>
      <c r="J736" s="35">
        <v>1714</v>
      </c>
      <c r="K736">
        <v>1645.0305270894471</v>
      </c>
      <c r="L736" s="34">
        <v>-68.969472910552895</v>
      </c>
      <c r="M736" s="56">
        <v>68.969472910552895</v>
      </c>
      <c r="N736" s="56">
        <v>1.8449086023257384</v>
      </c>
      <c r="O736" s="132">
        <f t="shared" si="13"/>
        <v>-1.8449086023257384</v>
      </c>
      <c r="P736" s="56">
        <v>-4.0238899014324909</v>
      </c>
      <c r="Q736" s="143">
        <v>4.0238899014324909</v>
      </c>
      <c r="R736" s="143">
        <v>1624.0938483739187</v>
      </c>
      <c r="S736" s="34">
        <v>-89.906151626081282</v>
      </c>
      <c r="T736" s="56">
        <v>89.906151626081282</v>
      </c>
      <c r="U736" s="56">
        <v>1.9585932729564617</v>
      </c>
      <c r="V736" s="56">
        <v>-5.2453997448122101</v>
      </c>
      <c r="W736" s="33">
        <v>5.2453997448122101</v>
      </c>
    </row>
    <row r="737" spans="1:23" ht="16" x14ac:dyDescent="0.2">
      <c r="A737" s="103" t="s">
        <v>19</v>
      </c>
      <c r="B737" t="s">
        <v>866</v>
      </c>
      <c r="C737" s="103" t="s">
        <v>979</v>
      </c>
      <c r="D737" s="224" t="s">
        <v>824</v>
      </c>
      <c r="E737" s="35" t="s">
        <v>148</v>
      </c>
      <c r="F737" s="103" t="s">
        <v>967</v>
      </c>
      <c r="G737" s="103">
        <v>0</v>
      </c>
      <c r="H737" s="35" t="s">
        <v>374</v>
      </c>
      <c r="I737" s="35" t="s">
        <v>580</v>
      </c>
      <c r="J737" s="35">
        <v>1565</v>
      </c>
      <c r="K737" s="147">
        <v>1495.6521739130435</v>
      </c>
      <c r="L737" s="34">
        <v>-69.347826086956502</v>
      </c>
      <c r="M737" s="56">
        <v>69.347826086956502</v>
      </c>
      <c r="N737" s="56">
        <v>1.8472506812586604</v>
      </c>
      <c r="O737" s="132">
        <f t="shared" si="13"/>
        <v>-1.8472506812586604</v>
      </c>
      <c r="P737" s="56">
        <v>-4.4311709959716614</v>
      </c>
      <c r="Q737" s="143">
        <v>4.4311709959716614</v>
      </c>
      <c r="R737" s="143">
        <v>1487.5</v>
      </c>
      <c r="S737" s="34">
        <v>-77.5</v>
      </c>
      <c r="T737" s="56">
        <v>77.5</v>
      </c>
      <c r="U737" s="56">
        <v>1.8948696567452525</v>
      </c>
      <c r="V737" s="56">
        <v>-4.9520766773162936</v>
      </c>
      <c r="W737" s="33">
        <v>4.9520766773162936</v>
      </c>
    </row>
    <row r="738" spans="1:23" ht="16" x14ac:dyDescent="0.2">
      <c r="A738" s="103" t="s">
        <v>19</v>
      </c>
      <c r="B738" t="s">
        <v>877</v>
      </c>
      <c r="C738" s="224" t="s">
        <v>977</v>
      </c>
      <c r="D738" s="224" t="s">
        <v>824</v>
      </c>
      <c r="E738" s="35" t="s">
        <v>148</v>
      </c>
      <c r="F738" s="103" t="s">
        <v>968</v>
      </c>
      <c r="G738" s="103">
        <v>1</v>
      </c>
      <c r="H738" s="35" t="s">
        <v>374</v>
      </c>
      <c r="I738" s="35" t="s">
        <v>580</v>
      </c>
      <c r="J738" s="35">
        <v>1647</v>
      </c>
      <c r="K738" s="147">
        <v>1577.5389072928072</v>
      </c>
      <c r="L738" s="34">
        <v>-69.461092707192847</v>
      </c>
      <c r="M738" s="56">
        <v>69.461092707192847</v>
      </c>
      <c r="N738" s="56">
        <v>1.847949373915114</v>
      </c>
      <c r="O738" s="132">
        <f t="shared" si="13"/>
        <v>-1.847949373915114</v>
      </c>
      <c r="P738" s="56">
        <v>-4.2174312511956797</v>
      </c>
      <c r="Q738" s="143">
        <v>4.2174312511956797</v>
      </c>
      <c r="R738" s="143">
        <v>1570.171208730731</v>
      </c>
      <c r="S738" s="34">
        <v>-76.828791269269004</v>
      </c>
      <c r="T738" s="56">
        <v>76.828791269269004</v>
      </c>
      <c r="U738" s="56">
        <v>1.891140285631054</v>
      </c>
      <c r="V738" s="56">
        <v>-4.6647717831978754</v>
      </c>
      <c r="W738" s="33">
        <v>4.6647717831978754</v>
      </c>
    </row>
    <row r="739" spans="1:23" ht="15" x14ac:dyDescent="0.2">
      <c r="A739" s="103" t="s">
        <v>19</v>
      </c>
      <c r="B739" t="s">
        <v>898</v>
      </c>
      <c r="C739" s="103" t="s">
        <v>979</v>
      </c>
      <c r="D739" s="224" t="s">
        <v>824</v>
      </c>
      <c r="E739" s="35" t="s">
        <v>148</v>
      </c>
      <c r="F739" s="103" t="s">
        <v>967</v>
      </c>
      <c r="G739" s="103">
        <v>0</v>
      </c>
      <c r="H739" s="225" t="s">
        <v>494</v>
      </c>
      <c r="I739" s="35" t="s">
        <v>580</v>
      </c>
      <c r="J739" s="35">
        <v>874</v>
      </c>
      <c r="K739">
        <v>943.47826086956513</v>
      </c>
      <c r="L739" s="34">
        <v>69.478260869565133</v>
      </c>
      <c r="M739" s="56">
        <v>69.478260869565133</v>
      </c>
      <c r="N739" s="56">
        <v>1.8480551788309216</v>
      </c>
      <c r="O739" s="132">
        <f t="shared" si="13"/>
        <v>1.8480551788309216</v>
      </c>
      <c r="P739" s="56">
        <v>7.9494577653964678</v>
      </c>
      <c r="Q739" s="143">
        <v>7.9494577653964678</v>
      </c>
      <c r="R739" s="143">
        <v>950</v>
      </c>
      <c r="S739" s="34">
        <v>76</v>
      </c>
      <c r="T739" s="56">
        <v>76</v>
      </c>
      <c r="U739" s="56">
        <v>1.8864907251724818</v>
      </c>
      <c r="V739" s="56">
        <v>8.695652173913043</v>
      </c>
      <c r="W739" s="33">
        <v>8.695652173913043</v>
      </c>
    </row>
    <row r="740" spans="1:23" ht="15" x14ac:dyDescent="0.2">
      <c r="A740" s="103" t="s">
        <v>19</v>
      </c>
      <c r="B740" s="28" t="s">
        <v>424</v>
      </c>
      <c r="C740" s="103" t="s">
        <v>979</v>
      </c>
      <c r="D740" s="35" t="s">
        <v>458</v>
      </c>
      <c r="E740" s="208" t="s">
        <v>82</v>
      </c>
      <c r="F740" s="103" t="s">
        <v>967</v>
      </c>
      <c r="G740" s="103">
        <v>0</v>
      </c>
      <c r="H740" s="35" t="s">
        <v>374</v>
      </c>
      <c r="I740" s="35" t="s">
        <v>580</v>
      </c>
      <c r="J740" s="35">
        <v>1800</v>
      </c>
      <c r="K740" s="141">
        <v>1730.4347826086955</v>
      </c>
      <c r="L740" s="34">
        <v>-69.565217391304486</v>
      </c>
      <c r="M740" s="56">
        <v>69.565217391304486</v>
      </c>
      <c r="N740" s="56">
        <v>1.8485906838086399</v>
      </c>
      <c r="O740" s="132">
        <f t="shared" si="13"/>
        <v>-1.8485906838086399</v>
      </c>
      <c r="P740" s="56">
        <v>-3.864734299516916</v>
      </c>
      <c r="Q740" s="143">
        <v>3.864734299516916</v>
      </c>
      <c r="R740" s="143">
        <v>1770.8333333333335</v>
      </c>
      <c r="S740" s="34">
        <v>-29.166666666666515</v>
      </c>
      <c r="T740" s="56">
        <v>29.166666666666515</v>
      </c>
      <c r="U740" s="56">
        <v>1.4795273244855387</v>
      </c>
      <c r="V740" s="56">
        <v>-1.620370370370362</v>
      </c>
      <c r="W740" s="33">
        <v>1.620370370370362</v>
      </c>
    </row>
    <row r="741" spans="1:23" ht="16" x14ac:dyDescent="0.2">
      <c r="A741" s="103" t="s">
        <v>19</v>
      </c>
      <c r="B741" t="s">
        <v>855</v>
      </c>
      <c r="C741" s="103" t="s">
        <v>971</v>
      </c>
      <c r="D741" s="224" t="s">
        <v>824</v>
      </c>
      <c r="E741" s="35" t="s">
        <v>148</v>
      </c>
      <c r="F741" s="103" t="s">
        <v>968</v>
      </c>
      <c r="G741" s="103">
        <v>1</v>
      </c>
      <c r="H741" s="225" t="s">
        <v>494</v>
      </c>
      <c r="I741" s="35" t="s">
        <v>580</v>
      </c>
      <c r="J741" s="35">
        <v>980</v>
      </c>
      <c r="K741" s="147">
        <v>910.36458834451139</v>
      </c>
      <c r="L741" s="34">
        <v>-69.63541165548861</v>
      </c>
      <c r="M741" s="56">
        <v>69.63541165548861</v>
      </c>
      <c r="N741" s="56">
        <v>1.8490224805267352</v>
      </c>
      <c r="O741" s="132">
        <f t="shared" si="13"/>
        <v>-1.8490224805267352</v>
      </c>
      <c r="P741" s="56">
        <v>-7.1056542505600619</v>
      </c>
      <c r="Q741" s="143">
        <v>7.1056542505600619</v>
      </c>
      <c r="R741" s="143">
        <v>1061.9757580542462</v>
      </c>
      <c r="S741" s="34">
        <v>81.975758054246171</v>
      </c>
      <c r="T741" s="56">
        <v>81.975758054246171</v>
      </c>
      <c r="U741" s="56">
        <v>1.9189512287488819</v>
      </c>
      <c r="V741" s="56">
        <v>8.3648732708414464</v>
      </c>
      <c r="W741" s="33">
        <v>8.3648732708414464</v>
      </c>
    </row>
    <row r="742" spans="1:23" ht="15" x14ac:dyDescent="0.2">
      <c r="A742" s="103" t="s">
        <v>19</v>
      </c>
      <c r="B742" t="s">
        <v>893</v>
      </c>
      <c r="C742" s="103" t="s">
        <v>979</v>
      </c>
      <c r="D742" s="224" t="s">
        <v>824</v>
      </c>
      <c r="E742" s="35" t="s">
        <v>148</v>
      </c>
      <c r="F742" s="103" t="s">
        <v>967</v>
      </c>
      <c r="G742" s="103">
        <v>0</v>
      </c>
      <c r="H742" s="35" t="s">
        <v>374</v>
      </c>
      <c r="I742" s="35" t="s">
        <v>580</v>
      </c>
      <c r="J742" s="35">
        <v>1274</v>
      </c>
      <c r="K742">
        <v>1204.3478260869565</v>
      </c>
      <c r="L742" s="34">
        <v>-69.652173913043498</v>
      </c>
      <c r="M742" s="56">
        <v>69.652173913043498</v>
      </c>
      <c r="N742" s="56">
        <v>1.8491255292973003</v>
      </c>
      <c r="O742" s="132">
        <f t="shared" si="13"/>
        <v>-1.8491255292973003</v>
      </c>
      <c r="P742" s="56">
        <v>-5.4672036038495682</v>
      </c>
      <c r="Q742" s="143">
        <v>5.4672036038495682</v>
      </c>
      <c r="R742" s="143">
        <v>1195.8333333333335</v>
      </c>
      <c r="S742" s="34">
        <v>-78.166666666666515</v>
      </c>
      <c r="T742" s="56">
        <v>78.166666666666515</v>
      </c>
      <c r="U742" s="56">
        <v>1.8985423592412221</v>
      </c>
      <c r="V742" s="56">
        <v>-6.1355311355311235</v>
      </c>
      <c r="W742" s="33">
        <v>6.1355311355311235</v>
      </c>
    </row>
    <row r="743" spans="1:23" ht="15" x14ac:dyDescent="0.2">
      <c r="A743" s="103" t="s">
        <v>19</v>
      </c>
      <c r="B743" t="s">
        <v>895</v>
      </c>
      <c r="C743" s="224" t="s">
        <v>974</v>
      </c>
      <c r="D743" s="224" t="s">
        <v>824</v>
      </c>
      <c r="E743" s="35" t="s">
        <v>148</v>
      </c>
      <c r="F743" s="103" t="s">
        <v>967</v>
      </c>
      <c r="G743" s="103">
        <v>0</v>
      </c>
      <c r="H743" s="35" t="s">
        <v>494</v>
      </c>
      <c r="I743" s="35" t="s">
        <v>580</v>
      </c>
      <c r="J743" s="35">
        <v>1185</v>
      </c>
      <c r="K743">
        <v>1254.6986999999999</v>
      </c>
      <c r="L743" s="34">
        <v>69.698699999999917</v>
      </c>
      <c r="M743" s="56">
        <v>69.698699999999917</v>
      </c>
      <c r="N743" s="56">
        <v>1.8494114281106586</v>
      </c>
      <c r="O743" s="132">
        <f t="shared" si="13"/>
        <v>1.8494114281106586</v>
      </c>
      <c r="P743" s="56">
        <v>5.8817468354430309</v>
      </c>
      <c r="Q743" s="143">
        <v>5.8817468354430309</v>
      </c>
      <c r="R743" s="143">
        <v>1182.9314999999999</v>
      </c>
      <c r="S743" s="34">
        <v>-2.0685000000000855</v>
      </c>
      <c r="T743" s="56">
        <v>2.0685000000000855</v>
      </c>
      <c r="U743" s="56">
        <v>0.48692612761996273</v>
      </c>
      <c r="V743" s="56">
        <v>-0.17455696202532367</v>
      </c>
      <c r="W743" s="33">
        <v>0.17455696202532367</v>
      </c>
    </row>
    <row r="744" spans="1:23" ht="15" x14ac:dyDescent="0.2">
      <c r="A744" s="103" t="s">
        <v>19</v>
      </c>
      <c r="B744" t="s">
        <v>896</v>
      </c>
      <c r="C744" s="24" t="s">
        <v>980</v>
      </c>
      <c r="D744" s="224" t="s">
        <v>824</v>
      </c>
      <c r="E744" s="35" t="s">
        <v>148</v>
      </c>
      <c r="F744" s="103" t="s">
        <v>968</v>
      </c>
      <c r="G744" s="103">
        <v>1</v>
      </c>
      <c r="H744" s="35" t="s">
        <v>374</v>
      </c>
      <c r="I744" s="35" t="s">
        <v>580</v>
      </c>
      <c r="J744" s="35">
        <v>1750</v>
      </c>
      <c r="K744">
        <v>1680.0945734339318</v>
      </c>
      <c r="L744" s="34">
        <v>-69.905426566068172</v>
      </c>
      <c r="M744" s="56">
        <v>69.905426566068172</v>
      </c>
      <c r="N744" s="56">
        <v>1.8506794740760668</v>
      </c>
      <c r="O744" s="132">
        <f t="shared" si="13"/>
        <v>-1.8506794740760668</v>
      </c>
      <c r="P744" s="56">
        <v>-3.994595803775324</v>
      </c>
      <c r="Q744" s="143">
        <v>3.994595803775324</v>
      </c>
      <c r="R744" s="143">
        <v>1662.8943781330693</v>
      </c>
      <c r="S744" s="34">
        <v>-87.105621866930733</v>
      </c>
      <c r="T744" s="56">
        <v>87.105621866930733</v>
      </c>
      <c r="U744" s="56">
        <v>1.9450036208738977</v>
      </c>
      <c r="V744" s="56">
        <v>-4.9774641066817571</v>
      </c>
      <c r="W744" s="33">
        <v>4.9774641066817571</v>
      </c>
    </row>
    <row r="745" spans="1:23" ht="15" x14ac:dyDescent="0.2">
      <c r="A745" s="103" t="s">
        <v>19</v>
      </c>
      <c r="B745" t="s">
        <v>837</v>
      </c>
      <c r="C745" s="103" t="s">
        <v>979</v>
      </c>
      <c r="D745" s="224" t="s">
        <v>824</v>
      </c>
      <c r="E745" s="35" t="s">
        <v>148</v>
      </c>
      <c r="F745" s="103" t="s">
        <v>967</v>
      </c>
      <c r="G745" s="103">
        <v>0</v>
      </c>
      <c r="H745" s="225" t="s">
        <v>293</v>
      </c>
      <c r="I745" s="35" t="s">
        <v>580</v>
      </c>
      <c r="J745" s="29">
        <v>2570</v>
      </c>
      <c r="K745">
        <v>2500</v>
      </c>
      <c r="L745" s="34">
        <v>-70</v>
      </c>
      <c r="M745" s="56">
        <v>70</v>
      </c>
      <c r="N745" s="56">
        <v>1.8512583487190752</v>
      </c>
      <c r="O745" s="132">
        <f t="shared" si="13"/>
        <v>-1.8512583487190752</v>
      </c>
      <c r="P745" s="56">
        <v>-2.7237354085603114</v>
      </c>
      <c r="Q745" s="143">
        <v>2.7237354085603114</v>
      </c>
      <c r="R745" s="143">
        <v>2541.666666666667</v>
      </c>
      <c r="S745" s="34">
        <v>-28.33333333333303</v>
      </c>
      <c r="T745" s="56">
        <v>28.33333333333303</v>
      </c>
      <c r="U745" s="56">
        <v>1.4673614174305016</v>
      </c>
      <c r="V745" s="56">
        <v>-1.1024643320363048</v>
      </c>
      <c r="W745" s="33">
        <v>1.1024643320363048</v>
      </c>
    </row>
    <row r="746" spans="1:23" ht="15" x14ac:dyDescent="0.2">
      <c r="A746" s="103" t="s">
        <v>19</v>
      </c>
      <c r="B746" s="28" t="s">
        <v>601</v>
      </c>
      <c r="C746" s="103" t="s">
        <v>970</v>
      </c>
      <c r="D746" s="208" t="s">
        <v>403</v>
      </c>
      <c r="E746" s="35" t="s">
        <v>82</v>
      </c>
      <c r="F746" s="103" t="s">
        <v>967</v>
      </c>
      <c r="G746" s="103">
        <v>0</v>
      </c>
      <c r="H746" s="35" t="s">
        <v>203</v>
      </c>
      <c r="I746" s="35" t="s">
        <v>581</v>
      </c>
      <c r="J746" s="35">
        <v>5182</v>
      </c>
      <c r="K746" s="141">
        <v>5252.4285</v>
      </c>
      <c r="L746" s="34">
        <v>70.428499999999985</v>
      </c>
      <c r="M746" s="56">
        <v>70.428499999999985</v>
      </c>
      <c r="N746" s="56">
        <v>1.8538715300270627</v>
      </c>
      <c r="O746" s="132">
        <f t="shared" si="13"/>
        <v>1.8538715300270627</v>
      </c>
      <c r="P746" s="56">
        <v>1.3590988035507523</v>
      </c>
      <c r="Q746" s="143">
        <v>1.3590988035507523</v>
      </c>
      <c r="R746" s="143">
        <v>5567.5040000000008</v>
      </c>
      <c r="S746" s="34">
        <v>385.50400000000081</v>
      </c>
      <c r="T746" s="56">
        <v>385.50400000000081</v>
      </c>
      <c r="U746" s="56">
        <v>2.5871539928699678</v>
      </c>
      <c r="V746" s="56">
        <v>7.439289849478981</v>
      </c>
      <c r="W746" s="33">
        <v>7.439289849478981</v>
      </c>
    </row>
    <row r="747" spans="1:23" ht="16" x14ac:dyDescent="0.2">
      <c r="A747" s="103" t="s">
        <v>19</v>
      </c>
      <c r="B747" t="s">
        <v>841</v>
      </c>
      <c r="C747" s="224" t="s">
        <v>978</v>
      </c>
      <c r="D747" s="224" t="s">
        <v>824</v>
      </c>
      <c r="E747" s="35" t="s">
        <v>148</v>
      </c>
      <c r="F747" s="103" t="s">
        <v>968</v>
      </c>
      <c r="G747" s="103">
        <v>1</v>
      </c>
      <c r="H747" s="35" t="s">
        <v>374</v>
      </c>
      <c r="I747" s="35" t="s">
        <v>580</v>
      </c>
      <c r="J747" s="35">
        <v>1325</v>
      </c>
      <c r="K747" s="147">
        <v>1254.4677287995526</v>
      </c>
      <c r="L747" s="34">
        <v>-70.53227120044744</v>
      </c>
      <c r="M747" s="56">
        <v>70.53227120044744</v>
      </c>
      <c r="N747" s="56">
        <v>1.8545020144217892</v>
      </c>
      <c r="O747" s="132">
        <f t="shared" si="13"/>
        <v>-1.8545020144217892</v>
      </c>
      <c r="P747" s="56">
        <v>-5.3231902792790518</v>
      </c>
      <c r="Q747" s="143">
        <v>5.3231902792790518</v>
      </c>
      <c r="R747" s="143">
        <v>1249.367268257412</v>
      </c>
      <c r="S747" s="34">
        <v>-75.632731742588021</v>
      </c>
      <c r="T747" s="56">
        <v>75.632731742588021</v>
      </c>
      <c r="U747" s="56">
        <v>1.8844143072164297</v>
      </c>
      <c r="V747" s="56">
        <v>-5.7081306975538126</v>
      </c>
      <c r="W747" s="33">
        <v>5.7081306975538126</v>
      </c>
    </row>
    <row r="748" spans="1:23" ht="15" x14ac:dyDescent="0.2">
      <c r="A748" s="103" t="s">
        <v>19</v>
      </c>
      <c r="B748" t="s">
        <v>836</v>
      </c>
      <c r="C748" s="224" t="s">
        <v>977</v>
      </c>
      <c r="D748" s="224" t="s">
        <v>824</v>
      </c>
      <c r="E748" s="35" t="s">
        <v>148</v>
      </c>
      <c r="F748" s="103" t="s">
        <v>968</v>
      </c>
      <c r="G748" s="103">
        <v>1</v>
      </c>
      <c r="H748" s="35" t="s">
        <v>374</v>
      </c>
      <c r="I748" s="35" t="s">
        <v>580</v>
      </c>
      <c r="J748" s="35">
        <v>2190</v>
      </c>
      <c r="K748">
        <v>2260.5615019359157</v>
      </c>
      <c r="L748" s="34">
        <v>70.561501935915658</v>
      </c>
      <c r="M748" s="56">
        <v>70.561501935915658</v>
      </c>
      <c r="N748" s="56">
        <v>1.8546794469824683</v>
      </c>
      <c r="O748" s="132">
        <f t="shared" si="13"/>
        <v>1.8546794469824683</v>
      </c>
      <c r="P748" s="56">
        <v>3.2219863897678382</v>
      </c>
      <c r="Q748" s="143">
        <v>3.2219863897678382</v>
      </c>
      <c r="R748" s="143">
        <v>2280.7904527244486</v>
      </c>
      <c r="S748" s="34">
        <v>90.790452724448642</v>
      </c>
      <c r="T748" s="56">
        <v>90.790452724448642</v>
      </c>
      <c r="U748" s="56">
        <v>1.9627975118688357</v>
      </c>
      <c r="V748" s="56">
        <v>4.1456827728058743</v>
      </c>
      <c r="W748" s="33">
        <v>4.1456827728058743</v>
      </c>
    </row>
    <row r="749" spans="1:23" ht="16" x14ac:dyDescent="0.2">
      <c r="A749" s="103" t="s">
        <v>19</v>
      </c>
      <c r="B749" t="s">
        <v>871</v>
      </c>
      <c r="C749" s="103" t="s">
        <v>979</v>
      </c>
      <c r="D749" s="224" t="s">
        <v>824</v>
      </c>
      <c r="E749" s="35" t="s">
        <v>148</v>
      </c>
      <c r="F749" s="103" t="s">
        <v>967</v>
      </c>
      <c r="G749" s="103">
        <v>0</v>
      </c>
      <c r="H749" s="35" t="s">
        <v>374</v>
      </c>
      <c r="I749" s="35" t="s">
        <v>580</v>
      </c>
      <c r="J749" s="35">
        <v>1575</v>
      </c>
      <c r="K749" s="147">
        <v>1504.3478260869565</v>
      </c>
      <c r="L749" s="34">
        <v>-70.652173913043498</v>
      </c>
      <c r="M749" s="56">
        <v>70.652173913043498</v>
      </c>
      <c r="N749" s="56">
        <v>1.8552293713435042</v>
      </c>
      <c r="O749" s="132">
        <f t="shared" si="13"/>
        <v>-1.8552293713435042</v>
      </c>
      <c r="P749" s="56">
        <v>-4.4858523119392695</v>
      </c>
      <c r="Q749" s="143">
        <v>4.4858523119392695</v>
      </c>
      <c r="R749" s="143">
        <v>1520.8333333333335</v>
      </c>
      <c r="S749" s="34">
        <v>-54.166666666666515</v>
      </c>
      <c r="T749" s="56">
        <v>54.166666666666515</v>
      </c>
      <c r="U749" s="56">
        <v>1.7416767433920739</v>
      </c>
      <c r="V749" s="56">
        <v>-3.4391534391534297</v>
      </c>
      <c r="W749" s="33">
        <v>3.4391534391534297</v>
      </c>
    </row>
    <row r="750" spans="1:23" ht="16" x14ac:dyDescent="0.2">
      <c r="A750" s="103" t="s">
        <v>19</v>
      </c>
      <c r="B750" t="s">
        <v>852</v>
      </c>
      <c r="C750" s="103" t="s">
        <v>979</v>
      </c>
      <c r="D750" s="224" t="s">
        <v>824</v>
      </c>
      <c r="E750" s="35" t="s">
        <v>148</v>
      </c>
      <c r="F750" s="103" t="s">
        <v>967</v>
      </c>
      <c r="G750" s="103">
        <v>0</v>
      </c>
      <c r="H750" s="35" t="s">
        <v>374</v>
      </c>
      <c r="I750" s="35" t="s">
        <v>580</v>
      </c>
      <c r="J750" s="35">
        <v>1210</v>
      </c>
      <c r="K750" s="147">
        <v>1139.1304347826087</v>
      </c>
      <c r="L750" s="34">
        <v>-70.869565217391255</v>
      </c>
      <c r="M750" s="56">
        <v>70.869565217391255</v>
      </c>
      <c r="N750" s="56">
        <v>1.8565450175538543</v>
      </c>
      <c r="O750" s="132">
        <f t="shared" si="13"/>
        <v>-1.8565450175538543</v>
      </c>
      <c r="P750" s="56">
        <v>-5.856988860941426</v>
      </c>
      <c r="Q750" s="143">
        <v>5.856988860941426</v>
      </c>
      <c r="R750" s="143">
        <v>1145.8333333333335</v>
      </c>
      <c r="S750" s="34">
        <v>-64.166666666666515</v>
      </c>
      <c r="T750" s="56">
        <v>64.166666666666515</v>
      </c>
      <c r="U750" s="56">
        <v>1.8140255070122222</v>
      </c>
      <c r="V750" s="56">
        <v>-5.3030303030302903</v>
      </c>
      <c r="W750" s="33">
        <v>5.3030303030302903</v>
      </c>
    </row>
    <row r="751" spans="1:23" ht="15" x14ac:dyDescent="0.2">
      <c r="A751" s="103" t="s">
        <v>19</v>
      </c>
      <c r="B751" t="s">
        <v>893</v>
      </c>
      <c r="C751" s="24" t="s">
        <v>980</v>
      </c>
      <c r="D751" s="224" t="s">
        <v>824</v>
      </c>
      <c r="E751" s="35" t="s">
        <v>148</v>
      </c>
      <c r="F751" s="103" t="s">
        <v>968</v>
      </c>
      <c r="G751" s="103">
        <v>1</v>
      </c>
      <c r="H751" s="35" t="s">
        <v>374</v>
      </c>
      <c r="I751" s="35" t="s">
        <v>580</v>
      </c>
      <c r="J751" s="35">
        <v>1274</v>
      </c>
      <c r="K751">
        <v>1203.0778372925508</v>
      </c>
      <c r="L751" s="34">
        <v>-70.922162707449161</v>
      </c>
      <c r="M751" s="56">
        <v>70.922162707449161</v>
      </c>
      <c r="N751" s="56">
        <v>1.8568627382050014</v>
      </c>
      <c r="O751" s="132">
        <f t="shared" si="13"/>
        <v>-1.8568627382050014</v>
      </c>
      <c r="P751" s="56">
        <v>-5.5668887525470296</v>
      </c>
      <c r="Q751" s="143">
        <v>5.5668887525470296</v>
      </c>
      <c r="R751" s="143">
        <v>1181.5987966479629</v>
      </c>
      <c r="S751" s="34">
        <v>-92.401203352037101</v>
      </c>
      <c r="T751" s="56">
        <v>92.401203352037101</v>
      </c>
      <c r="U751" s="56">
        <v>1.9703524715810883</v>
      </c>
      <c r="V751" s="56">
        <v>-7.2528417073812479</v>
      </c>
      <c r="W751" s="33">
        <v>7.2528417073812479</v>
      </c>
    </row>
    <row r="752" spans="1:23" ht="15" x14ac:dyDescent="0.2">
      <c r="A752" s="103" t="s">
        <v>19</v>
      </c>
      <c r="B752" t="s">
        <v>891</v>
      </c>
      <c r="C752" s="224" t="s">
        <v>974</v>
      </c>
      <c r="D752" s="224" t="s">
        <v>824</v>
      </c>
      <c r="E752" s="35" t="s">
        <v>148</v>
      </c>
      <c r="F752" s="103" t="s">
        <v>967</v>
      </c>
      <c r="G752" s="103">
        <v>0</v>
      </c>
      <c r="H752" s="35" t="s">
        <v>374</v>
      </c>
      <c r="I752" s="35" t="s">
        <v>580</v>
      </c>
      <c r="J752" s="35">
        <v>1704</v>
      </c>
      <c r="K752">
        <v>1775.2308</v>
      </c>
      <c r="L752" s="34">
        <v>71.230800000000045</v>
      </c>
      <c r="M752" s="56">
        <v>71.230800000000045</v>
      </c>
      <c r="N752" s="56">
        <v>1.8587224249622092</v>
      </c>
      <c r="O752" s="132">
        <f t="shared" si="13"/>
        <v>1.8587224249622092</v>
      </c>
      <c r="P752" s="56">
        <v>4.1802112676056362</v>
      </c>
      <c r="Q752" s="143">
        <v>4.1802112676056362</v>
      </c>
      <c r="R752" s="143">
        <v>1680.5402999999999</v>
      </c>
      <c r="S752" s="34">
        <v>-23.459700000000112</v>
      </c>
      <c r="T752" s="56">
        <v>23.459700000000112</v>
      </c>
      <c r="U752" s="56">
        <v>1.3884511260795178</v>
      </c>
      <c r="V752" s="56">
        <v>-1.3767429577464854</v>
      </c>
      <c r="W752" s="33">
        <v>1.3767429577464854</v>
      </c>
    </row>
    <row r="753" spans="1:23" ht="16" x14ac:dyDescent="0.2">
      <c r="A753" s="103" t="s">
        <v>19</v>
      </c>
      <c r="B753" t="s">
        <v>875</v>
      </c>
      <c r="C753" s="24" t="s">
        <v>980</v>
      </c>
      <c r="D753" s="224" t="s">
        <v>824</v>
      </c>
      <c r="E753" s="35" t="s">
        <v>148</v>
      </c>
      <c r="F753" s="103" t="s">
        <v>968</v>
      </c>
      <c r="G753" s="103">
        <v>1</v>
      </c>
      <c r="H753" s="35" t="s">
        <v>374</v>
      </c>
      <c r="I753" s="35" t="s">
        <v>580</v>
      </c>
      <c r="J753" s="35">
        <v>1490</v>
      </c>
      <c r="K753" s="147">
        <v>1561.5806763918238</v>
      </c>
      <c r="L753" s="34">
        <v>71.580676391823772</v>
      </c>
      <c r="M753" s="56">
        <v>71.580676391823772</v>
      </c>
      <c r="N753" s="56">
        <v>1.8608210111484713</v>
      </c>
      <c r="O753" s="132">
        <f t="shared" si="13"/>
        <v>1.8608210111484713</v>
      </c>
      <c r="P753" s="56">
        <v>4.8040722410619985</v>
      </c>
      <c r="Q753" s="143">
        <v>4.8040722410619985</v>
      </c>
      <c r="R753" s="143">
        <v>1521.2455873906083</v>
      </c>
      <c r="S753" s="34">
        <v>31.245587390608307</v>
      </c>
      <c r="T753" s="56">
        <v>31.245587390608307</v>
      </c>
      <c r="U753" s="56">
        <v>1.5084702925208848</v>
      </c>
      <c r="V753" s="56">
        <v>2.0970192879602889</v>
      </c>
      <c r="W753" s="33">
        <v>2.0970192879602889</v>
      </c>
    </row>
    <row r="754" spans="1:23" ht="15" x14ac:dyDescent="0.2">
      <c r="A754" s="103" t="s">
        <v>19</v>
      </c>
      <c r="B754" t="s">
        <v>895</v>
      </c>
      <c r="C754" s="103" t="s">
        <v>975</v>
      </c>
      <c r="D754" s="224" t="s">
        <v>824</v>
      </c>
      <c r="E754" s="35" t="s">
        <v>148</v>
      </c>
      <c r="F754" s="103" t="s">
        <v>967</v>
      </c>
      <c r="G754" s="103">
        <v>0</v>
      </c>
      <c r="H754" s="35" t="s">
        <v>494</v>
      </c>
      <c r="I754" s="35" t="s">
        <v>580</v>
      </c>
      <c r="J754" s="35">
        <v>1185</v>
      </c>
      <c r="K754">
        <v>1257.1153999999999</v>
      </c>
      <c r="L754" s="34">
        <v>72.115399999999909</v>
      </c>
      <c r="M754" s="56">
        <v>72.115399999999909</v>
      </c>
      <c r="N754" s="56">
        <v>1.8640088602769362</v>
      </c>
      <c r="O754" s="132">
        <f t="shared" si="13"/>
        <v>1.8640088602769362</v>
      </c>
      <c r="P754" s="56">
        <v>6.0856877637130724</v>
      </c>
      <c r="Q754" s="143">
        <v>6.0856877637130724</v>
      </c>
      <c r="R754" s="143">
        <v>1262.4590000000001</v>
      </c>
      <c r="S754" s="34">
        <v>77.45900000000006</v>
      </c>
      <c r="T754" s="56">
        <v>77.45900000000006</v>
      </c>
      <c r="U754" s="56">
        <v>1.8946427685239591</v>
      </c>
      <c r="V754" s="56">
        <v>6.5366244725738447</v>
      </c>
      <c r="W754" s="33">
        <v>6.5366244725738447</v>
      </c>
    </row>
    <row r="755" spans="1:23" ht="16" x14ac:dyDescent="0.2">
      <c r="A755" s="103" t="s">
        <v>19</v>
      </c>
      <c r="B755" t="s">
        <v>863</v>
      </c>
      <c r="C755" s="103" t="s">
        <v>975</v>
      </c>
      <c r="D755" s="224" t="s">
        <v>824</v>
      </c>
      <c r="E755" s="35" t="s">
        <v>148</v>
      </c>
      <c r="F755" s="103" t="s">
        <v>967</v>
      </c>
      <c r="G755" s="103">
        <v>0</v>
      </c>
      <c r="H755" s="225" t="s">
        <v>494</v>
      </c>
      <c r="I755" s="35" t="s">
        <v>580</v>
      </c>
      <c r="J755" s="35">
        <v>1110</v>
      </c>
      <c r="K755" s="147">
        <v>1182.239</v>
      </c>
      <c r="L755" s="34">
        <v>72.239000000000033</v>
      </c>
      <c r="M755" s="56">
        <v>72.239000000000033</v>
      </c>
      <c r="N755" s="56">
        <v>1.864742405844749</v>
      </c>
      <c r="O755" s="132">
        <f t="shared" si="13"/>
        <v>1.864742405844749</v>
      </c>
      <c r="P755" s="56">
        <v>6.5080180180180207</v>
      </c>
      <c r="Q755" s="143">
        <v>6.5080180180180207</v>
      </c>
      <c r="R755" s="143">
        <v>1182.3910000000001</v>
      </c>
      <c r="S755" s="34">
        <v>72.391000000000076</v>
      </c>
      <c r="T755" s="56">
        <v>72.391000000000076</v>
      </c>
      <c r="U755" s="56">
        <v>1.8656428052840837</v>
      </c>
      <c r="V755" s="56">
        <v>6.5217117117117187</v>
      </c>
      <c r="W755" s="33">
        <v>6.5217117117117187</v>
      </c>
    </row>
    <row r="756" spans="1:23" ht="16" x14ac:dyDescent="0.2">
      <c r="A756" s="103" t="s">
        <v>19</v>
      </c>
      <c r="B756" t="s">
        <v>870</v>
      </c>
      <c r="C756" s="103" t="s">
        <v>970</v>
      </c>
      <c r="D756" s="224" t="s">
        <v>824</v>
      </c>
      <c r="E756" s="35" t="s">
        <v>148</v>
      </c>
      <c r="F756" s="103" t="s">
        <v>967</v>
      </c>
      <c r="G756" s="103">
        <v>0</v>
      </c>
      <c r="H756" s="35" t="s">
        <v>374</v>
      </c>
      <c r="I756" s="35" t="s">
        <v>580</v>
      </c>
      <c r="J756" s="35">
        <v>1582</v>
      </c>
      <c r="K756" s="147">
        <v>1654.3544000000002</v>
      </c>
      <c r="L756" s="34">
        <v>72.354400000000169</v>
      </c>
      <c r="M756" s="56">
        <v>72.354400000000169</v>
      </c>
      <c r="N756" s="56">
        <v>1.8654261691460212</v>
      </c>
      <c r="O756" s="132">
        <f t="shared" si="13"/>
        <v>1.8654261691460212</v>
      </c>
      <c r="P756" s="56">
        <v>4.5736030341340186</v>
      </c>
      <c r="Q756" s="143">
        <v>4.5736030341340186</v>
      </c>
      <c r="R756" s="143">
        <v>1699.9160000000002</v>
      </c>
      <c r="S756" s="34">
        <v>117.91600000000017</v>
      </c>
      <c r="T756" s="56">
        <v>117.91600000000017</v>
      </c>
      <c r="U756" s="56">
        <v>2.0752402923328992</v>
      </c>
      <c r="V756" s="56">
        <v>7.4536030341340185</v>
      </c>
      <c r="W756" s="33">
        <v>7.4536030341340185</v>
      </c>
    </row>
    <row r="757" spans="1:23" ht="16" x14ac:dyDescent="0.2">
      <c r="A757" s="103" t="s">
        <v>19</v>
      </c>
      <c r="B757" t="s">
        <v>852</v>
      </c>
      <c r="C757" s="224" t="s">
        <v>977</v>
      </c>
      <c r="D757" s="224" t="s">
        <v>824</v>
      </c>
      <c r="E757" s="35" t="s">
        <v>148</v>
      </c>
      <c r="F757" s="103" t="s">
        <v>968</v>
      </c>
      <c r="G757" s="103">
        <v>1</v>
      </c>
      <c r="H757" s="35" t="s">
        <v>374</v>
      </c>
      <c r="I757" s="35" t="s">
        <v>580</v>
      </c>
      <c r="J757" s="35">
        <v>1210</v>
      </c>
      <c r="K757" s="147">
        <v>1137.4904101763043</v>
      </c>
      <c r="L757" s="34">
        <v>-72.509589823695705</v>
      </c>
      <c r="M757" s="56">
        <v>72.509589823695705</v>
      </c>
      <c r="N757" s="56">
        <v>1.866343999435732</v>
      </c>
      <c r="O757" s="132">
        <f t="shared" si="13"/>
        <v>-1.866343999435732</v>
      </c>
      <c r="P757" s="56">
        <v>-5.9925280846029505</v>
      </c>
      <c r="Q757" s="143">
        <v>5.9925280846029505</v>
      </c>
      <c r="R757" s="143">
        <v>1133.9076453703744</v>
      </c>
      <c r="S757" s="34">
        <v>-76.092354629625561</v>
      </c>
      <c r="T757" s="56">
        <v>76.092354629625561</v>
      </c>
      <c r="U757" s="56">
        <v>1.8870113105178563</v>
      </c>
      <c r="V757" s="56">
        <v>-6.2886243495558318</v>
      </c>
      <c r="W757" s="33">
        <v>6.2886243495558318</v>
      </c>
    </row>
    <row r="758" spans="1:23" ht="15" x14ac:dyDescent="0.2">
      <c r="A758" s="103" t="s">
        <v>19</v>
      </c>
      <c r="B758" s="28" t="s">
        <v>459</v>
      </c>
      <c r="C758" s="103" t="s">
        <v>971</v>
      </c>
      <c r="D758" s="35" t="s">
        <v>458</v>
      </c>
      <c r="E758" s="208" t="s">
        <v>82</v>
      </c>
      <c r="F758" s="103" t="s">
        <v>968</v>
      </c>
      <c r="G758" s="103">
        <v>1</v>
      </c>
      <c r="H758" s="35" t="s">
        <v>374</v>
      </c>
      <c r="I758" s="35" t="s">
        <v>580</v>
      </c>
      <c r="J758" s="35">
        <v>1640</v>
      </c>
      <c r="K758" s="141">
        <v>1567.4690896987781</v>
      </c>
      <c r="L758" s="34">
        <v>-72.530910301221866</v>
      </c>
      <c r="M758" s="56">
        <v>72.530910301221866</v>
      </c>
      <c r="N758" s="56">
        <v>1.8664699425030935</v>
      </c>
      <c r="O758" s="132">
        <f t="shared" si="13"/>
        <v>-1.8664699425030935</v>
      </c>
      <c r="P758" s="56">
        <v>-4.4226164817818212</v>
      </c>
      <c r="Q758" s="143">
        <v>4.4226164817818212</v>
      </c>
      <c r="R758" s="143">
        <v>1785.4740131564872</v>
      </c>
      <c r="S758" s="34">
        <v>145.47401315648722</v>
      </c>
      <c r="T758" s="56">
        <v>145.47401315648722</v>
      </c>
      <c r="U758" s="56">
        <v>2.1657605807049114</v>
      </c>
      <c r="V758" s="56">
        <v>8.870366655883366</v>
      </c>
      <c r="W758" s="33">
        <v>8.870366655883366</v>
      </c>
    </row>
    <row r="759" spans="1:23" ht="16" x14ac:dyDescent="0.2">
      <c r="A759" s="103" t="s">
        <v>19</v>
      </c>
      <c r="B759" t="s">
        <v>865</v>
      </c>
      <c r="C759" s="103" t="s">
        <v>970</v>
      </c>
      <c r="D759" s="224" t="s">
        <v>824</v>
      </c>
      <c r="E759" s="35" t="s">
        <v>148</v>
      </c>
      <c r="F759" s="103" t="s">
        <v>967</v>
      </c>
      <c r="G759" s="103">
        <v>0</v>
      </c>
      <c r="H759" s="35" t="s">
        <v>374</v>
      </c>
      <c r="I759" s="35" t="s">
        <v>580</v>
      </c>
      <c r="J759" s="35">
        <v>1598</v>
      </c>
      <c r="K759" s="147">
        <v>1670.7341000000001</v>
      </c>
      <c r="L759" s="34">
        <v>72.734100000000126</v>
      </c>
      <c r="M759" s="56">
        <v>72.734100000000126</v>
      </c>
      <c r="N759" s="56">
        <v>1.867668383609723</v>
      </c>
      <c r="O759" s="132">
        <f t="shared" si="13"/>
        <v>1.867668383609723</v>
      </c>
      <c r="P759" s="56">
        <v>4.5515707133917473</v>
      </c>
      <c r="Q759" s="143">
        <v>4.5515707133917473</v>
      </c>
      <c r="R759" s="143">
        <v>1705.5050000000001</v>
      </c>
      <c r="S759" s="34">
        <v>107.50500000000011</v>
      </c>
      <c r="T759" s="56">
        <v>107.50500000000011</v>
      </c>
      <c r="U759" s="56">
        <v>2.0354497512940153</v>
      </c>
      <c r="V759" s="56">
        <v>6.7274718397997564</v>
      </c>
      <c r="W759" s="33">
        <v>6.7274718397997564</v>
      </c>
    </row>
    <row r="760" spans="1:23" ht="16" x14ac:dyDescent="0.2">
      <c r="A760" s="103" t="s">
        <v>19</v>
      </c>
      <c r="B760" t="s">
        <v>869</v>
      </c>
      <c r="C760" s="103" t="s">
        <v>979</v>
      </c>
      <c r="D760" s="224" t="s">
        <v>824</v>
      </c>
      <c r="E760" s="35" t="s">
        <v>148</v>
      </c>
      <c r="F760" s="103" t="s">
        <v>967</v>
      </c>
      <c r="G760" s="103">
        <v>0</v>
      </c>
      <c r="H760" s="35" t="s">
        <v>374</v>
      </c>
      <c r="I760" s="35" t="s">
        <v>580</v>
      </c>
      <c r="J760" s="35">
        <v>1686</v>
      </c>
      <c r="K760" s="147">
        <v>1613.0434782608695</v>
      </c>
      <c r="L760" s="34">
        <v>-72.956521739130494</v>
      </c>
      <c r="M760" s="56">
        <v>72.956521739130494</v>
      </c>
      <c r="N760" s="56">
        <v>1.8689764775949764</v>
      </c>
      <c r="O760" s="132">
        <f t="shared" si="13"/>
        <v>-1.8689764775949764</v>
      </c>
      <c r="P760" s="56">
        <v>-4.3271958326886413</v>
      </c>
      <c r="Q760" s="143">
        <v>4.3271958326886413</v>
      </c>
      <c r="R760" s="143">
        <v>1625</v>
      </c>
      <c r="S760" s="34">
        <v>-61</v>
      </c>
      <c r="T760" s="56">
        <v>61</v>
      </c>
      <c r="U760" s="56">
        <v>1.7923916894982539</v>
      </c>
      <c r="V760" s="56">
        <v>-3.6180308422301306</v>
      </c>
      <c r="W760" s="33">
        <v>3.6180308422301306</v>
      </c>
    </row>
    <row r="761" spans="1:23" ht="16" x14ac:dyDescent="0.2">
      <c r="A761" s="103" t="s">
        <v>19</v>
      </c>
      <c r="B761" t="s">
        <v>871</v>
      </c>
      <c r="C761" s="103" t="s">
        <v>971</v>
      </c>
      <c r="D761" s="224" t="s">
        <v>824</v>
      </c>
      <c r="E761" s="35" t="s">
        <v>148</v>
      </c>
      <c r="F761" s="103" t="s">
        <v>968</v>
      </c>
      <c r="G761" s="103">
        <v>1</v>
      </c>
      <c r="H761" s="35" t="s">
        <v>374</v>
      </c>
      <c r="I761" s="35" t="s">
        <v>580</v>
      </c>
      <c r="J761" s="35">
        <v>1575</v>
      </c>
      <c r="K761" s="147">
        <v>1501.9373849828262</v>
      </c>
      <c r="L761" s="34">
        <v>-73.062615017173812</v>
      </c>
      <c r="M761" s="56">
        <v>73.062615017173812</v>
      </c>
      <c r="N761" s="56">
        <v>1.8695990421379296</v>
      </c>
      <c r="O761" s="132">
        <f t="shared" si="13"/>
        <v>-1.8695990421379296</v>
      </c>
      <c r="P761" s="56">
        <v>-4.6388961915665909</v>
      </c>
      <c r="Q761" s="143">
        <v>4.6388961915665909</v>
      </c>
      <c r="R761" s="143">
        <v>1728.6091029121608</v>
      </c>
      <c r="S761" s="34">
        <v>153.60910291216078</v>
      </c>
      <c r="T761" s="56">
        <v>153.60910291216078</v>
      </c>
      <c r="U761" s="56">
        <v>2.1892350602688389</v>
      </c>
      <c r="V761" s="56">
        <v>9.7529589150578264</v>
      </c>
      <c r="W761" s="33">
        <v>9.7529589150578264</v>
      </c>
    </row>
    <row r="762" spans="1:23" ht="15" x14ac:dyDescent="0.2">
      <c r="A762" s="103" t="s">
        <v>19</v>
      </c>
      <c r="B762" t="s">
        <v>892</v>
      </c>
      <c r="C762" s="224" t="s">
        <v>978</v>
      </c>
      <c r="D762" s="224" t="s">
        <v>824</v>
      </c>
      <c r="E762" s="35" t="s">
        <v>148</v>
      </c>
      <c r="F762" s="103" t="s">
        <v>968</v>
      </c>
      <c r="G762" s="103">
        <v>1</v>
      </c>
      <c r="H762" s="35" t="s">
        <v>494</v>
      </c>
      <c r="I762" s="35" t="s">
        <v>580</v>
      </c>
      <c r="J762" s="35">
        <v>1090</v>
      </c>
      <c r="K762">
        <v>1016.6840673378739</v>
      </c>
      <c r="L762" s="34">
        <v>-73.315932662126102</v>
      </c>
      <c r="M762" s="56">
        <v>73.315932662126102</v>
      </c>
      <c r="N762" s="56">
        <v>1.8710819325419328</v>
      </c>
      <c r="O762" s="132">
        <f t="shared" si="13"/>
        <v>-1.8710819325419328</v>
      </c>
      <c r="P762" s="56">
        <v>-6.7262323543234963</v>
      </c>
      <c r="Q762" s="143">
        <v>6.7262323543234963</v>
      </c>
      <c r="R762" s="143">
        <v>995.65441748754699</v>
      </c>
      <c r="S762" s="34">
        <v>-94.345582512453007</v>
      </c>
      <c r="T762" s="56">
        <v>94.345582512453007</v>
      </c>
      <c r="U762" s="56">
        <v>1.9793005764076359</v>
      </c>
      <c r="V762" s="56">
        <v>-8.6555580286654124</v>
      </c>
      <c r="W762" s="33">
        <v>8.6555580286654124</v>
      </c>
    </row>
    <row r="763" spans="1:23" ht="16" x14ac:dyDescent="0.2">
      <c r="A763" s="103" t="s">
        <v>19</v>
      </c>
      <c r="B763" t="s">
        <v>866</v>
      </c>
      <c r="C763" s="103" t="s">
        <v>971</v>
      </c>
      <c r="D763" s="224" t="s">
        <v>824</v>
      </c>
      <c r="E763" s="35" t="s">
        <v>148</v>
      </c>
      <c r="F763" s="103" t="s">
        <v>968</v>
      </c>
      <c r="G763" s="103">
        <v>1</v>
      </c>
      <c r="H763" s="35" t="s">
        <v>374</v>
      </c>
      <c r="I763" s="35" t="s">
        <v>580</v>
      </c>
      <c r="J763" s="35">
        <v>1565</v>
      </c>
      <c r="K763" s="147">
        <v>1491.0706144150934</v>
      </c>
      <c r="L763" s="34">
        <v>-73.92938558490664</v>
      </c>
      <c r="M763" s="56">
        <v>73.92938558490664</v>
      </c>
      <c r="N763" s="56">
        <v>1.8746521714319637</v>
      </c>
      <c r="O763" s="132">
        <f t="shared" si="13"/>
        <v>-1.8746521714319637</v>
      </c>
      <c r="P763" s="56">
        <v>-4.7239224015914782</v>
      </c>
      <c r="Q763" s="143">
        <v>4.7239224015914782</v>
      </c>
      <c r="R763" s="143">
        <v>1683.3378135813773</v>
      </c>
      <c r="S763" s="34">
        <v>118.3378135813773</v>
      </c>
      <c r="T763" s="56">
        <v>118.3378135813773</v>
      </c>
      <c r="U763" s="56">
        <v>2.0767780767606232</v>
      </c>
      <c r="V763" s="56">
        <v>7.5615216345927987</v>
      </c>
      <c r="W763" s="33">
        <v>7.5615216345927987</v>
      </c>
    </row>
    <row r="764" spans="1:23" ht="16" x14ac:dyDescent="0.2">
      <c r="A764" s="103" t="s">
        <v>19</v>
      </c>
      <c r="B764" t="s">
        <v>872</v>
      </c>
      <c r="C764" s="103" t="s">
        <v>970</v>
      </c>
      <c r="D764" s="224" t="s">
        <v>824</v>
      </c>
      <c r="E764" s="35" t="s">
        <v>148</v>
      </c>
      <c r="F764" s="103" t="s">
        <v>967</v>
      </c>
      <c r="G764" s="103">
        <v>0</v>
      </c>
      <c r="H764" s="35" t="s">
        <v>374</v>
      </c>
      <c r="I764" s="35" t="s">
        <v>580</v>
      </c>
      <c r="J764" s="35">
        <v>1684</v>
      </c>
      <c r="K764" s="147">
        <v>1758.0925000000002</v>
      </c>
      <c r="L764" s="34">
        <v>74.0925000000002</v>
      </c>
      <c r="M764" s="56">
        <v>74.0925000000002</v>
      </c>
      <c r="N764" s="56">
        <v>1.8755965632189675</v>
      </c>
      <c r="O764" s="132">
        <f t="shared" si="13"/>
        <v>1.8755965632189675</v>
      </c>
      <c r="P764" s="56">
        <v>4.3997921615202022</v>
      </c>
      <c r="Q764" s="143">
        <v>4.3997921615202022</v>
      </c>
      <c r="R764" s="143">
        <v>1755.8060000000005</v>
      </c>
      <c r="S764" s="34">
        <v>71.806000000000495</v>
      </c>
      <c r="T764" s="56">
        <v>71.806000000000495</v>
      </c>
      <c r="U764" s="56">
        <v>1.8621671713393699</v>
      </c>
      <c r="V764" s="56">
        <v>4.2640142517815018</v>
      </c>
      <c r="W764" s="33">
        <v>4.2640142517815018</v>
      </c>
    </row>
    <row r="765" spans="1:23" ht="16" x14ac:dyDescent="0.2">
      <c r="A765" s="103" t="s">
        <v>19</v>
      </c>
      <c r="B765" t="s">
        <v>860</v>
      </c>
      <c r="C765" s="103" t="s">
        <v>971</v>
      </c>
      <c r="D765" s="224" t="s">
        <v>824</v>
      </c>
      <c r="E765" s="35" t="s">
        <v>148</v>
      </c>
      <c r="F765" s="103" t="s">
        <v>968</v>
      </c>
      <c r="G765" s="103">
        <v>1</v>
      </c>
      <c r="H765" s="35" t="s">
        <v>494</v>
      </c>
      <c r="I765" s="35" t="s">
        <v>580</v>
      </c>
      <c r="J765" s="35">
        <v>1029</v>
      </c>
      <c r="K765" s="147">
        <v>954.81592474782713</v>
      </c>
      <c r="L765" s="34">
        <v>-74.184075252172875</v>
      </c>
      <c r="M765" s="56">
        <v>74.184075252172875</v>
      </c>
      <c r="N765" s="56">
        <v>1.8761258623669363</v>
      </c>
      <c r="O765" s="132">
        <f t="shared" si="13"/>
        <v>-1.8761258623669363</v>
      </c>
      <c r="P765" s="56">
        <v>-7.2093367592004745</v>
      </c>
      <c r="Q765" s="143">
        <v>7.2093367592004745</v>
      </c>
      <c r="R765" s="143">
        <v>1098.7129690031593</v>
      </c>
      <c r="S765" s="34">
        <v>69.712969003159287</v>
      </c>
      <c r="T765" s="56">
        <v>69.712969003159287</v>
      </c>
      <c r="U765" s="56">
        <v>1.8494990722124374</v>
      </c>
      <c r="V765" s="56">
        <v>6.7748269196461894</v>
      </c>
      <c r="W765" s="33">
        <v>6.7748269196461894</v>
      </c>
    </row>
    <row r="766" spans="1:23" ht="16" x14ac:dyDescent="0.2">
      <c r="A766" s="103" t="s">
        <v>19</v>
      </c>
      <c r="B766" t="s">
        <v>845</v>
      </c>
      <c r="C766" s="103" t="s">
        <v>971</v>
      </c>
      <c r="D766" s="224" t="s">
        <v>824</v>
      </c>
      <c r="E766" s="35" t="s">
        <v>148</v>
      </c>
      <c r="F766" s="103" t="s">
        <v>968</v>
      </c>
      <c r="G766" s="103">
        <v>1</v>
      </c>
      <c r="H766" s="225" t="s">
        <v>494</v>
      </c>
      <c r="I766" s="35" t="s">
        <v>580</v>
      </c>
      <c r="J766" s="35">
        <v>1059</v>
      </c>
      <c r="K766" s="147">
        <v>984.68497188241361</v>
      </c>
      <c r="L766" s="34">
        <v>-74.315028117586394</v>
      </c>
      <c r="M766" s="56">
        <v>74.315028117586394</v>
      </c>
      <c r="N766" s="56">
        <v>1.876881642566526</v>
      </c>
      <c r="O766" s="132">
        <f t="shared" si="13"/>
        <v>-1.876881642566526</v>
      </c>
      <c r="P766" s="56">
        <v>-7.0174719657777516</v>
      </c>
      <c r="Q766" s="143">
        <v>7.0174719657777516</v>
      </c>
      <c r="R766" s="143">
        <v>1125.078839543567</v>
      </c>
      <c r="S766" s="34">
        <v>66.078839543567028</v>
      </c>
      <c r="T766" s="56">
        <v>66.078839543567028</v>
      </c>
      <c r="U766" s="56">
        <v>1.8265855407530001</v>
      </c>
      <c r="V766" s="56">
        <v>6.2397393336701628</v>
      </c>
      <c r="W766" s="33">
        <v>6.2397393336701628</v>
      </c>
    </row>
    <row r="767" spans="1:23" ht="15" x14ac:dyDescent="0.2">
      <c r="A767" s="103" t="s">
        <v>19</v>
      </c>
      <c r="B767" s="28" t="s">
        <v>421</v>
      </c>
      <c r="C767" s="224" t="s">
        <v>978</v>
      </c>
      <c r="D767" s="35" t="s">
        <v>458</v>
      </c>
      <c r="E767" s="35" t="s">
        <v>82</v>
      </c>
      <c r="F767" s="103" t="s">
        <v>968</v>
      </c>
      <c r="G767" s="103">
        <v>1</v>
      </c>
      <c r="H767" s="35" t="s">
        <v>494</v>
      </c>
      <c r="I767" s="35" t="s">
        <v>580</v>
      </c>
      <c r="J767" s="35">
        <v>825</v>
      </c>
      <c r="K767" s="141">
        <v>750.43820058496487</v>
      </c>
      <c r="L767" s="34">
        <v>-74.561799415035125</v>
      </c>
      <c r="M767" s="56">
        <v>74.561799415035125</v>
      </c>
      <c r="N767" s="56">
        <v>1.8783022915832446</v>
      </c>
      <c r="O767" s="132">
        <f t="shared" si="13"/>
        <v>-1.8783022915832446</v>
      </c>
      <c r="P767" s="56">
        <v>-9.037793868489107</v>
      </c>
      <c r="Q767" s="143">
        <v>9.037793868489107</v>
      </c>
      <c r="R767" s="143">
        <v>757.26502863908706</v>
      </c>
      <c r="S767" s="34">
        <v>-67.734971360912937</v>
      </c>
      <c r="T767" s="56">
        <v>67.734971360912937</v>
      </c>
      <c r="U767" s="56">
        <v>1.8371777560512457</v>
      </c>
      <c r="V767" s="56">
        <v>-8.2102995588985372</v>
      </c>
      <c r="W767" s="33">
        <v>8.2102995588985372</v>
      </c>
    </row>
    <row r="768" spans="1:23" ht="15" x14ac:dyDescent="0.2">
      <c r="A768" s="103" t="s">
        <v>19</v>
      </c>
      <c r="B768" s="28" t="s">
        <v>327</v>
      </c>
      <c r="C768" s="103" t="s">
        <v>971</v>
      </c>
      <c r="D768" s="208" t="s">
        <v>403</v>
      </c>
      <c r="E768" s="35" t="s">
        <v>82</v>
      </c>
      <c r="F768" s="103" t="s">
        <v>968</v>
      </c>
      <c r="G768" s="103">
        <v>1</v>
      </c>
      <c r="H768" s="35" t="s">
        <v>374</v>
      </c>
      <c r="I768" s="35" t="s">
        <v>580</v>
      </c>
      <c r="J768" s="35">
        <v>1217.5999999999999</v>
      </c>
      <c r="K768" s="141">
        <v>1142.8963395731864</v>
      </c>
      <c r="L768" s="34">
        <v>-74.703660426813485</v>
      </c>
      <c r="M768" s="56">
        <v>74.703660426813485</v>
      </c>
      <c r="N768" s="56">
        <v>1.8791168790341968</v>
      </c>
      <c r="O768" s="132">
        <f t="shared" si="13"/>
        <v>-1.8791168790341968</v>
      </c>
      <c r="P768" s="56">
        <v>-6.1353203372875731</v>
      </c>
      <c r="Q768" s="143">
        <v>6.1353203372875731</v>
      </c>
      <c r="R768" s="143">
        <v>1332.4964677605224</v>
      </c>
      <c r="S768" s="34">
        <v>114.89646776052246</v>
      </c>
      <c r="T768" s="56">
        <v>114.89646776052246</v>
      </c>
      <c r="U768" s="56">
        <v>2.064070199936932</v>
      </c>
      <c r="V768" s="56">
        <v>9.4363064849312153</v>
      </c>
      <c r="W768" s="33">
        <v>9.4363064849312153</v>
      </c>
    </row>
    <row r="769" spans="1:23" ht="15" x14ac:dyDescent="0.2">
      <c r="A769" s="103" t="s">
        <v>19</v>
      </c>
      <c r="B769" s="206" t="s">
        <v>593</v>
      </c>
      <c r="C769" s="224" t="s">
        <v>974</v>
      </c>
      <c r="D769" s="35" t="s">
        <v>403</v>
      </c>
      <c r="E769" s="35" t="s">
        <v>82</v>
      </c>
      <c r="F769" s="103" t="s">
        <v>967</v>
      </c>
      <c r="G769" s="103">
        <v>0</v>
      </c>
      <c r="H769" s="35" t="s">
        <v>374</v>
      </c>
      <c r="I769" s="35" t="s">
        <v>580</v>
      </c>
      <c r="J769" s="35">
        <v>1284.8</v>
      </c>
      <c r="K769" s="141">
        <v>1359.6463839999999</v>
      </c>
      <c r="L769" s="34">
        <v>74.846383999999944</v>
      </c>
      <c r="M769" s="56">
        <v>74.846383999999944</v>
      </c>
      <c r="N769" s="56">
        <v>1.8799348804914922</v>
      </c>
      <c r="O769" s="132">
        <f t="shared" si="13"/>
        <v>1.8799348804914922</v>
      </c>
      <c r="P769" s="56">
        <v>5.8255280199252759</v>
      </c>
      <c r="Q769" s="143">
        <v>5.8255280199252759</v>
      </c>
      <c r="R769" s="143">
        <v>1282.7403420000001</v>
      </c>
      <c r="S769" s="34">
        <v>-2.0596579999998994</v>
      </c>
      <c r="T769" s="56">
        <v>2.0596579999998994</v>
      </c>
      <c r="U769" s="56">
        <v>0.48567288497386529</v>
      </c>
      <c r="V769" s="56">
        <v>-0.16030962017433839</v>
      </c>
      <c r="W769" s="33">
        <v>0.16030962017433839</v>
      </c>
    </row>
    <row r="770" spans="1:23" ht="15" x14ac:dyDescent="0.2">
      <c r="A770" s="103" t="s">
        <v>19</v>
      </c>
      <c r="B770" s="28" t="s">
        <v>289</v>
      </c>
      <c r="C770" s="224" t="s">
        <v>974</v>
      </c>
      <c r="D770" s="208" t="s">
        <v>403</v>
      </c>
      <c r="E770" s="35" t="s">
        <v>148</v>
      </c>
      <c r="F770" s="103" t="s">
        <v>967</v>
      </c>
      <c r="G770" s="103">
        <v>0</v>
      </c>
      <c r="H770" s="35" t="s">
        <v>494</v>
      </c>
      <c r="I770" s="35" t="s">
        <v>580</v>
      </c>
      <c r="J770" s="35">
        <v>899.05</v>
      </c>
      <c r="K770" s="141">
        <v>974.45263000000011</v>
      </c>
      <c r="L770" s="34">
        <v>75.402630000000158</v>
      </c>
      <c r="M770" s="56">
        <v>75.402630000000158</v>
      </c>
      <c r="N770" s="56">
        <v>1.8831083085079992</v>
      </c>
      <c r="O770" s="132">
        <f t="shared" si="13"/>
        <v>1.8831083085079992</v>
      </c>
      <c r="P770" s="56">
        <v>8.3869228630220967</v>
      </c>
      <c r="Q770" s="143">
        <v>8.3869228630220967</v>
      </c>
      <c r="R770" s="143">
        <v>911.97393900000009</v>
      </c>
      <c r="S770" s="34">
        <v>12.923939000000132</v>
      </c>
      <c r="T770" s="56">
        <v>12.923939000000132</v>
      </c>
      <c r="U770" s="56">
        <v>1.1437621119965249</v>
      </c>
      <c r="V770" s="56">
        <v>1.4375105945164488</v>
      </c>
      <c r="W770" s="33">
        <v>1.4375105945164488</v>
      </c>
    </row>
    <row r="771" spans="1:23" ht="16" x14ac:dyDescent="0.2">
      <c r="A771" s="103" t="s">
        <v>19</v>
      </c>
      <c r="B771" t="s">
        <v>839</v>
      </c>
      <c r="C771" s="103" t="s">
        <v>979</v>
      </c>
      <c r="D771" s="224" t="s">
        <v>824</v>
      </c>
      <c r="E771" s="35" t="s">
        <v>148</v>
      </c>
      <c r="F771" s="103" t="s">
        <v>967</v>
      </c>
      <c r="G771" s="103">
        <v>0</v>
      </c>
      <c r="H771" s="35" t="s">
        <v>374</v>
      </c>
      <c r="I771" s="35" t="s">
        <v>580</v>
      </c>
      <c r="J771" s="35">
        <v>1380</v>
      </c>
      <c r="K771" s="147">
        <v>1304.3478260869565</v>
      </c>
      <c r="L771" s="34">
        <v>-75.652173913043498</v>
      </c>
      <c r="M771" s="56">
        <v>75.652173913043498</v>
      </c>
      <c r="N771" s="56">
        <v>1.8845244762817293</v>
      </c>
      <c r="O771" s="132">
        <f t="shared" si="13"/>
        <v>-1.8845244762817293</v>
      </c>
      <c r="P771" s="56">
        <v>-5.482041587901703</v>
      </c>
      <c r="Q771" s="143">
        <v>5.482041587901703</v>
      </c>
      <c r="R771" s="143">
        <v>1320.8333333333335</v>
      </c>
      <c r="S771" s="34">
        <v>-59.166666666666515</v>
      </c>
      <c r="T771" s="56">
        <v>59.166666666666515</v>
      </c>
      <c r="U771" s="56">
        <v>1.7793559515220132</v>
      </c>
      <c r="V771" s="56">
        <v>-4.2874396135265593</v>
      </c>
      <c r="W771" s="33">
        <v>4.2874396135265593</v>
      </c>
    </row>
    <row r="772" spans="1:23" ht="16" x14ac:dyDescent="0.2">
      <c r="A772" s="103" t="s">
        <v>19</v>
      </c>
      <c r="B772" t="s">
        <v>849</v>
      </c>
      <c r="C772" s="224" t="s">
        <v>978</v>
      </c>
      <c r="D772" s="224" t="s">
        <v>824</v>
      </c>
      <c r="E772" s="35" t="s">
        <v>148</v>
      </c>
      <c r="F772" s="103" t="s">
        <v>968</v>
      </c>
      <c r="G772" s="103">
        <v>1</v>
      </c>
      <c r="H772" s="35" t="s">
        <v>374</v>
      </c>
      <c r="I772" s="35" t="s">
        <v>580</v>
      </c>
      <c r="J772" s="35">
        <v>1413</v>
      </c>
      <c r="K772" s="147">
        <v>1337.3277711491894</v>
      </c>
      <c r="L772" s="34">
        <v>-75.672228850810598</v>
      </c>
      <c r="M772" s="56">
        <v>75.672228850810598</v>
      </c>
      <c r="N772" s="56">
        <v>1.8846380883186893</v>
      </c>
      <c r="O772" s="132">
        <f t="shared" si="13"/>
        <v>-1.8846380883186893</v>
      </c>
      <c r="P772" s="56">
        <v>-5.3554302088330221</v>
      </c>
      <c r="Q772" s="143">
        <v>5.3554302088330221</v>
      </c>
      <c r="R772" s="143">
        <v>1332.7857048479736</v>
      </c>
      <c r="S772" s="34">
        <v>-80.214295152026352</v>
      </c>
      <c r="T772" s="56">
        <v>80.214295152026352</v>
      </c>
      <c r="U772" s="56">
        <v>1.9096324794779385</v>
      </c>
      <c r="V772" s="56">
        <v>-5.6768786377937968</v>
      </c>
      <c r="W772" s="33">
        <v>5.6768786377937968</v>
      </c>
    </row>
    <row r="773" spans="1:23" ht="16" x14ac:dyDescent="0.2">
      <c r="A773" s="103" t="s">
        <v>19</v>
      </c>
      <c r="B773" t="s">
        <v>851</v>
      </c>
      <c r="C773" s="24" t="s">
        <v>980</v>
      </c>
      <c r="D773" s="224" t="s">
        <v>824</v>
      </c>
      <c r="E773" s="35" t="s">
        <v>148</v>
      </c>
      <c r="F773" s="103" t="s">
        <v>968</v>
      </c>
      <c r="G773" s="103">
        <v>1</v>
      </c>
      <c r="H773" s="35" t="s">
        <v>374</v>
      </c>
      <c r="I773" s="35" t="s">
        <v>580</v>
      </c>
      <c r="J773" s="35">
        <v>1622</v>
      </c>
      <c r="K773" s="147">
        <v>1546.2032296189091</v>
      </c>
      <c r="L773" s="34">
        <v>-75.796770381090937</v>
      </c>
      <c r="M773" s="56">
        <v>75.796770381090937</v>
      </c>
      <c r="N773" s="56">
        <v>1.8853429565528257</v>
      </c>
      <c r="O773" s="132">
        <f t="shared" si="13"/>
        <v>-1.8853429565528257</v>
      </c>
      <c r="P773" s="56">
        <v>-4.6730437966147313</v>
      </c>
      <c r="Q773" s="143">
        <v>4.6730437966147313</v>
      </c>
      <c r="R773" s="143">
        <v>1540.6888095106331</v>
      </c>
      <c r="S773" s="34">
        <v>-81.311190489366936</v>
      </c>
      <c r="T773" s="56">
        <v>81.311190489366936</v>
      </c>
      <c r="U773" s="56">
        <v>1.9154588830543382</v>
      </c>
      <c r="V773" s="56">
        <v>-5.0130203754233627</v>
      </c>
      <c r="W773" s="33">
        <v>5.0130203754233627</v>
      </c>
    </row>
    <row r="774" spans="1:23" ht="16" x14ac:dyDescent="0.2">
      <c r="A774" s="103" t="s">
        <v>19</v>
      </c>
      <c r="B774" t="s">
        <v>853</v>
      </c>
      <c r="C774" s="224" t="s">
        <v>978</v>
      </c>
      <c r="D774" s="224" t="s">
        <v>824</v>
      </c>
      <c r="E774" s="35" t="s">
        <v>148</v>
      </c>
      <c r="F774" s="103" t="s">
        <v>968</v>
      </c>
      <c r="G774" s="103">
        <v>1</v>
      </c>
      <c r="H774" s="35" t="s">
        <v>374</v>
      </c>
      <c r="I774" s="35" t="s">
        <v>580</v>
      </c>
      <c r="J774" s="35">
        <v>1274</v>
      </c>
      <c r="K774" s="147">
        <v>1198.0461338714558</v>
      </c>
      <c r="L774" s="34">
        <v>-75.953866128544178</v>
      </c>
      <c r="M774" s="56">
        <v>75.953866128544178</v>
      </c>
      <c r="N774" s="56">
        <v>1.8862304434802368</v>
      </c>
      <c r="O774" s="132">
        <f t="shared" si="13"/>
        <v>-1.8862304434802368</v>
      </c>
      <c r="P774" s="56">
        <v>-5.9618419253174393</v>
      </c>
      <c r="Q774" s="143">
        <v>5.9618419253174393</v>
      </c>
      <c r="R774" s="143">
        <v>1181.3875756457653</v>
      </c>
      <c r="S774" s="34">
        <v>-92.61242435423469</v>
      </c>
      <c r="T774" s="56">
        <v>92.61242435423469</v>
      </c>
      <c r="U774" s="56">
        <v>1.9713334926526249</v>
      </c>
      <c r="V774" s="56">
        <v>-7.2694210639116701</v>
      </c>
      <c r="W774" s="33">
        <v>7.2694210639116701</v>
      </c>
    </row>
    <row r="775" spans="1:23" ht="16" x14ac:dyDescent="0.2">
      <c r="A775" s="103" t="s">
        <v>19</v>
      </c>
      <c r="B775" t="s">
        <v>862</v>
      </c>
      <c r="C775" s="224" t="s">
        <v>978</v>
      </c>
      <c r="D775" s="224" t="s">
        <v>824</v>
      </c>
      <c r="E775" s="35" t="s">
        <v>148</v>
      </c>
      <c r="F775" s="103" t="s">
        <v>968</v>
      </c>
      <c r="G775" s="103">
        <v>1</v>
      </c>
      <c r="H775" s="35" t="s">
        <v>374</v>
      </c>
      <c r="I775" s="35" t="s">
        <v>580</v>
      </c>
      <c r="J775" s="35">
        <v>1280</v>
      </c>
      <c r="K775" s="147">
        <v>1203.1565998007916</v>
      </c>
      <c r="L775" s="34">
        <v>-76.843400199208418</v>
      </c>
      <c r="M775" s="56">
        <v>76.843400199208418</v>
      </c>
      <c r="N775" s="56">
        <v>1.8912217976547234</v>
      </c>
      <c r="O775" s="132">
        <f t="shared" si="13"/>
        <v>-1.8912217976547234</v>
      </c>
      <c r="P775" s="56">
        <v>-6.0033906405631576</v>
      </c>
      <c r="Q775" s="143">
        <v>6.0033906405631576</v>
      </c>
      <c r="R775" s="143">
        <v>1152.4583140677748</v>
      </c>
      <c r="S775" s="34">
        <v>-127.54168593222516</v>
      </c>
      <c r="T775" s="56">
        <v>127.54168593222516</v>
      </c>
      <c r="U775" s="56">
        <v>2.109043991748806</v>
      </c>
      <c r="V775" s="56">
        <v>-9.9641942134550909</v>
      </c>
      <c r="W775" s="33">
        <v>9.9641942134550909</v>
      </c>
    </row>
    <row r="776" spans="1:23" ht="15" x14ac:dyDescent="0.2">
      <c r="A776" s="103" t="s">
        <v>19</v>
      </c>
      <c r="B776" t="s">
        <v>889</v>
      </c>
      <c r="C776" s="103" t="s">
        <v>971</v>
      </c>
      <c r="D776" s="224" t="s">
        <v>824</v>
      </c>
      <c r="E776" s="35" t="s">
        <v>148</v>
      </c>
      <c r="F776" s="103" t="s">
        <v>968</v>
      </c>
      <c r="G776" s="103">
        <v>1</v>
      </c>
      <c r="H776" s="35" t="s">
        <v>374</v>
      </c>
      <c r="I776" s="35" t="s">
        <v>580</v>
      </c>
      <c r="J776" s="35">
        <v>1895</v>
      </c>
      <c r="K776">
        <v>1971.9127434866753</v>
      </c>
      <c r="L776" s="34">
        <v>76.912743486675254</v>
      </c>
      <c r="M776" s="56">
        <v>76.912743486675254</v>
      </c>
      <c r="N776" s="56">
        <v>1.8916084971245601</v>
      </c>
      <c r="O776" s="132">
        <f t="shared" si="13"/>
        <v>1.8916084971245601</v>
      </c>
      <c r="P776" s="56">
        <v>4.0587199729116232</v>
      </c>
      <c r="Q776" s="143">
        <v>4.0587199729116232</v>
      </c>
      <c r="R776" s="143">
        <v>2179.814577731468</v>
      </c>
      <c r="S776" s="34">
        <v>284.81457773146803</v>
      </c>
      <c r="T776" s="56">
        <v>284.81457773146803</v>
      </c>
      <c r="U776" s="56">
        <v>2.4560843758436084</v>
      </c>
      <c r="V776" s="56">
        <v>15.029793020130239</v>
      </c>
      <c r="W776" s="33">
        <v>15.029793020130239</v>
      </c>
    </row>
    <row r="777" spans="1:23" ht="15" x14ac:dyDescent="0.2">
      <c r="A777" s="103" t="s">
        <v>19</v>
      </c>
      <c r="B777" t="s">
        <v>890</v>
      </c>
      <c r="C777" s="224" t="s">
        <v>978</v>
      </c>
      <c r="D777" s="224" t="s">
        <v>824</v>
      </c>
      <c r="E777" s="35" t="s">
        <v>148</v>
      </c>
      <c r="F777" s="103" t="s">
        <v>968</v>
      </c>
      <c r="G777" s="103">
        <v>1</v>
      </c>
      <c r="H777" s="35" t="s">
        <v>374</v>
      </c>
      <c r="I777" s="35" t="s">
        <v>580</v>
      </c>
      <c r="J777" s="35">
        <v>1316</v>
      </c>
      <c r="K777">
        <v>1239.03525936047</v>
      </c>
      <c r="L777" s="34">
        <v>-76.964740639529964</v>
      </c>
      <c r="M777" s="56">
        <v>76.964740639529964</v>
      </c>
      <c r="N777" s="56">
        <v>1.8918982384880887</v>
      </c>
      <c r="O777" s="132">
        <f t="shared" si="13"/>
        <v>-1.8918982384880887</v>
      </c>
      <c r="P777" s="56">
        <v>-5.848384547076745</v>
      </c>
      <c r="Q777" s="143">
        <v>5.848384547076745</v>
      </c>
      <c r="R777" s="143">
        <v>1229.8771538779613</v>
      </c>
      <c r="S777" s="34">
        <v>-86.122846122038709</v>
      </c>
      <c r="T777" s="56">
        <v>86.122846122038709</v>
      </c>
      <c r="U777" s="56">
        <v>1.940132054476212</v>
      </c>
      <c r="V777" s="56">
        <v>-6.5442892189999027</v>
      </c>
      <c r="W777" s="33">
        <v>6.5442892189999027</v>
      </c>
    </row>
    <row r="778" spans="1:23" ht="16" x14ac:dyDescent="0.2">
      <c r="A778" s="103" t="s">
        <v>19</v>
      </c>
      <c r="B778" t="s">
        <v>883</v>
      </c>
      <c r="C778" s="103" t="s">
        <v>975</v>
      </c>
      <c r="D778" s="224" t="s">
        <v>824</v>
      </c>
      <c r="E778" s="35" t="s">
        <v>148</v>
      </c>
      <c r="F778" s="103" t="s">
        <v>967</v>
      </c>
      <c r="G778" s="103">
        <v>0</v>
      </c>
      <c r="H778" s="35" t="s">
        <v>374</v>
      </c>
      <c r="I778" s="35" t="s">
        <v>580</v>
      </c>
      <c r="J778" s="35">
        <v>1670</v>
      </c>
      <c r="K778" s="147">
        <v>1747.9717999999998</v>
      </c>
      <c r="L778" s="34">
        <v>77.971799999999803</v>
      </c>
      <c r="M778" s="56">
        <v>77.971799999999803</v>
      </c>
      <c r="N778" s="56">
        <v>1.8974720369766986</v>
      </c>
      <c r="O778" s="132">
        <f t="shared" si="13"/>
        <v>1.8974720369766986</v>
      </c>
      <c r="P778" s="56">
        <v>4.6689700598802277</v>
      </c>
      <c r="Q778" s="143">
        <v>4.6689700598802277</v>
      </c>
      <c r="R778" s="143">
        <v>1742.867</v>
      </c>
      <c r="S778" s="34">
        <v>72.866999999999962</v>
      </c>
      <c r="T778" s="56">
        <v>72.866999999999962</v>
      </c>
      <c r="U778" s="56">
        <v>1.8684504611449515</v>
      </c>
      <c r="V778" s="56">
        <v>4.3632934131736505</v>
      </c>
      <c r="W778" s="33">
        <v>4.3632934131736505</v>
      </c>
    </row>
    <row r="779" spans="1:23" ht="15" x14ac:dyDescent="0.2">
      <c r="A779" s="103" t="s">
        <v>19</v>
      </c>
      <c r="B779" t="s">
        <v>899</v>
      </c>
      <c r="C779" s="224" t="s">
        <v>974</v>
      </c>
      <c r="D779" s="224" t="s">
        <v>824</v>
      </c>
      <c r="E779" s="35" t="s">
        <v>148</v>
      </c>
      <c r="F779" s="103" t="s">
        <v>967</v>
      </c>
      <c r="G779" s="103">
        <v>0</v>
      </c>
      <c r="H779" s="35" t="s">
        <v>374</v>
      </c>
      <c r="I779" s="35" t="s">
        <v>580</v>
      </c>
      <c r="J779" s="35">
        <v>2060</v>
      </c>
      <c r="K779">
        <v>2138.0259000000001</v>
      </c>
      <c r="L779" s="34">
        <v>78.025900000000092</v>
      </c>
      <c r="M779" s="56">
        <v>78.025900000000092</v>
      </c>
      <c r="N779" s="56">
        <v>1.8977694505768881</v>
      </c>
      <c r="O779" s="132">
        <f t="shared" si="13"/>
        <v>1.8977694505768881</v>
      </c>
      <c r="P779" s="56">
        <v>3.787665048543694</v>
      </c>
      <c r="Q779" s="143">
        <v>3.787665048543694</v>
      </c>
      <c r="R779" s="143">
        <v>2001.1151999999997</v>
      </c>
      <c r="S779" s="34">
        <v>-58.884800000000268</v>
      </c>
      <c r="T779" s="56">
        <v>58.884800000000268</v>
      </c>
      <c r="U779" s="56">
        <v>1.7773166034606953</v>
      </c>
      <c r="V779" s="56">
        <v>-2.8584854368932171</v>
      </c>
      <c r="W779" s="33">
        <v>2.8584854368932171</v>
      </c>
    </row>
    <row r="780" spans="1:23" ht="15" x14ac:dyDescent="0.2">
      <c r="A780" s="103" t="s">
        <v>19</v>
      </c>
      <c r="B780" s="28" t="s">
        <v>423</v>
      </c>
      <c r="C780" s="224" t="s">
        <v>974</v>
      </c>
      <c r="D780" s="35" t="s">
        <v>458</v>
      </c>
      <c r="E780" s="208" t="s">
        <v>82</v>
      </c>
      <c r="F780" s="103" t="s">
        <v>967</v>
      </c>
      <c r="G780" s="103">
        <v>0</v>
      </c>
      <c r="H780" s="35" t="s">
        <v>494</v>
      </c>
      <c r="I780" s="35" t="s">
        <v>580</v>
      </c>
      <c r="J780" s="35">
        <v>1150</v>
      </c>
      <c r="K780" s="141">
        <v>1228.4092000000001</v>
      </c>
      <c r="L780" s="34">
        <v>78.409200000000055</v>
      </c>
      <c r="M780" s="56">
        <v>78.409200000000055</v>
      </c>
      <c r="N780" s="56">
        <v>1.8998708207869646</v>
      </c>
      <c r="O780" s="132">
        <f t="shared" si="13"/>
        <v>1.8998708207869646</v>
      </c>
      <c r="P780" s="56">
        <v>6.818191304347831</v>
      </c>
      <c r="Q780" s="143">
        <v>6.818191304347831</v>
      </c>
      <c r="R780" s="143">
        <v>1135.0844999999999</v>
      </c>
      <c r="S780" s="34">
        <v>-14.915500000000065</v>
      </c>
      <c r="T780" s="56">
        <v>14.915500000000065</v>
      </c>
      <c r="U780" s="56">
        <v>1.2018202869300036</v>
      </c>
      <c r="V780" s="56">
        <v>-1.2970000000000057</v>
      </c>
      <c r="W780" s="33">
        <v>1.2970000000000057</v>
      </c>
    </row>
    <row r="781" spans="1:23" ht="15" x14ac:dyDescent="0.2">
      <c r="A781" s="103" t="s">
        <v>19</v>
      </c>
      <c r="B781" s="218" t="s">
        <v>344</v>
      </c>
      <c r="C781" s="224" t="s">
        <v>974</v>
      </c>
      <c r="D781" s="208" t="s">
        <v>403</v>
      </c>
      <c r="E781" s="35" t="s">
        <v>82</v>
      </c>
      <c r="F781" s="103" t="s">
        <v>967</v>
      </c>
      <c r="G781" s="103">
        <v>0</v>
      </c>
      <c r="H781" s="35" t="s">
        <v>374</v>
      </c>
      <c r="I781" s="35" t="s">
        <v>580</v>
      </c>
      <c r="J781" s="35">
        <v>1427.7</v>
      </c>
      <c r="K781" s="141">
        <v>1506.3417940000002</v>
      </c>
      <c r="L781" s="34">
        <v>78.641794000000118</v>
      </c>
      <c r="M781" s="56">
        <v>78.641794000000118</v>
      </c>
      <c r="N781" s="56">
        <v>1.9011410343227915</v>
      </c>
      <c r="O781" s="132">
        <f t="shared" si="13"/>
        <v>1.9011410343227915</v>
      </c>
      <c r="P781" s="56">
        <v>5.5082856342368922</v>
      </c>
      <c r="Q781" s="143">
        <v>5.5082856342368922</v>
      </c>
      <c r="R781" s="143">
        <v>1429.3435499999998</v>
      </c>
      <c r="S781" s="34">
        <v>1.6435499999997774</v>
      </c>
      <c r="T781" s="56">
        <v>1.6435499999997774</v>
      </c>
      <c r="U781" s="56">
        <v>0.42218752904740658</v>
      </c>
      <c r="V781" s="56">
        <v>0.11511872242066101</v>
      </c>
      <c r="W781" s="33">
        <v>0.11511872242066101</v>
      </c>
    </row>
    <row r="782" spans="1:23" ht="15" x14ac:dyDescent="0.2">
      <c r="A782" s="103" t="s">
        <v>19</v>
      </c>
      <c r="B782" s="28" t="s">
        <v>664</v>
      </c>
      <c r="C782" s="103" t="s">
        <v>975</v>
      </c>
      <c r="D782" s="208" t="s">
        <v>403</v>
      </c>
      <c r="E782" s="35" t="s">
        <v>82</v>
      </c>
      <c r="F782" s="103" t="s">
        <v>967</v>
      </c>
      <c r="G782" s="103">
        <v>0</v>
      </c>
      <c r="H782" s="35" t="s">
        <v>374</v>
      </c>
      <c r="I782" s="35" t="s">
        <v>580</v>
      </c>
      <c r="J782" s="35">
        <v>1730.8</v>
      </c>
      <c r="K782" s="141">
        <v>1652.0468119999998</v>
      </c>
      <c r="L782" s="34">
        <v>-78.753188000000137</v>
      </c>
      <c r="M782" s="56">
        <v>78.753188000000137</v>
      </c>
      <c r="N782" s="56">
        <v>1.9017480522701071</v>
      </c>
      <c r="O782" s="132">
        <f t="shared" si="13"/>
        <v>-1.9017480522701071</v>
      </c>
      <c r="P782" s="56">
        <v>-4.5501033048301442</v>
      </c>
      <c r="Q782" s="143">
        <v>4.5501033048301442</v>
      </c>
      <c r="R782" s="143">
        <v>1715.7239480000001</v>
      </c>
      <c r="S782" s="34">
        <v>-15.076051999999891</v>
      </c>
      <c r="T782" s="56">
        <v>15.076051999999891</v>
      </c>
      <c r="U782" s="56">
        <v>1.2061794023020629</v>
      </c>
      <c r="V782" s="56">
        <v>-0.871045296972492</v>
      </c>
      <c r="W782" s="33">
        <v>0.871045296972492</v>
      </c>
    </row>
    <row r="783" spans="1:23" ht="16" x14ac:dyDescent="0.2">
      <c r="A783" s="103" t="s">
        <v>19</v>
      </c>
      <c r="B783" t="s">
        <v>875</v>
      </c>
      <c r="C783" s="103" t="s">
        <v>975</v>
      </c>
      <c r="D783" s="224" t="s">
        <v>824</v>
      </c>
      <c r="E783" s="35" t="s">
        <v>148</v>
      </c>
      <c r="F783" s="103" t="s">
        <v>967</v>
      </c>
      <c r="G783" s="103">
        <v>0</v>
      </c>
      <c r="H783" s="35" t="s">
        <v>374</v>
      </c>
      <c r="I783" s="35" t="s">
        <v>580</v>
      </c>
      <c r="J783" s="35">
        <v>1490</v>
      </c>
      <c r="K783" s="147">
        <v>1569.1003999999998</v>
      </c>
      <c r="L783" s="34">
        <v>79.100399999999809</v>
      </c>
      <c r="M783" s="56">
        <v>79.100399999999809</v>
      </c>
      <c r="N783" s="56">
        <v>1.9036346848402792</v>
      </c>
      <c r="O783" s="132">
        <f t="shared" si="13"/>
        <v>1.9036346848402792</v>
      </c>
      <c r="P783" s="56">
        <v>5.308751677852336</v>
      </c>
      <c r="Q783" s="143">
        <v>5.308751677852336</v>
      </c>
      <c r="R783" s="143">
        <v>1554.7072000000001</v>
      </c>
      <c r="S783" s="34">
        <v>64.707200000000057</v>
      </c>
      <c r="T783" s="56">
        <v>64.707200000000057</v>
      </c>
      <c r="U783" s="56">
        <v>1.8176129608679108</v>
      </c>
      <c r="V783" s="56">
        <v>4.3427651006711452</v>
      </c>
      <c r="W783" s="33">
        <v>4.3427651006711452</v>
      </c>
    </row>
    <row r="784" spans="1:23" ht="16" x14ac:dyDescent="0.2">
      <c r="A784" s="103" t="s">
        <v>19</v>
      </c>
      <c r="B784" t="s">
        <v>844</v>
      </c>
      <c r="C784" s="103" t="s">
        <v>975</v>
      </c>
      <c r="D784" s="224" t="s">
        <v>824</v>
      </c>
      <c r="E784" s="35" t="s">
        <v>148</v>
      </c>
      <c r="F784" s="103" t="s">
        <v>967</v>
      </c>
      <c r="G784" s="103">
        <v>0</v>
      </c>
      <c r="H784" s="225" t="s">
        <v>494</v>
      </c>
      <c r="I784" s="35" t="s">
        <v>580</v>
      </c>
      <c r="J784" s="35">
        <v>1028</v>
      </c>
      <c r="K784" s="147">
        <v>1107.3625999999999</v>
      </c>
      <c r="L784" s="34">
        <v>79.362599999999929</v>
      </c>
      <c r="M784" s="56">
        <v>79.362599999999929</v>
      </c>
      <c r="N784" s="56">
        <v>1.9050539791885381</v>
      </c>
      <c r="O784" s="132">
        <f t="shared" si="13"/>
        <v>1.9050539791885381</v>
      </c>
      <c r="P784" s="56">
        <v>7.7200972762645845</v>
      </c>
      <c r="Q784" s="143">
        <v>7.7200972762645845</v>
      </c>
      <c r="R784" s="143">
        <v>1114.3332</v>
      </c>
      <c r="S784" s="34">
        <v>86.333200000000033</v>
      </c>
      <c r="T784" s="56">
        <v>86.333200000000033</v>
      </c>
      <c r="U784" s="56">
        <v>1.9411793735545666</v>
      </c>
      <c r="V784" s="56">
        <v>8.398171206225685</v>
      </c>
      <c r="W784" s="33">
        <v>8.398171206225685</v>
      </c>
    </row>
    <row r="785" spans="1:23" ht="15" x14ac:dyDescent="0.2">
      <c r="A785" s="103" t="s">
        <v>19</v>
      </c>
      <c r="B785" s="28" t="s">
        <v>664</v>
      </c>
      <c r="C785" s="224" t="s">
        <v>977</v>
      </c>
      <c r="D785" s="208" t="s">
        <v>403</v>
      </c>
      <c r="E785" s="35" t="s">
        <v>82</v>
      </c>
      <c r="F785" s="103" t="s">
        <v>968</v>
      </c>
      <c r="G785" s="103">
        <v>1</v>
      </c>
      <c r="H785" s="35" t="s">
        <v>374</v>
      </c>
      <c r="I785" s="35" t="s">
        <v>580</v>
      </c>
      <c r="J785" s="35">
        <v>1730.8</v>
      </c>
      <c r="K785" s="141">
        <v>1650.9297770710843</v>
      </c>
      <c r="L785" s="34">
        <v>-79.870222928915609</v>
      </c>
      <c r="M785" s="56">
        <v>79.870222928915609</v>
      </c>
      <c r="N785" s="56">
        <v>1.9077886402994928</v>
      </c>
      <c r="O785" s="132">
        <f t="shared" si="13"/>
        <v>-1.9077886402994928</v>
      </c>
      <c r="P785" s="56">
        <v>-4.6146419533692864</v>
      </c>
      <c r="Q785" s="143">
        <v>4.6146419533692864</v>
      </c>
      <c r="R785" s="143">
        <v>1702.0202546023377</v>
      </c>
      <c r="S785" s="34">
        <v>-28.779745397662282</v>
      </c>
      <c r="T785" s="56">
        <v>28.779745397662282</v>
      </c>
      <c r="U785" s="56">
        <v>1.4739209804254583</v>
      </c>
      <c r="V785" s="56">
        <v>-1.6628001731951862</v>
      </c>
      <c r="W785" s="33">
        <v>1.6628001731951862</v>
      </c>
    </row>
    <row r="786" spans="1:23" ht="16" x14ac:dyDescent="0.2">
      <c r="A786" s="103" t="s">
        <v>19</v>
      </c>
      <c r="B786" t="s">
        <v>854</v>
      </c>
      <c r="C786" s="224" t="s">
        <v>978</v>
      </c>
      <c r="D786" s="224" t="s">
        <v>824</v>
      </c>
      <c r="E786" s="35" t="s">
        <v>148</v>
      </c>
      <c r="F786" s="103" t="s">
        <v>968</v>
      </c>
      <c r="G786" s="103">
        <v>1</v>
      </c>
      <c r="H786" s="35" t="s">
        <v>374</v>
      </c>
      <c r="I786" s="35" t="s">
        <v>580</v>
      </c>
      <c r="J786" s="35">
        <v>1340</v>
      </c>
      <c r="K786" s="147">
        <v>1259.6192651687486</v>
      </c>
      <c r="L786" s="34">
        <v>-80.380734831251402</v>
      </c>
      <c r="M786" s="56">
        <v>80.380734831251402</v>
      </c>
      <c r="N786" s="56">
        <v>1.9105216070178415</v>
      </c>
      <c r="O786" s="132">
        <f t="shared" si="13"/>
        <v>-1.9105216070178415</v>
      </c>
      <c r="P786" s="56">
        <v>-5.9985623008396569</v>
      </c>
      <c r="Q786" s="143">
        <v>5.9985623008396569</v>
      </c>
      <c r="R786" s="143">
        <v>1220.1521603047181</v>
      </c>
      <c r="S786" s="34">
        <v>-119.84783969528189</v>
      </c>
      <c r="T786" s="56">
        <v>119.84783969528189</v>
      </c>
      <c r="U786" s="56">
        <v>2.0822388912616332</v>
      </c>
      <c r="V786" s="56">
        <v>-8.9438686339762601</v>
      </c>
      <c r="W786" s="33">
        <v>8.9438686339762601</v>
      </c>
    </row>
    <row r="787" spans="1:23" ht="15" x14ac:dyDescent="0.2">
      <c r="A787" s="103" t="s">
        <v>19</v>
      </c>
      <c r="B787" s="28" t="s">
        <v>290</v>
      </c>
      <c r="C787" s="103" t="s">
        <v>975</v>
      </c>
      <c r="D787" s="208" t="s">
        <v>403</v>
      </c>
      <c r="E787" s="35" t="s">
        <v>82</v>
      </c>
      <c r="F787" s="103" t="s">
        <v>967</v>
      </c>
      <c r="G787" s="103">
        <v>0</v>
      </c>
      <c r="H787" s="35" t="s">
        <v>374</v>
      </c>
      <c r="I787" s="35" t="s">
        <v>580</v>
      </c>
      <c r="J787" s="35">
        <v>1369.3</v>
      </c>
      <c r="K787" s="141">
        <v>1449.71414</v>
      </c>
      <c r="L787" s="34">
        <v>80.414140000000089</v>
      </c>
      <c r="M787" s="56">
        <v>80.414140000000089</v>
      </c>
      <c r="N787" s="56">
        <v>1.9106998396639645</v>
      </c>
      <c r="O787" s="132">
        <f t="shared" si="13"/>
        <v>1.9106998396639645</v>
      </c>
      <c r="P787" s="56">
        <v>5.8726458774556409</v>
      </c>
      <c r="Q787" s="143">
        <v>5.8726458774556409</v>
      </c>
      <c r="R787" s="143">
        <v>1442.7321019999999</v>
      </c>
      <c r="S787" s="34">
        <v>73.432101999999986</v>
      </c>
      <c r="T787" s="56">
        <v>73.432101999999986</v>
      </c>
      <c r="U787" s="56">
        <v>1.8717602838596754</v>
      </c>
      <c r="V787" s="56">
        <v>5.3627475352369816</v>
      </c>
      <c r="W787" s="33">
        <v>5.3627475352369816</v>
      </c>
    </row>
    <row r="788" spans="1:23" ht="15" x14ac:dyDescent="0.2">
      <c r="A788" s="103" t="s">
        <v>19</v>
      </c>
      <c r="B788" t="s">
        <v>887</v>
      </c>
      <c r="C788" s="103" t="s">
        <v>975</v>
      </c>
      <c r="D788" s="224" t="s">
        <v>824</v>
      </c>
      <c r="E788" s="35" t="s">
        <v>148</v>
      </c>
      <c r="F788" s="103" t="s">
        <v>967</v>
      </c>
      <c r="G788" s="103">
        <v>0</v>
      </c>
      <c r="H788" s="225" t="s">
        <v>494</v>
      </c>
      <c r="I788" s="35" t="s">
        <v>580</v>
      </c>
      <c r="J788" s="35">
        <v>1056</v>
      </c>
      <c r="K788">
        <v>1136.4811999999999</v>
      </c>
      <c r="L788" s="34">
        <v>80.481199999999944</v>
      </c>
      <c r="M788" s="56">
        <v>80.481199999999944</v>
      </c>
      <c r="N788" s="56">
        <v>1.9110574163705989</v>
      </c>
      <c r="O788" s="132">
        <f t="shared" si="13"/>
        <v>1.9110574163705989</v>
      </c>
      <c r="P788" s="56">
        <v>7.621325757575752</v>
      </c>
      <c r="Q788" s="143">
        <v>7.621325757575752</v>
      </c>
      <c r="R788" s="143">
        <v>1150.3638000000001</v>
      </c>
      <c r="S788" s="34">
        <v>94.363800000000083</v>
      </c>
      <c r="T788" s="56">
        <v>94.363800000000083</v>
      </c>
      <c r="U788" s="56">
        <v>1.9793835482492481</v>
      </c>
      <c r="V788" s="56">
        <v>8.9359659090909176</v>
      </c>
      <c r="W788" s="33">
        <v>8.9359659090909176</v>
      </c>
    </row>
    <row r="789" spans="1:23" ht="16" x14ac:dyDescent="0.2">
      <c r="A789" s="103" t="s">
        <v>19</v>
      </c>
      <c r="B789" t="s">
        <v>883</v>
      </c>
      <c r="C789" s="103" t="s">
        <v>971</v>
      </c>
      <c r="D789" s="224" t="s">
        <v>824</v>
      </c>
      <c r="E789" s="35" t="s">
        <v>148</v>
      </c>
      <c r="F789" s="103" t="s">
        <v>968</v>
      </c>
      <c r="G789" s="103">
        <v>1</v>
      </c>
      <c r="H789" s="35" t="s">
        <v>374</v>
      </c>
      <c r="I789" s="35" t="s">
        <v>580</v>
      </c>
      <c r="J789" s="35">
        <v>1670</v>
      </c>
      <c r="K789" s="147">
        <v>1750.5144999761148</v>
      </c>
      <c r="L789" s="34">
        <v>80.514499976114848</v>
      </c>
      <c r="M789" s="56">
        <v>80.514499976114848</v>
      </c>
      <c r="N789" s="56">
        <v>1.9112348688564931</v>
      </c>
      <c r="O789" s="132">
        <f t="shared" si="13"/>
        <v>1.9112348688564931</v>
      </c>
      <c r="P789" s="56">
        <v>4.8212275434799308</v>
      </c>
      <c r="Q789" s="143">
        <v>4.8212275434799308</v>
      </c>
      <c r="R789" s="143">
        <v>1957.8457865915693</v>
      </c>
      <c r="S789" s="34">
        <v>287.84578659156932</v>
      </c>
      <c r="T789" s="56">
        <v>287.84578659156932</v>
      </c>
      <c r="U789" s="56">
        <v>2.460666036847563</v>
      </c>
      <c r="V789" s="56">
        <v>17.236274646201757</v>
      </c>
      <c r="W789" s="33">
        <v>17.236274646201757</v>
      </c>
    </row>
    <row r="790" spans="1:23" ht="15" x14ac:dyDescent="0.2">
      <c r="A790" s="103" t="s">
        <v>19</v>
      </c>
      <c r="B790" s="28" t="s">
        <v>426</v>
      </c>
      <c r="C790" s="24" t="s">
        <v>980</v>
      </c>
      <c r="D790" s="35" t="s">
        <v>458</v>
      </c>
      <c r="E790" s="208" t="s">
        <v>82</v>
      </c>
      <c r="F790" s="103" t="s">
        <v>968</v>
      </c>
      <c r="G790" s="103">
        <v>1</v>
      </c>
      <c r="H790" s="35" t="s">
        <v>374</v>
      </c>
      <c r="I790" s="35" t="s">
        <v>580</v>
      </c>
      <c r="J790" s="35">
        <v>1620</v>
      </c>
      <c r="K790" s="141">
        <v>1700.8150471457745</v>
      </c>
      <c r="L790" s="34">
        <v>80.815047145774543</v>
      </c>
      <c r="M790" s="56">
        <v>80.815047145774543</v>
      </c>
      <c r="N790" s="56">
        <v>1.9128331849843281</v>
      </c>
      <c r="O790" s="132">
        <f t="shared" si="13"/>
        <v>1.9128331849843281</v>
      </c>
      <c r="P790" s="56">
        <v>4.9885831571465769</v>
      </c>
      <c r="Q790" s="143">
        <v>4.9885831571465769</v>
      </c>
      <c r="R790" s="143">
        <v>1677.6365442719857</v>
      </c>
      <c r="S790" s="34">
        <v>57.636544271985713</v>
      </c>
      <c r="T790" s="56">
        <v>57.636544271985713</v>
      </c>
      <c r="U790" s="56">
        <v>1.7681683673658237</v>
      </c>
      <c r="V790" s="56">
        <v>3.5578113748139328</v>
      </c>
      <c r="W790" s="33">
        <v>3.5578113748139328</v>
      </c>
    </row>
    <row r="791" spans="1:23" ht="16" x14ac:dyDescent="0.2">
      <c r="A791" s="103" t="s">
        <v>19</v>
      </c>
      <c r="B791" t="s">
        <v>852</v>
      </c>
      <c r="C791" s="24" t="s">
        <v>980</v>
      </c>
      <c r="D791" s="224" t="s">
        <v>824</v>
      </c>
      <c r="E791" s="35" t="s">
        <v>148</v>
      </c>
      <c r="F791" s="103" t="s">
        <v>968</v>
      </c>
      <c r="G791" s="103">
        <v>1</v>
      </c>
      <c r="H791" s="35" t="s">
        <v>374</v>
      </c>
      <c r="I791" s="35" t="s">
        <v>580</v>
      </c>
      <c r="J791" s="35">
        <v>1210</v>
      </c>
      <c r="K791" s="147">
        <v>1128.9058573068405</v>
      </c>
      <c r="L791" s="34">
        <v>-81.094142693159483</v>
      </c>
      <c r="M791" s="56">
        <v>81.094142693159483</v>
      </c>
      <c r="N791" s="56">
        <v>1.914312171896716</v>
      </c>
      <c r="O791" s="132">
        <f t="shared" si="13"/>
        <v>-1.914312171896716</v>
      </c>
      <c r="P791" s="56">
        <v>-6.7019952638974782</v>
      </c>
      <c r="Q791" s="143">
        <v>6.7019952638974782</v>
      </c>
      <c r="R791" s="143">
        <v>1125.2999539430198</v>
      </c>
      <c r="S791" s="34">
        <v>-84.700046056980227</v>
      </c>
      <c r="T791" s="56">
        <v>84.700046056980227</v>
      </c>
      <c r="U791" s="56">
        <v>1.932981055322113</v>
      </c>
      <c r="V791" s="56">
        <v>-7.0000038063620025</v>
      </c>
      <c r="W791" s="33">
        <v>7.0000038063620025</v>
      </c>
    </row>
    <row r="792" spans="1:23" ht="16" x14ac:dyDescent="0.2">
      <c r="A792" s="103" t="s">
        <v>19</v>
      </c>
      <c r="B792" t="s">
        <v>840</v>
      </c>
      <c r="C792" s="224" t="s">
        <v>978</v>
      </c>
      <c r="D792" s="224" t="s">
        <v>824</v>
      </c>
      <c r="E792" s="35" t="s">
        <v>148</v>
      </c>
      <c r="F792" s="103" t="s">
        <v>968</v>
      </c>
      <c r="G792" s="103">
        <v>1</v>
      </c>
      <c r="H792" s="225" t="s">
        <v>293</v>
      </c>
      <c r="I792" s="35" t="s">
        <v>580</v>
      </c>
      <c r="J792" s="29">
        <v>2645</v>
      </c>
      <c r="K792" s="147">
        <v>2726.2189541205153</v>
      </c>
      <c r="L792" s="34">
        <v>81.218954120515264</v>
      </c>
      <c r="M792" s="56">
        <v>81.218954120515264</v>
      </c>
      <c r="N792" s="56">
        <v>1.9149719479663703</v>
      </c>
      <c r="O792" s="132">
        <f t="shared" si="13"/>
        <v>1.9149719479663703</v>
      </c>
      <c r="P792" s="56">
        <v>3.0706598911347927</v>
      </c>
      <c r="Q792" s="143">
        <v>3.0706598911347927</v>
      </c>
      <c r="R792" s="143">
        <v>2723.0466220474482</v>
      </c>
      <c r="S792" s="34">
        <v>78.046622047448182</v>
      </c>
      <c r="T792" s="56">
        <v>78.046622047448182</v>
      </c>
      <c r="U792" s="56">
        <v>1.8978833156660944</v>
      </c>
      <c r="V792" s="56">
        <v>2.9507229507541846</v>
      </c>
      <c r="W792" s="33">
        <v>2.9507229507541846</v>
      </c>
    </row>
    <row r="793" spans="1:23" ht="16" x14ac:dyDescent="0.2">
      <c r="A793" s="103" t="s">
        <v>19</v>
      </c>
      <c r="B793" t="s">
        <v>874</v>
      </c>
      <c r="C793" s="103" t="s">
        <v>970</v>
      </c>
      <c r="D793" s="224" t="s">
        <v>824</v>
      </c>
      <c r="E793" s="35" t="s">
        <v>148</v>
      </c>
      <c r="F793" s="103" t="s">
        <v>967</v>
      </c>
      <c r="G793" s="103">
        <v>0</v>
      </c>
      <c r="H793" s="35" t="s">
        <v>374</v>
      </c>
      <c r="I793" s="35" t="s">
        <v>580</v>
      </c>
      <c r="J793" s="35">
        <v>1540</v>
      </c>
      <c r="K793" s="147">
        <v>1621.5950000000003</v>
      </c>
      <c r="L793" s="34">
        <v>81.595000000000255</v>
      </c>
      <c r="M793" s="56">
        <v>81.595000000000255</v>
      </c>
      <c r="N793" s="56">
        <v>1.9169537575124573</v>
      </c>
      <c r="O793" s="132">
        <f t="shared" si="13"/>
        <v>1.9169537575124573</v>
      </c>
      <c r="P793" s="56">
        <v>5.2983766233766403</v>
      </c>
      <c r="Q793" s="143">
        <v>5.2983766233766403</v>
      </c>
      <c r="R793" s="143">
        <v>1666.3820000000001</v>
      </c>
      <c r="S793" s="34">
        <v>126.38200000000006</v>
      </c>
      <c r="T793" s="56">
        <v>126.38200000000006</v>
      </c>
      <c r="U793" s="56">
        <v>2.1051080633763424</v>
      </c>
      <c r="V793" s="56">
        <v>8.20662337662338</v>
      </c>
      <c r="W793" s="33">
        <v>8.20662337662338</v>
      </c>
    </row>
    <row r="794" spans="1:23" ht="16" x14ac:dyDescent="0.2">
      <c r="A794" s="103" t="s">
        <v>19</v>
      </c>
      <c r="B794" t="s">
        <v>878</v>
      </c>
      <c r="C794" s="224" t="s">
        <v>974</v>
      </c>
      <c r="D794" s="224" t="s">
        <v>824</v>
      </c>
      <c r="E794" s="35" t="s">
        <v>148</v>
      </c>
      <c r="F794" s="103" t="s">
        <v>967</v>
      </c>
      <c r="G794" s="103">
        <v>0</v>
      </c>
      <c r="H794" s="35" t="s">
        <v>374</v>
      </c>
      <c r="I794" s="35" t="s">
        <v>580</v>
      </c>
      <c r="J794" s="35">
        <v>1520</v>
      </c>
      <c r="K794" s="147">
        <v>1601.7201</v>
      </c>
      <c r="L794" s="34">
        <v>81.720100000000002</v>
      </c>
      <c r="M794" s="56">
        <v>81.720100000000002</v>
      </c>
      <c r="N794" s="56">
        <v>1.9176110507670572</v>
      </c>
      <c r="O794" s="132">
        <f t="shared" si="13"/>
        <v>1.9176110507670572</v>
      </c>
      <c r="P794" s="56">
        <v>5.3763223684210528</v>
      </c>
      <c r="Q794" s="143">
        <v>5.3763223684210528</v>
      </c>
      <c r="R794" s="143">
        <v>1522.6451999999999</v>
      </c>
      <c r="S794" s="34">
        <v>2.6451999999999316</v>
      </c>
      <c r="T794" s="56">
        <v>2.6451999999999316</v>
      </c>
      <c r="U794" s="56">
        <v>0.5617213616014497</v>
      </c>
      <c r="V794" s="56">
        <v>0.17402631578946917</v>
      </c>
      <c r="W794" s="33">
        <v>0.17402631578946917</v>
      </c>
    </row>
    <row r="795" spans="1:23" ht="15" x14ac:dyDescent="0.2">
      <c r="A795" s="103" t="s">
        <v>19</v>
      </c>
      <c r="B795" s="28" t="s">
        <v>416</v>
      </c>
      <c r="C795" s="103" t="s">
        <v>970</v>
      </c>
      <c r="D795" s="35" t="s">
        <v>458</v>
      </c>
      <c r="E795" s="35" t="s">
        <v>82</v>
      </c>
      <c r="F795" s="103" t="s">
        <v>967</v>
      </c>
      <c r="G795" s="103">
        <v>0</v>
      </c>
      <c r="H795" s="35" t="s">
        <v>374</v>
      </c>
      <c r="I795" s="35" t="s">
        <v>580</v>
      </c>
      <c r="J795" s="35">
        <v>1250</v>
      </c>
      <c r="K795" s="141">
        <v>1332.2203</v>
      </c>
      <c r="L795" s="34">
        <v>82.220299999999952</v>
      </c>
      <c r="M795" s="56">
        <v>82.220299999999952</v>
      </c>
      <c r="N795" s="56">
        <v>1.9202292770434426</v>
      </c>
      <c r="O795" s="132">
        <f t="shared" si="13"/>
        <v>1.9202292770434426</v>
      </c>
      <c r="P795" s="56">
        <v>6.5776239999999966</v>
      </c>
      <c r="Q795" s="143">
        <v>6.5776239999999966</v>
      </c>
      <c r="R795" s="143">
        <v>1314.2750000000001</v>
      </c>
      <c r="S795" s="34">
        <v>64.275000000000091</v>
      </c>
      <c r="T795" s="56">
        <v>64.275000000000091</v>
      </c>
      <c r="U795" s="56">
        <v>1.8147468804949827</v>
      </c>
      <c r="V795" s="56">
        <v>5.1420000000000075</v>
      </c>
      <c r="W795" s="33">
        <v>5.1420000000000075</v>
      </c>
    </row>
    <row r="796" spans="1:23" ht="16" x14ac:dyDescent="0.2">
      <c r="A796" s="103" t="s">
        <v>19</v>
      </c>
      <c r="B796" t="s">
        <v>881</v>
      </c>
      <c r="C796" s="24" t="s">
        <v>980</v>
      </c>
      <c r="D796" s="224" t="s">
        <v>824</v>
      </c>
      <c r="E796" s="35" t="s">
        <v>148</v>
      </c>
      <c r="F796" s="103" t="s">
        <v>968</v>
      </c>
      <c r="G796" s="103">
        <v>1</v>
      </c>
      <c r="H796" s="35" t="s">
        <v>374</v>
      </c>
      <c r="I796" s="35" t="s">
        <v>580</v>
      </c>
      <c r="J796" s="35">
        <v>1835</v>
      </c>
      <c r="K796" s="147">
        <v>1752.7539892058892</v>
      </c>
      <c r="L796" s="34">
        <v>-82.246010794110816</v>
      </c>
      <c r="M796" s="56">
        <v>82.246010794110816</v>
      </c>
      <c r="N796" s="56">
        <v>1.9203634309877839</v>
      </c>
      <c r="O796" s="132">
        <f t="shared" ref="O796:O859" si="14">SIGN(L796)*N796</f>
        <v>-1.9203634309877839</v>
      </c>
      <c r="P796" s="56">
        <v>-4.4820714329215701</v>
      </c>
      <c r="Q796" s="143">
        <v>4.4820714329215701</v>
      </c>
      <c r="R796" s="143">
        <v>1726.8936881026432</v>
      </c>
      <c r="S796" s="34">
        <v>-108.10631189735682</v>
      </c>
      <c r="T796" s="56">
        <v>108.10631189735682</v>
      </c>
      <c r="U796" s="56">
        <v>2.037849875637836</v>
      </c>
      <c r="V796" s="56">
        <v>-5.8913521469949224</v>
      </c>
      <c r="W796" s="33">
        <v>5.8913521469949224</v>
      </c>
    </row>
    <row r="797" spans="1:23" ht="16" x14ac:dyDescent="0.2">
      <c r="A797" s="103" t="s">
        <v>19</v>
      </c>
      <c r="B797" t="s">
        <v>856</v>
      </c>
      <c r="C797" s="224" t="s">
        <v>974</v>
      </c>
      <c r="D797" s="224" t="s">
        <v>824</v>
      </c>
      <c r="E797" s="35" t="s">
        <v>148</v>
      </c>
      <c r="F797" s="103" t="s">
        <v>967</v>
      </c>
      <c r="G797" s="103">
        <v>0</v>
      </c>
      <c r="H797" s="225" t="s">
        <v>494</v>
      </c>
      <c r="I797" s="35" t="s">
        <v>580</v>
      </c>
      <c r="J797" s="35">
        <v>1098</v>
      </c>
      <c r="K797" s="147">
        <v>1181.0880999999999</v>
      </c>
      <c r="L797" s="34">
        <v>83.08809999999994</v>
      </c>
      <c r="M797" s="56">
        <v>83.08809999999994</v>
      </c>
      <c r="N797" s="56">
        <v>1.9247345395552493</v>
      </c>
      <c r="O797" s="132">
        <f t="shared" si="14"/>
        <v>1.9247345395552493</v>
      </c>
      <c r="P797" s="56">
        <v>7.5672222222222167</v>
      </c>
      <c r="Q797" s="143">
        <v>7.5672222222222167</v>
      </c>
      <c r="R797" s="143">
        <v>1125.5150999999998</v>
      </c>
      <c r="S797" s="34">
        <v>27.515099999999848</v>
      </c>
      <c r="T797" s="56">
        <v>27.515099999999848</v>
      </c>
      <c r="U797" s="56">
        <v>1.4550748989571396</v>
      </c>
      <c r="V797" s="56">
        <v>2.5059289617486198</v>
      </c>
      <c r="W797" s="33">
        <v>2.5059289617486198</v>
      </c>
    </row>
    <row r="798" spans="1:23" ht="15" x14ac:dyDescent="0.2">
      <c r="A798" s="103" t="s">
        <v>19</v>
      </c>
      <c r="B798" t="s">
        <v>897</v>
      </c>
      <c r="C798" s="224" t="s">
        <v>978</v>
      </c>
      <c r="D798" s="224" t="s">
        <v>824</v>
      </c>
      <c r="E798" s="35" t="s">
        <v>148</v>
      </c>
      <c r="F798" s="103" t="s">
        <v>968</v>
      </c>
      <c r="G798" s="103">
        <v>1</v>
      </c>
      <c r="H798" s="35" t="s">
        <v>494</v>
      </c>
      <c r="I798" s="35" t="s">
        <v>580</v>
      </c>
      <c r="J798" s="35">
        <v>1031</v>
      </c>
      <c r="K798">
        <v>947.60083673963652</v>
      </c>
      <c r="L798" s="34">
        <v>-83.39916326036348</v>
      </c>
      <c r="M798" s="56">
        <v>83.39916326036348</v>
      </c>
      <c r="N798" s="56">
        <v>1.926338141018922</v>
      </c>
      <c r="O798" s="132">
        <f t="shared" si="14"/>
        <v>-1.926338141018922</v>
      </c>
      <c r="P798" s="56">
        <v>-8.0891525955735677</v>
      </c>
      <c r="Q798" s="143">
        <v>8.0891525955735677</v>
      </c>
      <c r="R798" s="143">
        <v>935.01070344248296</v>
      </c>
      <c r="S798" s="34">
        <v>-95.989296557517036</v>
      </c>
      <c r="T798" s="56">
        <v>95.989296557517036</v>
      </c>
      <c r="U798" s="56">
        <v>1.9867238094982815</v>
      </c>
      <c r="V798" s="56">
        <v>-9.3103100443760471</v>
      </c>
      <c r="W798" s="33">
        <v>9.3103100443760471</v>
      </c>
    </row>
    <row r="799" spans="1:23" ht="16" x14ac:dyDescent="0.2">
      <c r="A799" s="103" t="s">
        <v>19</v>
      </c>
      <c r="B799" t="s">
        <v>859</v>
      </c>
      <c r="C799" s="224" t="s">
        <v>978</v>
      </c>
      <c r="D799" s="224" t="s">
        <v>824</v>
      </c>
      <c r="E799" s="35" t="s">
        <v>148</v>
      </c>
      <c r="F799" s="103" t="s">
        <v>968</v>
      </c>
      <c r="G799" s="103">
        <v>1</v>
      </c>
      <c r="H799" s="35" t="s">
        <v>494</v>
      </c>
      <c r="I799" s="35" t="s">
        <v>580</v>
      </c>
      <c r="J799" s="35">
        <v>1135</v>
      </c>
      <c r="K799" s="147">
        <v>1051.538530441346</v>
      </c>
      <c r="L799" s="34">
        <v>-83.461469558654017</v>
      </c>
      <c r="M799" s="56">
        <v>83.461469558654017</v>
      </c>
      <c r="N799" s="56">
        <v>1.9266586335139657</v>
      </c>
      <c r="O799" s="132">
        <f t="shared" si="14"/>
        <v>-1.9266586335139657</v>
      </c>
      <c r="P799" s="56">
        <v>-7.353433441291104</v>
      </c>
      <c r="Q799" s="143">
        <v>7.353433441291104</v>
      </c>
      <c r="R799" s="143">
        <v>1080.6902044552403</v>
      </c>
      <c r="S799" s="34">
        <v>-54.309795544759709</v>
      </c>
      <c r="T799" s="56">
        <v>54.309795544759709</v>
      </c>
      <c r="U799" s="56">
        <v>1.7428020530823138</v>
      </c>
      <c r="V799" s="56">
        <v>-4.7850040127541593</v>
      </c>
      <c r="W799" s="33">
        <v>4.7850040127541593</v>
      </c>
    </row>
    <row r="800" spans="1:23" ht="15" x14ac:dyDescent="0.2">
      <c r="A800" s="103" t="s">
        <v>19</v>
      </c>
      <c r="B800" s="28" t="s">
        <v>435</v>
      </c>
      <c r="C800" s="224" t="s">
        <v>978</v>
      </c>
      <c r="D800" s="35" t="s">
        <v>458</v>
      </c>
      <c r="E800" s="208" t="s">
        <v>82</v>
      </c>
      <c r="F800" s="103" t="s">
        <v>968</v>
      </c>
      <c r="G800" s="103">
        <v>1</v>
      </c>
      <c r="H800" s="35" t="s">
        <v>494</v>
      </c>
      <c r="I800" s="35" t="s">
        <v>580</v>
      </c>
      <c r="J800" s="35">
        <v>1150</v>
      </c>
      <c r="K800" s="141">
        <v>1066.5383989829174</v>
      </c>
      <c r="L800" s="34">
        <v>-83.461601017082558</v>
      </c>
      <c r="M800" s="56">
        <v>83.461601017082558</v>
      </c>
      <c r="N800" s="56">
        <v>1.9266593094627265</v>
      </c>
      <c r="O800" s="132">
        <f t="shared" si="14"/>
        <v>-1.9266593094627265</v>
      </c>
      <c r="P800" s="56">
        <v>-7.2575305232245704</v>
      </c>
      <c r="Q800" s="143">
        <v>7.2575305232245704</v>
      </c>
      <c r="R800" s="143">
        <v>1056.9480218181468</v>
      </c>
      <c r="S800" s="34">
        <v>-93.051978181853201</v>
      </c>
      <c r="T800" s="56">
        <v>93.051978181853201</v>
      </c>
      <c r="U800" s="56">
        <v>1.9733679344364048</v>
      </c>
      <c r="V800" s="56">
        <v>-8.0914763636394085</v>
      </c>
      <c r="W800" s="33">
        <v>8.0914763636394085</v>
      </c>
    </row>
    <row r="801" spans="1:23" ht="15" x14ac:dyDescent="0.2">
      <c r="A801" s="103" t="s">
        <v>19</v>
      </c>
      <c r="B801" s="28" t="s">
        <v>459</v>
      </c>
      <c r="C801" s="103" t="s">
        <v>979</v>
      </c>
      <c r="D801" s="35" t="s">
        <v>458</v>
      </c>
      <c r="E801" s="208" t="s">
        <v>82</v>
      </c>
      <c r="F801" s="103" t="s">
        <v>967</v>
      </c>
      <c r="G801" s="103">
        <v>0</v>
      </c>
      <c r="H801" s="35" t="s">
        <v>374</v>
      </c>
      <c r="I801" s="35" t="s">
        <v>580</v>
      </c>
      <c r="J801" s="35">
        <v>1640</v>
      </c>
      <c r="K801" s="141">
        <v>1556.5217391304348</v>
      </c>
      <c r="L801" s="34">
        <v>-83.478260869565247</v>
      </c>
      <c r="M801" s="56">
        <v>83.478260869565247</v>
      </c>
      <c r="N801" s="56">
        <v>1.9267449645821897</v>
      </c>
      <c r="O801" s="132">
        <f t="shared" si="14"/>
        <v>-1.9267449645821897</v>
      </c>
      <c r="P801" s="56">
        <v>-5.0901378579003191</v>
      </c>
      <c r="Q801" s="143">
        <v>5.0901378579003191</v>
      </c>
      <c r="R801" s="143">
        <v>1562.5</v>
      </c>
      <c r="S801" s="34">
        <v>-77.5</v>
      </c>
      <c r="T801" s="56">
        <v>77.5</v>
      </c>
      <c r="U801" s="56">
        <v>1.8948696567452525</v>
      </c>
      <c r="V801" s="56">
        <v>-4.725609756097561</v>
      </c>
      <c r="W801" s="33">
        <v>4.725609756097561</v>
      </c>
    </row>
    <row r="802" spans="1:23" ht="15" x14ac:dyDescent="0.2">
      <c r="A802" s="103" t="s">
        <v>19</v>
      </c>
      <c r="B802" s="28" t="s">
        <v>345</v>
      </c>
      <c r="C802" s="103" t="s">
        <v>979</v>
      </c>
      <c r="D802" s="208" t="s">
        <v>403</v>
      </c>
      <c r="E802" s="35" t="s">
        <v>82</v>
      </c>
      <c r="F802" s="103" t="s">
        <v>967</v>
      </c>
      <c r="G802" s="103">
        <v>0</v>
      </c>
      <c r="H802" s="35" t="s">
        <v>374</v>
      </c>
      <c r="I802" s="35" t="s">
        <v>580</v>
      </c>
      <c r="J802" s="35">
        <v>1499</v>
      </c>
      <c r="K802" s="141">
        <v>1582.6086956521738</v>
      </c>
      <c r="L802" s="34">
        <v>83.608695652173765</v>
      </c>
      <c r="M802" s="56">
        <v>83.608695652173765</v>
      </c>
      <c r="N802" s="56">
        <v>1.9274149999147394</v>
      </c>
      <c r="O802" s="132">
        <f t="shared" si="14"/>
        <v>1.9274149999147394</v>
      </c>
      <c r="P802" s="56">
        <v>5.577631464454555</v>
      </c>
      <c r="Q802" s="143">
        <v>5.577631464454555</v>
      </c>
      <c r="R802" s="143">
        <v>1591.6666666666667</v>
      </c>
      <c r="S802" s="34">
        <v>92.666666666666742</v>
      </c>
      <c r="T802" s="56">
        <v>92.666666666666742</v>
      </c>
      <c r="U802" s="56">
        <v>1.9715850651854179</v>
      </c>
      <c r="V802" s="56">
        <v>6.1818990438069878</v>
      </c>
      <c r="W802" s="33">
        <v>6.1818990438069878</v>
      </c>
    </row>
    <row r="803" spans="1:23" ht="16" x14ac:dyDescent="0.2">
      <c r="A803" s="103" t="s">
        <v>19</v>
      </c>
      <c r="B803" t="s">
        <v>851</v>
      </c>
      <c r="C803" s="224" t="s">
        <v>977</v>
      </c>
      <c r="D803" s="224" t="s">
        <v>824</v>
      </c>
      <c r="E803" s="35" t="s">
        <v>148</v>
      </c>
      <c r="F803" s="103" t="s">
        <v>968</v>
      </c>
      <c r="G803" s="103">
        <v>1</v>
      </c>
      <c r="H803" s="35" t="s">
        <v>374</v>
      </c>
      <c r="I803" s="35" t="s">
        <v>580</v>
      </c>
      <c r="J803" s="35">
        <v>1622</v>
      </c>
      <c r="K803" s="147">
        <v>1538.3628184878016</v>
      </c>
      <c r="L803" s="34">
        <v>-83.637181512198367</v>
      </c>
      <c r="M803" s="56">
        <v>83.637181512198367</v>
      </c>
      <c r="N803" s="56">
        <v>1.9275611925682332</v>
      </c>
      <c r="O803" s="132">
        <f t="shared" si="14"/>
        <v>-1.9275611925682332</v>
      </c>
      <c r="P803" s="56">
        <v>-5.156423027879061</v>
      </c>
      <c r="Q803" s="143">
        <v>5.156423027879061</v>
      </c>
      <c r="R803" s="143">
        <v>1532.9677565349434</v>
      </c>
      <c r="S803" s="34">
        <v>-89.032243465056581</v>
      </c>
      <c r="T803" s="56">
        <v>89.032243465056581</v>
      </c>
      <c r="U803" s="56">
        <v>1.9543980722299863</v>
      </c>
      <c r="V803" s="56">
        <v>-5.4890409041341908</v>
      </c>
      <c r="W803" s="33">
        <v>5.4890409041341908</v>
      </c>
    </row>
    <row r="804" spans="1:23" ht="15" x14ac:dyDescent="0.2">
      <c r="A804" s="103" t="s">
        <v>19</v>
      </c>
      <c r="B804" s="28" t="s">
        <v>424</v>
      </c>
      <c r="C804" s="103" t="s">
        <v>970</v>
      </c>
      <c r="D804" s="35" t="s">
        <v>458</v>
      </c>
      <c r="E804" s="208" t="s">
        <v>82</v>
      </c>
      <c r="F804" s="103" t="s">
        <v>967</v>
      </c>
      <c r="G804" s="103">
        <v>0</v>
      </c>
      <c r="H804" s="35" t="s">
        <v>374</v>
      </c>
      <c r="I804" s="35" t="s">
        <v>580</v>
      </c>
      <c r="J804" s="35">
        <v>1800</v>
      </c>
      <c r="K804" s="141">
        <v>1883.6702</v>
      </c>
      <c r="L804" s="34">
        <v>83.670200000000023</v>
      </c>
      <c r="M804" s="56">
        <v>83.670200000000023</v>
      </c>
      <c r="N804" s="56">
        <v>1.9277305856225322</v>
      </c>
      <c r="O804" s="132">
        <f t="shared" si="14"/>
        <v>1.9277305856225322</v>
      </c>
      <c r="P804" s="56">
        <v>4.6483444444444455</v>
      </c>
      <c r="Q804" s="143">
        <v>4.6483444444444455</v>
      </c>
      <c r="R804" s="143">
        <v>1984.9550000000004</v>
      </c>
      <c r="S804" s="34">
        <v>184.95500000000038</v>
      </c>
      <c r="T804" s="56">
        <v>184.95500000000038</v>
      </c>
      <c r="U804" s="56">
        <v>2.2694078602600136</v>
      </c>
      <c r="V804" s="56">
        <v>10.275277777777799</v>
      </c>
      <c r="W804" s="33">
        <v>10.275277777777799</v>
      </c>
    </row>
    <row r="805" spans="1:23" ht="16" x14ac:dyDescent="0.2">
      <c r="A805" s="103" t="s">
        <v>19</v>
      </c>
      <c r="B805" t="s">
        <v>848</v>
      </c>
      <c r="C805" s="103" t="s">
        <v>975</v>
      </c>
      <c r="D805" s="224" t="s">
        <v>824</v>
      </c>
      <c r="E805" s="35" t="s">
        <v>148</v>
      </c>
      <c r="F805" s="103" t="s">
        <v>967</v>
      </c>
      <c r="G805" s="103">
        <v>0</v>
      </c>
      <c r="H805" s="35" t="s">
        <v>374</v>
      </c>
      <c r="I805" s="35" t="s">
        <v>580</v>
      </c>
      <c r="J805" s="35">
        <v>1244</v>
      </c>
      <c r="K805" s="147">
        <v>1327.8319999999999</v>
      </c>
      <c r="L805" s="34">
        <v>83.83199999999988</v>
      </c>
      <c r="M805" s="56">
        <v>83.83199999999988</v>
      </c>
      <c r="N805" s="56">
        <v>1.9285597060529989</v>
      </c>
      <c r="O805" s="132">
        <f t="shared" si="14"/>
        <v>1.9285597060529989</v>
      </c>
      <c r="P805" s="56">
        <v>6.738906752411566</v>
      </c>
      <c r="Q805" s="143">
        <v>6.738906752411566</v>
      </c>
      <c r="R805" s="143">
        <v>1330.5168000000001</v>
      </c>
      <c r="S805" s="34">
        <v>86.516800000000103</v>
      </c>
      <c r="T805" s="56">
        <v>86.516800000000103</v>
      </c>
      <c r="U805" s="56">
        <v>1.9420914295589478</v>
      </c>
      <c r="V805" s="56">
        <v>6.9547266881029026</v>
      </c>
      <c r="W805" s="33">
        <v>6.9547266881029026</v>
      </c>
    </row>
    <row r="806" spans="1:23" ht="16" x14ac:dyDescent="0.2">
      <c r="A806" s="103" t="s">
        <v>19</v>
      </c>
      <c r="B806" t="s">
        <v>869</v>
      </c>
      <c r="C806" s="224" t="s">
        <v>974</v>
      </c>
      <c r="D806" s="224" t="s">
        <v>824</v>
      </c>
      <c r="E806" s="35" t="s">
        <v>148</v>
      </c>
      <c r="F806" s="103" t="s">
        <v>967</v>
      </c>
      <c r="G806" s="103">
        <v>0</v>
      </c>
      <c r="H806" s="35" t="s">
        <v>374</v>
      </c>
      <c r="I806" s="35" t="s">
        <v>580</v>
      </c>
      <c r="J806" s="35">
        <v>1686</v>
      </c>
      <c r="K806" s="147">
        <v>1769.9729</v>
      </c>
      <c r="L806" s="34">
        <v>83.972899999999981</v>
      </c>
      <c r="M806" s="56">
        <v>83.972899999999981</v>
      </c>
      <c r="N806" s="56">
        <v>1.9292804403373967</v>
      </c>
      <c r="O806" s="132">
        <f t="shared" si="14"/>
        <v>1.9292804403373967</v>
      </c>
      <c r="P806" s="56">
        <v>4.9805990510083022</v>
      </c>
      <c r="Q806" s="143">
        <v>4.9805990510083022</v>
      </c>
      <c r="R806" s="143">
        <v>1685.3249999999998</v>
      </c>
      <c r="S806" s="34">
        <v>-0.6750000000001819</v>
      </c>
      <c r="T806" s="56">
        <v>0.6750000000001819</v>
      </c>
      <c r="U806" s="56">
        <v>0.22401481137291121</v>
      </c>
      <c r="V806" s="56">
        <v>-4.0035587188622886E-2</v>
      </c>
      <c r="W806" s="33">
        <v>4.0035587188622886E-2</v>
      </c>
    </row>
    <row r="807" spans="1:23" ht="15" x14ac:dyDescent="0.2">
      <c r="A807" s="103" t="s">
        <v>19</v>
      </c>
      <c r="B807" t="s">
        <v>896</v>
      </c>
      <c r="C807" s="224" t="s">
        <v>977</v>
      </c>
      <c r="D807" s="224" t="s">
        <v>824</v>
      </c>
      <c r="E807" s="35" t="s">
        <v>148</v>
      </c>
      <c r="F807" s="103" t="s">
        <v>968</v>
      </c>
      <c r="G807" s="103">
        <v>1</v>
      </c>
      <c r="H807" s="35" t="s">
        <v>374</v>
      </c>
      <c r="I807" s="35" t="s">
        <v>580</v>
      </c>
      <c r="J807" s="35">
        <v>1750</v>
      </c>
      <c r="K807">
        <v>1665.9977334134985</v>
      </c>
      <c r="L807" s="34">
        <v>-84.002266586501491</v>
      </c>
      <c r="M807" s="56">
        <v>84.002266586501491</v>
      </c>
      <c r="N807" s="56">
        <v>1.9294305063364829</v>
      </c>
      <c r="O807" s="132">
        <f t="shared" si="14"/>
        <v>-1.9294305063364829</v>
      </c>
      <c r="P807" s="56">
        <v>-4.8001295192286575</v>
      </c>
      <c r="Q807" s="143">
        <v>4.8001295192286575</v>
      </c>
      <c r="R807" s="143">
        <v>1649.4860501445089</v>
      </c>
      <c r="S807" s="34">
        <v>-100.51394985549109</v>
      </c>
      <c r="T807" s="56">
        <v>100.51394985549109</v>
      </c>
      <c r="U807" s="56">
        <v>2.0065257262785998</v>
      </c>
      <c r="V807" s="56">
        <v>-5.743654277456633</v>
      </c>
      <c r="W807" s="33">
        <v>5.743654277456633</v>
      </c>
    </row>
    <row r="808" spans="1:23" ht="16" x14ac:dyDescent="0.2">
      <c r="A808" s="103" t="s">
        <v>19</v>
      </c>
      <c r="B808" t="s">
        <v>876</v>
      </c>
      <c r="C808" s="103" t="s">
        <v>975</v>
      </c>
      <c r="D808" s="224" t="s">
        <v>824</v>
      </c>
      <c r="E808" s="35" t="s">
        <v>148</v>
      </c>
      <c r="F808" s="103" t="s">
        <v>967</v>
      </c>
      <c r="G808" s="103">
        <v>0</v>
      </c>
      <c r="H808" s="35" t="s">
        <v>374</v>
      </c>
      <c r="I808" s="35" t="s">
        <v>580</v>
      </c>
      <c r="J808" s="35">
        <v>1668</v>
      </c>
      <c r="K808" s="147">
        <v>1752.1315999999999</v>
      </c>
      <c r="L808" s="34">
        <v>84.131599999999935</v>
      </c>
      <c r="M808" s="56">
        <v>84.131599999999935</v>
      </c>
      <c r="N808" s="56">
        <v>1.9300907957868398</v>
      </c>
      <c r="O808" s="132">
        <f t="shared" si="14"/>
        <v>1.9300907957868398</v>
      </c>
      <c r="P808" s="56">
        <v>5.0438609112709791</v>
      </c>
      <c r="Q808" s="143">
        <v>5.0438609112709791</v>
      </c>
      <c r="R808" s="143">
        <v>1754.8772000000001</v>
      </c>
      <c r="S808" s="34">
        <v>86.87720000000013</v>
      </c>
      <c r="T808" s="56">
        <v>86.87720000000013</v>
      </c>
      <c r="U808" s="56">
        <v>1.9438762106981546</v>
      </c>
      <c r="V808" s="56">
        <v>5.2084652278177535</v>
      </c>
      <c r="W808" s="33">
        <v>5.2084652278177535</v>
      </c>
    </row>
    <row r="809" spans="1:23" ht="15" x14ac:dyDescent="0.2">
      <c r="A809" s="103" t="s">
        <v>19</v>
      </c>
      <c r="B809" s="28" t="s">
        <v>290</v>
      </c>
      <c r="C809" s="103" t="s">
        <v>970</v>
      </c>
      <c r="D809" s="208" t="s">
        <v>403</v>
      </c>
      <c r="E809" s="35" t="s">
        <v>82</v>
      </c>
      <c r="F809" s="103" t="s">
        <v>967</v>
      </c>
      <c r="G809" s="103">
        <v>0</v>
      </c>
      <c r="H809" s="35" t="s">
        <v>374</v>
      </c>
      <c r="I809" s="35" t="s">
        <v>580</v>
      </c>
      <c r="J809" s="35">
        <v>1369.3</v>
      </c>
      <c r="K809" s="141">
        <v>1453.9760700000002</v>
      </c>
      <c r="L809" s="34">
        <v>84.676070000000209</v>
      </c>
      <c r="M809" s="56">
        <v>84.676070000000209</v>
      </c>
      <c r="N809" s="56">
        <v>1.9328595369967858</v>
      </c>
      <c r="O809" s="132">
        <f t="shared" si="14"/>
        <v>1.9328595369967858</v>
      </c>
      <c r="P809" s="56">
        <v>6.1838946907179011</v>
      </c>
      <c r="Q809" s="143">
        <v>6.1838946907179011</v>
      </c>
      <c r="R809" s="143">
        <v>1454.1676699999998</v>
      </c>
      <c r="S809" s="34">
        <v>84.867669999999862</v>
      </c>
      <c r="T809" s="56">
        <v>84.867669999999862</v>
      </c>
      <c r="U809" s="56">
        <v>1.9338296785750728</v>
      </c>
      <c r="V809" s="56">
        <v>6.1978872416563098</v>
      </c>
      <c r="W809" s="33">
        <v>6.1978872416563098</v>
      </c>
    </row>
    <row r="810" spans="1:23" ht="16" x14ac:dyDescent="0.2">
      <c r="A810" s="103" t="s">
        <v>19</v>
      </c>
      <c r="B810" t="s">
        <v>873</v>
      </c>
      <c r="C810" s="103" t="s">
        <v>970</v>
      </c>
      <c r="D810" s="224" t="s">
        <v>824</v>
      </c>
      <c r="E810" s="35" t="s">
        <v>148</v>
      </c>
      <c r="F810" s="103" t="s">
        <v>967</v>
      </c>
      <c r="G810" s="103">
        <v>0</v>
      </c>
      <c r="H810" s="35" t="s">
        <v>374</v>
      </c>
      <c r="I810" s="35" t="s">
        <v>580</v>
      </c>
      <c r="J810" s="35">
        <v>1646</v>
      </c>
      <c r="K810" s="147">
        <v>1730.7930000000001</v>
      </c>
      <c r="L810" s="34">
        <v>84.79300000000012</v>
      </c>
      <c r="M810" s="56">
        <v>84.79300000000012</v>
      </c>
      <c r="N810" s="56">
        <v>1.9334518544525301</v>
      </c>
      <c r="O810" s="132">
        <f t="shared" si="14"/>
        <v>1.9334518544525301</v>
      </c>
      <c r="P810" s="56">
        <v>5.1514580801944181</v>
      </c>
      <c r="Q810" s="143">
        <v>5.1514580801944181</v>
      </c>
      <c r="R810" s="143">
        <v>1789.3400000000001</v>
      </c>
      <c r="S810" s="34">
        <v>143.34000000000015</v>
      </c>
      <c r="T810" s="56">
        <v>143.34000000000015</v>
      </c>
      <c r="U810" s="56">
        <v>2.1593867009617549</v>
      </c>
      <c r="V810" s="56">
        <v>8.7083839611178711</v>
      </c>
      <c r="W810" s="33">
        <v>8.7083839611178711</v>
      </c>
    </row>
    <row r="811" spans="1:23" ht="15" x14ac:dyDescent="0.2">
      <c r="A811" s="103" t="s">
        <v>19</v>
      </c>
      <c r="B811" t="s">
        <v>889</v>
      </c>
      <c r="C811" s="224" t="s">
        <v>978</v>
      </c>
      <c r="D811" s="224" t="s">
        <v>824</v>
      </c>
      <c r="E811" s="35" t="s">
        <v>148</v>
      </c>
      <c r="F811" s="103" t="s">
        <v>968</v>
      </c>
      <c r="G811" s="103">
        <v>1</v>
      </c>
      <c r="H811" s="35" t="s">
        <v>374</v>
      </c>
      <c r="I811" s="35" t="s">
        <v>580</v>
      </c>
      <c r="J811" s="35">
        <v>1895</v>
      </c>
      <c r="K811">
        <v>1979.8638769618287</v>
      </c>
      <c r="L811" s="34">
        <v>84.863876961828737</v>
      </c>
      <c r="M811" s="56">
        <v>84.863876961828737</v>
      </c>
      <c r="N811" s="56">
        <v>1.9338104940329572</v>
      </c>
      <c r="O811" s="132">
        <f t="shared" si="14"/>
        <v>1.9338104940329572</v>
      </c>
      <c r="P811" s="56">
        <v>4.4783048528669518</v>
      </c>
      <c r="Q811" s="143">
        <v>4.4783048528669518</v>
      </c>
      <c r="R811" s="143">
        <v>1924.8272586115131</v>
      </c>
      <c r="S811" s="34">
        <v>29.827258611513116</v>
      </c>
      <c r="T811" s="56">
        <v>29.827258611513116</v>
      </c>
      <c r="U811" s="56">
        <v>1.4889349057570567</v>
      </c>
      <c r="V811" s="56">
        <v>1.5739978159109824</v>
      </c>
      <c r="W811" s="33">
        <v>1.5739978159109824</v>
      </c>
    </row>
    <row r="812" spans="1:23" ht="16" x14ac:dyDescent="0.2">
      <c r="A812" s="103" t="s">
        <v>19</v>
      </c>
      <c r="B812" t="s">
        <v>863</v>
      </c>
      <c r="C812" s="103" t="s">
        <v>971</v>
      </c>
      <c r="D812" s="224" t="s">
        <v>824</v>
      </c>
      <c r="E812" s="35" t="s">
        <v>148</v>
      </c>
      <c r="F812" s="103" t="s">
        <v>968</v>
      </c>
      <c r="G812" s="103">
        <v>1</v>
      </c>
      <c r="H812" s="225" t="s">
        <v>494</v>
      </c>
      <c r="I812" s="35" t="s">
        <v>580</v>
      </c>
      <c r="J812" s="35">
        <v>1110</v>
      </c>
      <c r="K812" s="147">
        <v>1024.79579847171</v>
      </c>
      <c r="L812" s="34">
        <v>-85.204201528290014</v>
      </c>
      <c r="M812" s="56">
        <v>85.204201528290014</v>
      </c>
      <c r="N812" s="56">
        <v>1.9355284335287026</v>
      </c>
      <c r="O812" s="132">
        <f t="shared" si="14"/>
        <v>-1.9355284335287026</v>
      </c>
      <c r="P812" s="56">
        <v>-7.6760541917378387</v>
      </c>
      <c r="Q812" s="143">
        <v>7.6760541917378387</v>
      </c>
      <c r="R812" s="143">
        <v>1178.1159195567418</v>
      </c>
      <c r="S812" s="34">
        <v>68.115919556741801</v>
      </c>
      <c r="T812" s="56">
        <v>68.115919556741801</v>
      </c>
      <c r="U812" s="56">
        <v>1.8395780904907952</v>
      </c>
      <c r="V812" s="56">
        <v>6.136569329436198</v>
      </c>
      <c r="W812" s="33">
        <v>6.136569329436198</v>
      </c>
    </row>
    <row r="813" spans="1:23" ht="15" x14ac:dyDescent="0.2">
      <c r="A813" s="103" t="s">
        <v>19</v>
      </c>
      <c r="B813" t="s">
        <v>896</v>
      </c>
      <c r="C813" s="103" t="s">
        <v>975</v>
      </c>
      <c r="D813" s="224" t="s">
        <v>824</v>
      </c>
      <c r="E813" s="35" t="s">
        <v>148</v>
      </c>
      <c r="F813" s="103" t="s">
        <v>967</v>
      </c>
      <c r="G813" s="103">
        <v>0</v>
      </c>
      <c r="H813" s="35" t="s">
        <v>374</v>
      </c>
      <c r="I813" s="35" t="s">
        <v>580</v>
      </c>
      <c r="J813" s="35">
        <v>1750</v>
      </c>
      <c r="K813">
        <v>1664.7757999999999</v>
      </c>
      <c r="L813" s="34">
        <v>-85.22420000000011</v>
      </c>
      <c r="M813" s="56">
        <v>85.22420000000011</v>
      </c>
      <c r="N813" s="56">
        <v>1.9356291736141196</v>
      </c>
      <c r="O813" s="132">
        <f t="shared" si="14"/>
        <v>-1.9356291736141196</v>
      </c>
      <c r="P813" s="56">
        <v>-4.8699542857142921</v>
      </c>
      <c r="Q813" s="143">
        <v>4.8699542857142921</v>
      </c>
      <c r="R813" s="143">
        <v>1670.8058000000001</v>
      </c>
      <c r="S813" s="34">
        <v>-79.19419999999991</v>
      </c>
      <c r="T813" s="56">
        <v>79.19419999999991</v>
      </c>
      <c r="U813" s="56">
        <v>1.9041429593180517</v>
      </c>
      <c r="V813" s="56">
        <v>-4.5253828571428523</v>
      </c>
      <c r="W813" s="33">
        <v>4.5253828571428523</v>
      </c>
    </row>
    <row r="814" spans="1:23" ht="16" x14ac:dyDescent="0.2">
      <c r="A814" s="103" t="s">
        <v>19</v>
      </c>
      <c r="B814" t="s">
        <v>857</v>
      </c>
      <c r="C814" s="103" t="s">
        <v>975</v>
      </c>
      <c r="D814" s="224" t="s">
        <v>824</v>
      </c>
      <c r="E814" s="35" t="s">
        <v>148</v>
      </c>
      <c r="F814" s="103" t="s">
        <v>967</v>
      </c>
      <c r="G814" s="103">
        <v>0</v>
      </c>
      <c r="H814" s="225" t="s">
        <v>494</v>
      </c>
      <c r="I814" s="35" t="s">
        <v>580</v>
      </c>
      <c r="J814" s="35">
        <v>1022</v>
      </c>
      <c r="K814" s="147">
        <v>1107.3625999999999</v>
      </c>
      <c r="L814" s="34">
        <v>85.362599999999929</v>
      </c>
      <c r="M814" s="56">
        <v>85.362599999999929</v>
      </c>
      <c r="N814" s="56">
        <v>1.9363257085655701</v>
      </c>
      <c r="O814" s="132">
        <f t="shared" si="14"/>
        <v>1.9363257085655701</v>
      </c>
      <c r="P814" s="56">
        <v>8.3525048923678984</v>
      </c>
      <c r="Q814" s="143">
        <v>8.3525048923678984</v>
      </c>
      <c r="R814" s="143">
        <v>1110.3298</v>
      </c>
      <c r="S814" s="34">
        <v>88.329799999999977</v>
      </c>
      <c r="T814" s="56">
        <v>88.329799999999977</v>
      </c>
      <c r="U814" s="56">
        <v>1.9509963616503563</v>
      </c>
      <c r="V814" s="56">
        <v>8.6428375733855169</v>
      </c>
      <c r="W814" s="33">
        <v>8.6428375733855169</v>
      </c>
    </row>
    <row r="815" spans="1:23" ht="15" x14ac:dyDescent="0.2">
      <c r="A815" s="103" t="s">
        <v>19</v>
      </c>
      <c r="B815" t="s">
        <v>885</v>
      </c>
      <c r="C815" s="103" t="s">
        <v>971</v>
      </c>
      <c r="D815" s="224" t="s">
        <v>824</v>
      </c>
      <c r="E815" s="35" t="s">
        <v>148</v>
      </c>
      <c r="F815" s="103" t="s">
        <v>968</v>
      </c>
      <c r="G815" s="103">
        <v>1</v>
      </c>
      <c r="H815" s="35" t="s">
        <v>374</v>
      </c>
      <c r="I815" s="35" t="s">
        <v>580</v>
      </c>
      <c r="J815" s="35">
        <v>1714</v>
      </c>
      <c r="K815">
        <v>1628.0297337694969</v>
      </c>
      <c r="L815" s="34">
        <v>-85.970266230503057</v>
      </c>
      <c r="M815" s="56">
        <v>85.970266230503057</v>
      </c>
      <c r="N815" s="56">
        <v>1.9393707995246015</v>
      </c>
      <c r="O815" s="132">
        <f t="shared" si="14"/>
        <v>-1.9393707995246015</v>
      </c>
      <c r="P815" s="56">
        <v>-5.0157681581390348</v>
      </c>
      <c r="Q815" s="143">
        <v>5.0157681581390348</v>
      </c>
      <c r="R815" s="143">
        <v>1842.639234134667</v>
      </c>
      <c r="S815" s="34">
        <v>128.63923413466705</v>
      </c>
      <c r="T815" s="56">
        <v>128.63923413466705</v>
      </c>
      <c r="U815" s="56">
        <v>2.1127364567008815</v>
      </c>
      <c r="V815" s="56">
        <v>7.5052061922209488</v>
      </c>
      <c r="W815" s="33">
        <v>7.5052061922209488</v>
      </c>
    </row>
    <row r="816" spans="1:23" ht="15" x14ac:dyDescent="0.2">
      <c r="A816" s="103" t="s">
        <v>19</v>
      </c>
      <c r="B816" s="28" t="s">
        <v>433</v>
      </c>
      <c r="C816" s="24" t="s">
        <v>980</v>
      </c>
      <c r="D816" s="35" t="s">
        <v>458</v>
      </c>
      <c r="E816" s="208" t="s">
        <v>82</v>
      </c>
      <c r="F816" s="103" t="s">
        <v>968</v>
      </c>
      <c r="G816" s="103">
        <v>1</v>
      </c>
      <c r="H816" s="35" t="s">
        <v>374</v>
      </c>
      <c r="I816" s="35" t="s">
        <v>580</v>
      </c>
      <c r="J816" s="35">
        <v>1520</v>
      </c>
      <c r="K816" s="141">
        <v>1434.0286677350061</v>
      </c>
      <c r="L816" s="34">
        <v>-85.971332264993862</v>
      </c>
      <c r="M816" s="56">
        <v>85.971332264993862</v>
      </c>
      <c r="N816" s="56">
        <v>1.9393761228388735</v>
      </c>
      <c r="O816" s="132">
        <f t="shared" si="14"/>
        <v>-1.9393761228388735</v>
      </c>
      <c r="P816" s="56">
        <v>-5.6560087016443337</v>
      </c>
      <c r="Q816" s="143">
        <v>5.6560087016443337</v>
      </c>
      <c r="R816" s="143">
        <v>1410.0588753537183</v>
      </c>
      <c r="S816" s="34">
        <v>-109.94112464628165</v>
      </c>
      <c r="T816" s="56">
        <v>109.94112464628165</v>
      </c>
      <c r="U816" s="56">
        <v>2.045092564149618</v>
      </c>
      <c r="V816" s="56">
        <v>-7.2329687267290552</v>
      </c>
      <c r="W816" s="33">
        <v>7.2329687267290552</v>
      </c>
    </row>
    <row r="817" spans="1:23" ht="16" x14ac:dyDescent="0.2">
      <c r="A817" s="103" t="s">
        <v>19</v>
      </c>
      <c r="B817" t="s">
        <v>864</v>
      </c>
      <c r="C817" s="103" t="s">
        <v>979</v>
      </c>
      <c r="D817" s="224" t="s">
        <v>824</v>
      </c>
      <c r="E817" s="35" t="s">
        <v>148</v>
      </c>
      <c r="F817" s="103" t="s">
        <v>967</v>
      </c>
      <c r="G817" s="103">
        <v>0</v>
      </c>
      <c r="H817" s="35" t="s">
        <v>374</v>
      </c>
      <c r="I817" s="35" t="s">
        <v>580</v>
      </c>
      <c r="J817" s="35">
        <v>1460</v>
      </c>
      <c r="K817" s="147">
        <v>1373.9130434782608</v>
      </c>
      <c r="L817" s="34">
        <v>-86.086956521739239</v>
      </c>
      <c r="M817" s="56">
        <v>86.086956521739239</v>
      </c>
      <c r="N817" s="56">
        <v>1.939953113275984</v>
      </c>
      <c r="O817" s="132">
        <f t="shared" si="14"/>
        <v>-1.939953113275984</v>
      </c>
      <c r="P817" s="56">
        <v>-5.8963668850506323</v>
      </c>
      <c r="Q817" s="143">
        <v>5.8963668850506323</v>
      </c>
      <c r="R817" s="143">
        <v>1379.1666666666667</v>
      </c>
      <c r="S817" s="34">
        <v>-80.833333333333258</v>
      </c>
      <c r="T817" s="56">
        <v>80.833333333333258</v>
      </c>
      <c r="U817" s="56">
        <v>1.9129302417393244</v>
      </c>
      <c r="V817" s="56">
        <v>-5.5365296803652919</v>
      </c>
      <c r="W817" s="33">
        <v>5.5365296803652919</v>
      </c>
    </row>
    <row r="818" spans="1:23" ht="15" x14ac:dyDescent="0.2">
      <c r="A818" s="103" t="s">
        <v>19</v>
      </c>
      <c r="B818" t="s">
        <v>898</v>
      </c>
      <c r="C818" s="224" t="s">
        <v>974</v>
      </c>
      <c r="D818" s="224" t="s">
        <v>824</v>
      </c>
      <c r="E818" s="35" t="s">
        <v>148</v>
      </c>
      <c r="F818" s="103" t="s">
        <v>967</v>
      </c>
      <c r="G818" s="103">
        <v>0</v>
      </c>
      <c r="H818" s="225" t="s">
        <v>494</v>
      </c>
      <c r="I818" s="35" t="s">
        <v>580</v>
      </c>
      <c r="J818" s="35">
        <v>874</v>
      </c>
      <c r="K818">
        <v>960.25630000000012</v>
      </c>
      <c r="L818" s="34">
        <v>86.256300000000124</v>
      </c>
      <c r="M818" s="56">
        <v>86.256300000000124</v>
      </c>
      <c r="N818" s="56">
        <v>1.9407967932983874</v>
      </c>
      <c r="O818" s="132">
        <f t="shared" si="14"/>
        <v>1.9407967932983874</v>
      </c>
      <c r="P818" s="56">
        <v>9.8691418764302199</v>
      </c>
      <c r="Q818" s="143">
        <v>9.8691418764302199</v>
      </c>
      <c r="R818" s="143">
        <v>910.20359999999994</v>
      </c>
      <c r="S818" s="34">
        <v>36.203599999999938</v>
      </c>
      <c r="T818" s="56">
        <v>36.203599999999938</v>
      </c>
      <c r="U818" s="56">
        <v>1.5705849663466396</v>
      </c>
      <c r="V818" s="56">
        <v>4.1422883295194435</v>
      </c>
      <c r="W818" s="33">
        <v>4.1422883295194435</v>
      </c>
    </row>
    <row r="819" spans="1:23" ht="15" x14ac:dyDescent="0.2">
      <c r="A819" s="103" t="s">
        <v>19</v>
      </c>
      <c r="B819" t="s">
        <v>887</v>
      </c>
      <c r="C819" s="103" t="s">
        <v>971</v>
      </c>
      <c r="D819" s="224" t="s">
        <v>824</v>
      </c>
      <c r="E819" s="35" t="s">
        <v>148</v>
      </c>
      <c r="F819" s="103" t="s">
        <v>968</v>
      </c>
      <c r="G819" s="103">
        <v>1</v>
      </c>
      <c r="H819" s="225" t="s">
        <v>494</v>
      </c>
      <c r="I819" s="35" t="s">
        <v>580</v>
      </c>
      <c r="J819" s="35">
        <v>1056</v>
      </c>
      <c r="K819">
        <v>969.72725646675701</v>
      </c>
      <c r="L819" s="34">
        <v>-86.272743533242988</v>
      </c>
      <c r="M819" s="56">
        <v>86.272743533242988</v>
      </c>
      <c r="N819" s="56">
        <v>1.9408786287983928</v>
      </c>
      <c r="O819" s="132">
        <f t="shared" si="14"/>
        <v>-1.9408786287983928</v>
      </c>
      <c r="P819" s="56">
        <v>-8.1697673800419501</v>
      </c>
      <c r="Q819" s="143">
        <v>8.1697673800419501</v>
      </c>
      <c r="R819" s="143">
        <v>1135.6539235579762</v>
      </c>
      <c r="S819" s="34">
        <v>79.653923557976213</v>
      </c>
      <c r="T819" s="56">
        <v>79.653923557976213</v>
      </c>
      <c r="U819" s="56">
        <v>1.9066254992901535</v>
      </c>
      <c r="V819" s="56">
        <v>7.5429851854144143</v>
      </c>
      <c r="W819" s="33">
        <v>7.5429851854144143</v>
      </c>
    </row>
    <row r="820" spans="1:23" ht="15" x14ac:dyDescent="0.2">
      <c r="A820" s="103" t="s">
        <v>19</v>
      </c>
      <c r="B820" s="28" t="s">
        <v>423</v>
      </c>
      <c r="C820" s="103" t="s">
        <v>975</v>
      </c>
      <c r="D820" s="35" t="s">
        <v>458</v>
      </c>
      <c r="E820" s="208" t="s">
        <v>82</v>
      </c>
      <c r="F820" s="103" t="s">
        <v>967</v>
      </c>
      <c r="G820" s="103">
        <v>0</v>
      </c>
      <c r="H820" s="35" t="s">
        <v>494</v>
      </c>
      <c r="I820" s="35" t="s">
        <v>580</v>
      </c>
      <c r="J820" s="35">
        <v>1150</v>
      </c>
      <c r="K820" s="141">
        <v>1236.3163999999999</v>
      </c>
      <c r="L820" s="34">
        <v>86.316399999999931</v>
      </c>
      <c r="M820" s="56">
        <v>86.316399999999931</v>
      </c>
      <c r="N820" s="56">
        <v>1.941095821719137</v>
      </c>
      <c r="O820" s="132">
        <f t="shared" si="14"/>
        <v>1.941095821719137</v>
      </c>
      <c r="P820" s="56">
        <v>7.5057739130434715</v>
      </c>
      <c r="Q820" s="143">
        <v>7.5057739130434715</v>
      </c>
      <c r="R820" s="143">
        <v>1222.425</v>
      </c>
      <c r="S820" s="34">
        <v>72.424999999999955</v>
      </c>
      <c r="T820" s="56">
        <v>72.424999999999955</v>
      </c>
      <c r="U820" s="56">
        <v>1.8658439551948376</v>
      </c>
      <c r="V820" s="56">
        <v>6.2978260869565181</v>
      </c>
      <c r="W820" s="33">
        <v>6.2978260869565181</v>
      </c>
    </row>
    <row r="821" spans="1:23" ht="15" x14ac:dyDescent="0.2">
      <c r="A821" s="103" t="s">
        <v>19</v>
      </c>
      <c r="B821" t="s">
        <v>891</v>
      </c>
      <c r="C821" s="103" t="s">
        <v>979</v>
      </c>
      <c r="D821" s="224" t="s">
        <v>824</v>
      </c>
      <c r="E821" s="35" t="s">
        <v>148</v>
      </c>
      <c r="F821" s="103" t="s">
        <v>967</v>
      </c>
      <c r="G821" s="103">
        <v>0</v>
      </c>
      <c r="H821" s="35" t="s">
        <v>374</v>
      </c>
      <c r="I821" s="35" t="s">
        <v>580</v>
      </c>
      <c r="J821" s="35">
        <v>1704</v>
      </c>
      <c r="K821">
        <v>1617.391304347826</v>
      </c>
      <c r="L821" s="34">
        <v>-86.608695652173992</v>
      </c>
      <c r="M821" s="56">
        <v>86.608695652173992</v>
      </c>
      <c r="N821" s="56">
        <v>1.9425472144595357</v>
      </c>
      <c r="O821" s="132">
        <f t="shared" si="14"/>
        <v>-1.9425472144595357</v>
      </c>
      <c r="P821" s="56">
        <v>-5.0826699326393188</v>
      </c>
      <c r="Q821" s="143">
        <v>5.0826699326393188</v>
      </c>
      <c r="R821" s="143">
        <v>1620.8333333333335</v>
      </c>
      <c r="S821" s="34">
        <v>-83.166666666666515</v>
      </c>
      <c r="T821" s="56">
        <v>83.166666666666515</v>
      </c>
      <c r="U821" s="56">
        <v>1.9251401277350169</v>
      </c>
      <c r="V821" s="56">
        <v>-4.8806729264475655</v>
      </c>
      <c r="W821" s="33">
        <v>4.8806729264475655</v>
      </c>
    </row>
    <row r="822" spans="1:23" ht="16" x14ac:dyDescent="0.2">
      <c r="A822" s="103" t="s">
        <v>19</v>
      </c>
      <c r="B822" t="s">
        <v>858</v>
      </c>
      <c r="C822" s="24" t="s">
        <v>980</v>
      </c>
      <c r="D822" s="224" t="s">
        <v>824</v>
      </c>
      <c r="E822" s="35" t="s">
        <v>148</v>
      </c>
      <c r="F822" s="103" t="s">
        <v>968</v>
      </c>
      <c r="G822" s="103">
        <v>1</v>
      </c>
      <c r="H822" s="225" t="s">
        <v>494</v>
      </c>
      <c r="I822" s="35" t="s">
        <v>580</v>
      </c>
      <c r="J822" s="35">
        <v>1062</v>
      </c>
      <c r="K822" s="147">
        <v>1148.6271066717065</v>
      </c>
      <c r="L822" s="34">
        <v>86.627106671706542</v>
      </c>
      <c r="M822" s="56">
        <v>86.627106671706542</v>
      </c>
      <c r="N822" s="56">
        <v>1.9426384721147933</v>
      </c>
      <c r="O822" s="132">
        <f t="shared" si="14"/>
        <v>1.9426384721147933</v>
      </c>
      <c r="P822" s="56">
        <v>8.1569780293508973</v>
      </c>
      <c r="Q822" s="143">
        <v>8.1569780293508973</v>
      </c>
      <c r="R822" s="143">
        <v>1125.2999539430198</v>
      </c>
      <c r="S822" s="34">
        <v>63.299953943019773</v>
      </c>
      <c r="T822" s="56">
        <v>63.299953943019773</v>
      </c>
      <c r="U822" s="56">
        <v>1.8082106618464688</v>
      </c>
      <c r="V822" s="56">
        <v>5.9604476405856657</v>
      </c>
      <c r="W822" s="33">
        <v>5.9604476405856657</v>
      </c>
    </row>
    <row r="823" spans="1:23" ht="15" x14ac:dyDescent="0.2">
      <c r="A823" s="103" t="s">
        <v>19</v>
      </c>
      <c r="B823" t="s">
        <v>886</v>
      </c>
      <c r="C823" s="103" t="s">
        <v>979</v>
      </c>
      <c r="D823" s="224" t="s">
        <v>824</v>
      </c>
      <c r="E823" s="35" t="s">
        <v>148</v>
      </c>
      <c r="F823" s="103" t="s">
        <v>967</v>
      </c>
      <c r="G823" s="103">
        <v>0</v>
      </c>
      <c r="H823" s="35" t="s">
        <v>374</v>
      </c>
      <c r="I823" s="35" t="s">
        <v>580</v>
      </c>
      <c r="J823" s="35">
        <v>2100</v>
      </c>
      <c r="K823">
        <v>2013.0434782608695</v>
      </c>
      <c r="L823" s="34">
        <v>-86.956521739130494</v>
      </c>
      <c r="M823" s="56">
        <v>86.956521739130494</v>
      </c>
      <c r="N823" s="56">
        <v>1.9442680467532121</v>
      </c>
      <c r="O823" s="132">
        <f t="shared" si="14"/>
        <v>-1.9442680467532121</v>
      </c>
      <c r="P823" s="56">
        <v>-4.1407867494824044</v>
      </c>
      <c r="Q823" s="143">
        <v>4.1407867494824044</v>
      </c>
      <c r="R823" s="143">
        <v>2012.5</v>
      </c>
      <c r="S823" s="34">
        <v>-87.5</v>
      </c>
      <c r="T823" s="56">
        <v>87.5</v>
      </c>
      <c r="U823" s="56">
        <v>1.9469432706978254</v>
      </c>
      <c r="V823" s="56">
        <v>-4.166666666666667</v>
      </c>
      <c r="W823" s="33">
        <v>4.166666666666667</v>
      </c>
    </row>
    <row r="824" spans="1:23" ht="16" x14ac:dyDescent="0.2">
      <c r="A824" s="103" t="s">
        <v>19</v>
      </c>
      <c r="B824" t="s">
        <v>857</v>
      </c>
      <c r="C824" s="103" t="s">
        <v>971</v>
      </c>
      <c r="D824" s="224" t="s">
        <v>824</v>
      </c>
      <c r="E824" s="35" t="s">
        <v>148</v>
      </c>
      <c r="F824" s="103" t="s">
        <v>968</v>
      </c>
      <c r="G824" s="103">
        <v>1</v>
      </c>
      <c r="H824" s="225" t="s">
        <v>494</v>
      </c>
      <c r="I824" s="35" t="s">
        <v>580</v>
      </c>
      <c r="J824" s="35">
        <v>1022</v>
      </c>
      <c r="K824" s="147">
        <v>935.00704763945078</v>
      </c>
      <c r="L824" s="34">
        <v>-86.992952360549225</v>
      </c>
      <c r="M824" s="56">
        <v>86.992952360549225</v>
      </c>
      <c r="N824" s="56">
        <v>1.9444478894968351</v>
      </c>
      <c r="O824" s="132">
        <f t="shared" si="14"/>
        <v>-1.9444478894968351</v>
      </c>
      <c r="P824" s="56">
        <v>-8.5120305636545233</v>
      </c>
      <c r="Q824" s="143">
        <v>8.5120305636545233</v>
      </c>
      <c r="R824" s="143">
        <v>1082.943233401508</v>
      </c>
      <c r="S824" s="34">
        <v>60.943233401507996</v>
      </c>
      <c r="T824" s="56">
        <v>60.943233401507996</v>
      </c>
      <c r="U824" s="56">
        <v>1.7919938715370995</v>
      </c>
      <c r="V824" s="56">
        <v>5.963134383709197</v>
      </c>
      <c r="W824" s="33">
        <v>5.963134383709197</v>
      </c>
    </row>
    <row r="825" spans="1:23" ht="16" x14ac:dyDescent="0.2">
      <c r="A825" s="103" t="s">
        <v>19</v>
      </c>
      <c r="B825" t="s">
        <v>846</v>
      </c>
      <c r="C825" s="103" t="s">
        <v>971</v>
      </c>
      <c r="D825" s="224" t="s">
        <v>824</v>
      </c>
      <c r="E825" s="35" t="s">
        <v>148</v>
      </c>
      <c r="F825" s="103" t="s">
        <v>968</v>
      </c>
      <c r="G825" s="103">
        <v>1</v>
      </c>
      <c r="H825" s="35" t="s">
        <v>374</v>
      </c>
      <c r="I825" s="35" t="s">
        <v>580</v>
      </c>
      <c r="J825" s="35">
        <v>1312</v>
      </c>
      <c r="K825" s="147">
        <v>1224.7768591924016</v>
      </c>
      <c r="L825" s="34">
        <v>-87.223140807598384</v>
      </c>
      <c r="M825" s="56">
        <v>87.223140807598384</v>
      </c>
      <c r="N825" s="56">
        <v>1.9455825149151622</v>
      </c>
      <c r="O825" s="132">
        <f t="shared" si="14"/>
        <v>-1.9455825149151622</v>
      </c>
      <c r="P825" s="56">
        <v>-6.6481052444815845</v>
      </c>
      <c r="Q825" s="143">
        <v>6.6481052444815845</v>
      </c>
      <c r="R825" s="143">
        <v>1405.0743158125729</v>
      </c>
      <c r="S825" s="34">
        <v>93.074315812572877</v>
      </c>
      <c r="T825" s="56">
        <v>93.074315812572877</v>
      </c>
      <c r="U825" s="56">
        <v>1.9734710684491998</v>
      </c>
      <c r="V825" s="56">
        <v>7.0940789491290301</v>
      </c>
      <c r="W825" s="33">
        <v>7.0940789491290301</v>
      </c>
    </row>
    <row r="826" spans="1:23" ht="15" x14ac:dyDescent="0.2">
      <c r="A826" s="103" t="s">
        <v>19</v>
      </c>
      <c r="B826" s="28" t="s">
        <v>434</v>
      </c>
      <c r="C826" s="103" t="s">
        <v>979</v>
      </c>
      <c r="D826" s="35" t="s">
        <v>458</v>
      </c>
      <c r="E826" s="208" t="s">
        <v>82</v>
      </c>
      <c r="F826" s="103" t="s">
        <v>967</v>
      </c>
      <c r="G826" s="103">
        <v>0</v>
      </c>
      <c r="H826" s="35" t="s">
        <v>374</v>
      </c>
      <c r="I826" s="35" t="s">
        <v>580</v>
      </c>
      <c r="J826" s="35">
        <v>2370</v>
      </c>
      <c r="K826" s="141">
        <v>2282.608695652174</v>
      </c>
      <c r="L826" s="34">
        <v>-87.391304347826008</v>
      </c>
      <c r="M826" s="56">
        <v>87.391304347826008</v>
      </c>
      <c r="N826" s="56">
        <v>1.9464095426204453</v>
      </c>
      <c r="O826" s="132">
        <f t="shared" si="14"/>
        <v>-1.9464095426204453</v>
      </c>
      <c r="P826" s="56">
        <v>-3.6873968079251478</v>
      </c>
      <c r="Q826" s="143">
        <v>3.6873968079251478</v>
      </c>
      <c r="R826" s="143">
        <v>2291.666666666667</v>
      </c>
      <c r="S826" s="34">
        <v>-78.33333333333303</v>
      </c>
      <c r="T826" s="56">
        <v>78.33333333333303</v>
      </c>
      <c r="U826" s="56">
        <v>1.8994557023368479</v>
      </c>
      <c r="V826" s="56">
        <v>-3.3052039381153175</v>
      </c>
      <c r="W826" s="33">
        <v>3.3052039381153175</v>
      </c>
    </row>
    <row r="827" spans="1:23" ht="15" x14ac:dyDescent="0.2">
      <c r="A827" s="103" t="s">
        <v>19</v>
      </c>
      <c r="B827" s="28" t="s">
        <v>365</v>
      </c>
      <c r="C827" s="224" t="s">
        <v>978</v>
      </c>
      <c r="D827" s="208" t="s">
        <v>403</v>
      </c>
      <c r="E827" s="35" t="s">
        <v>148</v>
      </c>
      <c r="F827" s="103" t="s">
        <v>968</v>
      </c>
      <c r="G827" s="103">
        <v>1</v>
      </c>
      <c r="H827" s="35" t="s">
        <v>494</v>
      </c>
      <c r="I827" s="35" t="s">
        <v>580</v>
      </c>
      <c r="J827" s="35">
        <v>992.24</v>
      </c>
      <c r="K827" s="141">
        <v>904.42367820116442</v>
      </c>
      <c r="L827" s="34">
        <v>-87.816321798835588</v>
      </c>
      <c r="M827" s="56">
        <v>87.816321798835588</v>
      </c>
      <c r="N827" s="56">
        <v>1.9484927835241459</v>
      </c>
      <c r="O827" s="132">
        <f t="shared" si="14"/>
        <v>-1.9484927835241459</v>
      </c>
      <c r="P827" s="56">
        <v>-8.8503105900624437</v>
      </c>
      <c r="Q827" s="143">
        <v>8.8503105900624437</v>
      </c>
      <c r="R827" s="143">
        <v>924.86042969846176</v>
      </c>
      <c r="S827" s="34">
        <v>-67.379570301538251</v>
      </c>
      <c r="T827" s="56">
        <v>67.379570301538251</v>
      </c>
      <c r="U827" s="56">
        <v>1.8349263673547385</v>
      </c>
      <c r="V827" s="56">
        <v>-6.7906524935034112</v>
      </c>
      <c r="W827" s="33">
        <v>6.7906524935034112</v>
      </c>
    </row>
    <row r="828" spans="1:23" ht="16" x14ac:dyDescent="0.2">
      <c r="A828" s="103" t="s">
        <v>19</v>
      </c>
      <c r="B828" t="s">
        <v>877</v>
      </c>
      <c r="C828" s="224" t="s">
        <v>978</v>
      </c>
      <c r="D828" s="224" t="s">
        <v>824</v>
      </c>
      <c r="E828" s="35" t="s">
        <v>148</v>
      </c>
      <c r="F828" s="103" t="s">
        <v>968</v>
      </c>
      <c r="G828" s="103">
        <v>1</v>
      </c>
      <c r="H828" s="35" t="s">
        <v>374</v>
      </c>
      <c r="I828" s="35" t="s">
        <v>580</v>
      </c>
      <c r="J828" s="35">
        <v>1647</v>
      </c>
      <c r="K828" s="147">
        <v>1559.0505630622367</v>
      </c>
      <c r="L828" s="34">
        <v>-87.949436937763267</v>
      </c>
      <c r="M828" s="56">
        <v>87.949436937763267</v>
      </c>
      <c r="N828" s="56">
        <v>1.9491432032845155</v>
      </c>
      <c r="O828" s="132">
        <f t="shared" si="14"/>
        <v>-1.9491432032845155</v>
      </c>
      <c r="P828" s="56">
        <v>-5.3399779561483474</v>
      </c>
      <c r="Q828" s="143">
        <v>5.3399779561483474</v>
      </c>
      <c r="R828" s="143">
        <v>1547.8059307841538</v>
      </c>
      <c r="S828" s="34">
        <v>-99.194069215846184</v>
      </c>
      <c r="T828" s="56">
        <v>99.194069215846184</v>
      </c>
      <c r="U828" s="56">
        <v>2.0008420151134452</v>
      </c>
      <c r="V828" s="56">
        <v>-6.0227121563962465</v>
      </c>
      <c r="W828" s="33">
        <v>6.0227121563962465</v>
      </c>
    </row>
    <row r="829" spans="1:23" ht="16" x14ac:dyDescent="0.2">
      <c r="A829" s="103" t="s">
        <v>19</v>
      </c>
      <c r="B829" t="s">
        <v>876</v>
      </c>
      <c r="C829" s="103" t="s">
        <v>971</v>
      </c>
      <c r="D829" s="224" t="s">
        <v>824</v>
      </c>
      <c r="E829" s="35" t="s">
        <v>148</v>
      </c>
      <c r="F829" s="103" t="s">
        <v>968</v>
      </c>
      <c r="G829" s="103">
        <v>1</v>
      </c>
      <c r="H829" s="35" t="s">
        <v>374</v>
      </c>
      <c r="I829" s="35" t="s">
        <v>580</v>
      </c>
      <c r="J829" s="35">
        <v>1668</v>
      </c>
      <c r="K829" s="147">
        <v>1756.1242245066667</v>
      </c>
      <c r="L829" s="34">
        <v>88.124224506666678</v>
      </c>
      <c r="M829" s="56">
        <v>88.124224506666678</v>
      </c>
      <c r="N829" s="56">
        <v>1.949995763965777</v>
      </c>
      <c r="O829" s="132">
        <f t="shared" si="14"/>
        <v>1.949995763965777</v>
      </c>
      <c r="P829" s="56">
        <v>5.2832268888888905</v>
      </c>
      <c r="Q829" s="143">
        <v>5.2832268888888905</v>
      </c>
      <c r="R829" s="143">
        <v>1975.225282263835</v>
      </c>
      <c r="S829" s="34">
        <v>307.22528226383497</v>
      </c>
      <c r="T829" s="56">
        <v>307.22528226383497</v>
      </c>
      <c r="U829" s="56">
        <v>2.4888682589682039</v>
      </c>
      <c r="V829" s="56">
        <v>18.418781910301856</v>
      </c>
      <c r="W829" s="33">
        <v>18.418781910301856</v>
      </c>
    </row>
    <row r="830" spans="1:23" ht="15" x14ac:dyDescent="0.2">
      <c r="A830" s="103" t="s">
        <v>19</v>
      </c>
      <c r="B830" s="28" t="s">
        <v>433</v>
      </c>
      <c r="C830" s="224" t="s">
        <v>977</v>
      </c>
      <c r="D830" s="35" t="s">
        <v>458</v>
      </c>
      <c r="E830" s="208" t="s">
        <v>82</v>
      </c>
      <c r="F830" s="103" t="s">
        <v>968</v>
      </c>
      <c r="G830" s="103">
        <v>1</v>
      </c>
      <c r="H830" s="35" t="s">
        <v>374</v>
      </c>
      <c r="I830" s="35" t="s">
        <v>580</v>
      </c>
      <c r="J830" s="35">
        <v>1520</v>
      </c>
      <c r="K830" s="141">
        <v>1431.0881788878094</v>
      </c>
      <c r="L830" s="34">
        <v>-88.911821112190637</v>
      </c>
      <c r="M830" s="56">
        <v>88.911821112190637</v>
      </c>
      <c r="N830" s="56">
        <v>1.9538167941391773</v>
      </c>
      <c r="O830" s="132">
        <f t="shared" si="14"/>
        <v>-1.9538167941391773</v>
      </c>
      <c r="P830" s="56">
        <v>-5.8494619152756995</v>
      </c>
      <c r="Q830" s="143">
        <v>5.8494619152756995</v>
      </c>
      <c r="R830" s="143">
        <v>1408.0039452957403</v>
      </c>
      <c r="S830" s="34">
        <v>-111.99605470425968</v>
      </c>
      <c r="T830" s="56">
        <v>111.99605470425968</v>
      </c>
      <c r="U830" s="56">
        <v>2.0530632802083626</v>
      </c>
      <c r="V830" s="56">
        <v>-7.3681614937012947</v>
      </c>
      <c r="W830" s="33">
        <v>7.3681614937012947</v>
      </c>
    </row>
    <row r="831" spans="1:23" ht="16" x14ac:dyDescent="0.2">
      <c r="A831" s="103" t="s">
        <v>19</v>
      </c>
      <c r="B831" t="s">
        <v>861</v>
      </c>
      <c r="C831" s="224" t="s">
        <v>974</v>
      </c>
      <c r="D831" s="224" t="s">
        <v>824</v>
      </c>
      <c r="E831" s="35" t="s">
        <v>148</v>
      </c>
      <c r="F831" s="103" t="s">
        <v>967</v>
      </c>
      <c r="G831" s="103">
        <v>0</v>
      </c>
      <c r="H831" s="35" t="s">
        <v>494</v>
      </c>
      <c r="I831" s="35" t="s">
        <v>580</v>
      </c>
      <c r="J831" s="35">
        <v>1055</v>
      </c>
      <c r="K831" s="147">
        <v>1144.2828</v>
      </c>
      <c r="L831" s="34">
        <v>89.282799999999952</v>
      </c>
      <c r="M831" s="56">
        <v>89.282799999999952</v>
      </c>
      <c r="N831" s="56">
        <v>1.9556050196756893</v>
      </c>
      <c r="O831" s="132">
        <f t="shared" si="14"/>
        <v>1.9556050196756893</v>
      </c>
      <c r="P831" s="56">
        <v>8.4628246445497588</v>
      </c>
      <c r="Q831" s="143">
        <v>8.4628246445497588</v>
      </c>
      <c r="R831" s="143">
        <v>1087.2375</v>
      </c>
      <c r="S831" s="34">
        <v>32.237499999999955</v>
      </c>
      <c r="T831" s="56">
        <v>32.237499999999955</v>
      </c>
      <c r="U831" s="56">
        <v>1.5216283503396228</v>
      </c>
      <c r="V831" s="56">
        <v>3.0556872037914649</v>
      </c>
      <c r="W831" s="33">
        <v>3.0556872037914649</v>
      </c>
    </row>
    <row r="832" spans="1:23" ht="16" x14ac:dyDescent="0.2">
      <c r="A832" s="103" t="s">
        <v>19</v>
      </c>
      <c r="B832" t="s">
        <v>845</v>
      </c>
      <c r="C832" s="103" t="s">
        <v>975</v>
      </c>
      <c r="D832" s="224" t="s">
        <v>824</v>
      </c>
      <c r="E832" s="35" t="s">
        <v>148</v>
      </c>
      <c r="F832" s="103" t="s">
        <v>967</v>
      </c>
      <c r="G832" s="103">
        <v>0</v>
      </c>
      <c r="H832" s="225" t="s">
        <v>494</v>
      </c>
      <c r="I832" s="35" t="s">
        <v>580</v>
      </c>
      <c r="J832" s="35">
        <v>1059</v>
      </c>
      <c r="K832" s="147">
        <v>1148.9605999999999</v>
      </c>
      <c r="L832" s="34">
        <v>89.960599999999886</v>
      </c>
      <c r="M832" s="56">
        <v>89.960599999999886</v>
      </c>
      <c r="N832" s="56">
        <v>1.9588533164095561</v>
      </c>
      <c r="O832" s="132">
        <f t="shared" si="14"/>
        <v>1.9588533164095561</v>
      </c>
      <c r="P832" s="56">
        <v>8.4948630783758148</v>
      </c>
      <c r="Q832" s="143">
        <v>8.4948630783758148</v>
      </c>
      <c r="R832" s="143">
        <v>1142.357</v>
      </c>
      <c r="S832" s="34">
        <v>83.356999999999971</v>
      </c>
      <c r="T832" s="56">
        <v>83.356999999999971</v>
      </c>
      <c r="U832" s="56">
        <v>1.9261211264655906</v>
      </c>
      <c r="V832" s="56">
        <v>7.8712936732766732</v>
      </c>
      <c r="W832" s="33">
        <v>7.8712936732766732</v>
      </c>
    </row>
    <row r="833" spans="1:23" ht="15" x14ac:dyDescent="0.2">
      <c r="A833" s="103" t="s">
        <v>19</v>
      </c>
      <c r="B833" s="28" t="s">
        <v>136</v>
      </c>
      <c r="C833" s="224" t="s">
        <v>977</v>
      </c>
      <c r="D833" s="208" t="s">
        <v>403</v>
      </c>
      <c r="E833" s="35" t="s">
        <v>96</v>
      </c>
      <c r="F833" s="103" t="s">
        <v>968</v>
      </c>
      <c r="G833" s="103">
        <v>1</v>
      </c>
      <c r="H833" s="35" t="s">
        <v>374</v>
      </c>
      <c r="I833" s="35" t="s">
        <v>580</v>
      </c>
      <c r="J833" s="35">
        <v>2365.6</v>
      </c>
      <c r="K833" s="141">
        <v>2274.9384619985885</v>
      </c>
      <c r="L833" s="34">
        <v>-90.661538001411373</v>
      </c>
      <c r="M833" s="56">
        <v>90.661538001411373</v>
      </c>
      <c r="N833" s="56">
        <v>1.9621871400560764</v>
      </c>
      <c r="O833" s="132">
        <f t="shared" si="14"/>
        <v>-1.9621871400560764</v>
      </c>
      <c r="P833" s="56">
        <v>-3.832496533708631</v>
      </c>
      <c r="Q833" s="143">
        <v>3.832496533708631</v>
      </c>
      <c r="R833" s="143">
        <v>2305.8228224693285</v>
      </c>
      <c r="S833" s="34">
        <v>-59.777177530671452</v>
      </c>
      <c r="T833" s="56">
        <v>59.777177530671452</v>
      </c>
      <c r="U833" s="56">
        <v>1.783740527739371</v>
      </c>
      <c r="V833" s="56">
        <v>-2.5269351340324424</v>
      </c>
      <c r="W833" s="33">
        <v>2.5269351340324424</v>
      </c>
    </row>
    <row r="834" spans="1:23" ht="16" x14ac:dyDescent="0.2">
      <c r="A834" s="103" t="s">
        <v>19</v>
      </c>
      <c r="B834" t="s">
        <v>842</v>
      </c>
      <c r="C834" s="24" t="s">
        <v>980</v>
      </c>
      <c r="D834" s="224" t="s">
        <v>824</v>
      </c>
      <c r="E834" s="35" t="s">
        <v>148</v>
      </c>
      <c r="F834" s="103" t="s">
        <v>968</v>
      </c>
      <c r="G834" s="103">
        <v>1</v>
      </c>
      <c r="H834" s="35" t="s">
        <v>374</v>
      </c>
      <c r="I834" s="35" t="s">
        <v>580</v>
      </c>
      <c r="J834" s="35">
        <v>2435</v>
      </c>
      <c r="K834" s="147">
        <v>2525.7285265125197</v>
      </c>
      <c r="L834" s="34">
        <v>90.728526512519693</v>
      </c>
      <c r="M834" s="56">
        <v>90.728526512519693</v>
      </c>
      <c r="N834" s="56">
        <v>1.9625044172444159</v>
      </c>
      <c r="O834" s="132">
        <f t="shared" si="14"/>
        <v>1.9625044172444159</v>
      </c>
      <c r="P834" s="56">
        <v>3.7260175159145663</v>
      </c>
      <c r="Q834" s="143">
        <v>3.7260175159145663</v>
      </c>
      <c r="R834" s="143">
        <v>2485.1098237131282</v>
      </c>
      <c r="S834" s="34">
        <v>50.109823713128208</v>
      </c>
      <c r="T834" s="56">
        <v>50.109823713128208</v>
      </c>
      <c r="U834" s="56">
        <v>1.7085043829989135</v>
      </c>
      <c r="V834" s="56">
        <v>2.0578983044405836</v>
      </c>
      <c r="W834" s="33">
        <v>2.0578983044405836</v>
      </c>
    </row>
    <row r="835" spans="1:23" ht="16" x14ac:dyDescent="0.2">
      <c r="A835" s="103" t="s">
        <v>19</v>
      </c>
      <c r="B835" t="s">
        <v>843</v>
      </c>
      <c r="C835" s="103" t="s">
        <v>971</v>
      </c>
      <c r="D835" s="224" t="s">
        <v>824</v>
      </c>
      <c r="E835" s="35" t="s">
        <v>148</v>
      </c>
      <c r="F835" s="103" t="s">
        <v>968</v>
      </c>
      <c r="G835" s="103">
        <v>1</v>
      </c>
      <c r="H835" s="35" t="s">
        <v>494</v>
      </c>
      <c r="I835" s="35" t="s">
        <v>580</v>
      </c>
      <c r="J835" s="35">
        <v>1126</v>
      </c>
      <c r="K835" s="147">
        <v>1034.8736676381002</v>
      </c>
      <c r="L835" s="34">
        <v>-91.126332361899813</v>
      </c>
      <c r="M835" s="56">
        <v>91.126332361899813</v>
      </c>
      <c r="N835" s="56">
        <v>1.9643837818249015</v>
      </c>
      <c r="O835" s="132">
        <f t="shared" si="14"/>
        <v>-1.9643837818249015</v>
      </c>
      <c r="P835" s="56">
        <v>-8.0929247213054882</v>
      </c>
      <c r="Q835" s="143">
        <v>8.0929247213054882</v>
      </c>
      <c r="R835" s="143">
        <v>1215.4787010814919</v>
      </c>
      <c r="S835" s="34">
        <v>89.478701081491863</v>
      </c>
      <c r="T835" s="56">
        <v>89.478701081491863</v>
      </c>
      <c r="U835" s="56">
        <v>1.9565463572004478</v>
      </c>
      <c r="V835" s="56">
        <v>7.9465986750880866</v>
      </c>
      <c r="W835" s="33">
        <v>7.9465986750880866</v>
      </c>
    </row>
    <row r="836" spans="1:23" ht="15" x14ac:dyDescent="0.2">
      <c r="A836" s="103" t="s">
        <v>19</v>
      </c>
      <c r="B836" t="s">
        <v>894</v>
      </c>
      <c r="C836" s="103" t="s">
        <v>971</v>
      </c>
      <c r="D836" s="224" t="s">
        <v>824</v>
      </c>
      <c r="E836" s="35" t="s">
        <v>148</v>
      </c>
      <c r="F836" s="103" t="s">
        <v>968</v>
      </c>
      <c r="G836" s="103">
        <v>1</v>
      </c>
      <c r="H836" s="35" t="s">
        <v>494</v>
      </c>
      <c r="I836" s="35" t="s">
        <v>580</v>
      </c>
      <c r="J836" s="35">
        <v>1111</v>
      </c>
      <c r="K836">
        <v>1019.7643364870888</v>
      </c>
      <c r="L836" s="34">
        <v>-91.235663512911174</v>
      </c>
      <c r="M836" s="56">
        <v>91.235663512911174</v>
      </c>
      <c r="N836" s="56">
        <v>1.9648988762826847</v>
      </c>
      <c r="O836" s="132">
        <f t="shared" si="14"/>
        <v>-1.9648988762826847</v>
      </c>
      <c r="P836" s="56">
        <v>-8.212030919253932</v>
      </c>
      <c r="Q836" s="143">
        <v>8.212030919253932</v>
      </c>
      <c r="R836" s="143">
        <v>1172.7941551727849</v>
      </c>
      <c r="S836" s="34">
        <v>61.79415517278494</v>
      </c>
      <c r="T836" s="56">
        <v>61.79415517278494</v>
      </c>
      <c r="U836" s="56">
        <v>1.7979192218528255</v>
      </c>
      <c r="V836" s="56">
        <v>5.5620301685675013</v>
      </c>
      <c r="W836" s="33">
        <v>5.5620301685675013</v>
      </c>
    </row>
    <row r="837" spans="1:23" ht="15" x14ac:dyDescent="0.2">
      <c r="A837" s="103" t="s">
        <v>19</v>
      </c>
      <c r="B837" s="28" t="s">
        <v>664</v>
      </c>
      <c r="C837" s="224" t="s">
        <v>978</v>
      </c>
      <c r="D837" s="208" t="s">
        <v>403</v>
      </c>
      <c r="E837" s="35" t="s">
        <v>82</v>
      </c>
      <c r="F837" s="103" t="s">
        <v>968</v>
      </c>
      <c r="G837" s="103">
        <v>1</v>
      </c>
      <c r="H837" s="35" t="s">
        <v>374</v>
      </c>
      <c r="I837" s="35" t="s">
        <v>580</v>
      </c>
      <c r="J837" s="35">
        <v>1730.8</v>
      </c>
      <c r="K837" s="141">
        <v>1639.3096072040248</v>
      </c>
      <c r="L837" s="34">
        <v>-91.49039279597514</v>
      </c>
      <c r="M837" s="56">
        <v>91.49039279597514</v>
      </c>
      <c r="N837" s="56">
        <v>1.966096623848401</v>
      </c>
      <c r="O837" s="132">
        <f t="shared" si="14"/>
        <v>-1.966096623848401</v>
      </c>
      <c r="P837" s="56">
        <v>-5.2860176101210499</v>
      </c>
      <c r="Q837" s="143">
        <v>5.2860176101210499</v>
      </c>
      <c r="R837" s="143">
        <v>1691.850879555074</v>
      </c>
      <c r="S837" s="34">
        <v>-38.949120444925939</v>
      </c>
      <c r="T837" s="56">
        <v>38.949120444925939</v>
      </c>
      <c r="U837" s="56">
        <v>1.6015072219448729</v>
      </c>
      <c r="V837" s="56">
        <v>-2.2503536194202645</v>
      </c>
      <c r="W837" s="33">
        <v>2.2503536194202645</v>
      </c>
    </row>
    <row r="838" spans="1:23" ht="15" x14ac:dyDescent="0.2">
      <c r="A838" s="103" t="s">
        <v>19</v>
      </c>
      <c r="B838" s="28" t="s">
        <v>282</v>
      </c>
      <c r="C838" s="103" t="s">
        <v>971</v>
      </c>
      <c r="D838" s="208" t="s">
        <v>403</v>
      </c>
      <c r="E838" s="35" t="s">
        <v>96</v>
      </c>
      <c r="F838" s="103" t="s">
        <v>968</v>
      </c>
      <c r="G838" s="103">
        <v>1</v>
      </c>
      <c r="H838" s="35" t="s">
        <v>494</v>
      </c>
      <c r="I838" s="35" t="s">
        <v>580</v>
      </c>
      <c r="J838" s="35">
        <v>872.2</v>
      </c>
      <c r="K838" s="141">
        <v>779.66491710397077</v>
      </c>
      <c r="L838" s="34">
        <v>-92.53508289602928</v>
      </c>
      <c r="M838" s="56">
        <v>92.53508289602928</v>
      </c>
      <c r="N838" s="56">
        <v>1.9709745354757255</v>
      </c>
      <c r="O838" s="132">
        <f t="shared" si="14"/>
        <v>-1.9709745354757255</v>
      </c>
      <c r="P838" s="56">
        <v>-10.609388087139333</v>
      </c>
      <c r="Q838" s="143">
        <v>10.609388087139333</v>
      </c>
      <c r="R838" s="143">
        <v>911.54582234535405</v>
      </c>
      <c r="S838" s="34">
        <v>39.345822345354009</v>
      </c>
      <c r="T838" s="56">
        <v>39.345822345354009</v>
      </c>
      <c r="U838" s="56">
        <v>1.6057985718637799</v>
      </c>
      <c r="V838" s="56">
        <v>4.5111009338860359</v>
      </c>
      <c r="W838" s="33">
        <v>4.5111009338860359</v>
      </c>
    </row>
    <row r="839" spans="1:23" ht="16" x14ac:dyDescent="0.2">
      <c r="A839" s="103" t="s">
        <v>19</v>
      </c>
      <c r="B839" t="s">
        <v>850</v>
      </c>
      <c r="C839" s="224" t="s">
        <v>978</v>
      </c>
      <c r="D839" s="224" t="s">
        <v>824</v>
      </c>
      <c r="E839" s="35" t="s">
        <v>148</v>
      </c>
      <c r="F839" s="103" t="s">
        <v>968</v>
      </c>
      <c r="G839" s="103">
        <v>1</v>
      </c>
      <c r="H839" s="35" t="s">
        <v>374</v>
      </c>
      <c r="I839" s="35" t="s">
        <v>580</v>
      </c>
      <c r="J839" s="35">
        <v>1240</v>
      </c>
      <c r="K839" s="147">
        <v>1147.1519925039697</v>
      </c>
      <c r="L839" s="34">
        <v>-92.848007496030277</v>
      </c>
      <c r="M839" s="56">
        <v>92.848007496030277</v>
      </c>
      <c r="N839" s="56">
        <v>1.9724250564707888</v>
      </c>
      <c r="O839" s="132">
        <f t="shared" si="14"/>
        <v>-1.9724250564707888</v>
      </c>
      <c r="P839" s="56">
        <v>-7.4877425400024418</v>
      </c>
      <c r="Q839" s="143">
        <v>7.4877425400024418</v>
      </c>
      <c r="R839" s="143">
        <v>1128.4466171623942</v>
      </c>
      <c r="S839" s="34">
        <v>-111.5533828376058</v>
      </c>
      <c r="T839" s="56">
        <v>111.5533828376058</v>
      </c>
      <c r="U839" s="56">
        <v>2.0513585524296283</v>
      </c>
      <c r="V839" s="56">
        <v>-8.996240551419822</v>
      </c>
      <c r="W839" s="33">
        <v>8.996240551419822</v>
      </c>
    </row>
    <row r="840" spans="1:23" ht="16" x14ac:dyDescent="0.2">
      <c r="A840" s="103" t="s">
        <v>19</v>
      </c>
      <c r="B840" t="s">
        <v>844</v>
      </c>
      <c r="C840" s="103" t="s">
        <v>971</v>
      </c>
      <c r="D840" s="224" t="s">
        <v>824</v>
      </c>
      <c r="E840" s="35" t="s">
        <v>148</v>
      </c>
      <c r="F840" s="103" t="s">
        <v>968</v>
      </c>
      <c r="G840" s="103">
        <v>1</v>
      </c>
      <c r="H840" s="225" t="s">
        <v>494</v>
      </c>
      <c r="I840" s="35" t="s">
        <v>580</v>
      </c>
      <c r="J840" s="35">
        <v>1028</v>
      </c>
      <c r="K840" s="147">
        <v>935.00704763945078</v>
      </c>
      <c r="L840" s="34">
        <v>-92.992952360549225</v>
      </c>
      <c r="M840" s="56">
        <v>92.992952360549225</v>
      </c>
      <c r="N840" s="56">
        <v>1.9730952911989605</v>
      </c>
      <c r="O840" s="132">
        <f t="shared" si="14"/>
        <v>-1.9730952911989605</v>
      </c>
      <c r="P840" s="56">
        <v>-9.046007038963932</v>
      </c>
      <c r="Q840" s="143">
        <v>9.046007038963932</v>
      </c>
      <c r="R840" s="143">
        <v>1088.1956318987384</v>
      </c>
      <c r="S840" s="34">
        <v>60.195631898738384</v>
      </c>
      <c r="T840" s="56">
        <v>60.195631898738384</v>
      </c>
      <c r="U840" s="56">
        <v>1.7867204236165175</v>
      </c>
      <c r="V840" s="56">
        <v>5.8556062158305817</v>
      </c>
      <c r="W840" s="33">
        <v>5.8556062158305817</v>
      </c>
    </row>
    <row r="841" spans="1:23" ht="15" x14ac:dyDescent="0.2">
      <c r="A841" s="103" t="s">
        <v>19</v>
      </c>
      <c r="B841" t="s">
        <v>889</v>
      </c>
      <c r="C841" s="24" t="s">
        <v>980</v>
      </c>
      <c r="D841" s="224" t="s">
        <v>824</v>
      </c>
      <c r="E841" s="35" t="s">
        <v>148</v>
      </c>
      <c r="F841" s="103" t="s">
        <v>968</v>
      </c>
      <c r="G841" s="103">
        <v>1</v>
      </c>
      <c r="H841" s="35" t="s">
        <v>374</v>
      </c>
      <c r="I841" s="35" t="s">
        <v>580</v>
      </c>
      <c r="J841" s="35">
        <v>1895</v>
      </c>
      <c r="K841">
        <v>1988.8122902983998</v>
      </c>
      <c r="L841" s="34">
        <v>93.81229029839983</v>
      </c>
      <c r="M841" s="56">
        <v>93.81229029839983</v>
      </c>
      <c r="N841" s="56">
        <v>1.9768646375786789</v>
      </c>
      <c r="O841" s="132">
        <f t="shared" si="14"/>
        <v>1.9768646375786789</v>
      </c>
      <c r="P841" s="56">
        <v>4.9505166384379855</v>
      </c>
      <c r="Q841" s="143">
        <v>4.9505166384379855</v>
      </c>
      <c r="R841" s="143">
        <v>1940.6646323028981</v>
      </c>
      <c r="S841" s="34">
        <v>45.664632302898099</v>
      </c>
      <c r="T841" s="56">
        <v>45.664632302898099</v>
      </c>
      <c r="U841" s="56">
        <v>1.6689878481253511</v>
      </c>
      <c r="V841" s="56">
        <v>2.4097431294405327</v>
      </c>
      <c r="W841" s="33">
        <v>2.4097431294405327</v>
      </c>
    </row>
    <row r="842" spans="1:23" ht="15" x14ac:dyDescent="0.2">
      <c r="A842" s="103" t="s">
        <v>19</v>
      </c>
      <c r="B842" t="s">
        <v>884</v>
      </c>
      <c r="C842" s="103" t="s">
        <v>975</v>
      </c>
      <c r="D842" s="224" t="s">
        <v>824</v>
      </c>
      <c r="E842" s="35" t="s">
        <v>148</v>
      </c>
      <c r="F842" s="103" t="s">
        <v>967</v>
      </c>
      <c r="G842" s="103">
        <v>0</v>
      </c>
      <c r="H842" s="35" t="s">
        <v>374</v>
      </c>
      <c r="I842" s="35" t="s">
        <v>580</v>
      </c>
      <c r="J842" s="35">
        <v>1733</v>
      </c>
      <c r="K842">
        <v>1827.0079999999998</v>
      </c>
      <c r="L842" s="34">
        <v>94.007999999999811</v>
      </c>
      <c r="M842" s="56">
        <v>94.007999999999811</v>
      </c>
      <c r="N842" s="56">
        <v>1.9777601759159498</v>
      </c>
      <c r="O842" s="132">
        <f t="shared" si="14"/>
        <v>1.9777601759159498</v>
      </c>
      <c r="P842" s="56">
        <v>5.4245816503173581</v>
      </c>
      <c r="Q842" s="143">
        <v>5.4245816503173581</v>
      </c>
      <c r="R842" s="143">
        <v>1842.952</v>
      </c>
      <c r="S842" s="34">
        <v>109.952</v>
      </c>
      <c r="T842" s="56">
        <v>109.952</v>
      </c>
      <c r="U842" s="56">
        <v>2.0451351351496876</v>
      </c>
      <c r="V842" s="56">
        <v>6.3446047316791692</v>
      </c>
      <c r="W842" s="33">
        <v>6.3446047316791692</v>
      </c>
    </row>
    <row r="843" spans="1:23" ht="15" x14ac:dyDescent="0.2">
      <c r="A843" s="103" t="s">
        <v>19</v>
      </c>
      <c r="B843" t="s">
        <v>896</v>
      </c>
      <c r="C843" s="224" t="s">
        <v>978</v>
      </c>
      <c r="D843" s="224" t="s">
        <v>824</v>
      </c>
      <c r="E843" s="35" t="s">
        <v>148</v>
      </c>
      <c r="F843" s="103" t="s">
        <v>968</v>
      </c>
      <c r="G843" s="103">
        <v>1</v>
      </c>
      <c r="H843" s="35" t="s">
        <v>374</v>
      </c>
      <c r="I843" s="35" t="s">
        <v>580</v>
      </c>
      <c r="J843" s="35">
        <v>1750</v>
      </c>
      <c r="K843">
        <v>1655.8341557116576</v>
      </c>
      <c r="L843" s="34">
        <v>-94.165844288342441</v>
      </c>
      <c r="M843" s="56">
        <v>94.165844288342441</v>
      </c>
      <c r="N843" s="56">
        <v>1.9784811049104207</v>
      </c>
      <c r="O843" s="132">
        <f t="shared" si="14"/>
        <v>-1.9784811049104207</v>
      </c>
      <c r="P843" s="56">
        <v>-5.3809053879052833</v>
      </c>
      <c r="Q843" s="143">
        <v>5.3809053879052833</v>
      </c>
      <c r="R843" s="143">
        <v>1634.3135031678271</v>
      </c>
      <c r="S843" s="34">
        <v>-115.68649683217291</v>
      </c>
      <c r="T843" s="56">
        <v>115.68649683217291</v>
      </c>
      <c r="U843" s="56">
        <v>2.0670206016273842</v>
      </c>
      <c r="V843" s="56">
        <v>-6.6106569618384521</v>
      </c>
      <c r="W843" s="33">
        <v>6.6106569618384521</v>
      </c>
    </row>
    <row r="844" spans="1:23" ht="16" x14ac:dyDescent="0.2">
      <c r="A844" s="103" t="s">
        <v>19</v>
      </c>
      <c r="B844" t="s">
        <v>867</v>
      </c>
      <c r="C844" s="24" t="s">
        <v>980</v>
      </c>
      <c r="D844" s="224" t="s">
        <v>824</v>
      </c>
      <c r="E844" s="35" t="s">
        <v>148</v>
      </c>
      <c r="F844" s="103" t="s">
        <v>968</v>
      </c>
      <c r="G844" s="103">
        <v>1</v>
      </c>
      <c r="H844" s="35" t="s">
        <v>374</v>
      </c>
      <c r="I844" s="35" t="s">
        <v>580</v>
      </c>
      <c r="J844" s="35">
        <v>1842</v>
      </c>
      <c r="K844" s="147">
        <v>1747.5513256379145</v>
      </c>
      <c r="L844" s="34">
        <v>-94.448674362085512</v>
      </c>
      <c r="M844" s="56">
        <v>94.448674362085512</v>
      </c>
      <c r="N844" s="56">
        <v>1.9797699010772061</v>
      </c>
      <c r="O844" s="132">
        <f t="shared" si="14"/>
        <v>-1.9797699010772061</v>
      </c>
      <c r="P844" s="56">
        <v>-5.12750675147044</v>
      </c>
      <c r="Q844" s="143">
        <v>5.12750675147044</v>
      </c>
      <c r="R844" s="143">
        <v>1751.5886548709361</v>
      </c>
      <c r="S844" s="34">
        <v>-90.411345129063875</v>
      </c>
      <c r="T844" s="56">
        <v>90.411345129063875</v>
      </c>
      <c r="U844" s="56">
        <v>1.9610000996854902</v>
      </c>
      <c r="V844" s="56">
        <v>-4.9083249255735009</v>
      </c>
      <c r="W844" s="33">
        <v>4.9083249255735009</v>
      </c>
    </row>
    <row r="845" spans="1:23" ht="16" x14ac:dyDescent="0.2">
      <c r="A845" s="103" t="s">
        <v>19</v>
      </c>
      <c r="B845" t="s">
        <v>858</v>
      </c>
      <c r="C845" s="103" t="s">
        <v>979</v>
      </c>
      <c r="D845" s="224" t="s">
        <v>824</v>
      </c>
      <c r="E845" s="35" t="s">
        <v>148</v>
      </c>
      <c r="F845" s="103" t="s">
        <v>967</v>
      </c>
      <c r="G845" s="103">
        <v>0</v>
      </c>
      <c r="H845" s="225" t="s">
        <v>494</v>
      </c>
      <c r="I845" s="35" t="s">
        <v>580</v>
      </c>
      <c r="J845" s="35">
        <v>1062</v>
      </c>
      <c r="K845" s="147">
        <v>1156.5217391304348</v>
      </c>
      <c r="L845" s="34">
        <v>94.521739130434753</v>
      </c>
      <c r="M845" s="56">
        <v>94.521739130434753</v>
      </c>
      <c r="N845" s="56">
        <v>1.9801022209029173</v>
      </c>
      <c r="O845" s="132">
        <f t="shared" si="14"/>
        <v>1.9801022209029173</v>
      </c>
      <c r="P845" s="56">
        <v>8.9003520838450818</v>
      </c>
      <c r="Q845" s="143">
        <v>8.9003520838450818</v>
      </c>
      <c r="R845" s="143">
        <v>1145.8333333333335</v>
      </c>
      <c r="S845" s="34">
        <v>83.833333333333485</v>
      </c>
      <c r="T845" s="56">
        <v>83.833333333333485</v>
      </c>
      <c r="U845" s="56">
        <v>1.9285665319531158</v>
      </c>
      <c r="V845" s="56">
        <v>7.8939108600125696</v>
      </c>
      <c r="W845" s="33">
        <v>7.8939108600125696</v>
      </c>
    </row>
    <row r="846" spans="1:23" ht="16" x14ac:dyDescent="0.2">
      <c r="A846" s="103" t="s">
        <v>19</v>
      </c>
      <c r="B846" t="s">
        <v>883</v>
      </c>
      <c r="C846" s="224" t="s">
        <v>978</v>
      </c>
      <c r="D846" s="224" t="s">
        <v>824</v>
      </c>
      <c r="E846" s="35" t="s">
        <v>148</v>
      </c>
      <c r="F846" s="103" t="s">
        <v>968</v>
      </c>
      <c r="G846" s="103">
        <v>1</v>
      </c>
      <c r="H846" s="35" t="s">
        <v>374</v>
      </c>
      <c r="I846" s="35" t="s">
        <v>580</v>
      </c>
      <c r="J846" s="35">
        <v>1670</v>
      </c>
      <c r="K846" s="147">
        <v>1764.5382841054397</v>
      </c>
      <c r="L846" s="34">
        <v>94.538284105439743</v>
      </c>
      <c r="M846" s="56">
        <v>94.538284105439743</v>
      </c>
      <c r="N846" s="56">
        <v>1.9801774369658505</v>
      </c>
      <c r="O846" s="132">
        <f t="shared" si="14"/>
        <v>1.9801774369658505</v>
      </c>
      <c r="P846" s="56">
        <v>5.6609750961341163</v>
      </c>
      <c r="Q846" s="143">
        <v>5.6609750961341163</v>
      </c>
      <c r="R846" s="143">
        <v>1726.7859765677563</v>
      </c>
      <c r="S846" s="34">
        <v>56.785976567756279</v>
      </c>
      <c r="T846" s="56">
        <v>56.785976567756279</v>
      </c>
      <c r="U846" s="56">
        <v>1.7618224571372363</v>
      </c>
      <c r="V846" s="56">
        <v>3.4003578783087591</v>
      </c>
      <c r="W846" s="33">
        <v>3.4003578783087591</v>
      </c>
    </row>
    <row r="847" spans="1:23" ht="16" x14ac:dyDescent="0.2">
      <c r="A847" s="103" t="s">
        <v>19</v>
      </c>
      <c r="B847" t="s">
        <v>858</v>
      </c>
      <c r="C847" s="224" t="s">
        <v>977</v>
      </c>
      <c r="D847" s="224" t="s">
        <v>824</v>
      </c>
      <c r="E847" s="35" t="s">
        <v>148</v>
      </c>
      <c r="F847" s="103" t="s">
        <v>968</v>
      </c>
      <c r="G847" s="103">
        <v>1</v>
      </c>
      <c r="H847" s="225" t="s">
        <v>494</v>
      </c>
      <c r="I847" s="35" t="s">
        <v>580</v>
      </c>
      <c r="J847" s="35">
        <v>1062</v>
      </c>
      <c r="K847" s="147">
        <v>1156.555245718622</v>
      </c>
      <c r="L847" s="34">
        <v>94.555245718622018</v>
      </c>
      <c r="M847" s="56">
        <v>94.555245718622018</v>
      </c>
      <c r="N847" s="56">
        <v>1.9802545336109891</v>
      </c>
      <c r="O847" s="132">
        <f t="shared" si="14"/>
        <v>1.9802545336109891</v>
      </c>
      <c r="P847" s="56">
        <v>8.9035071298137503</v>
      </c>
      <c r="Q847" s="143">
        <v>8.9035071298137503</v>
      </c>
      <c r="R847" s="143">
        <v>1133.9076453703744</v>
      </c>
      <c r="S847" s="34">
        <v>71.907645370374439</v>
      </c>
      <c r="T847" s="56">
        <v>71.907645370374439</v>
      </c>
      <c r="U847" s="56">
        <v>1.8627730724615665</v>
      </c>
      <c r="V847" s="56">
        <v>6.7709647241407191</v>
      </c>
      <c r="W847" s="33">
        <v>6.7709647241407191</v>
      </c>
    </row>
    <row r="848" spans="1:23" ht="16" x14ac:dyDescent="0.2">
      <c r="A848" s="103" t="s">
        <v>19</v>
      </c>
      <c r="B848" t="s">
        <v>883</v>
      </c>
      <c r="C848" s="224" t="s">
        <v>977</v>
      </c>
      <c r="D848" s="224" t="s">
        <v>824</v>
      </c>
      <c r="E848" s="35" t="s">
        <v>148</v>
      </c>
      <c r="F848" s="103" t="s">
        <v>968</v>
      </c>
      <c r="G848" s="103">
        <v>1</v>
      </c>
      <c r="H848" s="35" t="s">
        <v>374</v>
      </c>
      <c r="I848" s="35" t="s">
        <v>580</v>
      </c>
      <c r="J848" s="35">
        <v>1670</v>
      </c>
      <c r="K848" s="147">
        <v>1764.7741359056704</v>
      </c>
      <c r="L848" s="34">
        <v>94.774135905670391</v>
      </c>
      <c r="M848" s="56">
        <v>94.774135905670391</v>
      </c>
      <c r="N848" s="56">
        <v>1.9812482423769417</v>
      </c>
      <c r="O848" s="132">
        <f t="shared" si="14"/>
        <v>1.9812482423769417</v>
      </c>
      <c r="P848" s="56">
        <v>5.6750979584233772</v>
      </c>
      <c r="Q848" s="143">
        <v>5.6750979584233772</v>
      </c>
      <c r="R848" s="143">
        <v>1733.8354523071885</v>
      </c>
      <c r="S848" s="34">
        <v>63.835452307188461</v>
      </c>
      <c r="T848" s="56">
        <v>63.835452307188461</v>
      </c>
      <c r="U848" s="56">
        <v>1.8118125449309739</v>
      </c>
      <c r="V848" s="56">
        <v>3.8224821740831416</v>
      </c>
      <c r="W848" s="33">
        <v>3.8224821740831416</v>
      </c>
    </row>
    <row r="849" spans="1:23" ht="16" x14ac:dyDescent="0.2">
      <c r="A849" s="103" t="s">
        <v>19</v>
      </c>
      <c r="B849" t="s">
        <v>860</v>
      </c>
      <c r="C849" s="103" t="s">
        <v>975</v>
      </c>
      <c r="D849" s="224" t="s">
        <v>824</v>
      </c>
      <c r="E849" s="35" t="s">
        <v>148</v>
      </c>
      <c r="F849" s="103" t="s">
        <v>967</v>
      </c>
      <c r="G849" s="103">
        <v>0</v>
      </c>
      <c r="H849" s="35" t="s">
        <v>494</v>
      </c>
      <c r="I849" s="35" t="s">
        <v>580</v>
      </c>
      <c r="J849" s="35">
        <v>1029</v>
      </c>
      <c r="K849" s="147">
        <v>1124.0017999999998</v>
      </c>
      <c r="L849" s="34">
        <v>95.001799999999776</v>
      </c>
      <c r="M849" s="56">
        <v>95.001799999999776</v>
      </c>
      <c r="N849" s="56">
        <v>1.9822793759847632</v>
      </c>
      <c r="O849" s="132">
        <f t="shared" si="14"/>
        <v>1.9822793759847632</v>
      </c>
      <c r="P849" s="56">
        <v>9.2324392614188326</v>
      </c>
      <c r="Q849" s="143">
        <v>9.2324392614188326</v>
      </c>
      <c r="R849" s="143">
        <v>1122.3399999999999</v>
      </c>
      <c r="S849" s="34">
        <v>93.339999999999918</v>
      </c>
      <c r="T849" s="56">
        <v>93.339999999999918</v>
      </c>
      <c r="U849" s="56">
        <v>1.9746958719096825</v>
      </c>
      <c r="V849" s="56">
        <v>9.070942662779391</v>
      </c>
      <c r="W849" s="33">
        <v>9.070942662779391</v>
      </c>
    </row>
    <row r="850" spans="1:23" ht="16" x14ac:dyDescent="0.2">
      <c r="A850" s="103" t="s">
        <v>19</v>
      </c>
      <c r="B850" t="s">
        <v>841</v>
      </c>
      <c r="C850" s="103" t="s">
        <v>971</v>
      </c>
      <c r="D850" s="224" t="s">
        <v>824</v>
      </c>
      <c r="E850" s="35" t="s">
        <v>148</v>
      </c>
      <c r="F850" s="103" t="s">
        <v>968</v>
      </c>
      <c r="G850" s="103">
        <v>1</v>
      </c>
      <c r="H850" s="35" t="s">
        <v>374</v>
      </c>
      <c r="I850" s="35" t="s">
        <v>580</v>
      </c>
      <c r="J850" s="35">
        <v>1325</v>
      </c>
      <c r="K850" s="147">
        <v>1229.9973149639875</v>
      </c>
      <c r="L850" s="34">
        <v>-95.002685036012508</v>
      </c>
      <c r="M850" s="56">
        <v>95.002685036012508</v>
      </c>
      <c r="N850" s="56">
        <v>1.9822833797064112</v>
      </c>
      <c r="O850" s="132">
        <f t="shared" si="14"/>
        <v>-1.9822833797064112</v>
      </c>
      <c r="P850" s="56">
        <v>-7.1700139649820764</v>
      </c>
      <c r="Q850" s="143">
        <v>7.1700139649820764</v>
      </c>
      <c r="R850" s="143">
        <v>1421.5322564617363</v>
      </c>
      <c r="S850" s="34">
        <v>96.532256461736324</v>
      </c>
      <c r="T850" s="56">
        <v>96.532256461736324</v>
      </c>
      <c r="U850" s="56">
        <v>1.9891482719707831</v>
      </c>
      <c r="V850" s="56">
        <v>7.2854533178668923</v>
      </c>
      <c r="W850" s="33">
        <v>7.2854533178668923</v>
      </c>
    </row>
    <row r="851" spans="1:23" ht="16" x14ac:dyDescent="0.2">
      <c r="A851" s="103" t="s">
        <v>19</v>
      </c>
      <c r="B851" t="s">
        <v>880</v>
      </c>
      <c r="C851" s="224" t="s">
        <v>974</v>
      </c>
      <c r="D851" s="224" t="s">
        <v>824</v>
      </c>
      <c r="E851" s="35" t="s">
        <v>148</v>
      </c>
      <c r="F851" s="103" t="s">
        <v>967</v>
      </c>
      <c r="G851" s="103">
        <v>0</v>
      </c>
      <c r="H851" s="35" t="s">
        <v>374</v>
      </c>
      <c r="I851" s="35" t="s">
        <v>580</v>
      </c>
      <c r="J851" s="35">
        <v>1695</v>
      </c>
      <c r="K851" s="147">
        <v>1791.0045</v>
      </c>
      <c r="L851" s="34">
        <v>96.004500000000007</v>
      </c>
      <c r="M851" s="56">
        <v>96.004500000000007</v>
      </c>
      <c r="N851" s="56">
        <v>1.9867918814810663</v>
      </c>
      <c r="O851" s="132">
        <f t="shared" si="14"/>
        <v>1.9867918814810663</v>
      </c>
      <c r="P851" s="56">
        <v>5.6639823008849559</v>
      </c>
      <c r="Q851" s="143">
        <v>5.6639823008849559</v>
      </c>
      <c r="R851" s="143">
        <v>1661.4014999999999</v>
      </c>
      <c r="S851" s="34">
        <v>-33.598500000000058</v>
      </c>
      <c r="T851" s="56">
        <v>33.598500000000058</v>
      </c>
      <c r="U851" s="56">
        <v>1.5390572705891903</v>
      </c>
      <c r="V851" s="56">
        <v>-1.9822123893805343</v>
      </c>
      <c r="W851" s="33">
        <v>1.9822123893805343</v>
      </c>
    </row>
    <row r="852" spans="1:23" ht="16" x14ac:dyDescent="0.2">
      <c r="A852" s="103" t="s">
        <v>19</v>
      </c>
      <c r="B852" t="s">
        <v>864</v>
      </c>
      <c r="C852" s="224" t="s">
        <v>978</v>
      </c>
      <c r="D852" s="224" t="s">
        <v>824</v>
      </c>
      <c r="E852" s="35" t="s">
        <v>148</v>
      </c>
      <c r="F852" s="103" t="s">
        <v>968</v>
      </c>
      <c r="G852" s="103">
        <v>1</v>
      </c>
      <c r="H852" s="35" t="s">
        <v>374</v>
      </c>
      <c r="I852" s="35" t="s">
        <v>580</v>
      </c>
      <c r="J852" s="35">
        <v>1460</v>
      </c>
      <c r="K852" s="147">
        <v>1363.4087889416369</v>
      </c>
      <c r="L852" s="34">
        <v>-96.591211058363115</v>
      </c>
      <c r="M852" s="56">
        <v>96.591211058363115</v>
      </c>
      <c r="N852" s="56">
        <v>1.9894107074133505</v>
      </c>
      <c r="O852" s="132">
        <f t="shared" si="14"/>
        <v>-1.9894107074133505</v>
      </c>
      <c r="P852" s="56">
        <v>-6.6158363738604873</v>
      </c>
      <c r="Q852" s="143">
        <v>6.6158363738604873</v>
      </c>
      <c r="R852" s="143">
        <v>1352.5485085983555</v>
      </c>
      <c r="S852" s="34">
        <v>-107.45149140164449</v>
      </c>
      <c r="T852" s="56">
        <v>107.45149140164449</v>
      </c>
      <c r="U852" s="56">
        <v>2.0352355287158268</v>
      </c>
      <c r="V852" s="56">
        <v>-7.3596911918934582</v>
      </c>
      <c r="W852" s="33">
        <v>7.3596911918934582</v>
      </c>
    </row>
    <row r="853" spans="1:23" ht="15" x14ac:dyDescent="0.2">
      <c r="A853" s="103" t="s">
        <v>19</v>
      </c>
      <c r="B853" s="28" t="s">
        <v>301</v>
      </c>
      <c r="C853" s="224" t="s">
        <v>978</v>
      </c>
      <c r="D853" s="208" t="s">
        <v>403</v>
      </c>
      <c r="E853" s="35" t="s">
        <v>82</v>
      </c>
      <c r="F853" s="103" t="s">
        <v>968</v>
      </c>
      <c r="G853" s="103">
        <v>1</v>
      </c>
      <c r="H853" s="35" t="s">
        <v>374</v>
      </c>
      <c r="I853" s="35" t="s">
        <v>580</v>
      </c>
      <c r="J853" s="35">
        <v>1300</v>
      </c>
      <c r="K853" s="141">
        <v>1203.1565998007916</v>
      </c>
      <c r="L853" s="34">
        <v>-96.843400199208418</v>
      </c>
      <c r="M853" s="56">
        <v>96.843400199208418</v>
      </c>
      <c r="N853" s="56">
        <v>1.9905315366498029</v>
      </c>
      <c r="O853" s="132">
        <f t="shared" si="14"/>
        <v>-1.9905315366498029</v>
      </c>
      <c r="P853" s="56">
        <v>-7.449492323016031</v>
      </c>
      <c r="Q853" s="143">
        <v>7.449492323016031</v>
      </c>
      <c r="R853" s="143">
        <v>1200.7426480723445</v>
      </c>
      <c r="S853" s="34">
        <v>-99.257351927655463</v>
      </c>
      <c r="T853" s="56">
        <v>99.257351927655463</v>
      </c>
      <c r="U853" s="56">
        <v>2.0011162295170641</v>
      </c>
      <c r="V853" s="56">
        <v>-7.6351809175119598</v>
      </c>
      <c r="W853" s="33">
        <v>7.6351809175119598</v>
      </c>
    </row>
    <row r="854" spans="1:23" ht="15" x14ac:dyDescent="0.2">
      <c r="A854" s="103" t="s">
        <v>19</v>
      </c>
      <c r="B854" t="s">
        <v>888</v>
      </c>
      <c r="C854" s="24" t="s">
        <v>980</v>
      </c>
      <c r="D854" s="224" t="s">
        <v>824</v>
      </c>
      <c r="E854" s="35" t="s">
        <v>148</v>
      </c>
      <c r="F854" s="103" t="s">
        <v>968</v>
      </c>
      <c r="G854" s="103">
        <v>1</v>
      </c>
      <c r="H854" s="35" t="s">
        <v>374</v>
      </c>
      <c r="I854" s="35" t="s">
        <v>580</v>
      </c>
      <c r="J854" s="35">
        <v>2150</v>
      </c>
      <c r="K854">
        <v>2052.376362871586</v>
      </c>
      <c r="L854" s="34">
        <v>-97.623637128413975</v>
      </c>
      <c r="M854" s="56">
        <v>97.623637128413975</v>
      </c>
      <c r="N854" s="56">
        <v>1.993981014780732</v>
      </c>
      <c r="O854" s="132">
        <f t="shared" si="14"/>
        <v>-1.993981014780732</v>
      </c>
      <c r="P854" s="56">
        <v>-4.5406342850425103</v>
      </c>
      <c r="Q854" s="143">
        <v>4.5406342850425103</v>
      </c>
      <c r="R854" s="143">
        <v>2005.8933898457146</v>
      </c>
      <c r="S854" s="34">
        <v>-144.10661015428536</v>
      </c>
      <c r="T854" s="56">
        <v>144.10661015428536</v>
      </c>
      <c r="U854" s="56">
        <v>2.1616871966427174</v>
      </c>
      <c r="V854" s="56">
        <v>-6.702633030431878</v>
      </c>
      <c r="W854" s="33">
        <v>6.702633030431878</v>
      </c>
    </row>
    <row r="855" spans="1:23" ht="16" x14ac:dyDescent="0.2">
      <c r="A855" s="103" t="s">
        <v>19</v>
      </c>
      <c r="B855" t="s">
        <v>849</v>
      </c>
      <c r="C855" s="103" t="s">
        <v>971</v>
      </c>
      <c r="D855" s="224" t="s">
        <v>824</v>
      </c>
      <c r="E855" s="35" t="s">
        <v>148</v>
      </c>
      <c r="F855" s="103" t="s">
        <v>968</v>
      </c>
      <c r="G855" s="103">
        <v>1</v>
      </c>
      <c r="H855" s="35" t="s">
        <v>374</v>
      </c>
      <c r="I855" s="35" t="s">
        <v>580</v>
      </c>
      <c r="J855" s="35">
        <v>1413</v>
      </c>
      <c r="K855" s="147">
        <v>1314.1252785372701</v>
      </c>
      <c r="L855" s="34">
        <v>-98.874721462729894</v>
      </c>
      <c r="M855" s="56">
        <v>98.874721462729894</v>
      </c>
      <c r="N855" s="56">
        <v>1.9994555811343824</v>
      </c>
      <c r="O855" s="132">
        <f t="shared" si="14"/>
        <v>-1.9994555811343824</v>
      </c>
      <c r="P855" s="56">
        <v>-6.9975032882328314</v>
      </c>
      <c r="Q855" s="143">
        <v>6.9975032882328314</v>
      </c>
      <c r="R855" s="143">
        <v>1515.3816510452377</v>
      </c>
      <c r="S855" s="34">
        <v>102.38165104523773</v>
      </c>
      <c r="T855" s="56">
        <v>102.38165104523773</v>
      </c>
      <c r="U855" s="56">
        <v>2.0144434637391049</v>
      </c>
      <c r="V855" s="56">
        <v>7.2456936337747866</v>
      </c>
      <c r="W855" s="33">
        <v>7.2456936337747866</v>
      </c>
    </row>
    <row r="856" spans="1:23" ht="16" x14ac:dyDescent="0.2">
      <c r="A856" s="103" t="s">
        <v>19</v>
      </c>
      <c r="B856" t="s">
        <v>879</v>
      </c>
      <c r="C856" s="103" t="s">
        <v>970</v>
      </c>
      <c r="D856" s="224" t="s">
        <v>824</v>
      </c>
      <c r="E856" s="35" t="s">
        <v>148</v>
      </c>
      <c r="F856" s="103" t="s">
        <v>967</v>
      </c>
      <c r="G856" s="103">
        <v>0</v>
      </c>
      <c r="H856" s="35" t="s">
        <v>374</v>
      </c>
      <c r="I856" s="35" t="s">
        <v>580</v>
      </c>
      <c r="J856" s="35">
        <v>1550</v>
      </c>
      <c r="K856" s="147">
        <v>1648.8944999999999</v>
      </c>
      <c r="L856" s="34">
        <v>98.89449999999988</v>
      </c>
      <c r="M856" s="56">
        <v>98.89449999999988</v>
      </c>
      <c r="N856" s="56">
        <v>1.9995415774611602</v>
      </c>
      <c r="O856" s="132">
        <f t="shared" si="14"/>
        <v>1.9995415774611602</v>
      </c>
      <c r="P856" s="56">
        <v>6.3802903225806373</v>
      </c>
      <c r="Q856" s="143">
        <v>6.3802903225806373</v>
      </c>
      <c r="R856" s="143">
        <v>1677.5600000000004</v>
      </c>
      <c r="S856" s="34">
        <v>127.5600000000004</v>
      </c>
      <c r="T856" s="56">
        <v>127.5600000000004</v>
      </c>
      <c r="U856" s="56">
        <v>2.1091058637552895</v>
      </c>
      <c r="V856" s="56">
        <v>8.2296774193548643</v>
      </c>
      <c r="W856" s="33">
        <v>8.2296774193548643</v>
      </c>
    </row>
    <row r="857" spans="1:23" ht="15" x14ac:dyDescent="0.2">
      <c r="A857" s="103" t="s">
        <v>19</v>
      </c>
      <c r="B857" s="28" t="s">
        <v>421</v>
      </c>
      <c r="C857" s="103" t="s">
        <v>975</v>
      </c>
      <c r="D857" s="35" t="s">
        <v>458</v>
      </c>
      <c r="E857" s="35" t="s">
        <v>82</v>
      </c>
      <c r="F857" s="103" t="s">
        <v>967</v>
      </c>
      <c r="G857" s="103">
        <v>0</v>
      </c>
      <c r="H857" s="35" t="s">
        <v>494</v>
      </c>
      <c r="I857" s="35" t="s">
        <v>580</v>
      </c>
      <c r="J857" s="35">
        <v>825</v>
      </c>
      <c r="K857" s="141">
        <v>924.33139999999992</v>
      </c>
      <c r="L857" s="34">
        <v>99.331399999999917</v>
      </c>
      <c r="M857" s="56">
        <v>99.331399999999917</v>
      </c>
      <c r="N857" s="56">
        <v>2.0014368723284535</v>
      </c>
      <c r="O857" s="132">
        <f t="shared" si="14"/>
        <v>2.0014368723284535</v>
      </c>
      <c r="P857" s="56">
        <v>12.040169696969688</v>
      </c>
      <c r="Q857" s="143">
        <v>12.040169696969688</v>
      </c>
      <c r="R857" s="143">
        <v>942.18700000000001</v>
      </c>
      <c r="S857" s="34">
        <v>117.18700000000001</v>
      </c>
      <c r="T857" s="56">
        <v>117.18700000000001</v>
      </c>
      <c r="U857" s="56">
        <v>2.0725697088738295</v>
      </c>
      <c r="V857" s="56">
        <v>14.204484848484849</v>
      </c>
      <c r="W857" s="33">
        <v>14.204484848484849</v>
      </c>
    </row>
    <row r="858" spans="1:23" ht="16" x14ac:dyDescent="0.2">
      <c r="A858" s="103" t="s">
        <v>19</v>
      </c>
      <c r="B858" t="s">
        <v>847</v>
      </c>
      <c r="C858" s="103" t="s">
        <v>975</v>
      </c>
      <c r="D858" s="224" t="s">
        <v>824</v>
      </c>
      <c r="E858" s="35" t="s">
        <v>148</v>
      </c>
      <c r="F858" s="103" t="s">
        <v>967</v>
      </c>
      <c r="G858" s="103">
        <v>0</v>
      </c>
      <c r="H858" s="35" t="s">
        <v>494</v>
      </c>
      <c r="I858" s="35" t="s">
        <v>580</v>
      </c>
      <c r="J858" s="35">
        <v>1170</v>
      </c>
      <c r="K858" s="147">
        <v>1269.5947999999999</v>
      </c>
      <c r="L858" s="34">
        <v>99.59479999999985</v>
      </c>
      <c r="M858" s="56">
        <v>99.59479999999985</v>
      </c>
      <c r="N858" s="56">
        <v>2.002575531518374</v>
      </c>
      <c r="O858" s="132">
        <f t="shared" si="14"/>
        <v>2.002575531518374</v>
      </c>
      <c r="P858" s="56">
        <v>8.5123760683760548</v>
      </c>
      <c r="Q858" s="143">
        <v>8.5123760683760548</v>
      </c>
      <c r="R858" s="143">
        <v>1274.4692</v>
      </c>
      <c r="S858" s="34">
        <v>104.4692</v>
      </c>
      <c r="T858" s="56">
        <v>104.4692</v>
      </c>
      <c r="U858" s="56">
        <v>2.0231256518329741</v>
      </c>
      <c r="V858" s="56">
        <v>8.9289914529914522</v>
      </c>
      <c r="W858" s="33">
        <v>8.9289914529914522</v>
      </c>
    </row>
    <row r="859" spans="1:23" ht="16" x14ac:dyDescent="0.2">
      <c r="A859" s="103" t="s">
        <v>19</v>
      </c>
      <c r="B859" t="s">
        <v>839</v>
      </c>
      <c r="C859" s="224" t="s">
        <v>978</v>
      </c>
      <c r="D859" s="224" t="s">
        <v>824</v>
      </c>
      <c r="E859" s="35" t="s">
        <v>148</v>
      </c>
      <c r="F859" s="103" t="s">
        <v>968</v>
      </c>
      <c r="G859" s="103">
        <v>1</v>
      </c>
      <c r="H859" s="35" t="s">
        <v>374</v>
      </c>
      <c r="I859" s="35" t="s">
        <v>580</v>
      </c>
      <c r="J859" s="35">
        <v>1380</v>
      </c>
      <c r="K859" s="147">
        <v>1280.2620485680372</v>
      </c>
      <c r="L859" s="34">
        <v>-99.737951431962756</v>
      </c>
      <c r="M859" s="56">
        <v>99.737951431962756</v>
      </c>
      <c r="N859" s="56">
        <v>2.0031931149667943</v>
      </c>
      <c r="O859" s="132">
        <f t="shared" si="14"/>
        <v>-2.0031931149667943</v>
      </c>
      <c r="P859" s="56">
        <v>-7.2273877849248374</v>
      </c>
      <c r="Q859" s="143">
        <v>7.2273877849248374</v>
      </c>
      <c r="R859" s="143">
        <v>1283.6022952236999</v>
      </c>
      <c r="S859" s="34">
        <v>-96.397704776300088</v>
      </c>
      <c r="T859" s="56">
        <v>96.397704776300088</v>
      </c>
      <c r="U859" s="56">
        <v>1.9885487226411147</v>
      </c>
      <c r="V859" s="56">
        <v>-6.9853409258188472</v>
      </c>
      <c r="W859" s="33">
        <v>6.9853409258188472</v>
      </c>
    </row>
    <row r="860" spans="1:23" ht="16" x14ac:dyDescent="0.2">
      <c r="A860" s="103" t="s">
        <v>19</v>
      </c>
      <c r="B860" t="s">
        <v>881</v>
      </c>
      <c r="C860" s="224" t="s">
        <v>977</v>
      </c>
      <c r="D860" s="224" t="s">
        <v>824</v>
      </c>
      <c r="E860" s="35" t="s">
        <v>148</v>
      </c>
      <c r="F860" s="103" t="s">
        <v>968</v>
      </c>
      <c r="G860" s="103">
        <v>1</v>
      </c>
      <c r="H860" s="35" t="s">
        <v>374</v>
      </c>
      <c r="I860" s="35" t="s">
        <v>580</v>
      </c>
      <c r="J860" s="35">
        <v>1835</v>
      </c>
      <c r="K860" s="147">
        <v>1735.0885651309043</v>
      </c>
      <c r="L860" s="34">
        <v>-99.911434869095729</v>
      </c>
      <c r="M860" s="56">
        <v>99.911434869095729</v>
      </c>
      <c r="N860" s="56">
        <v>2.0039403814913195</v>
      </c>
      <c r="O860" s="132">
        <f t="shared" ref="O860:O923" si="15">SIGN(L860)*N860</f>
        <v>-2.0039403814913195</v>
      </c>
      <c r="P860" s="56">
        <v>-5.4447648430024911</v>
      </c>
      <c r="Q860" s="143">
        <v>5.4447648430024911</v>
      </c>
      <c r="R860" s="143">
        <v>1710.367867470758</v>
      </c>
      <c r="S860" s="34">
        <v>-124.63213252924197</v>
      </c>
      <c r="T860" s="56">
        <v>124.63213252924197</v>
      </c>
      <c r="U860" s="56">
        <v>2.099100731721057</v>
      </c>
      <c r="V860" s="56">
        <v>-6.7919418272066467</v>
      </c>
      <c r="W860" s="33">
        <v>6.7919418272066467</v>
      </c>
    </row>
    <row r="861" spans="1:23" ht="16" x14ac:dyDescent="0.2">
      <c r="A861" s="103" t="s">
        <v>19</v>
      </c>
      <c r="B861" t="s">
        <v>848</v>
      </c>
      <c r="C861" s="224" t="s">
        <v>974</v>
      </c>
      <c r="D861" s="224" t="s">
        <v>824</v>
      </c>
      <c r="E861" s="35" t="s">
        <v>148</v>
      </c>
      <c r="F861" s="103" t="s">
        <v>967</v>
      </c>
      <c r="G861" s="103">
        <v>0</v>
      </c>
      <c r="H861" s="35" t="s">
        <v>374</v>
      </c>
      <c r="I861" s="35" t="s">
        <v>580</v>
      </c>
      <c r="J861" s="35">
        <v>1244</v>
      </c>
      <c r="K861" s="147">
        <v>1344.0830000000001</v>
      </c>
      <c r="L861" s="34">
        <v>100.08300000000008</v>
      </c>
      <c r="M861" s="56">
        <v>100.08300000000008</v>
      </c>
      <c r="N861" s="56">
        <v>2.0046781226830936</v>
      </c>
      <c r="O861" s="132">
        <f t="shared" si="15"/>
        <v>2.0046781226830936</v>
      </c>
      <c r="P861" s="56">
        <v>8.0452572347266944</v>
      </c>
      <c r="Q861" s="143">
        <v>8.0452572347266944</v>
      </c>
      <c r="R861" s="143">
        <v>1264.2713999999999</v>
      </c>
      <c r="S861" s="34">
        <v>20.271399999999858</v>
      </c>
      <c r="T861" s="56">
        <v>20.271399999999858</v>
      </c>
      <c r="U861" s="56">
        <v>1.32779607440041</v>
      </c>
      <c r="V861" s="56">
        <v>1.6295337620578665</v>
      </c>
      <c r="W861" s="33">
        <v>1.6295337620578665</v>
      </c>
    </row>
    <row r="862" spans="1:23" ht="16" x14ac:dyDescent="0.2">
      <c r="A862" s="103" t="s">
        <v>19</v>
      </c>
      <c r="B862" t="s">
        <v>840</v>
      </c>
      <c r="C862" s="103" t="s">
        <v>971</v>
      </c>
      <c r="D862" s="224" t="s">
        <v>824</v>
      </c>
      <c r="E862" s="35" t="s">
        <v>148</v>
      </c>
      <c r="F862" s="103" t="s">
        <v>968</v>
      </c>
      <c r="G862" s="103">
        <v>1</v>
      </c>
      <c r="H862" s="225" t="s">
        <v>293</v>
      </c>
      <c r="I862" s="35" t="s">
        <v>580</v>
      </c>
      <c r="J862" s="29">
        <v>2645</v>
      </c>
      <c r="K862" s="147">
        <v>2745.2723049121623</v>
      </c>
      <c r="L862" s="34">
        <v>100.27230491216233</v>
      </c>
      <c r="M862" s="56">
        <v>100.27230491216233</v>
      </c>
      <c r="N862" s="56">
        <v>2.0054906944391822</v>
      </c>
      <c r="O862" s="132">
        <f t="shared" si="15"/>
        <v>2.0054906944391822</v>
      </c>
      <c r="P862" s="56">
        <v>3.7910134182291997</v>
      </c>
      <c r="Q862" s="143">
        <v>3.7910134182291997</v>
      </c>
      <c r="R862" s="143">
        <v>3072.1779972052809</v>
      </c>
      <c r="S862" s="34">
        <v>427.17799720528092</v>
      </c>
      <c r="T862" s="56">
        <v>427.17799720528092</v>
      </c>
      <c r="U862" s="56">
        <v>2.6316243464291151</v>
      </c>
      <c r="V862" s="56">
        <v>16.150396869764872</v>
      </c>
      <c r="W862" s="33">
        <v>16.150396869764872</v>
      </c>
    </row>
    <row r="863" spans="1:23" ht="15" x14ac:dyDescent="0.2">
      <c r="A863" s="103" t="s">
        <v>19</v>
      </c>
      <c r="B863" t="s">
        <v>892</v>
      </c>
      <c r="C863" s="103" t="s">
        <v>971</v>
      </c>
      <c r="D863" s="224" t="s">
        <v>824</v>
      </c>
      <c r="E863" s="35" t="s">
        <v>148</v>
      </c>
      <c r="F863" s="103" t="s">
        <v>968</v>
      </c>
      <c r="G863" s="103">
        <v>1</v>
      </c>
      <c r="H863" s="35" t="s">
        <v>494</v>
      </c>
      <c r="I863" s="35" t="s">
        <v>580</v>
      </c>
      <c r="J863" s="35">
        <v>1090</v>
      </c>
      <c r="K863">
        <v>989.68111136019184</v>
      </c>
      <c r="L863" s="34">
        <v>-100.31888863980816</v>
      </c>
      <c r="M863" s="56">
        <v>100.31888863980816</v>
      </c>
      <c r="N863" s="56">
        <v>2.0056904173971737</v>
      </c>
      <c r="O863" s="132">
        <f t="shared" si="15"/>
        <v>-2.0056904173971737</v>
      </c>
      <c r="P863" s="56">
        <v>-9.2035677651200167</v>
      </c>
      <c r="Q863" s="143">
        <v>9.2035677651200167</v>
      </c>
      <c r="R863" s="143">
        <v>1135.6539235579762</v>
      </c>
      <c r="S863" s="34">
        <v>45.653923557976213</v>
      </c>
      <c r="T863" s="56">
        <v>45.653923557976213</v>
      </c>
      <c r="U863" s="56">
        <v>1.6688881734399641</v>
      </c>
      <c r="V863" s="56">
        <v>4.1884333539427718</v>
      </c>
      <c r="W863" s="33">
        <v>4.1884333539427718</v>
      </c>
    </row>
    <row r="864" spans="1:23" ht="16" x14ac:dyDescent="0.2">
      <c r="A864" s="103" t="s">
        <v>19</v>
      </c>
      <c r="B864" t="s">
        <v>847</v>
      </c>
      <c r="C864" s="224" t="s">
        <v>974</v>
      </c>
      <c r="D864" s="224" t="s">
        <v>824</v>
      </c>
      <c r="E864" s="35" t="s">
        <v>148</v>
      </c>
      <c r="F864" s="103" t="s">
        <v>967</v>
      </c>
      <c r="G864" s="103">
        <v>0</v>
      </c>
      <c r="H864" s="35" t="s">
        <v>494</v>
      </c>
      <c r="I864" s="35" t="s">
        <v>580</v>
      </c>
      <c r="J864" s="35">
        <v>1170</v>
      </c>
      <c r="K864" s="147">
        <v>1270.4723999999999</v>
      </c>
      <c r="L864" s="34">
        <v>100.47239999999988</v>
      </c>
      <c r="M864" s="56">
        <v>100.47239999999988</v>
      </c>
      <c r="N864" s="56">
        <v>2.006347932321237</v>
      </c>
      <c r="O864" s="132">
        <f t="shared" si="15"/>
        <v>2.006347932321237</v>
      </c>
      <c r="P864" s="56">
        <v>8.5873846153846038</v>
      </c>
      <c r="Q864" s="143">
        <v>8.5873846153846038</v>
      </c>
      <c r="R864" s="143">
        <v>1197.2855999999999</v>
      </c>
      <c r="S864" s="34">
        <v>27.285599999999931</v>
      </c>
      <c r="T864" s="56">
        <v>27.285599999999931</v>
      </c>
      <c r="U864" s="56">
        <v>1.451565395518549</v>
      </c>
      <c r="V864" s="56">
        <v>2.3321025641025583</v>
      </c>
      <c r="W864" s="33">
        <v>2.3321025641025583</v>
      </c>
    </row>
    <row r="865" spans="1:23" ht="15" x14ac:dyDescent="0.2">
      <c r="A865" s="103" t="s">
        <v>19</v>
      </c>
      <c r="B865" s="28" t="s">
        <v>422</v>
      </c>
      <c r="C865" s="224" t="s">
        <v>974</v>
      </c>
      <c r="D865" s="35" t="s">
        <v>458</v>
      </c>
      <c r="E865" s="35" t="s">
        <v>82</v>
      </c>
      <c r="F865" s="103" t="s">
        <v>967</v>
      </c>
      <c r="G865" s="103">
        <v>0</v>
      </c>
      <c r="H865" s="35" t="s">
        <v>494</v>
      </c>
      <c r="I865" s="35" t="s">
        <v>580</v>
      </c>
      <c r="J865" s="35">
        <v>1070</v>
      </c>
      <c r="K865" s="141">
        <v>1170.5723</v>
      </c>
      <c r="L865" s="34">
        <v>100.57230000000004</v>
      </c>
      <c r="M865" s="56">
        <v>100.57230000000004</v>
      </c>
      <c r="N865" s="56">
        <v>2.0067752867140687</v>
      </c>
      <c r="O865" s="132">
        <f t="shared" si="15"/>
        <v>2.0067752867140687</v>
      </c>
      <c r="P865" s="56">
        <v>9.3992803738317789</v>
      </c>
      <c r="Q865" s="143">
        <v>9.3992803738317789</v>
      </c>
      <c r="R865" s="143">
        <v>1087.2375</v>
      </c>
      <c r="S865" s="34">
        <v>17.237499999999955</v>
      </c>
      <c r="T865" s="56">
        <v>17.237499999999955</v>
      </c>
      <c r="U865" s="56">
        <v>1.260965304901507</v>
      </c>
      <c r="V865" s="56">
        <v>1.6109813084112108</v>
      </c>
      <c r="W865" s="33">
        <v>1.6109813084112108</v>
      </c>
    </row>
    <row r="866" spans="1:23" ht="16" x14ac:dyDescent="0.2">
      <c r="A866" s="103" t="s">
        <v>19</v>
      </c>
      <c r="B866" t="s">
        <v>856</v>
      </c>
      <c r="C866" s="103" t="s">
        <v>975</v>
      </c>
      <c r="D866" s="224" t="s">
        <v>824</v>
      </c>
      <c r="E866" s="35" t="s">
        <v>148</v>
      </c>
      <c r="F866" s="103" t="s">
        <v>967</v>
      </c>
      <c r="G866" s="103">
        <v>0</v>
      </c>
      <c r="H866" s="225" t="s">
        <v>494</v>
      </c>
      <c r="I866" s="35" t="s">
        <v>580</v>
      </c>
      <c r="J866" s="35">
        <v>1098</v>
      </c>
      <c r="K866" s="147">
        <v>1198.8781999999999</v>
      </c>
      <c r="L866" s="34">
        <v>100.87819999999988</v>
      </c>
      <c r="M866" s="56">
        <v>100.87819999999988</v>
      </c>
      <c r="N866" s="56">
        <v>2.0080812631764098</v>
      </c>
      <c r="O866" s="132">
        <f t="shared" si="15"/>
        <v>2.0080812631764098</v>
      </c>
      <c r="P866" s="56">
        <v>9.1874499089253092</v>
      </c>
      <c r="Q866" s="143">
        <v>9.1874499089253092</v>
      </c>
      <c r="R866" s="143">
        <v>1214.4182000000001</v>
      </c>
      <c r="S866" s="34">
        <v>116.41820000000007</v>
      </c>
      <c r="T866" s="56">
        <v>116.41820000000007</v>
      </c>
      <c r="U866" s="56">
        <v>2.069735418435962</v>
      </c>
      <c r="V866" s="56">
        <v>10.602750455373412</v>
      </c>
      <c r="W866" s="33">
        <v>10.602750455373412</v>
      </c>
    </row>
    <row r="867" spans="1:23" ht="16" x14ac:dyDescent="0.2">
      <c r="A867" s="103" t="s">
        <v>19</v>
      </c>
      <c r="B867" t="s">
        <v>858</v>
      </c>
      <c r="C867" s="103" t="s">
        <v>970</v>
      </c>
      <c r="D867" s="224" t="s">
        <v>824</v>
      </c>
      <c r="E867" s="35" t="s">
        <v>148</v>
      </c>
      <c r="F867" s="103" t="s">
        <v>967</v>
      </c>
      <c r="G867" s="103">
        <v>0</v>
      </c>
      <c r="H867" s="225" t="s">
        <v>494</v>
      </c>
      <c r="I867" s="35" t="s">
        <v>580</v>
      </c>
      <c r="J867" s="35">
        <v>1062</v>
      </c>
      <c r="K867" s="147">
        <v>1162.9634000000001</v>
      </c>
      <c r="L867" s="34">
        <v>100.96340000000009</v>
      </c>
      <c r="M867" s="56">
        <v>100.96340000000009</v>
      </c>
      <c r="N867" s="56">
        <v>2.008444308717781</v>
      </c>
      <c r="O867" s="132">
        <f t="shared" si="15"/>
        <v>2.008444308717781</v>
      </c>
      <c r="P867" s="56">
        <v>9.5069114877589538</v>
      </c>
      <c r="Q867" s="143">
        <v>9.5069114877589538</v>
      </c>
      <c r="R867" s="143">
        <v>1146.605</v>
      </c>
      <c r="S867" s="34">
        <v>84.605000000000018</v>
      </c>
      <c r="T867" s="56">
        <v>84.605000000000018</v>
      </c>
      <c r="U867" s="56">
        <v>1.9324991316046394</v>
      </c>
      <c r="V867" s="56">
        <v>7.9665725047080995</v>
      </c>
      <c r="W867" s="33">
        <v>7.9665725047080995</v>
      </c>
    </row>
    <row r="868" spans="1:23" ht="15" x14ac:dyDescent="0.2">
      <c r="A868" s="103" t="s">
        <v>19</v>
      </c>
      <c r="B868" s="206" t="s">
        <v>460</v>
      </c>
      <c r="C868" s="224" t="s">
        <v>974</v>
      </c>
      <c r="D868" s="35" t="s">
        <v>403</v>
      </c>
      <c r="E868" s="35" t="s">
        <v>82</v>
      </c>
      <c r="F868" s="103" t="s">
        <v>967</v>
      </c>
      <c r="G868" s="103">
        <v>0</v>
      </c>
      <c r="H868" s="35" t="s">
        <v>203</v>
      </c>
      <c r="I868" s="35" t="s">
        <v>581</v>
      </c>
      <c r="J868" s="35">
        <v>4340</v>
      </c>
      <c r="K868" s="141">
        <v>4440.986100000001</v>
      </c>
      <c r="L868" s="34">
        <v>100.98610000000099</v>
      </c>
      <c r="M868" s="56">
        <v>100.98610000000099</v>
      </c>
      <c r="N868" s="56">
        <v>2.0085409844613382</v>
      </c>
      <c r="O868" s="132">
        <f t="shared" si="15"/>
        <v>2.0085409844613382</v>
      </c>
      <c r="P868" s="56">
        <v>2.3268686635944928</v>
      </c>
      <c r="Q868" s="143">
        <v>2.3268686635944928</v>
      </c>
      <c r="R868" s="143">
        <v>4187.7231000000002</v>
      </c>
      <c r="S868" s="34">
        <v>-152.27689999999984</v>
      </c>
      <c r="T868" s="56">
        <v>152.27689999999984</v>
      </c>
      <c r="U868" s="56">
        <v>2.185476708289086</v>
      </c>
      <c r="V868" s="56">
        <v>-3.5086843317972312</v>
      </c>
      <c r="W868" s="33">
        <v>3.5086843317972312</v>
      </c>
    </row>
    <row r="869" spans="1:23" ht="16" x14ac:dyDescent="0.2">
      <c r="A869" s="103" t="s">
        <v>19</v>
      </c>
      <c r="B869" t="s">
        <v>853</v>
      </c>
      <c r="C869" s="103" t="s">
        <v>971</v>
      </c>
      <c r="D869" s="224" t="s">
        <v>824</v>
      </c>
      <c r="E869" s="35" t="s">
        <v>148</v>
      </c>
      <c r="F869" s="103" t="s">
        <v>968</v>
      </c>
      <c r="G869" s="103">
        <v>1</v>
      </c>
      <c r="H869" s="35" t="s">
        <v>374</v>
      </c>
      <c r="I869" s="35" t="s">
        <v>580</v>
      </c>
      <c r="J869" s="35">
        <v>1274</v>
      </c>
      <c r="K869" s="147">
        <v>1172.820798203333</v>
      </c>
      <c r="L869" s="34">
        <v>-101.17920179666703</v>
      </c>
      <c r="M869" s="56">
        <v>101.17920179666703</v>
      </c>
      <c r="N869" s="56">
        <v>2.0093625057385234</v>
      </c>
      <c r="O869" s="132">
        <f t="shared" si="15"/>
        <v>-2.0093625057385234</v>
      </c>
      <c r="P869" s="56">
        <v>-7.941852574306675</v>
      </c>
      <c r="Q869" s="143">
        <v>7.941852574306675</v>
      </c>
      <c r="R869" s="143">
        <v>1345.0019515523677</v>
      </c>
      <c r="S869" s="34">
        <v>71.0019515523677</v>
      </c>
      <c r="T869" s="56">
        <v>71.0019515523677</v>
      </c>
      <c r="U869" s="56">
        <v>1.8573442677776335</v>
      </c>
      <c r="V869" s="56">
        <v>5.5731516132156749</v>
      </c>
      <c r="W869" s="33">
        <v>5.5731516132156749</v>
      </c>
    </row>
    <row r="870" spans="1:23" ht="15" x14ac:dyDescent="0.2">
      <c r="A870" s="103" t="s">
        <v>19</v>
      </c>
      <c r="B870" s="28" t="s">
        <v>345</v>
      </c>
      <c r="C870" s="103" t="s">
        <v>971</v>
      </c>
      <c r="D870" s="208" t="s">
        <v>403</v>
      </c>
      <c r="E870" s="35" t="s">
        <v>82</v>
      </c>
      <c r="F870" s="103" t="s">
        <v>968</v>
      </c>
      <c r="G870" s="103">
        <v>1</v>
      </c>
      <c r="H870" s="35" t="s">
        <v>374</v>
      </c>
      <c r="I870" s="35" t="s">
        <v>580</v>
      </c>
      <c r="J870" s="35">
        <v>1499</v>
      </c>
      <c r="K870" s="141">
        <v>1600.4447985043246</v>
      </c>
      <c r="L870" s="34">
        <v>101.44479850432458</v>
      </c>
      <c r="M870" s="56">
        <v>101.44479850432458</v>
      </c>
      <c r="N870" s="56">
        <v>2.0104899125838038</v>
      </c>
      <c r="O870" s="132">
        <f t="shared" si="15"/>
        <v>2.0104899125838038</v>
      </c>
      <c r="P870" s="56">
        <v>6.7674982324432671</v>
      </c>
      <c r="Q870" s="143">
        <v>6.7674982324432671</v>
      </c>
      <c r="R870" s="143">
        <v>1825.4585144519569</v>
      </c>
      <c r="S870" s="34">
        <v>326.45851445195694</v>
      </c>
      <c r="T870" s="56">
        <v>326.45851445195694</v>
      </c>
      <c r="U870" s="56">
        <v>2.51515628727185</v>
      </c>
      <c r="V870" s="56">
        <v>21.778419910070511</v>
      </c>
      <c r="W870" s="33">
        <v>21.778419910070511</v>
      </c>
    </row>
    <row r="871" spans="1:23" ht="15" x14ac:dyDescent="0.2">
      <c r="A871" s="103" t="s">
        <v>19</v>
      </c>
      <c r="B871" t="s">
        <v>890</v>
      </c>
      <c r="C871" s="103" t="s">
        <v>971</v>
      </c>
      <c r="D871" s="224" t="s">
        <v>824</v>
      </c>
      <c r="E871" s="35" t="s">
        <v>148</v>
      </c>
      <c r="F871" s="103" t="s">
        <v>968</v>
      </c>
      <c r="G871" s="103">
        <v>1</v>
      </c>
      <c r="H871" s="35" t="s">
        <v>374</v>
      </c>
      <c r="I871" s="35" t="s">
        <v>580</v>
      </c>
      <c r="J871" s="35">
        <v>1316</v>
      </c>
      <c r="K871">
        <v>1214.3494093156928</v>
      </c>
      <c r="L871" s="34">
        <v>-101.65059068430719</v>
      </c>
      <c r="M871" s="56">
        <v>101.65059068430719</v>
      </c>
      <c r="N871" s="56">
        <v>2.0113614527830554</v>
      </c>
      <c r="O871" s="132">
        <f t="shared" si="15"/>
        <v>-2.0113614527830554</v>
      </c>
      <c r="P871" s="56">
        <v>-7.7242090185643759</v>
      </c>
      <c r="Q871" s="143">
        <v>7.7242090185643759</v>
      </c>
      <c r="R871" s="143">
        <v>1399.595375091822</v>
      </c>
      <c r="S871" s="34">
        <v>83.595375091822007</v>
      </c>
      <c r="T871" s="56">
        <v>83.595375091822007</v>
      </c>
      <c r="U871" s="56">
        <v>1.9273466204030274</v>
      </c>
      <c r="V871" s="56">
        <v>6.3522321498344994</v>
      </c>
      <c r="W871" s="33">
        <v>6.3522321498344994</v>
      </c>
    </row>
    <row r="872" spans="1:23" ht="16" x14ac:dyDescent="0.2">
      <c r="A872" s="103" t="s">
        <v>19</v>
      </c>
      <c r="B872" t="s">
        <v>876</v>
      </c>
      <c r="C872" s="224" t="s">
        <v>977</v>
      </c>
      <c r="D872" s="224" t="s">
        <v>824</v>
      </c>
      <c r="E872" s="35" t="s">
        <v>148</v>
      </c>
      <c r="F872" s="103" t="s">
        <v>968</v>
      </c>
      <c r="G872" s="103">
        <v>1</v>
      </c>
      <c r="H872" s="35" t="s">
        <v>374</v>
      </c>
      <c r="I872" s="35" t="s">
        <v>580</v>
      </c>
      <c r="J872" s="35">
        <v>1668</v>
      </c>
      <c r="K872" s="147">
        <v>1769.7260468528993</v>
      </c>
      <c r="L872" s="34">
        <v>101.72604685289934</v>
      </c>
      <c r="M872" s="56">
        <v>101.72604685289934</v>
      </c>
      <c r="N872" s="56">
        <v>2.0116805757321177</v>
      </c>
      <c r="O872" s="132">
        <f t="shared" si="15"/>
        <v>2.0116805757321177</v>
      </c>
      <c r="P872" s="56">
        <v>6.0986838640826946</v>
      </c>
      <c r="Q872" s="143">
        <v>6.0986838640826946</v>
      </c>
      <c r="R872" s="143">
        <v>1747.9295211247979</v>
      </c>
      <c r="S872" s="34">
        <v>79.92952112479793</v>
      </c>
      <c r="T872" s="56">
        <v>79.92952112479793</v>
      </c>
      <c r="U872" s="56">
        <v>1.9081069705980003</v>
      </c>
      <c r="V872" s="56">
        <v>4.791937717314025</v>
      </c>
      <c r="W872" s="33">
        <v>4.791937717314025</v>
      </c>
    </row>
    <row r="873" spans="1:23" ht="16" x14ac:dyDescent="0.2">
      <c r="A873" s="103" t="s">
        <v>19</v>
      </c>
      <c r="B873" t="s">
        <v>862</v>
      </c>
      <c r="C873" s="103" t="s">
        <v>971</v>
      </c>
      <c r="D873" s="224" t="s">
        <v>824</v>
      </c>
      <c r="E873" s="35" t="s">
        <v>148</v>
      </c>
      <c r="F873" s="103" t="s">
        <v>968</v>
      </c>
      <c r="G873" s="103">
        <v>1</v>
      </c>
      <c r="H873" s="35" t="s">
        <v>374</v>
      </c>
      <c r="I873" s="35" t="s">
        <v>580</v>
      </c>
      <c r="J873" s="35">
        <v>1280</v>
      </c>
      <c r="K873" s="147">
        <v>1177.995897091685</v>
      </c>
      <c r="L873" s="34">
        <v>-102.00410290831496</v>
      </c>
      <c r="M873" s="56">
        <v>102.00410290831496</v>
      </c>
      <c r="N873" s="56">
        <v>2.0128545240736413</v>
      </c>
      <c r="O873" s="132">
        <f t="shared" si="15"/>
        <v>-2.0128545240736413</v>
      </c>
      <c r="P873" s="56">
        <v>-7.9690705397121064</v>
      </c>
      <c r="Q873" s="143">
        <v>7.9690705397121064</v>
      </c>
      <c r="R873" s="143">
        <v>1312.4195557355961</v>
      </c>
      <c r="S873" s="34">
        <v>32.419555735596077</v>
      </c>
      <c r="T873" s="56">
        <v>32.419555735596077</v>
      </c>
      <c r="U873" s="56">
        <v>1.5240006722820416</v>
      </c>
      <c r="V873" s="56">
        <v>2.5327777918434435</v>
      </c>
      <c r="W873" s="33">
        <v>2.5327777918434435</v>
      </c>
    </row>
    <row r="874" spans="1:23" ht="16" x14ac:dyDescent="0.2">
      <c r="A874" s="103" t="s">
        <v>19</v>
      </c>
      <c r="B874" t="s">
        <v>876</v>
      </c>
      <c r="C874" s="224" t="s">
        <v>978</v>
      </c>
      <c r="D874" s="224" t="s">
        <v>824</v>
      </c>
      <c r="E874" s="35" t="s">
        <v>148</v>
      </c>
      <c r="F874" s="103" t="s">
        <v>968</v>
      </c>
      <c r="G874" s="103">
        <v>1</v>
      </c>
      <c r="H874" s="35" t="s">
        <v>374</v>
      </c>
      <c r="I874" s="35" t="s">
        <v>580</v>
      </c>
      <c r="J874" s="35">
        <v>1668</v>
      </c>
      <c r="K874" s="147">
        <v>1770.0048622210404</v>
      </c>
      <c r="L874" s="34">
        <v>102.00486222104041</v>
      </c>
      <c r="M874" s="56">
        <v>102.00486222104041</v>
      </c>
      <c r="N874" s="56">
        <v>2.0128577255394271</v>
      </c>
      <c r="O874" s="132">
        <f t="shared" si="15"/>
        <v>2.0128577255394271</v>
      </c>
      <c r="P874" s="56">
        <v>6.1153994137314402</v>
      </c>
      <c r="Q874" s="143">
        <v>6.1153994137314402</v>
      </c>
      <c r="R874" s="143">
        <v>1742.2834675114409</v>
      </c>
      <c r="S874" s="34">
        <v>74.283467511440904</v>
      </c>
      <c r="T874" s="56">
        <v>74.283467511440904</v>
      </c>
      <c r="U874" s="56">
        <v>1.8766996142237073</v>
      </c>
      <c r="V874" s="56">
        <v>4.4534452944508933</v>
      </c>
      <c r="W874" s="33">
        <v>4.4534452944508933</v>
      </c>
    </row>
    <row r="875" spans="1:23" ht="15" x14ac:dyDescent="0.2">
      <c r="A875" s="103" t="s">
        <v>19</v>
      </c>
      <c r="B875" s="28" t="s">
        <v>282</v>
      </c>
      <c r="C875" s="103" t="s">
        <v>975</v>
      </c>
      <c r="D875" s="208" t="s">
        <v>403</v>
      </c>
      <c r="E875" s="35" t="s">
        <v>96</v>
      </c>
      <c r="F875" s="103" t="s">
        <v>967</v>
      </c>
      <c r="G875" s="103">
        <v>0</v>
      </c>
      <c r="H875" s="35" t="s">
        <v>494</v>
      </c>
      <c r="I875" s="35" t="s">
        <v>580</v>
      </c>
      <c r="J875" s="35">
        <v>872.2</v>
      </c>
      <c r="K875" s="141">
        <v>974.24899999999991</v>
      </c>
      <c r="L875" s="34">
        <v>102.04899999999986</v>
      </c>
      <c r="M875" s="56">
        <v>102.04899999999986</v>
      </c>
      <c r="N875" s="56">
        <v>2.0130437816893298</v>
      </c>
      <c r="O875" s="132">
        <f t="shared" si="15"/>
        <v>2.0130437816893298</v>
      </c>
      <c r="P875" s="56">
        <v>11.700183444164168</v>
      </c>
      <c r="Q875" s="143">
        <v>11.700183444164168</v>
      </c>
      <c r="R875" s="143">
        <v>977.81726000000003</v>
      </c>
      <c r="S875" s="34">
        <v>105.61725999999999</v>
      </c>
      <c r="T875" s="56">
        <v>105.61725999999999</v>
      </c>
      <c r="U875" s="56">
        <v>2.0278275172231695</v>
      </c>
      <c r="V875" s="56">
        <v>12.109293739967896</v>
      </c>
      <c r="W875" s="33">
        <v>12.109293739967896</v>
      </c>
    </row>
    <row r="876" spans="1:23" ht="15" x14ac:dyDescent="0.2">
      <c r="A876" s="103" t="s">
        <v>19</v>
      </c>
      <c r="B876" s="28" t="s">
        <v>421</v>
      </c>
      <c r="C876" s="103" t="s">
        <v>971</v>
      </c>
      <c r="D876" s="35" t="s">
        <v>458</v>
      </c>
      <c r="E876" s="35" t="s">
        <v>82</v>
      </c>
      <c r="F876" s="103" t="s">
        <v>968</v>
      </c>
      <c r="G876" s="103">
        <v>1</v>
      </c>
      <c r="H876" s="35" t="s">
        <v>494</v>
      </c>
      <c r="I876" s="35" t="s">
        <v>580</v>
      </c>
      <c r="J876" s="35">
        <v>825</v>
      </c>
      <c r="K876" s="141">
        <v>722.92657767046785</v>
      </c>
      <c r="L876" s="34">
        <v>-102.07342232953215</v>
      </c>
      <c r="M876" s="56">
        <v>102.07342232953215</v>
      </c>
      <c r="N876" s="56">
        <v>2.0131466960921478</v>
      </c>
      <c r="O876" s="132">
        <f t="shared" si="15"/>
        <v>-2.0131466960921478</v>
      </c>
      <c r="P876" s="56">
        <v>-12.372536039943292</v>
      </c>
      <c r="Q876" s="143">
        <v>12.372536039943292</v>
      </c>
      <c r="R876" s="143">
        <v>866.31600726875115</v>
      </c>
      <c r="S876" s="34">
        <v>41.31600726875115</v>
      </c>
      <c r="T876" s="56">
        <v>41.31600726875115</v>
      </c>
      <c r="U876" s="56">
        <v>1.6265046830594214</v>
      </c>
      <c r="V876" s="56">
        <v>5.0080008810607453</v>
      </c>
      <c r="W876" s="33">
        <v>5.0080008810607453</v>
      </c>
    </row>
    <row r="877" spans="1:23" ht="16" x14ac:dyDescent="0.2">
      <c r="A877" s="103" t="s">
        <v>19</v>
      </c>
      <c r="B877" t="s">
        <v>868</v>
      </c>
      <c r="C877" s="103" t="s">
        <v>970</v>
      </c>
      <c r="D877" s="224" t="s">
        <v>824</v>
      </c>
      <c r="E877" s="35" t="s">
        <v>148</v>
      </c>
      <c r="F877" s="103" t="s">
        <v>967</v>
      </c>
      <c r="G877" s="103">
        <v>0</v>
      </c>
      <c r="H877" s="35" t="s">
        <v>374</v>
      </c>
      <c r="I877" s="35" t="s">
        <v>580</v>
      </c>
      <c r="J877" s="35">
        <v>1530</v>
      </c>
      <c r="K877" s="147">
        <v>1632.5147999999999</v>
      </c>
      <c r="L877" s="34">
        <v>102.51479999999992</v>
      </c>
      <c r="M877" s="56">
        <v>102.51479999999992</v>
      </c>
      <c r="N877" s="56">
        <v>2.0150024473660868</v>
      </c>
      <c r="O877" s="132">
        <f t="shared" si="15"/>
        <v>2.0150024473660868</v>
      </c>
      <c r="P877" s="56">
        <v>6.700313725490191</v>
      </c>
      <c r="Q877" s="143">
        <v>6.700313725490191</v>
      </c>
      <c r="R877" s="143">
        <v>1705.5050000000001</v>
      </c>
      <c r="S877" s="34">
        <v>175.50500000000011</v>
      </c>
      <c r="T877" s="56">
        <v>175.50500000000011</v>
      </c>
      <c r="U877" s="56">
        <v>2.2467570125094092</v>
      </c>
      <c r="V877" s="56">
        <v>11.470915032679745</v>
      </c>
      <c r="W877" s="33">
        <v>11.470915032679745</v>
      </c>
    </row>
    <row r="878" spans="1:23" ht="15" x14ac:dyDescent="0.2">
      <c r="A878" s="103" t="s">
        <v>19</v>
      </c>
      <c r="B878" s="28" t="s">
        <v>360</v>
      </c>
      <c r="C878" s="103" t="s">
        <v>971</v>
      </c>
      <c r="D878" s="208" t="s">
        <v>403</v>
      </c>
      <c r="E878" s="35" t="s">
        <v>82</v>
      </c>
      <c r="F878" s="103" t="s">
        <v>968</v>
      </c>
      <c r="G878" s="103">
        <v>1</v>
      </c>
      <c r="H878" s="35" t="s">
        <v>494</v>
      </c>
      <c r="I878" s="35" t="s">
        <v>580</v>
      </c>
      <c r="J878" s="35">
        <v>906.8</v>
      </c>
      <c r="K878" s="141">
        <v>1009.7164310456532</v>
      </c>
      <c r="L878" s="34">
        <v>102.91643104565321</v>
      </c>
      <c r="M878" s="56">
        <v>102.91643104565321</v>
      </c>
      <c r="N878" s="56">
        <v>2.0166842227089741</v>
      </c>
      <c r="O878" s="132">
        <f t="shared" si="15"/>
        <v>2.0166842227089741</v>
      </c>
      <c r="P878" s="56">
        <v>11.349407922987783</v>
      </c>
      <c r="Q878" s="143">
        <v>11.349407922987783</v>
      </c>
      <c r="R878" s="143">
        <v>1151.7061316928889</v>
      </c>
      <c r="S878" s="34">
        <v>244.90613169288895</v>
      </c>
      <c r="T878" s="56">
        <v>244.90613169288895</v>
      </c>
      <c r="U878" s="56">
        <v>2.3907693580481335</v>
      </c>
      <c r="V878" s="56">
        <v>27.007733975836896</v>
      </c>
      <c r="W878" s="33">
        <v>27.007733975836896</v>
      </c>
    </row>
    <row r="879" spans="1:23" ht="15" x14ac:dyDescent="0.2">
      <c r="A879" s="103" t="s">
        <v>19</v>
      </c>
      <c r="B879" t="s">
        <v>888</v>
      </c>
      <c r="C879" s="224" t="s">
        <v>978</v>
      </c>
      <c r="D879" s="224" t="s">
        <v>824</v>
      </c>
      <c r="E879" s="35" t="s">
        <v>148</v>
      </c>
      <c r="F879" s="103" t="s">
        <v>968</v>
      </c>
      <c r="G879" s="103">
        <v>1</v>
      </c>
      <c r="H879" s="35" t="s">
        <v>374</v>
      </c>
      <c r="I879" s="35" t="s">
        <v>580</v>
      </c>
      <c r="J879" s="35">
        <v>2150</v>
      </c>
      <c r="K879">
        <v>2046.969635293716</v>
      </c>
      <c r="L879" s="34">
        <v>-103.03036470628399</v>
      </c>
      <c r="M879" s="56">
        <v>103.03036470628399</v>
      </c>
      <c r="N879" s="56">
        <v>2.0171601210260155</v>
      </c>
      <c r="O879" s="132">
        <f t="shared" si="15"/>
        <v>-2.0171601210260155</v>
      </c>
      <c r="P879" s="56">
        <v>-4.7921099863387902</v>
      </c>
      <c r="Q879" s="143">
        <v>4.7921099863387902</v>
      </c>
      <c r="R879" s="143">
        <v>1993.4202971199184</v>
      </c>
      <c r="S879" s="34">
        <v>-156.57970288008164</v>
      </c>
      <c r="T879" s="56">
        <v>156.57970288008164</v>
      </c>
      <c r="U879" s="56">
        <v>2.1975002772724457</v>
      </c>
      <c r="V879" s="56">
        <v>-7.2827768781433324</v>
      </c>
      <c r="W879" s="33">
        <v>7.2827768781433324</v>
      </c>
    </row>
    <row r="880" spans="1:23" ht="16" x14ac:dyDescent="0.2">
      <c r="A880" s="103" t="s">
        <v>19</v>
      </c>
      <c r="B880" t="s">
        <v>881</v>
      </c>
      <c r="C880" s="224" t="s">
        <v>978</v>
      </c>
      <c r="D880" s="224" t="s">
        <v>824</v>
      </c>
      <c r="E880" s="35" t="s">
        <v>148</v>
      </c>
      <c r="F880" s="103" t="s">
        <v>968</v>
      </c>
      <c r="G880" s="103">
        <v>1</v>
      </c>
      <c r="H880" s="35" t="s">
        <v>374</v>
      </c>
      <c r="I880" s="35" t="s">
        <v>580</v>
      </c>
      <c r="J880" s="35">
        <v>1835</v>
      </c>
      <c r="K880" s="147">
        <v>1731.8009583856517</v>
      </c>
      <c r="L880" s="34">
        <v>-103.19904161434829</v>
      </c>
      <c r="M880" s="56">
        <v>103.19904161434829</v>
      </c>
      <c r="N880" s="56">
        <v>2.0178637244959989</v>
      </c>
      <c r="O880" s="132">
        <f t="shared" si="15"/>
        <v>-2.0178637244959989</v>
      </c>
      <c r="P880" s="56">
        <v>-5.6239259735339662</v>
      </c>
      <c r="Q880" s="143">
        <v>5.6239259735339662</v>
      </c>
      <c r="R880" s="143">
        <v>1701.0105910788736</v>
      </c>
      <c r="S880" s="34">
        <v>-133.98940892112637</v>
      </c>
      <c r="T880" s="56">
        <v>133.98940892112637</v>
      </c>
      <c r="U880" s="56">
        <v>2.1302996956983513</v>
      </c>
      <c r="V880" s="56">
        <v>-7.3018751455654698</v>
      </c>
      <c r="W880" s="33">
        <v>7.3018751455654698</v>
      </c>
    </row>
    <row r="881" spans="1:23" ht="15" x14ac:dyDescent="0.2">
      <c r="A881" s="103" t="s">
        <v>19</v>
      </c>
      <c r="B881" t="s">
        <v>899</v>
      </c>
      <c r="C881" s="103" t="s">
        <v>975</v>
      </c>
      <c r="D881" s="224" t="s">
        <v>824</v>
      </c>
      <c r="E881" s="35" t="s">
        <v>148</v>
      </c>
      <c r="F881" s="103" t="s">
        <v>967</v>
      </c>
      <c r="G881" s="103">
        <v>0</v>
      </c>
      <c r="H881" s="35" t="s">
        <v>374</v>
      </c>
      <c r="I881" s="35" t="s">
        <v>580</v>
      </c>
      <c r="J881" s="35">
        <v>2060</v>
      </c>
      <c r="K881">
        <v>1955.9617999999998</v>
      </c>
      <c r="L881" s="34">
        <v>-104.03820000000019</v>
      </c>
      <c r="M881" s="56">
        <v>104.03820000000019</v>
      </c>
      <c r="N881" s="56">
        <v>2.0213472708045246</v>
      </c>
      <c r="O881" s="132">
        <f t="shared" si="15"/>
        <v>-2.0213472708045246</v>
      </c>
      <c r="P881" s="56">
        <v>-5.0503980582524362</v>
      </c>
      <c r="Q881" s="143">
        <v>5.0503980582524362</v>
      </c>
      <c r="R881" s="143">
        <v>1947.0404000000001</v>
      </c>
      <c r="S881" s="34">
        <v>-112.95959999999991</v>
      </c>
      <c r="T881" s="56">
        <v>112.95959999999991</v>
      </c>
      <c r="U881" s="56">
        <v>2.0567509161896078</v>
      </c>
      <c r="V881" s="56">
        <v>-5.4834757281553355</v>
      </c>
      <c r="W881" s="33">
        <v>5.4834757281553355</v>
      </c>
    </row>
    <row r="882" spans="1:23" ht="16" x14ac:dyDescent="0.2">
      <c r="A882" s="103" t="s">
        <v>19</v>
      </c>
      <c r="B882" t="s">
        <v>854</v>
      </c>
      <c r="C882" s="103" t="s">
        <v>971</v>
      </c>
      <c r="D882" s="224" t="s">
        <v>824</v>
      </c>
      <c r="E882" s="35" t="s">
        <v>148</v>
      </c>
      <c r="F882" s="103" t="s">
        <v>968</v>
      </c>
      <c r="G882" s="103">
        <v>1</v>
      </c>
      <c r="H882" s="35" t="s">
        <v>374</v>
      </c>
      <c r="I882" s="35" t="s">
        <v>580</v>
      </c>
      <c r="J882" s="35">
        <v>1340</v>
      </c>
      <c r="K882" s="147">
        <v>1235.2222427832821</v>
      </c>
      <c r="L882" s="34">
        <v>-104.77775721671787</v>
      </c>
      <c r="M882" s="56">
        <v>104.77775721671787</v>
      </c>
      <c r="N882" s="56">
        <v>2.0243943545270806</v>
      </c>
      <c r="O882" s="132">
        <f t="shared" si="15"/>
        <v>-2.0243943545270806</v>
      </c>
      <c r="P882" s="56">
        <v>-7.8192356131879013</v>
      </c>
      <c r="Q882" s="143">
        <v>7.8192356131879013</v>
      </c>
      <c r="R882" s="143">
        <v>1388.6481082761675</v>
      </c>
      <c r="S882" s="34">
        <v>48.648108276167477</v>
      </c>
      <c r="T882" s="56">
        <v>48.648108276167477</v>
      </c>
      <c r="U882" s="56">
        <v>1.6959027053817837</v>
      </c>
      <c r="V882" s="56">
        <v>3.6304558415050354</v>
      </c>
      <c r="W882" s="33">
        <v>3.6304558415050354</v>
      </c>
    </row>
    <row r="883" spans="1:23" ht="16" x14ac:dyDescent="0.2">
      <c r="A883" s="103" t="s">
        <v>19</v>
      </c>
      <c r="B883" t="s">
        <v>851</v>
      </c>
      <c r="C883" s="224" t="s">
        <v>978</v>
      </c>
      <c r="D883" s="224" t="s">
        <v>824</v>
      </c>
      <c r="E883" s="35" t="s">
        <v>148</v>
      </c>
      <c r="F883" s="103" t="s">
        <v>968</v>
      </c>
      <c r="G883" s="103">
        <v>1</v>
      </c>
      <c r="H883" s="35" t="s">
        <v>374</v>
      </c>
      <c r="I883" s="35" t="s">
        <v>580</v>
      </c>
      <c r="J883" s="35">
        <v>1622</v>
      </c>
      <c r="K883" s="147">
        <v>1516.3657145505204</v>
      </c>
      <c r="L883" s="34">
        <v>-105.63428544947965</v>
      </c>
      <c r="M883" s="56">
        <v>105.63428544947965</v>
      </c>
      <c r="N883" s="56">
        <v>2.0278968631100756</v>
      </c>
      <c r="O883" s="132">
        <f t="shared" si="15"/>
        <v>-2.0278968631100756</v>
      </c>
      <c r="P883" s="56">
        <v>-6.5125946639629868</v>
      </c>
      <c r="Q883" s="143">
        <v>6.5125946639629868</v>
      </c>
      <c r="R883" s="143">
        <v>1507.3830244223295</v>
      </c>
      <c r="S883" s="34">
        <v>-114.61697557767047</v>
      </c>
      <c r="T883" s="56">
        <v>114.61697557767047</v>
      </c>
      <c r="U883" s="56">
        <v>2.0630216044863525</v>
      </c>
      <c r="V883" s="56">
        <v>-7.066398001089425</v>
      </c>
      <c r="W883" s="33">
        <v>7.066398001089425</v>
      </c>
    </row>
    <row r="884" spans="1:23" ht="16" x14ac:dyDescent="0.2">
      <c r="A884" s="103" t="s">
        <v>19</v>
      </c>
      <c r="B884" t="s">
        <v>855</v>
      </c>
      <c r="C884" s="103" t="s">
        <v>975</v>
      </c>
      <c r="D884" s="224" t="s">
        <v>824</v>
      </c>
      <c r="E884" s="35" t="s">
        <v>148</v>
      </c>
      <c r="F884" s="103" t="s">
        <v>967</v>
      </c>
      <c r="G884" s="103">
        <v>0</v>
      </c>
      <c r="H884" s="225" t="s">
        <v>494</v>
      </c>
      <c r="I884" s="35" t="s">
        <v>580</v>
      </c>
      <c r="J884" s="35">
        <v>980</v>
      </c>
      <c r="K884" s="147">
        <v>1086.5636</v>
      </c>
      <c r="L884" s="34">
        <v>106.56359999999995</v>
      </c>
      <c r="M884" s="56">
        <v>106.56359999999995</v>
      </c>
      <c r="N884" s="56">
        <v>2.0316653290102744</v>
      </c>
      <c r="O884" s="132">
        <f t="shared" si="15"/>
        <v>2.0316653290102744</v>
      </c>
      <c r="P884" s="56">
        <v>10.873836734693873</v>
      </c>
      <c r="Q884" s="143">
        <v>10.873836734693873</v>
      </c>
      <c r="R884" s="143">
        <v>1094.3162</v>
      </c>
      <c r="S884" s="34">
        <v>114.31619999999998</v>
      </c>
      <c r="T884" s="56">
        <v>114.31619999999998</v>
      </c>
      <c r="U884" s="56">
        <v>2.0618903227014087</v>
      </c>
      <c r="V884" s="56">
        <v>11.664918367346937</v>
      </c>
      <c r="W884" s="33">
        <v>11.664918367346937</v>
      </c>
    </row>
    <row r="885" spans="1:23" ht="16" x14ac:dyDescent="0.2">
      <c r="A885" s="103" t="s">
        <v>19</v>
      </c>
      <c r="B885" t="s">
        <v>877</v>
      </c>
      <c r="C885" s="103" t="s">
        <v>971</v>
      </c>
      <c r="D885" s="224" t="s">
        <v>824</v>
      </c>
      <c r="E885" s="35" t="s">
        <v>148</v>
      </c>
      <c r="F885" s="103" t="s">
        <v>968</v>
      </c>
      <c r="G885" s="103">
        <v>1</v>
      </c>
      <c r="H885" s="35" t="s">
        <v>374</v>
      </c>
      <c r="I885" s="35" t="s">
        <v>580</v>
      </c>
      <c r="J885" s="35">
        <v>1647</v>
      </c>
      <c r="K885" s="147">
        <v>1540.0956781881343</v>
      </c>
      <c r="L885" s="34">
        <v>-106.90432181186566</v>
      </c>
      <c r="M885" s="56">
        <v>106.90432181186566</v>
      </c>
      <c r="N885" s="56">
        <v>2.0330388395064207</v>
      </c>
      <c r="O885" s="132">
        <f t="shared" si="15"/>
        <v>-2.0330388395064207</v>
      </c>
      <c r="P885" s="56">
        <v>-6.4908513546973685</v>
      </c>
      <c r="Q885" s="143">
        <v>6.4908513546973685</v>
      </c>
      <c r="R885" s="143">
        <v>1757.003615057326</v>
      </c>
      <c r="S885" s="34">
        <v>110.00361505732599</v>
      </c>
      <c r="T885" s="56">
        <v>110.00361505732599</v>
      </c>
      <c r="U885" s="56">
        <v>2.0453371226955137</v>
      </c>
      <c r="V885" s="56">
        <v>6.6790294509608978</v>
      </c>
      <c r="W885" s="33">
        <v>6.6790294509608978</v>
      </c>
    </row>
    <row r="886" spans="1:23" ht="15" x14ac:dyDescent="0.2">
      <c r="A886" s="103" t="s">
        <v>19</v>
      </c>
      <c r="B886" s="28" t="s">
        <v>416</v>
      </c>
      <c r="C886" s="103" t="s">
        <v>975</v>
      </c>
      <c r="D886" s="35" t="s">
        <v>458</v>
      </c>
      <c r="E886" s="35" t="s">
        <v>82</v>
      </c>
      <c r="F886" s="103" t="s">
        <v>967</v>
      </c>
      <c r="G886" s="103">
        <v>0</v>
      </c>
      <c r="H886" s="35" t="s">
        <v>374</v>
      </c>
      <c r="I886" s="35" t="s">
        <v>580</v>
      </c>
      <c r="J886" s="35">
        <v>1250</v>
      </c>
      <c r="K886" s="141">
        <v>1356.9505999999999</v>
      </c>
      <c r="L886" s="34">
        <v>106.95059999999989</v>
      </c>
      <c r="M886" s="56">
        <v>106.95059999999989</v>
      </c>
      <c r="N886" s="56">
        <v>2.0332250605281925</v>
      </c>
      <c r="O886" s="132">
        <f t="shared" si="15"/>
        <v>2.0332250605281925</v>
      </c>
      <c r="P886" s="56">
        <v>8.5560479999999917</v>
      </c>
      <c r="Q886" s="143">
        <v>8.5560479999999917</v>
      </c>
      <c r="R886" s="143">
        <v>1342.527</v>
      </c>
      <c r="S886" s="34">
        <v>92.527000000000044</v>
      </c>
      <c r="T886" s="56">
        <v>92.527000000000044</v>
      </c>
      <c r="U886" s="56">
        <v>1.9709370040092613</v>
      </c>
      <c r="V886" s="56">
        <v>7.4021600000000038</v>
      </c>
      <c r="W886" s="33">
        <v>7.4021600000000038</v>
      </c>
    </row>
    <row r="887" spans="1:23" ht="16" x14ac:dyDescent="0.2">
      <c r="A887" s="103" t="s">
        <v>19</v>
      </c>
      <c r="B887" t="s">
        <v>872</v>
      </c>
      <c r="C887" s="224" t="s">
        <v>974</v>
      </c>
      <c r="D887" s="224" t="s">
        <v>824</v>
      </c>
      <c r="E887" s="35" t="s">
        <v>148</v>
      </c>
      <c r="F887" s="103" t="s">
        <v>967</v>
      </c>
      <c r="G887" s="103">
        <v>0</v>
      </c>
      <c r="H887" s="35" t="s">
        <v>374</v>
      </c>
      <c r="I887" s="35" t="s">
        <v>580</v>
      </c>
      <c r="J887" s="35">
        <v>1684</v>
      </c>
      <c r="K887" s="147">
        <v>1791.0045</v>
      </c>
      <c r="L887" s="34">
        <v>107.00450000000001</v>
      </c>
      <c r="M887" s="56">
        <v>107.00450000000001</v>
      </c>
      <c r="N887" s="56">
        <v>2.0334418507133809</v>
      </c>
      <c r="O887" s="132">
        <f t="shared" si="15"/>
        <v>2.0334418507133809</v>
      </c>
      <c r="P887" s="56">
        <v>6.3541864608076013</v>
      </c>
      <c r="Q887" s="143">
        <v>6.3541864608076013</v>
      </c>
      <c r="R887" s="143">
        <v>1656.6167999999998</v>
      </c>
      <c r="S887" s="34">
        <v>-27.383200000000215</v>
      </c>
      <c r="T887" s="56">
        <v>27.383200000000215</v>
      </c>
      <c r="U887" s="56">
        <v>1.4530613574356748</v>
      </c>
      <c r="V887" s="56">
        <v>-1.6260807600950247</v>
      </c>
      <c r="W887" s="33">
        <v>1.6260807600950247</v>
      </c>
    </row>
    <row r="888" spans="1:23" ht="15" x14ac:dyDescent="0.2">
      <c r="A888" s="103" t="s">
        <v>19</v>
      </c>
      <c r="B888" s="28" t="s">
        <v>427</v>
      </c>
      <c r="C888" s="103" t="s">
        <v>970</v>
      </c>
      <c r="D888" s="35" t="s">
        <v>458</v>
      </c>
      <c r="E888" s="208" t="s">
        <v>82</v>
      </c>
      <c r="F888" s="103" t="s">
        <v>967</v>
      </c>
      <c r="G888" s="103">
        <v>0</v>
      </c>
      <c r="H888" s="35" t="s">
        <v>374</v>
      </c>
      <c r="I888" s="35" t="s">
        <v>580</v>
      </c>
      <c r="J888" s="35">
        <v>1650</v>
      </c>
      <c r="K888" s="141">
        <v>1758.0925000000002</v>
      </c>
      <c r="L888" s="34">
        <v>108.0925000000002</v>
      </c>
      <c r="M888" s="56">
        <v>108.0925000000002</v>
      </c>
      <c r="N888" s="56">
        <v>2.037794894304414</v>
      </c>
      <c r="O888" s="132">
        <f t="shared" si="15"/>
        <v>2.037794894304414</v>
      </c>
      <c r="P888" s="56">
        <v>6.5510606060606182</v>
      </c>
      <c r="Q888" s="143">
        <v>6.5510606060606182</v>
      </c>
      <c r="R888" s="143">
        <v>1817.2850000000003</v>
      </c>
      <c r="S888" s="34">
        <v>167.28500000000031</v>
      </c>
      <c r="T888" s="56">
        <v>167.28500000000031</v>
      </c>
      <c r="U888" s="56">
        <v>2.2260454070777285</v>
      </c>
      <c r="V888" s="56">
        <v>10.138484848484866</v>
      </c>
      <c r="W888" s="33">
        <v>10.138484848484866</v>
      </c>
    </row>
    <row r="889" spans="1:23" ht="15" x14ac:dyDescent="0.2">
      <c r="A889" s="103" t="s">
        <v>19</v>
      </c>
      <c r="B889" s="28" t="s">
        <v>664</v>
      </c>
      <c r="C889" s="103" t="s">
        <v>971</v>
      </c>
      <c r="D889" s="208" t="s">
        <v>403</v>
      </c>
      <c r="E889" s="35" t="s">
        <v>82</v>
      </c>
      <c r="F889" s="103" t="s">
        <v>968</v>
      </c>
      <c r="G889" s="103">
        <v>1</v>
      </c>
      <c r="H889" s="35" t="s">
        <v>374</v>
      </c>
      <c r="I889" s="35" t="s">
        <v>580</v>
      </c>
      <c r="J889" s="35">
        <v>1730.8</v>
      </c>
      <c r="K889" s="141">
        <v>1622.1737949643741</v>
      </c>
      <c r="L889" s="34">
        <v>-108.62620503562584</v>
      </c>
      <c r="M889" s="56">
        <v>108.62620503562584</v>
      </c>
      <c r="N889" s="56">
        <v>2.0399143802618638</v>
      </c>
      <c r="O889" s="132">
        <f t="shared" si="15"/>
        <v>-2.0399143802618638</v>
      </c>
      <c r="P889" s="56">
        <v>-6.2760691608288566</v>
      </c>
      <c r="Q889" s="143">
        <v>6.2760691608288566</v>
      </c>
      <c r="R889" s="143">
        <v>1918.6619567929843</v>
      </c>
      <c r="S889" s="34">
        <v>187.8619567929843</v>
      </c>
      <c r="T889" s="56">
        <v>187.8619567929843</v>
      </c>
      <c r="U889" s="56">
        <v>2.2761444850853576</v>
      </c>
      <c r="V889" s="56">
        <v>10.854053431533645</v>
      </c>
      <c r="W889" s="33">
        <v>10.854053431533645</v>
      </c>
    </row>
    <row r="890" spans="1:23" ht="16" x14ac:dyDescent="0.2">
      <c r="A890" s="103" t="s">
        <v>19</v>
      </c>
      <c r="B890" t="s">
        <v>842</v>
      </c>
      <c r="C890" s="103" t="s">
        <v>975</v>
      </c>
      <c r="D890" s="224" t="s">
        <v>824</v>
      </c>
      <c r="E890" s="35" t="s">
        <v>148</v>
      </c>
      <c r="F890" s="103" t="s">
        <v>967</v>
      </c>
      <c r="G890" s="103">
        <v>0</v>
      </c>
      <c r="H890" s="35" t="s">
        <v>374</v>
      </c>
      <c r="I890" s="35" t="s">
        <v>580</v>
      </c>
      <c r="J890" s="35">
        <v>2435</v>
      </c>
      <c r="K890" s="147">
        <v>2326.1839999999997</v>
      </c>
      <c r="L890" s="34">
        <v>-108.81600000000026</v>
      </c>
      <c r="M890" s="56">
        <v>108.81600000000026</v>
      </c>
      <c r="N890" s="56">
        <v>2.0406656206739853</v>
      </c>
      <c r="O890" s="132">
        <f t="shared" si="15"/>
        <v>-2.0406656206739853</v>
      </c>
      <c r="P890" s="56">
        <v>-4.4688295687885118</v>
      </c>
      <c r="Q890" s="143">
        <v>4.4688295687885118</v>
      </c>
      <c r="R890" s="143">
        <v>2323.3599999999997</v>
      </c>
      <c r="S890" s="34">
        <v>-111.64000000000033</v>
      </c>
      <c r="T890" s="56">
        <v>111.64000000000033</v>
      </c>
      <c r="U890" s="56">
        <v>2.0516926417980383</v>
      </c>
      <c r="V890" s="56">
        <v>-4.5848049281314305</v>
      </c>
      <c r="W890" s="33">
        <v>4.5848049281314305</v>
      </c>
    </row>
    <row r="891" spans="1:23" ht="16" x14ac:dyDescent="0.2">
      <c r="A891" s="103" t="s">
        <v>19</v>
      </c>
      <c r="B891" t="s">
        <v>865</v>
      </c>
      <c r="C891" s="224" t="s">
        <v>974</v>
      </c>
      <c r="D891" s="224" t="s">
        <v>824</v>
      </c>
      <c r="E891" s="35" t="s">
        <v>148</v>
      </c>
      <c r="F891" s="103" t="s">
        <v>967</v>
      </c>
      <c r="G891" s="103">
        <v>0</v>
      </c>
      <c r="H891" s="35" t="s">
        <v>374</v>
      </c>
      <c r="I891" s="35" t="s">
        <v>580</v>
      </c>
      <c r="J891" s="35">
        <v>1598</v>
      </c>
      <c r="K891" s="147">
        <v>1706.8780999999999</v>
      </c>
      <c r="L891" s="34">
        <v>108.8780999999999</v>
      </c>
      <c r="M891" s="56">
        <v>108.8780999999999</v>
      </c>
      <c r="N891" s="56">
        <v>2.0409111410411169</v>
      </c>
      <c r="O891" s="132">
        <f t="shared" si="15"/>
        <v>2.0409111410411169</v>
      </c>
      <c r="P891" s="56">
        <v>6.8133979974968648</v>
      </c>
      <c r="Q891" s="143">
        <v>6.8133979974968648</v>
      </c>
      <c r="R891" s="143">
        <v>1613.5545</v>
      </c>
      <c r="S891" s="34">
        <v>15.554499999999962</v>
      </c>
      <c r="T891" s="56">
        <v>15.554499999999962</v>
      </c>
      <c r="U891" s="56">
        <v>1.2189160681735469</v>
      </c>
      <c r="V891" s="56">
        <v>0.97337296620775726</v>
      </c>
      <c r="W891" s="33">
        <v>0.97337296620775726</v>
      </c>
    </row>
    <row r="892" spans="1:23" ht="15" x14ac:dyDescent="0.2">
      <c r="A892" s="103" t="s">
        <v>19</v>
      </c>
      <c r="B892" t="s">
        <v>888</v>
      </c>
      <c r="C892" s="103" t="s">
        <v>971</v>
      </c>
      <c r="D892" s="224" t="s">
        <v>824</v>
      </c>
      <c r="E892" s="35" t="s">
        <v>148</v>
      </c>
      <c r="F892" s="103" t="s">
        <v>968</v>
      </c>
      <c r="G892" s="103">
        <v>1</v>
      </c>
      <c r="H892" s="35" t="s">
        <v>374</v>
      </c>
      <c r="I892" s="35" t="s">
        <v>580</v>
      </c>
      <c r="J892" s="35">
        <v>2150</v>
      </c>
      <c r="K892">
        <v>2041.0847635459031</v>
      </c>
      <c r="L892" s="34">
        <v>-108.91523645409688</v>
      </c>
      <c r="M892" s="56">
        <v>108.91523645409688</v>
      </c>
      <c r="N892" s="56">
        <v>2.041057898513436</v>
      </c>
      <c r="O892" s="132">
        <f t="shared" si="15"/>
        <v>-2.041057898513436</v>
      </c>
      <c r="P892" s="56">
        <v>-5.0658249513533438</v>
      </c>
      <c r="Q892" s="143">
        <v>5.0658249513533438</v>
      </c>
      <c r="R892" s="143">
        <v>2256.6358827961403</v>
      </c>
      <c r="S892" s="34">
        <v>106.63588279614032</v>
      </c>
      <c r="T892" s="56">
        <v>106.63588279614032</v>
      </c>
      <c r="U892" s="56">
        <v>2.0319570771155484</v>
      </c>
      <c r="V892" s="56">
        <v>4.9598085021460614</v>
      </c>
      <c r="W892" s="33">
        <v>4.9598085021460614</v>
      </c>
    </row>
    <row r="893" spans="1:23" ht="16" x14ac:dyDescent="0.2">
      <c r="A893" s="103" t="s">
        <v>19</v>
      </c>
      <c r="B893" t="s">
        <v>870</v>
      </c>
      <c r="C893" s="224" t="s">
        <v>974</v>
      </c>
      <c r="D893" s="224" t="s">
        <v>824</v>
      </c>
      <c r="E893" s="35" t="s">
        <v>148</v>
      </c>
      <c r="F893" s="103" t="s">
        <v>967</v>
      </c>
      <c r="G893" s="103">
        <v>0</v>
      </c>
      <c r="H893" s="35" t="s">
        <v>374</v>
      </c>
      <c r="I893" s="35" t="s">
        <v>580</v>
      </c>
      <c r="J893" s="35">
        <v>1582</v>
      </c>
      <c r="K893" s="147">
        <v>1691.1043999999999</v>
      </c>
      <c r="L893" s="34">
        <v>109.10439999999994</v>
      </c>
      <c r="M893" s="56">
        <v>109.10439999999994</v>
      </c>
      <c r="N893" s="56">
        <v>2.0418046746260492</v>
      </c>
      <c r="O893" s="132">
        <f t="shared" si="15"/>
        <v>2.0418046746260492</v>
      </c>
      <c r="P893" s="56">
        <v>6.8966118836915262</v>
      </c>
      <c r="Q893" s="143">
        <v>6.8966118836915262</v>
      </c>
      <c r="R893" s="143">
        <v>1608.7697999999998</v>
      </c>
      <c r="S893" s="34">
        <v>26.769799999999805</v>
      </c>
      <c r="T893" s="56">
        <v>26.769799999999805</v>
      </c>
      <c r="U893" s="56">
        <v>1.4435727519429387</v>
      </c>
      <c r="V893" s="56">
        <v>1.6921491782553606</v>
      </c>
      <c r="W893" s="33">
        <v>1.6921491782553606</v>
      </c>
    </row>
    <row r="894" spans="1:23" ht="15" x14ac:dyDescent="0.2">
      <c r="A894" s="103" t="s">
        <v>19</v>
      </c>
      <c r="B894" t="s">
        <v>885</v>
      </c>
      <c r="C894" s="103" t="s">
        <v>979</v>
      </c>
      <c r="D894" s="224" t="s">
        <v>824</v>
      </c>
      <c r="E894" s="35" t="s">
        <v>148</v>
      </c>
      <c r="F894" s="103" t="s">
        <v>967</v>
      </c>
      <c r="G894" s="103">
        <v>0</v>
      </c>
      <c r="H894" s="35" t="s">
        <v>374</v>
      </c>
      <c r="I894" s="35" t="s">
        <v>580</v>
      </c>
      <c r="J894" s="35">
        <v>1714</v>
      </c>
      <c r="K894">
        <v>1604.3478260869565</v>
      </c>
      <c r="L894" s="34">
        <v>-109.6521739130435</v>
      </c>
      <c r="M894" s="56">
        <v>109.6521739130435</v>
      </c>
      <c r="N894" s="56">
        <v>2.0439599506551849</v>
      </c>
      <c r="O894" s="132">
        <f t="shared" si="15"/>
        <v>-2.0439599506551849</v>
      </c>
      <c r="P894" s="56">
        <v>-6.3974430521028882</v>
      </c>
      <c r="Q894" s="143">
        <v>6.3974430521028882</v>
      </c>
      <c r="R894" s="143">
        <v>1604.1666666666667</v>
      </c>
      <c r="S894" s="34">
        <v>-109.83333333333326</v>
      </c>
      <c r="T894" s="56">
        <v>109.83333333333326</v>
      </c>
      <c r="U894" s="56">
        <v>2.0446703949194607</v>
      </c>
      <c r="V894" s="56">
        <v>-6.4080124465188595</v>
      </c>
      <c r="W894" s="33">
        <v>6.4080124465188595</v>
      </c>
    </row>
    <row r="895" spans="1:23" ht="15" x14ac:dyDescent="0.2">
      <c r="A895" s="103" t="s">
        <v>19</v>
      </c>
      <c r="B895" s="28" t="s">
        <v>435</v>
      </c>
      <c r="C895" s="103" t="s">
        <v>971</v>
      </c>
      <c r="D895" s="35" t="s">
        <v>458</v>
      </c>
      <c r="E895" s="208" t="s">
        <v>82</v>
      </c>
      <c r="F895" s="103" t="s">
        <v>968</v>
      </c>
      <c r="G895" s="103">
        <v>1</v>
      </c>
      <c r="H895" s="35" t="s">
        <v>494</v>
      </c>
      <c r="I895" s="35" t="s">
        <v>580</v>
      </c>
      <c r="J895" s="35">
        <v>1150</v>
      </c>
      <c r="K895" s="141">
        <v>1039.9200457874383</v>
      </c>
      <c r="L895" s="34">
        <v>-110.07995421256169</v>
      </c>
      <c r="M895" s="56">
        <v>110.07995421256169</v>
      </c>
      <c r="N895" s="56">
        <v>2.045635692060972</v>
      </c>
      <c r="O895" s="132">
        <f t="shared" si="15"/>
        <v>-2.045635692060972</v>
      </c>
      <c r="P895" s="56">
        <v>-9.5721699315271032</v>
      </c>
      <c r="Q895" s="143">
        <v>9.5721699315271032</v>
      </c>
      <c r="R895" s="143">
        <v>1204.7840188015202</v>
      </c>
      <c r="S895" s="34">
        <v>54.784018801520233</v>
      </c>
      <c r="T895" s="56">
        <v>54.784018801520233</v>
      </c>
      <c r="U895" s="56">
        <v>1.746509798572079</v>
      </c>
      <c r="V895" s="56">
        <v>4.7638277218713245</v>
      </c>
      <c r="W895" s="33">
        <v>4.7638277218713245</v>
      </c>
    </row>
    <row r="896" spans="1:23" ht="16" x14ac:dyDescent="0.2">
      <c r="A896" s="103" t="s">
        <v>19</v>
      </c>
      <c r="B896" t="s">
        <v>859</v>
      </c>
      <c r="C896" s="103" t="s">
        <v>971</v>
      </c>
      <c r="D896" s="224" t="s">
        <v>824</v>
      </c>
      <c r="E896" s="35" t="s">
        <v>148</v>
      </c>
      <c r="F896" s="103" t="s">
        <v>968</v>
      </c>
      <c r="G896" s="103">
        <v>1</v>
      </c>
      <c r="H896" s="35" t="s">
        <v>494</v>
      </c>
      <c r="I896" s="35" t="s">
        <v>580</v>
      </c>
      <c r="J896" s="35">
        <v>1135</v>
      </c>
      <c r="K896" s="147">
        <v>1024.79579847171</v>
      </c>
      <c r="L896" s="34">
        <v>-110.20420152829001</v>
      </c>
      <c r="M896" s="56">
        <v>110.20420152829001</v>
      </c>
      <c r="N896" s="56">
        <v>2.0461211961136732</v>
      </c>
      <c r="O896" s="132">
        <f t="shared" si="15"/>
        <v>-2.0461211961136732</v>
      </c>
      <c r="P896" s="56">
        <v>-9.7096212800255515</v>
      </c>
      <c r="Q896" s="143">
        <v>9.7096212800255515</v>
      </c>
      <c r="R896" s="143">
        <v>1231.5498377756001</v>
      </c>
      <c r="S896" s="34">
        <v>96.549837775600054</v>
      </c>
      <c r="T896" s="56">
        <v>96.549837775600054</v>
      </c>
      <c r="U896" s="56">
        <v>1.9892265515037781</v>
      </c>
      <c r="V896" s="56">
        <v>8.5065936366167456</v>
      </c>
      <c r="W896" s="33">
        <v>8.5065936366167456</v>
      </c>
    </row>
    <row r="897" spans="1:23" ht="15" x14ac:dyDescent="0.2">
      <c r="A897" s="103" t="s">
        <v>19</v>
      </c>
      <c r="B897" t="s">
        <v>897</v>
      </c>
      <c r="C897" s="103" t="s">
        <v>971</v>
      </c>
      <c r="D897" s="224" t="s">
        <v>824</v>
      </c>
      <c r="E897" s="35" t="s">
        <v>148</v>
      </c>
      <c r="F897" s="103" t="s">
        <v>968</v>
      </c>
      <c r="G897" s="103">
        <v>1</v>
      </c>
      <c r="H897" s="35" t="s">
        <v>494</v>
      </c>
      <c r="I897" s="35" t="s">
        <v>580</v>
      </c>
      <c r="J897" s="35">
        <v>1031</v>
      </c>
      <c r="K897">
        <v>920.20563664016095</v>
      </c>
      <c r="L897" s="34">
        <v>-110.79436335983905</v>
      </c>
      <c r="M897" s="56">
        <v>110.79436335983905</v>
      </c>
      <c r="N897" s="56">
        <v>2.0484199070975415</v>
      </c>
      <c r="O897" s="132">
        <f t="shared" si="15"/>
        <v>-2.0484199070975415</v>
      </c>
      <c r="P897" s="56">
        <v>-10.746301004834049</v>
      </c>
      <c r="Q897" s="143">
        <v>10.746301004834049</v>
      </c>
      <c r="R897" s="143">
        <v>1067.2112815134062</v>
      </c>
      <c r="S897" s="34">
        <v>36.21128151340622</v>
      </c>
      <c r="T897" s="56">
        <v>36.21128151340622</v>
      </c>
      <c r="U897" s="56">
        <v>1.570674626877679</v>
      </c>
      <c r="V897" s="56">
        <v>3.5122484494089448</v>
      </c>
      <c r="W897" s="33">
        <v>3.5122484494089448</v>
      </c>
    </row>
    <row r="898" spans="1:23" ht="15" x14ac:dyDescent="0.2">
      <c r="A898" s="103" t="s">
        <v>19</v>
      </c>
      <c r="B898" t="s">
        <v>896</v>
      </c>
      <c r="C898" s="103" t="s">
        <v>971</v>
      </c>
      <c r="D898" s="224" t="s">
        <v>824</v>
      </c>
      <c r="E898" s="35" t="s">
        <v>148</v>
      </c>
      <c r="F898" s="103" t="s">
        <v>968</v>
      </c>
      <c r="G898" s="103">
        <v>1</v>
      </c>
      <c r="H898" s="35" t="s">
        <v>374</v>
      </c>
      <c r="I898" s="35" t="s">
        <v>580</v>
      </c>
      <c r="J898" s="35">
        <v>1750</v>
      </c>
      <c r="K898">
        <v>1639.090244078744</v>
      </c>
      <c r="L898" s="34">
        <v>-110.90975592125596</v>
      </c>
      <c r="M898" s="56">
        <v>110.90975592125596</v>
      </c>
      <c r="N898" s="56">
        <v>2.0488679485308583</v>
      </c>
      <c r="O898" s="132">
        <f t="shared" si="15"/>
        <v>-2.0488679485308583</v>
      </c>
      <c r="P898" s="56">
        <v>-6.3377003383574833</v>
      </c>
      <c r="Q898" s="143">
        <v>6.3377003383574833</v>
      </c>
      <c r="R898" s="143">
        <v>1854.1077580331989</v>
      </c>
      <c r="S898" s="34">
        <v>104.10775803319893</v>
      </c>
      <c r="T898" s="56">
        <v>104.10775803319893</v>
      </c>
      <c r="U898" s="56">
        <v>2.0216347726092341</v>
      </c>
      <c r="V898" s="56">
        <v>5.9490147447542245</v>
      </c>
      <c r="W898" s="33">
        <v>5.9490147447542245</v>
      </c>
    </row>
    <row r="899" spans="1:23" ht="15" x14ac:dyDescent="0.2">
      <c r="A899" s="103" t="s">
        <v>19</v>
      </c>
      <c r="B899" t="s">
        <v>893</v>
      </c>
      <c r="C899" s="224" t="s">
        <v>978</v>
      </c>
      <c r="D899" s="224" t="s">
        <v>824</v>
      </c>
      <c r="E899" s="35" t="s">
        <v>148</v>
      </c>
      <c r="F899" s="103" t="s">
        <v>968</v>
      </c>
      <c r="G899" s="103">
        <v>1</v>
      </c>
      <c r="H899" s="35" t="s">
        <v>374</v>
      </c>
      <c r="I899" s="35" t="s">
        <v>580</v>
      </c>
      <c r="J899" s="35">
        <v>1274</v>
      </c>
      <c r="K899">
        <v>1162.3797422554528</v>
      </c>
      <c r="L899" s="34">
        <v>-111.62025774454719</v>
      </c>
      <c r="M899" s="56">
        <v>111.62025774454719</v>
      </c>
      <c r="N899" s="56">
        <v>2.0516165169395175</v>
      </c>
      <c r="O899" s="132">
        <f t="shared" si="15"/>
        <v>-2.0516165169395175</v>
      </c>
      <c r="P899" s="56">
        <v>-8.7614017067933432</v>
      </c>
      <c r="Q899" s="143">
        <v>8.7614017067933432</v>
      </c>
      <c r="R899" s="143">
        <v>1138.0407350147127</v>
      </c>
      <c r="S899" s="34">
        <v>-135.95926498528729</v>
      </c>
      <c r="T899" s="56">
        <v>135.95926498528729</v>
      </c>
      <c r="U899" s="56">
        <v>2.1365914166256421</v>
      </c>
      <c r="V899" s="56">
        <v>-10.671841835579851</v>
      </c>
      <c r="W899" s="33">
        <v>10.671841835579851</v>
      </c>
    </row>
    <row r="900" spans="1:23" ht="15" x14ac:dyDescent="0.2">
      <c r="A900" s="103" t="s">
        <v>19</v>
      </c>
      <c r="B900" s="28" t="s">
        <v>75</v>
      </c>
      <c r="C900" s="224" t="s">
        <v>974</v>
      </c>
      <c r="D900" s="208" t="s">
        <v>403</v>
      </c>
      <c r="E900" s="35" t="s">
        <v>82</v>
      </c>
      <c r="F900" s="103" t="s">
        <v>967</v>
      </c>
      <c r="G900" s="103">
        <v>0</v>
      </c>
      <c r="H900" s="35" t="s">
        <v>374</v>
      </c>
      <c r="I900" s="35" t="s">
        <v>580</v>
      </c>
      <c r="J900" s="35">
        <v>2106.6</v>
      </c>
      <c r="K900" s="141">
        <v>1994.9058620000001</v>
      </c>
      <c r="L900" s="34">
        <v>-111.69413799999984</v>
      </c>
      <c r="M900" s="56">
        <v>111.69413799999984</v>
      </c>
      <c r="N900" s="56">
        <v>2.0519013259798684</v>
      </c>
      <c r="O900" s="132">
        <f t="shared" si="15"/>
        <v>-2.0519013259798684</v>
      </c>
      <c r="P900" s="56">
        <v>-5.3021047185037427</v>
      </c>
      <c r="Q900" s="143">
        <v>5.3021047185037427</v>
      </c>
      <c r="R900" s="143">
        <v>1867.6699170000002</v>
      </c>
      <c r="S900" s="34">
        <v>-238.93008299999974</v>
      </c>
      <c r="T900" s="56">
        <v>238.93008299999974</v>
      </c>
      <c r="U900" s="56">
        <v>2.3800847042488309</v>
      </c>
      <c r="V900" s="56">
        <v>-11.341976787240089</v>
      </c>
      <c r="W900" s="33">
        <v>11.341976787240089</v>
      </c>
    </row>
    <row r="901" spans="1:23" ht="16" x14ac:dyDescent="0.2">
      <c r="A901" s="103" t="s">
        <v>19</v>
      </c>
      <c r="B901" t="s">
        <v>867</v>
      </c>
      <c r="C901" s="224" t="s">
        <v>977</v>
      </c>
      <c r="D901" s="224" t="s">
        <v>824</v>
      </c>
      <c r="E901" s="35" t="s">
        <v>148</v>
      </c>
      <c r="F901" s="103" t="s">
        <v>968</v>
      </c>
      <c r="G901" s="103">
        <v>1</v>
      </c>
      <c r="H901" s="35" t="s">
        <v>374</v>
      </c>
      <c r="I901" s="35" t="s">
        <v>580</v>
      </c>
      <c r="J901" s="35">
        <v>1842</v>
      </c>
      <c r="K901" s="147">
        <v>1730.1453126886154</v>
      </c>
      <c r="L901" s="34">
        <v>-111.85468731138462</v>
      </c>
      <c r="M901" s="56">
        <v>111.85468731138462</v>
      </c>
      <c r="N901" s="56">
        <v>2.0525196017938767</v>
      </c>
      <c r="O901" s="132">
        <f t="shared" si="15"/>
        <v>-2.0525196017938767</v>
      </c>
      <c r="P901" s="56">
        <v>-6.0724585945377099</v>
      </c>
      <c r="Q901" s="143">
        <v>6.0724585945377099</v>
      </c>
      <c r="R901" s="143">
        <v>1733.8354523071885</v>
      </c>
      <c r="S901" s="34">
        <v>-108.16454769281154</v>
      </c>
      <c r="T901" s="56">
        <v>108.16454769281154</v>
      </c>
      <c r="U901" s="56">
        <v>2.0380816196760723</v>
      </c>
      <c r="V901" s="56">
        <v>-5.8721252819115923</v>
      </c>
      <c r="W901" s="33">
        <v>5.8721252819115923</v>
      </c>
    </row>
    <row r="902" spans="1:23" ht="15" x14ac:dyDescent="0.2">
      <c r="A902" s="103" t="s">
        <v>19</v>
      </c>
      <c r="B902" s="28" t="s">
        <v>424</v>
      </c>
      <c r="C902" s="224" t="s">
        <v>974</v>
      </c>
      <c r="D902" s="35" t="s">
        <v>458</v>
      </c>
      <c r="E902" s="208" t="s">
        <v>82</v>
      </c>
      <c r="F902" s="103" t="s">
        <v>967</v>
      </c>
      <c r="G902" s="103">
        <v>0</v>
      </c>
      <c r="H902" s="35" t="s">
        <v>374</v>
      </c>
      <c r="I902" s="35" t="s">
        <v>580</v>
      </c>
      <c r="J902" s="35">
        <v>1800</v>
      </c>
      <c r="K902" s="141">
        <v>1911.9362000000001</v>
      </c>
      <c r="L902" s="34">
        <v>111.9362000000001</v>
      </c>
      <c r="M902" s="56">
        <v>111.9362000000001</v>
      </c>
      <c r="N902" s="56">
        <v>2.0528331708030625</v>
      </c>
      <c r="O902" s="132">
        <f t="shared" si="15"/>
        <v>2.0528331708030625</v>
      </c>
      <c r="P902" s="56">
        <v>6.2186777777777831</v>
      </c>
      <c r="Q902" s="143">
        <v>6.2186777777777831</v>
      </c>
      <c r="R902" s="143">
        <v>1852.7894999999999</v>
      </c>
      <c r="S902" s="34">
        <v>52.789499999999862</v>
      </c>
      <c r="T902" s="56">
        <v>52.789499999999862</v>
      </c>
      <c r="U902" s="56">
        <v>1.7306975073186504</v>
      </c>
      <c r="V902" s="56">
        <v>2.9327499999999924</v>
      </c>
      <c r="W902" s="33">
        <v>2.9327499999999924</v>
      </c>
    </row>
    <row r="903" spans="1:23" ht="16" x14ac:dyDescent="0.2">
      <c r="A903" s="103" t="s">
        <v>19</v>
      </c>
      <c r="B903" t="s">
        <v>881</v>
      </c>
      <c r="C903" s="103" t="s">
        <v>975</v>
      </c>
      <c r="D903" s="224" t="s">
        <v>824</v>
      </c>
      <c r="E903" s="35" t="s">
        <v>148</v>
      </c>
      <c r="F903" s="103" t="s">
        <v>967</v>
      </c>
      <c r="G903" s="103">
        <v>0</v>
      </c>
      <c r="H903" s="35" t="s">
        <v>374</v>
      </c>
      <c r="I903" s="35" t="s">
        <v>580</v>
      </c>
      <c r="J903" s="35">
        <v>1835</v>
      </c>
      <c r="K903" s="147">
        <v>1723.0129999999999</v>
      </c>
      <c r="L903" s="34">
        <v>-111.98700000000008</v>
      </c>
      <c r="M903" s="56">
        <v>111.98700000000008</v>
      </c>
      <c r="N903" s="56">
        <v>2.0530284775272283</v>
      </c>
      <c r="O903" s="132">
        <f t="shared" si="15"/>
        <v>-2.0530284775272283</v>
      </c>
      <c r="P903" s="56">
        <v>-6.1028337874659444</v>
      </c>
      <c r="Q903" s="143">
        <v>6.1028337874659444</v>
      </c>
      <c r="R903" s="143">
        <v>1722.8500000000001</v>
      </c>
      <c r="S903" s="34">
        <v>-112.14999999999986</v>
      </c>
      <c r="T903" s="56">
        <v>112.14999999999986</v>
      </c>
      <c r="U903" s="56">
        <v>2.0536545582907468</v>
      </c>
      <c r="V903" s="56">
        <v>-6.1117166212533984</v>
      </c>
      <c r="W903" s="33">
        <v>6.1117166212533984</v>
      </c>
    </row>
    <row r="904" spans="1:23" ht="16" x14ac:dyDescent="0.2">
      <c r="A904" s="103" t="s">
        <v>19</v>
      </c>
      <c r="B904" t="s">
        <v>877</v>
      </c>
      <c r="C904" s="103" t="s">
        <v>979</v>
      </c>
      <c r="D904" s="224" t="s">
        <v>824</v>
      </c>
      <c r="E904" s="35" t="s">
        <v>148</v>
      </c>
      <c r="F904" s="103" t="s">
        <v>967</v>
      </c>
      <c r="G904" s="103">
        <v>0</v>
      </c>
      <c r="H904" s="35" t="s">
        <v>374</v>
      </c>
      <c r="I904" s="35" t="s">
        <v>580</v>
      </c>
      <c r="J904" s="35">
        <v>1647</v>
      </c>
      <c r="K904" s="147">
        <v>1534.782608695652</v>
      </c>
      <c r="L904" s="34">
        <v>-112.21739130434798</v>
      </c>
      <c r="M904" s="56">
        <v>112.21739130434798</v>
      </c>
      <c r="N904" s="56">
        <v>2.0539131438785621</v>
      </c>
      <c r="O904" s="132">
        <f t="shared" si="15"/>
        <v>-2.0539131438785621</v>
      </c>
      <c r="P904" s="56">
        <v>-6.8134420949816628</v>
      </c>
      <c r="Q904" s="143">
        <v>6.8134420949816628</v>
      </c>
      <c r="R904" s="143">
        <v>1541.6666666666667</v>
      </c>
      <c r="S904" s="34">
        <v>-105.33333333333326</v>
      </c>
      <c r="T904" s="56">
        <v>105.33333333333326</v>
      </c>
      <c r="U904" s="56">
        <v>2.0266694283375184</v>
      </c>
      <c r="V904" s="56">
        <v>-6.3954665047561168</v>
      </c>
      <c r="W904" s="33">
        <v>6.3954665047561168</v>
      </c>
    </row>
    <row r="905" spans="1:23" ht="16" x14ac:dyDescent="0.2">
      <c r="A905" s="103" t="s">
        <v>19</v>
      </c>
      <c r="B905" t="s">
        <v>883</v>
      </c>
      <c r="C905" s="24" t="s">
        <v>980</v>
      </c>
      <c r="D905" s="224" t="s">
        <v>824</v>
      </c>
      <c r="E905" s="35" t="s">
        <v>148</v>
      </c>
      <c r="F905" s="103" t="s">
        <v>968</v>
      </c>
      <c r="G905" s="103">
        <v>1</v>
      </c>
      <c r="H905" s="35" t="s">
        <v>374</v>
      </c>
      <c r="I905" s="35" t="s">
        <v>580</v>
      </c>
      <c r="J905" s="35">
        <v>1670</v>
      </c>
      <c r="K905" s="147">
        <v>1784.0104094680048</v>
      </c>
      <c r="L905" s="34">
        <v>114.01040946800481</v>
      </c>
      <c r="M905" s="56">
        <v>114.01040946800481</v>
      </c>
      <c r="N905" s="56">
        <v>2.060737149657287</v>
      </c>
      <c r="O905" s="132">
        <f t="shared" si="15"/>
        <v>2.060737149657287</v>
      </c>
      <c r="P905" s="56">
        <v>6.8269706268266344</v>
      </c>
      <c r="Q905" s="143">
        <v>6.8269706268266344</v>
      </c>
      <c r="R905" s="143">
        <v>1751.5886548709361</v>
      </c>
      <c r="S905" s="34">
        <v>81.588654870936125</v>
      </c>
      <c r="T905" s="56">
        <v>81.588654870936125</v>
      </c>
      <c r="U905" s="56">
        <v>1.9169203927761822</v>
      </c>
      <c r="V905" s="56">
        <v>4.8855481958644384</v>
      </c>
      <c r="W905" s="33">
        <v>4.8855481958644384</v>
      </c>
    </row>
    <row r="906" spans="1:23" ht="16" x14ac:dyDescent="0.2">
      <c r="A906" s="103" t="s">
        <v>19</v>
      </c>
      <c r="B906" t="s">
        <v>861</v>
      </c>
      <c r="C906" s="103" t="s">
        <v>975</v>
      </c>
      <c r="D906" s="224" t="s">
        <v>824</v>
      </c>
      <c r="E906" s="35" t="s">
        <v>148</v>
      </c>
      <c r="F906" s="103" t="s">
        <v>967</v>
      </c>
      <c r="G906" s="103">
        <v>0</v>
      </c>
      <c r="H906" s="35" t="s">
        <v>494</v>
      </c>
      <c r="I906" s="35" t="s">
        <v>580</v>
      </c>
      <c r="J906" s="35">
        <v>1055</v>
      </c>
      <c r="K906" s="147">
        <v>1169.7595999999999</v>
      </c>
      <c r="L906" s="34">
        <v>114.75959999999986</v>
      </c>
      <c r="M906" s="56">
        <v>114.75959999999986</v>
      </c>
      <c r="N906" s="56">
        <v>2.06355701743637</v>
      </c>
      <c r="O906" s="132">
        <f t="shared" si="15"/>
        <v>2.06355701743637</v>
      </c>
      <c r="P906" s="56">
        <v>10.877687203791456</v>
      </c>
      <c r="Q906" s="143">
        <v>10.877687203791456</v>
      </c>
      <c r="R906" s="143">
        <v>1182.3910000000001</v>
      </c>
      <c r="S906" s="34">
        <v>127.39100000000008</v>
      </c>
      <c r="T906" s="56">
        <v>127.39100000000008</v>
      </c>
      <c r="U906" s="56">
        <v>2.1085345814639176</v>
      </c>
      <c r="V906" s="56">
        <v>12.074976303317543</v>
      </c>
      <c r="W906" s="33">
        <v>12.074976303317543</v>
      </c>
    </row>
    <row r="907" spans="1:23" ht="15" x14ac:dyDescent="0.2">
      <c r="A907" s="103" t="s">
        <v>19</v>
      </c>
      <c r="B907" s="28" t="s">
        <v>365</v>
      </c>
      <c r="C907" s="103" t="s">
        <v>971</v>
      </c>
      <c r="D907" s="208" t="s">
        <v>403</v>
      </c>
      <c r="E907" s="35" t="s">
        <v>148</v>
      </c>
      <c r="F907" s="103" t="s">
        <v>968</v>
      </c>
      <c r="G907" s="103">
        <v>1</v>
      </c>
      <c r="H907" s="35" t="s">
        <v>494</v>
      </c>
      <c r="I907" s="35" t="s">
        <v>580</v>
      </c>
      <c r="J907" s="35">
        <v>992.24</v>
      </c>
      <c r="K907" s="141">
        <v>876.87085083226361</v>
      </c>
      <c r="L907" s="34">
        <v>-115.3691491677364</v>
      </c>
      <c r="M907" s="56">
        <v>115.3691491677364</v>
      </c>
      <c r="N907" s="56">
        <v>2.0658378589900983</v>
      </c>
      <c r="O907" s="132">
        <f t="shared" si="15"/>
        <v>-2.0658378589900983</v>
      </c>
      <c r="P907" s="56">
        <v>-11.627141535085906</v>
      </c>
      <c r="Q907" s="143">
        <v>11.627141535085906</v>
      </c>
      <c r="R907" s="143">
        <v>1055.7510288117053</v>
      </c>
      <c r="S907" s="34">
        <v>63.511028811705273</v>
      </c>
      <c r="T907" s="56">
        <v>63.511028811705273</v>
      </c>
      <c r="U907" s="56">
        <v>1.809633968009128</v>
      </c>
      <c r="V907" s="56">
        <v>6.4007728787093114</v>
      </c>
      <c r="W907" s="33">
        <v>6.4007728787093114</v>
      </c>
    </row>
    <row r="908" spans="1:23" ht="16" x14ac:dyDescent="0.2">
      <c r="A908" s="103" t="s">
        <v>19</v>
      </c>
      <c r="B908" t="s">
        <v>842</v>
      </c>
      <c r="C908" s="224" t="s">
        <v>978</v>
      </c>
      <c r="D908" s="224" t="s">
        <v>824</v>
      </c>
      <c r="E908" s="35" t="s">
        <v>148</v>
      </c>
      <c r="F908" s="103" t="s">
        <v>968</v>
      </c>
      <c r="G908" s="103">
        <v>1</v>
      </c>
      <c r="H908" s="35" t="s">
        <v>374</v>
      </c>
      <c r="I908" s="35" t="s">
        <v>580</v>
      </c>
      <c r="J908" s="35">
        <v>2435</v>
      </c>
      <c r="K908" s="147">
        <v>2550.3695252660445</v>
      </c>
      <c r="L908" s="34">
        <v>115.36952526604455</v>
      </c>
      <c r="M908" s="56">
        <v>115.36952526604455</v>
      </c>
      <c r="N908" s="56">
        <v>2.0658392626022852</v>
      </c>
      <c r="O908" s="132">
        <f t="shared" si="15"/>
        <v>2.0658392626022852</v>
      </c>
      <c r="P908" s="56">
        <v>4.7379681834104534</v>
      </c>
      <c r="Q908" s="143">
        <v>4.7379681834104534</v>
      </c>
      <c r="R908" s="143">
        <v>2501.1698173158056</v>
      </c>
      <c r="S908" s="34">
        <v>66.169817315805631</v>
      </c>
      <c r="T908" s="56">
        <v>66.169817315805631</v>
      </c>
      <c r="U908" s="56">
        <v>1.827174167133806</v>
      </c>
      <c r="V908" s="56">
        <v>2.7174462963369868</v>
      </c>
      <c r="W908" s="33">
        <v>2.7174462963369868</v>
      </c>
    </row>
    <row r="909" spans="1:23" ht="16" x14ac:dyDescent="0.2">
      <c r="A909" s="103" t="s">
        <v>19</v>
      </c>
      <c r="B909" t="s">
        <v>867</v>
      </c>
      <c r="C909" s="224" t="s">
        <v>978</v>
      </c>
      <c r="D909" s="224" t="s">
        <v>824</v>
      </c>
      <c r="E909" s="35" t="s">
        <v>148</v>
      </c>
      <c r="F909" s="103" t="s">
        <v>968</v>
      </c>
      <c r="G909" s="103">
        <v>1</v>
      </c>
      <c r="H909" s="35" t="s">
        <v>374</v>
      </c>
      <c r="I909" s="35" t="s">
        <v>580</v>
      </c>
      <c r="J909" s="35">
        <v>1842</v>
      </c>
      <c r="K909" s="147">
        <v>1726.3551509121658</v>
      </c>
      <c r="L909" s="34">
        <v>-115.64484908783425</v>
      </c>
      <c r="M909" s="56">
        <v>115.64484908783425</v>
      </c>
      <c r="N909" s="56">
        <v>2.0668655655719346</v>
      </c>
      <c r="O909" s="132">
        <f t="shared" si="15"/>
        <v>-2.0668655655719346</v>
      </c>
      <c r="P909" s="56">
        <v>-6.2782219917391009</v>
      </c>
      <c r="Q909" s="143">
        <v>6.2782219917391009</v>
      </c>
      <c r="R909" s="143">
        <v>1726.7859765677563</v>
      </c>
      <c r="S909" s="34">
        <v>-115.21402343224372</v>
      </c>
      <c r="T909" s="56">
        <v>115.21402343224372</v>
      </c>
      <c r="U909" s="56">
        <v>2.0652585371056955</v>
      </c>
      <c r="V909" s="56">
        <v>-6.2548329767776183</v>
      </c>
      <c r="W909" s="33">
        <v>6.2548329767776183</v>
      </c>
    </row>
    <row r="910" spans="1:23" ht="15" x14ac:dyDescent="0.2">
      <c r="A910" s="103" t="s">
        <v>19</v>
      </c>
      <c r="B910" s="28" t="s">
        <v>433</v>
      </c>
      <c r="C910" s="103" t="s">
        <v>979</v>
      </c>
      <c r="D910" s="35" t="s">
        <v>458</v>
      </c>
      <c r="E910" s="208" t="s">
        <v>82</v>
      </c>
      <c r="F910" s="103" t="s">
        <v>967</v>
      </c>
      <c r="G910" s="103">
        <v>0</v>
      </c>
      <c r="H910" s="35" t="s">
        <v>374</v>
      </c>
      <c r="I910" s="35" t="s">
        <v>580</v>
      </c>
      <c r="J910" s="35">
        <v>1520</v>
      </c>
      <c r="K910" s="141">
        <v>1404.3478260869565</v>
      </c>
      <c r="L910" s="34">
        <v>-115.6521739130435</v>
      </c>
      <c r="M910" s="56">
        <v>115.6521739130435</v>
      </c>
      <c r="N910" s="56">
        <v>2.066892836654346</v>
      </c>
      <c r="O910" s="132">
        <f t="shared" si="15"/>
        <v>-2.066892836654346</v>
      </c>
      <c r="P910" s="56">
        <v>-7.608695652173914</v>
      </c>
      <c r="Q910" s="143">
        <v>7.608695652173914</v>
      </c>
      <c r="R910" s="143">
        <v>1395.8333333333335</v>
      </c>
      <c r="S910" s="34">
        <v>-124.16666666666652</v>
      </c>
      <c r="T910" s="56">
        <v>124.16666666666652</v>
      </c>
      <c r="U910" s="56">
        <v>2.0974886866205242</v>
      </c>
      <c r="V910" s="56">
        <v>-8.1688596491227976</v>
      </c>
      <c r="W910" s="33">
        <v>8.1688596491227976</v>
      </c>
    </row>
    <row r="911" spans="1:23" ht="16" x14ac:dyDescent="0.2">
      <c r="A911" s="103" t="s">
        <v>19</v>
      </c>
      <c r="B911" t="s">
        <v>881</v>
      </c>
      <c r="C911" s="103" t="s">
        <v>971</v>
      </c>
      <c r="D911" s="224" t="s">
        <v>824</v>
      </c>
      <c r="E911" s="35" t="s">
        <v>148</v>
      </c>
      <c r="F911" s="103" t="s">
        <v>968</v>
      </c>
      <c r="G911" s="103">
        <v>1</v>
      </c>
      <c r="H911" s="35" t="s">
        <v>374</v>
      </c>
      <c r="I911" s="35" t="s">
        <v>580</v>
      </c>
      <c r="J911" s="35">
        <v>1835</v>
      </c>
      <c r="K911" s="147">
        <v>1716.932478050202</v>
      </c>
      <c r="L911" s="34">
        <v>-118.06752194979799</v>
      </c>
      <c r="M911" s="56">
        <v>118.06752194979799</v>
      </c>
      <c r="N911" s="56">
        <v>2.0757933151223531</v>
      </c>
      <c r="O911" s="132">
        <f t="shared" si="15"/>
        <v>-2.0757933151223531</v>
      </c>
      <c r="P911" s="56">
        <v>-6.4341973814603808</v>
      </c>
      <c r="Q911" s="143">
        <v>6.4341973814603808</v>
      </c>
      <c r="R911" s="143">
        <v>1928.9364958695976</v>
      </c>
      <c r="S911" s="34">
        <v>93.936495869597593</v>
      </c>
      <c r="T911" s="56">
        <v>93.936495869597593</v>
      </c>
      <c r="U911" s="56">
        <v>1.9774331977574966</v>
      </c>
      <c r="V911" s="56">
        <v>5.1191550882614498</v>
      </c>
      <c r="W911" s="33">
        <v>5.1191550882614498</v>
      </c>
    </row>
    <row r="912" spans="1:23" ht="16" x14ac:dyDescent="0.2">
      <c r="A912" s="103" t="s">
        <v>19</v>
      </c>
      <c r="B912" t="s">
        <v>850</v>
      </c>
      <c r="C912" s="103" t="s">
        <v>971</v>
      </c>
      <c r="D912" s="224" t="s">
        <v>824</v>
      </c>
      <c r="E912" s="35" t="s">
        <v>148</v>
      </c>
      <c r="F912" s="103" t="s">
        <v>968</v>
      </c>
      <c r="G912" s="103">
        <v>1</v>
      </c>
      <c r="H912" s="35" t="s">
        <v>374</v>
      </c>
      <c r="I912" s="35" t="s">
        <v>580</v>
      </c>
      <c r="J912" s="35">
        <v>1240</v>
      </c>
      <c r="K912" s="147">
        <v>1121.3248871389919</v>
      </c>
      <c r="L912" s="34">
        <v>-118.67511286100807</v>
      </c>
      <c r="M912" s="56">
        <v>118.67511286100807</v>
      </c>
      <c r="N912" s="56">
        <v>2.0780038457206453</v>
      </c>
      <c r="O912" s="132">
        <f t="shared" si="15"/>
        <v>-2.0780038457206453</v>
      </c>
      <c r="P912" s="56">
        <v>-9.5705736178232321</v>
      </c>
      <c r="Q912" s="143">
        <v>9.5705736178232321</v>
      </c>
      <c r="R912" s="143">
        <v>1285.3689668141506</v>
      </c>
      <c r="S912" s="34">
        <v>45.368966814150554</v>
      </c>
      <c r="T912" s="56">
        <v>45.368966814150554</v>
      </c>
      <c r="U912" s="56">
        <v>1.6662274191239226</v>
      </c>
      <c r="V912" s="56">
        <v>3.6587876463024638</v>
      </c>
      <c r="W912" s="33">
        <v>3.6587876463024638</v>
      </c>
    </row>
    <row r="913" spans="1:23" ht="16" x14ac:dyDescent="0.2">
      <c r="A913" s="103" t="s">
        <v>19</v>
      </c>
      <c r="B913" t="s">
        <v>873</v>
      </c>
      <c r="C913" s="224" t="s">
        <v>974</v>
      </c>
      <c r="D913" s="224" t="s">
        <v>824</v>
      </c>
      <c r="E913" s="35" t="s">
        <v>148</v>
      </c>
      <c r="F913" s="103" t="s">
        <v>967</v>
      </c>
      <c r="G913" s="103">
        <v>0</v>
      </c>
      <c r="H913" s="35" t="s">
        <v>374</v>
      </c>
      <c r="I913" s="35" t="s">
        <v>580</v>
      </c>
      <c r="J913" s="35">
        <v>1646</v>
      </c>
      <c r="K913" s="147">
        <v>1764.7149999999999</v>
      </c>
      <c r="L913" s="34">
        <v>118.71499999999992</v>
      </c>
      <c r="M913" s="56">
        <v>118.71499999999992</v>
      </c>
      <c r="N913" s="56">
        <v>2.0781485698641475</v>
      </c>
      <c r="O913" s="132">
        <f t="shared" si="15"/>
        <v>2.0781485698641475</v>
      </c>
      <c r="P913" s="56">
        <v>7.2123329283110529</v>
      </c>
      <c r="Q913" s="143">
        <v>7.2123329283110529</v>
      </c>
      <c r="R913" s="143">
        <v>1685.3249999999998</v>
      </c>
      <c r="S913" s="34">
        <v>39.324999999999818</v>
      </c>
      <c r="T913" s="56">
        <v>39.324999999999818</v>
      </c>
      <c r="U913" s="56">
        <v>1.6055743760609971</v>
      </c>
      <c r="V913" s="56">
        <v>2.3891251518833427</v>
      </c>
      <c r="W913" s="33">
        <v>2.3891251518833427</v>
      </c>
    </row>
    <row r="914" spans="1:23" ht="16" x14ac:dyDescent="0.2">
      <c r="A914" s="103" t="s">
        <v>19</v>
      </c>
      <c r="B914" t="s">
        <v>840</v>
      </c>
      <c r="C914" s="224" t="s">
        <v>974</v>
      </c>
      <c r="D914" s="224" t="s">
        <v>824</v>
      </c>
      <c r="E914" s="35" t="s">
        <v>148</v>
      </c>
      <c r="F914" s="103" t="s">
        <v>967</v>
      </c>
      <c r="G914" s="103">
        <v>0</v>
      </c>
      <c r="H914" s="225" t="s">
        <v>293</v>
      </c>
      <c r="I914" s="35" t="s">
        <v>580</v>
      </c>
      <c r="J914" s="29">
        <v>2645</v>
      </c>
      <c r="K914" s="147">
        <v>2763.7159999999999</v>
      </c>
      <c r="L914" s="34">
        <v>118.71599999999989</v>
      </c>
      <c r="M914" s="56">
        <v>118.71599999999989</v>
      </c>
      <c r="N914" s="56">
        <v>2.078152197585553</v>
      </c>
      <c r="O914" s="132">
        <f t="shared" si="15"/>
        <v>2.078152197585553</v>
      </c>
      <c r="P914" s="56">
        <v>4.4883175803402606</v>
      </c>
      <c r="Q914" s="143">
        <v>4.4883175803402606</v>
      </c>
      <c r="R914" s="143">
        <v>2642.2649999999999</v>
      </c>
      <c r="S914" s="34">
        <v>-2.7350000000001273</v>
      </c>
      <c r="T914" s="56">
        <v>2.7350000000001273</v>
      </c>
      <c r="U914" s="56">
        <v>0.57229060615143235</v>
      </c>
      <c r="V914" s="56">
        <v>-0.10340264650284035</v>
      </c>
      <c r="W914" s="33">
        <v>0.10340264650284035</v>
      </c>
    </row>
    <row r="915" spans="1:23" ht="15" x14ac:dyDescent="0.2">
      <c r="A915" s="103" t="s">
        <v>19</v>
      </c>
      <c r="B915" t="s">
        <v>836</v>
      </c>
      <c r="C915" s="24" t="s">
        <v>980</v>
      </c>
      <c r="D915" s="224" t="s">
        <v>824</v>
      </c>
      <c r="E915" s="35" t="s">
        <v>148</v>
      </c>
      <c r="F915" s="103" t="s">
        <v>968</v>
      </c>
      <c r="G915" s="103">
        <v>1</v>
      </c>
      <c r="H915" s="35" t="s">
        <v>374</v>
      </c>
      <c r="I915" s="35" t="s">
        <v>580</v>
      </c>
      <c r="J915" s="35">
        <v>2190</v>
      </c>
      <c r="K915">
        <v>2309.0507053687115</v>
      </c>
      <c r="L915" s="34">
        <v>119.05070536871153</v>
      </c>
      <c r="M915" s="56">
        <v>119.05070536871153</v>
      </c>
      <c r="N915" s="56">
        <v>2.0793647161368125</v>
      </c>
      <c r="O915" s="132">
        <f t="shared" si="15"/>
        <v>2.0793647161368125</v>
      </c>
      <c r="P915" s="56">
        <v>5.4361052679776956</v>
      </c>
      <c r="Q915" s="143">
        <v>5.4361052679776956</v>
      </c>
      <c r="R915" s="143">
        <v>2330.7884312340916</v>
      </c>
      <c r="S915" s="34">
        <v>140.7884312340916</v>
      </c>
      <c r="T915" s="56">
        <v>140.7884312340916</v>
      </c>
      <c r="U915" s="56">
        <v>2.1516407974467686</v>
      </c>
      <c r="V915" s="56">
        <v>6.4286954901411688</v>
      </c>
      <c r="W915" s="33">
        <v>6.4286954901411688</v>
      </c>
    </row>
    <row r="916" spans="1:23" ht="15" x14ac:dyDescent="0.2">
      <c r="A916" s="103" t="s">
        <v>19</v>
      </c>
      <c r="B916" s="28" t="s">
        <v>345</v>
      </c>
      <c r="C916" s="224" t="s">
        <v>978</v>
      </c>
      <c r="D916" s="208" t="s">
        <v>403</v>
      </c>
      <c r="E916" s="35" t="s">
        <v>82</v>
      </c>
      <c r="F916" s="103" t="s">
        <v>968</v>
      </c>
      <c r="G916" s="103">
        <v>1</v>
      </c>
      <c r="H916" s="35" t="s">
        <v>374</v>
      </c>
      <c r="I916" s="35" t="s">
        <v>580</v>
      </c>
      <c r="J916" s="35">
        <v>1499</v>
      </c>
      <c r="K916" s="141">
        <v>1618.0755958343334</v>
      </c>
      <c r="L916" s="34">
        <v>119.0755958343334</v>
      </c>
      <c r="M916" s="56">
        <v>119.0755958343334</v>
      </c>
      <c r="N916" s="56">
        <v>2.0794547503551062</v>
      </c>
      <c r="O916" s="132">
        <f t="shared" si="15"/>
        <v>2.0794547503551062</v>
      </c>
      <c r="P916" s="56">
        <v>7.9436688348454565</v>
      </c>
      <c r="Q916" s="143">
        <v>7.9436688348454565</v>
      </c>
      <c r="R916" s="143">
        <v>1608.7853377131801</v>
      </c>
      <c r="S916" s="34">
        <v>109.78533771318007</v>
      </c>
      <c r="T916" s="56">
        <v>109.78533771318007</v>
      </c>
      <c r="U916" s="56">
        <v>2.0444822859192984</v>
      </c>
      <c r="V916" s="56">
        <v>7.3239051176237542</v>
      </c>
      <c r="W916" s="33">
        <v>7.3239051176237542</v>
      </c>
    </row>
    <row r="917" spans="1:23" ht="16" x14ac:dyDescent="0.2">
      <c r="A917" s="103" t="s">
        <v>19</v>
      </c>
      <c r="B917" t="s">
        <v>864</v>
      </c>
      <c r="C917" s="103" t="s">
        <v>971</v>
      </c>
      <c r="D917" s="224" t="s">
        <v>824</v>
      </c>
      <c r="E917" s="35" t="s">
        <v>148</v>
      </c>
      <c r="F917" s="103" t="s">
        <v>968</v>
      </c>
      <c r="G917" s="103">
        <v>1</v>
      </c>
      <c r="H917" s="35" t="s">
        <v>374</v>
      </c>
      <c r="I917" s="35" t="s">
        <v>580</v>
      </c>
      <c r="J917" s="35">
        <v>1460</v>
      </c>
      <c r="K917" s="147">
        <v>1340.6430029440623</v>
      </c>
      <c r="L917" s="34">
        <v>-119.35699705593765</v>
      </c>
      <c r="M917" s="56">
        <v>119.35699705593765</v>
      </c>
      <c r="N917" s="56">
        <v>2.080471343422436</v>
      </c>
      <c r="O917" s="132">
        <f t="shared" si="15"/>
        <v>-2.080471343422436</v>
      </c>
      <c r="P917" s="56">
        <v>-8.1751367846532634</v>
      </c>
      <c r="Q917" s="143">
        <v>8.1751367846532634</v>
      </c>
      <c r="R917" s="143">
        <v>1537.6061700139076</v>
      </c>
      <c r="S917" s="34">
        <v>77.606170013907558</v>
      </c>
      <c r="T917" s="56">
        <v>77.606170013907558</v>
      </c>
      <c r="U917" s="56">
        <v>1.895456636342536</v>
      </c>
      <c r="V917" s="56">
        <v>5.3154910968429832</v>
      </c>
      <c r="W917" s="33">
        <v>5.3154910968429832</v>
      </c>
    </row>
    <row r="918" spans="1:23" ht="16" x14ac:dyDescent="0.2">
      <c r="A918" s="103" t="s">
        <v>19</v>
      </c>
      <c r="B918" t="s">
        <v>874</v>
      </c>
      <c r="C918" s="224" t="s">
        <v>974</v>
      </c>
      <c r="D918" s="224" t="s">
        <v>824</v>
      </c>
      <c r="E918" s="35" t="s">
        <v>148</v>
      </c>
      <c r="F918" s="103" t="s">
        <v>967</v>
      </c>
      <c r="G918" s="103">
        <v>0</v>
      </c>
      <c r="H918" s="35" t="s">
        <v>374</v>
      </c>
      <c r="I918" s="35" t="s">
        <v>580</v>
      </c>
      <c r="J918" s="35">
        <v>1540</v>
      </c>
      <c r="K918" s="147">
        <v>1659.557</v>
      </c>
      <c r="L918" s="34">
        <v>119.55700000000002</v>
      </c>
      <c r="M918" s="56">
        <v>119.55700000000002</v>
      </c>
      <c r="N918" s="56">
        <v>2.0811924322424051</v>
      </c>
      <c r="O918" s="132">
        <f t="shared" si="15"/>
        <v>2.0811924322424051</v>
      </c>
      <c r="P918" s="56">
        <v>7.763441558441559</v>
      </c>
      <c r="Q918" s="143">
        <v>7.763441558441559</v>
      </c>
      <c r="R918" s="143">
        <v>1580.0616</v>
      </c>
      <c r="S918" s="34">
        <v>40.061599999999999</v>
      </c>
      <c r="T918" s="56">
        <v>40.061599999999999</v>
      </c>
      <c r="U918" s="56">
        <v>1.6134358680163741</v>
      </c>
      <c r="V918" s="56">
        <v>2.6014025974025974</v>
      </c>
      <c r="W918" s="33">
        <v>2.6014025974025974</v>
      </c>
    </row>
    <row r="919" spans="1:23" ht="15" x14ac:dyDescent="0.2">
      <c r="A919" s="103" t="s">
        <v>19</v>
      </c>
      <c r="B919" s="28" t="s">
        <v>433</v>
      </c>
      <c r="C919" s="224" t="s">
        <v>978</v>
      </c>
      <c r="D919" s="35" t="s">
        <v>458</v>
      </c>
      <c r="E919" s="208" t="s">
        <v>82</v>
      </c>
      <c r="F919" s="103" t="s">
        <v>968</v>
      </c>
      <c r="G919" s="103">
        <v>1</v>
      </c>
      <c r="H919" s="35" t="s">
        <v>374</v>
      </c>
      <c r="I919" s="35" t="s">
        <v>580</v>
      </c>
      <c r="J919" s="35">
        <v>1520</v>
      </c>
      <c r="K919" s="141">
        <v>1400.0685070566412</v>
      </c>
      <c r="L919" s="34">
        <v>-119.93149294335876</v>
      </c>
      <c r="M919" s="56">
        <v>119.93149294335876</v>
      </c>
      <c r="N919" s="56">
        <v>2.0825394144294842</v>
      </c>
      <c r="O919" s="132">
        <f t="shared" si="15"/>
        <v>-2.0825394144294842</v>
      </c>
      <c r="P919" s="56">
        <v>-7.8902297989051808</v>
      </c>
      <c r="Q919" s="143">
        <v>7.8902297989051808</v>
      </c>
      <c r="R919" s="143">
        <v>1372.3616861100634</v>
      </c>
      <c r="S919" s="34">
        <v>-147.63831388993663</v>
      </c>
      <c r="T919" s="56">
        <v>147.63831388993663</v>
      </c>
      <c r="U919" s="56">
        <v>2.1721307701664547</v>
      </c>
      <c r="V919" s="56">
        <v>-9.7130469664431978</v>
      </c>
      <c r="W919" s="33">
        <v>9.7130469664431978</v>
      </c>
    </row>
    <row r="920" spans="1:23" ht="16" x14ac:dyDescent="0.2">
      <c r="A920" s="103" t="s">
        <v>19</v>
      </c>
      <c r="B920" t="s">
        <v>882</v>
      </c>
      <c r="C920" s="103" t="s">
        <v>970</v>
      </c>
      <c r="D920" s="224" t="s">
        <v>824</v>
      </c>
      <c r="E920" s="35" t="s">
        <v>148</v>
      </c>
      <c r="F920" s="103" t="s">
        <v>967</v>
      </c>
      <c r="G920" s="103">
        <v>0</v>
      </c>
      <c r="H920" s="35" t="s">
        <v>374</v>
      </c>
      <c r="I920" s="35" t="s">
        <v>580</v>
      </c>
      <c r="J920" s="35">
        <v>1643</v>
      </c>
      <c r="K920" s="147">
        <v>1763.5524</v>
      </c>
      <c r="L920" s="34">
        <v>120.55240000000003</v>
      </c>
      <c r="M920" s="56">
        <v>120.55240000000003</v>
      </c>
      <c r="N920" s="56">
        <v>2.0847635382222718</v>
      </c>
      <c r="O920" s="132">
        <f t="shared" si="15"/>
        <v>2.0847635382222718</v>
      </c>
      <c r="P920" s="56">
        <v>7.3373341448569711</v>
      </c>
      <c r="Q920" s="143">
        <v>7.3373341448569711</v>
      </c>
      <c r="R920" s="143">
        <v>1800.5180000000005</v>
      </c>
      <c r="S920" s="34">
        <v>157.51800000000048</v>
      </c>
      <c r="T920" s="56">
        <v>157.51800000000048</v>
      </c>
      <c r="U920" s="56">
        <v>2.2000785842624357</v>
      </c>
      <c r="V920" s="56">
        <v>9.5872185027389225</v>
      </c>
      <c r="W920" s="33">
        <v>9.5872185027389225</v>
      </c>
    </row>
    <row r="921" spans="1:23" ht="15" x14ac:dyDescent="0.2">
      <c r="A921" s="103" t="s">
        <v>19</v>
      </c>
      <c r="B921" s="28" t="s">
        <v>422</v>
      </c>
      <c r="C921" s="103" t="s">
        <v>975</v>
      </c>
      <c r="D921" s="35" t="s">
        <v>458</v>
      </c>
      <c r="E921" s="35" t="s">
        <v>82</v>
      </c>
      <c r="F921" s="103" t="s">
        <v>967</v>
      </c>
      <c r="G921" s="103">
        <v>0</v>
      </c>
      <c r="H921" s="35" t="s">
        <v>494</v>
      </c>
      <c r="I921" s="35" t="s">
        <v>580</v>
      </c>
      <c r="J921" s="35">
        <v>1070</v>
      </c>
      <c r="K921" s="141">
        <v>1190.5585999999998</v>
      </c>
      <c r="L921" s="34">
        <v>120.55859999999984</v>
      </c>
      <c r="M921" s="56">
        <v>120.55859999999984</v>
      </c>
      <c r="N921" s="56">
        <v>2.0847856896328478</v>
      </c>
      <c r="O921" s="132">
        <f t="shared" si="15"/>
        <v>2.0847856896328478</v>
      </c>
      <c r="P921" s="56">
        <v>11.267158878504658</v>
      </c>
      <c r="Q921" s="143">
        <v>11.267158878504658</v>
      </c>
      <c r="R921" s="143">
        <v>1182.3910000000001</v>
      </c>
      <c r="S921" s="34">
        <v>112.39100000000008</v>
      </c>
      <c r="T921" s="56">
        <v>112.39100000000008</v>
      </c>
      <c r="U921" s="56">
        <v>2.054578585373021</v>
      </c>
      <c r="V921" s="56">
        <v>10.503831775700942</v>
      </c>
      <c r="W921" s="33">
        <v>10.503831775700942</v>
      </c>
    </row>
    <row r="922" spans="1:23" ht="16" x14ac:dyDescent="0.2">
      <c r="A922" s="103" t="s">
        <v>19</v>
      </c>
      <c r="B922" t="s">
        <v>875</v>
      </c>
      <c r="C922" s="103" t="s">
        <v>970</v>
      </c>
      <c r="D922" s="224" t="s">
        <v>824</v>
      </c>
      <c r="E922" s="35" t="s">
        <v>148</v>
      </c>
      <c r="F922" s="103" t="s">
        <v>967</v>
      </c>
      <c r="G922" s="103">
        <v>0</v>
      </c>
      <c r="H922" s="35" t="s">
        <v>374</v>
      </c>
      <c r="I922" s="35" t="s">
        <v>580</v>
      </c>
      <c r="J922" s="35">
        <v>1490</v>
      </c>
      <c r="K922" s="147">
        <v>1610.6752000000001</v>
      </c>
      <c r="L922" s="34">
        <v>120.67520000000013</v>
      </c>
      <c r="M922" s="56">
        <v>120.67520000000013</v>
      </c>
      <c r="N922" s="56">
        <v>2.0852020687748007</v>
      </c>
      <c r="O922" s="132">
        <f t="shared" si="15"/>
        <v>2.0852020687748007</v>
      </c>
      <c r="P922" s="56">
        <v>8.0990067114094053</v>
      </c>
      <c r="Q922" s="143">
        <v>8.0990067114094053</v>
      </c>
      <c r="R922" s="143">
        <v>1610.4920000000002</v>
      </c>
      <c r="S922" s="34">
        <v>120.49200000000019</v>
      </c>
      <c r="T922" s="56">
        <v>120.49200000000019</v>
      </c>
      <c r="U922" s="56">
        <v>2.0845476814714319</v>
      </c>
      <c r="V922" s="56">
        <v>8.0867114093959866</v>
      </c>
      <c r="W922" s="33">
        <v>8.0867114093959866</v>
      </c>
    </row>
    <row r="923" spans="1:23" ht="16" x14ac:dyDescent="0.2">
      <c r="A923" s="103" t="s">
        <v>19</v>
      </c>
      <c r="B923" t="s">
        <v>876</v>
      </c>
      <c r="C923" s="24" t="s">
        <v>980</v>
      </c>
      <c r="D923" s="224" t="s">
        <v>824</v>
      </c>
      <c r="E923" s="35" t="s">
        <v>148</v>
      </c>
      <c r="F923" s="103" t="s">
        <v>968</v>
      </c>
      <c r="G923" s="103">
        <v>1</v>
      </c>
      <c r="H923" s="35" t="s">
        <v>374</v>
      </c>
      <c r="I923" s="35" t="s">
        <v>580</v>
      </c>
      <c r="J923" s="35">
        <v>1668</v>
      </c>
      <c r="K923" s="147">
        <v>1789.2265130720573</v>
      </c>
      <c r="L923" s="34">
        <v>121.22651307205729</v>
      </c>
      <c r="M923" s="56">
        <v>121.22651307205729</v>
      </c>
      <c r="N923" s="56">
        <v>2.0871654222073222</v>
      </c>
      <c r="O923" s="132">
        <f t="shared" si="15"/>
        <v>2.0871654222073222</v>
      </c>
      <c r="P923" s="56">
        <v>7.267776563072978</v>
      </c>
      <c r="Q923" s="143">
        <v>7.267776563072978</v>
      </c>
      <c r="R923" s="143">
        <v>1766.4266100548346</v>
      </c>
      <c r="S923" s="34">
        <v>98.426610054834555</v>
      </c>
      <c r="T923" s="56">
        <v>98.426610054834555</v>
      </c>
      <c r="U923" s="56">
        <v>1.9975026324190805</v>
      </c>
      <c r="V923" s="56">
        <v>5.9008759025680195</v>
      </c>
      <c r="W923" s="33">
        <v>5.9008759025680195</v>
      </c>
    </row>
    <row r="924" spans="1:23" ht="16" x14ac:dyDescent="0.2">
      <c r="A924" s="103" t="s">
        <v>19</v>
      </c>
      <c r="B924" t="s">
        <v>851</v>
      </c>
      <c r="C924" s="103" t="s">
        <v>979</v>
      </c>
      <c r="D924" s="224" t="s">
        <v>824</v>
      </c>
      <c r="E924" s="35" t="s">
        <v>148</v>
      </c>
      <c r="F924" s="103" t="s">
        <v>967</v>
      </c>
      <c r="G924" s="103">
        <v>0</v>
      </c>
      <c r="H924" s="35" t="s">
        <v>374</v>
      </c>
      <c r="I924" s="35" t="s">
        <v>580</v>
      </c>
      <c r="J924" s="35">
        <v>1622</v>
      </c>
      <c r="K924" s="147">
        <v>1500</v>
      </c>
      <c r="L924" s="34">
        <v>-122</v>
      </c>
      <c r="M924" s="56">
        <v>122</v>
      </c>
      <c r="N924" s="56">
        <v>2.0899051114393981</v>
      </c>
      <c r="O924" s="132">
        <f t="shared" ref="O924:O987" si="16">SIGN(L924)*N924</f>
        <v>-2.0899051114393981</v>
      </c>
      <c r="P924" s="56">
        <v>-7.5215782983970403</v>
      </c>
      <c r="Q924" s="143">
        <v>7.5215782983970403</v>
      </c>
      <c r="R924" s="143">
        <v>1508.3333333333335</v>
      </c>
      <c r="S924" s="34">
        <v>-113.66666666666652</v>
      </c>
      <c r="T924" s="56">
        <v>113.66666666666652</v>
      </c>
      <c r="U924" s="56">
        <v>2.0594371878518669</v>
      </c>
      <c r="V924" s="56">
        <v>-7.0078092889436814</v>
      </c>
      <c r="W924" s="33">
        <v>7.0078092889436814</v>
      </c>
    </row>
    <row r="925" spans="1:23" ht="15" x14ac:dyDescent="0.2">
      <c r="A925" s="103" t="s">
        <v>19</v>
      </c>
      <c r="B925" s="28" t="s">
        <v>301</v>
      </c>
      <c r="C925" s="103" t="s">
        <v>971</v>
      </c>
      <c r="D925" s="208" t="s">
        <v>403</v>
      </c>
      <c r="E925" s="35" t="s">
        <v>82</v>
      </c>
      <c r="F925" s="103" t="s">
        <v>968</v>
      </c>
      <c r="G925" s="103">
        <v>1</v>
      </c>
      <c r="H925" s="35" t="s">
        <v>374</v>
      </c>
      <c r="I925" s="35" t="s">
        <v>580</v>
      </c>
      <c r="J925" s="35">
        <v>1300</v>
      </c>
      <c r="K925" s="141">
        <v>1177.995897091685</v>
      </c>
      <c r="L925" s="34">
        <v>-122.00410290831496</v>
      </c>
      <c r="M925" s="56">
        <v>122.00410290831496</v>
      </c>
      <c r="N925" s="56">
        <v>2.0899195979493386</v>
      </c>
      <c r="O925" s="132">
        <f t="shared" si="16"/>
        <v>-2.0899195979493386</v>
      </c>
      <c r="P925" s="56">
        <v>-9.3849309929473055</v>
      </c>
      <c r="Q925" s="143">
        <v>9.3849309929473055</v>
      </c>
      <c r="R925" s="143">
        <v>1366.7962954436839</v>
      </c>
      <c r="S925" s="34">
        <v>66.796295443683903</v>
      </c>
      <c r="T925" s="56">
        <v>66.796295443683903</v>
      </c>
      <c r="U925" s="56">
        <v>1.8312059635968356</v>
      </c>
      <c r="V925" s="56">
        <v>5.1381765725910693</v>
      </c>
      <c r="W925" s="33">
        <v>5.1381765725910693</v>
      </c>
    </row>
    <row r="926" spans="1:23" ht="16" x14ac:dyDescent="0.2">
      <c r="A926" s="103" t="s">
        <v>19</v>
      </c>
      <c r="B926" t="s">
        <v>867</v>
      </c>
      <c r="C926" s="103" t="s">
        <v>975</v>
      </c>
      <c r="D926" s="224" t="s">
        <v>824</v>
      </c>
      <c r="E926" s="35" t="s">
        <v>148</v>
      </c>
      <c r="F926" s="103" t="s">
        <v>967</v>
      </c>
      <c r="G926" s="103">
        <v>0</v>
      </c>
      <c r="H926" s="35" t="s">
        <v>374</v>
      </c>
      <c r="I926" s="35" t="s">
        <v>580</v>
      </c>
      <c r="J926" s="35">
        <v>1842</v>
      </c>
      <c r="K926" s="147">
        <v>1718.8531999999998</v>
      </c>
      <c r="L926" s="34">
        <v>-123.14680000000021</v>
      </c>
      <c r="M926" s="56">
        <v>123.14680000000021</v>
      </c>
      <c r="N926" s="56">
        <v>2.0939355296879829</v>
      </c>
      <c r="O926" s="132">
        <f t="shared" si="16"/>
        <v>-2.0939355296879829</v>
      </c>
      <c r="P926" s="56">
        <v>-6.6854940282301962</v>
      </c>
      <c r="Q926" s="143">
        <v>6.6854940282301962</v>
      </c>
      <c r="R926" s="143">
        <v>1742.867</v>
      </c>
      <c r="S926" s="34">
        <v>-99.133000000000038</v>
      </c>
      <c r="T926" s="56">
        <v>99.133000000000038</v>
      </c>
      <c r="U926" s="56">
        <v>2.0005772278894165</v>
      </c>
      <c r="V926" s="56">
        <v>-5.3818132464712285</v>
      </c>
      <c r="W926" s="33">
        <v>5.3818132464712285</v>
      </c>
    </row>
    <row r="927" spans="1:23" ht="16" x14ac:dyDescent="0.2">
      <c r="A927" s="103" t="s">
        <v>19</v>
      </c>
      <c r="B927" t="s">
        <v>840</v>
      </c>
      <c r="C927" s="103" t="s">
        <v>970</v>
      </c>
      <c r="D927" s="224" t="s">
        <v>824</v>
      </c>
      <c r="E927" s="35" t="s">
        <v>148</v>
      </c>
      <c r="F927" s="103" t="s">
        <v>967</v>
      </c>
      <c r="G927" s="103">
        <v>0</v>
      </c>
      <c r="H927" s="225" t="s">
        <v>293</v>
      </c>
      <c r="I927" s="35" t="s">
        <v>580</v>
      </c>
      <c r="J927" s="29">
        <v>2645</v>
      </c>
      <c r="K927" s="147">
        <v>2768.1740000000004</v>
      </c>
      <c r="L927" s="34">
        <v>123.17400000000043</v>
      </c>
      <c r="M927" s="56">
        <v>123.17400000000043</v>
      </c>
      <c r="N927" s="56">
        <v>2.0940306712142274</v>
      </c>
      <c r="O927" s="132">
        <f t="shared" si="16"/>
        <v>2.0940306712142274</v>
      </c>
      <c r="P927" s="56">
        <v>4.6568620037807351</v>
      </c>
      <c r="Q927" s="143">
        <v>4.6568620037807351</v>
      </c>
      <c r="R927" s="143">
        <v>2907.1400000000003</v>
      </c>
      <c r="S927" s="34">
        <v>262.14000000000033</v>
      </c>
      <c r="T927" s="56">
        <v>262.14000000000033</v>
      </c>
      <c r="U927" s="56">
        <v>2.4201868703542866</v>
      </c>
      <c r="V927" s="56">
        <v>9.9107750472589924</v>
      </c>
      <c r="W927" s="33">
        <v>9.9107750472589924</v>
      </c>
    </row>
    <row r="928" spans="1:23" ht="16" x14ac:dyDescent="0.2">
      <c r="A928" s="103" t="s">
        <v>19</v>
      </c>
      <c r="B928" t="s">
        <v>852</v>
      </c>
      <c r="C928" s="224" t="s">
        <v>978</v>
      </c>
      <c r="D928" s="224" t="s">
        <v>824</v>
      </c>
      <c r="E928" s="35" t="s">
        <v>148</v>
      </c>
      <c r="F928" s="103" t="s">
        <v>968</v>
      </c>
      <c r="G928" s="103">
        <v>1</v>
      </c>
      <c r="H928" s="35" t="s">
        <v>374</v>
      </c>
      <c r="I928" s="35" t="s">
        <v>580</v>
      </c>
      <c r="J928" s="35">
        <v>1210</v>
      </c>
      <c r="K928" s="147">
        <v>1086.5954846785642</v>
      </c>
      <c r="L928" s="34">
        <v>-123.40451532143584</v>
      </c>
      <c r="M928" s="56">
        <v>123.40451532143584</v>
      </c>
      <c r="N928" s="56">
        <v>2.0948361435669849</v>
      </c>
      <c r="O928" s="132">
        <f t="shared" si="16"/>
        <v>-2.0948361435669849</v>
      </c>
      <c r="P928" s="56">
        <v>-10.198720274498829</v>
      </c>
      <c r="Q928" s="143">
        <v>10.198720274498829</v>
      </c>
      <c r="R928" s="143">
        <v>1080.6902044552403</v>
      </c>
      <c r="S928" s="34">
        <v>-129.30979554475971</v>
      </c>
      <c r="T928" s="56">
        <v>129.30979554475971</v>
      </c>
      <c r="U928" s="56">
        <v>2.1149770633805627</v>
      </c>
      <c r="V928" s="56">
        <v>-10.686759962376835</v>
      </c>
      <c r="W928" s="33">
        <v>10.686759962376835</v>
      </c>
    </row>
    <row r="929" spans="1:23" ht="16" x14ac:dyDescent="0.2">
      <c r="A929" s="103" t="s">
        <v>19</v>
      </c>
      <c r="B929" t="s">
        <v>839</v>
      </c>
      <c r="C929" s="103" t="s">
        <v>971</v>
      </c>
      <c r="D929" s="224" t="s">
        <v>824</v>
      </c>
      <c r="E929" s="35" t="s">
        <v>148</v>
      </c>
      <c r="F929" s="103" t="s">
        <v>968</v>
      </c>
      <c r="G929" s="103">
        <v>1</v>
      </c>
      <c r="H929" s="35" t="s">
        <v>374</v>
      </c>
      <c r="I929" s="35" t="s">
        <v>580</v>
      </c>
      <c r="J929" s="35">
        <v>1380</v>
      </c>
      <c r="K929" s="147">
        <v>1256.1664495956293</v>
      </c>
      <c r="L929" s="34">
        <v>-123.83355040437073</v>
      </c>
      <c r="M929" s="56">
        <v>123.83355040437073</v>
      </c>
      <c r="N929" s="56">
        <v>2.0963313225041147</v>
      </c>
      <c r="O929" s="132">
        <f t="shared" si="16"/>
        <v>-2.0963313225041147</v>
      </c>
      <c r="P929" s="56">
        <v>-8.9734456814761394</v>
      </c>
      <c r="Q929" s="143">
        <v>8.9734456814761394</v>
      </c>
      <c r="R929" s="143">
        <v>1460.0561467896343</v>
      </c>
      <c r="S929" s="34">
        <v>80.05614678963434</v>
      </c>
      <c r="T929" s="56">
        <v>80.05614678963434</v>
      </c>
      <c r="U929" s="56">
        <v>1.9087859546021444</v>
      </c>
      <c r="V929" s="56">
        <v>5.8011700572198794</v>
      </c>
      <c r="W929" s="33">
        <v>5.8011700572198794</v>
      </c>
    </row>
    <row r="930" spans="1:23" ht="15" x14ac:dyDescent="0.2">
      <c r="A930" s="103" t="s">
        <v>19</v>
      </c>
      <c r="B930" t="s">
        <v>837</v>
      </c>
      <c r="C930" s="224" t="s">
        <v>977</v>
      </c>
      <c r="D930" s="224" t="s">
        <v>824</v>
      </c>
      <c r="E930" s="35" t="s">
        <v>148</v>
      </c>
      <c r="F930" s="103" t="s">
        <v>968</v>
      </c>
      <c r="G930" s="103">
        <v>1</v>
      </c>
      <c r="H930" s="225" t="s">
        <v>293</v>
      </c>
      <c r="I930" s="35" t="s">
        <v>580</v>
      </c>
      <c r="J930" s="29">
        <v>2570</v>
      </c>
      <c r="K930">
        <v>2694.1815206523534</v>
      </c>
      <c r="L930" s="34">
        <v>124.18152065235336</v>
      </c>
      <c r="M930" s="56">
        <v>124.18152065235336</v>
      </c>
      <c r="N930" s="56">
        <v>2.0975402228756472</v>
      </c>
      <c r="O930" s="132">
        <f t="shared" si="16"/>
        <v>2.0975402228756472</v>
      </c>
      <c r="P930" s="56">
        <v>4.8319657841382631</v>
      </c>
      <c r="Q930" s="143">
        <v>4.8319657841382631</v>
      </c>
      <c r="R930" s="143">
        <v>2717.2934843037528</v>
      </c>
      <c r="S930" s="34">
        <v>147.29348430375285</v>
      </c>
      <c r="T930" s="56">
        <v>147.29348430375285</v>
      </c>
      <c r="U930" s="56">
        <v>2.1711220694836002</v>
      </c>
      <c r="V930" s="56">
        <v>5.7312639806907724</v>
      </c>
      <c r="W930" s="33">
        <v>5.7312639806907724</v>
      </c>
    </row>
    <row r="931" spans="1:23" ht="15" x14ac:dyDescent="0.2">
      <c r="A931" s="103" t="s">
        <v>19</v>
      </c>
      <c r="B931" t="s">
        <v>884</v>
      </c>
      <c r="C931" s="103" t="s">
        <v>971</v>
      </c>
      <c r="D931" s="224" t="s">
        <v>824</v>
      </c>
      <c r="E931" s="35" t="s">
        <v>148</v>
      </c>
      <c r="F931" s="103" t="s">
        <v>968</v>
      </c>
      <c r="G931" s="103">
        <v>1</v>
      </c>
      <c r="H931" s="35" t="s">
        <v>374</v>
      </c>
      <c r="I931" s="35" t="s">
        <v>580</v>
      </c>
      <c r="J931" s="35">
        <v>1733</v>
      </c>
      <c r="K931">
        <v>1857.7110531574942</v>
      </c>
      <c r="L931" s="34">
        <v>124.71105315749423</v>
      </c>
      <c r="M931" s="56">
        <v>124.71105315749423</v>
      </c>
      <c r="N931" s="56">
        <v>2.0993734647525177</v>
      </c>
      <c r="O931" s="132">
        <f t="shared" si="16"/>
        <v>2.0993734647525177</v>
      </c>
      <c r="P931" s="56">
        <v>7.1962523460758367</v>
      </c>
      <c r="Q931" s="143">
        <v>7.1962523460758367</v>
      </c>
      <c r="R931" s="143">
        <v>2103.4372762962903</v>
      </c>
      <c r="S931" s="34">
        <v>370.43727629629029</v>
      </c>
      <c r="T931" s="56">
        <v>370.43727629629029</v>
      </c>
      <c r="U931" s="56">
        <v>2.5698854860419522</v>
      </c>
      <c r="V931" s="56">
        <v>21.375491996323731</v>
      </c>
      <c r="W931" s="33">
        <v>21.375491996323731</v>
      </c>
    </row>
    <row r="932" spans="1:23" ht="16" x14ac:dyDescent="0.2">
      <c r="A932" s="103" t="s">
        <v>19</v>
      </c>
      <c r="B932" t="s">
        <v>851</v>
      </c>
      <c r="C932" s="103" t="s">
        <v>971</v>
      </c>
      <c r="D932" s="224" t="s">
        <v>824</v>
      </c>
      <c r="E932" s="35" t="s">
        <v>148</v>
      </c>
      <c r="F932" s="103" t="s">
        <v>968</v>
      </c>
      <c r="G932" s="103">
        <v>1</v>
      </c>
      <c r="H932" s="35" t="s">
        <v>374</v>
      </c>
      <c r="I932" s="35" t="s">
        <v>580</v>
      </c>
      <c r="J932" s="35">
        <v>1622</v>
      </c>
      <c r="K932" s="147">
        <v>1496.5020106051334</v>
      </c>
      <c r="L932" s="34">
        <v>-125.49798939486664</v>
      </c>
      <c r="M932" s="56">
        <v>125.49798939486664</v>
      </c>
      <c r="N932" s="56">
        <v>2.1020836227319624</v>
      </c>
      <c r="O932" s="132">
        <f t="shared" si="16"/>
        <v>-2.1020836227319624</v>
      </c>
      <c r="P932" s="56">
        <v>-7.7372373239745151</v>
      </c>
      <c r="Q932" s="143">
        <v>7.7372373239745151</v>
      </c>
      <c r="R932" s="143">
        <v>1711.609166616151</v>
      </c>
      <c r="S932" s="34">
        <v>89.609166616151015</v>
      </c>
      <c r="T932" s="56">
        <v>89.609166616151015</v>
      </c>
      <c r="U932" s="56">
        <v>1.957172135970773</v>
      </c>
      <c r="V932" s="56">
        <v>5.5246095324384106</v>
      </c>
      <c r="W932" s="33">
        <v>5.5246095324384106</v>
      </c>
    </row>
    <row r="933" spans="1:23" ht="15" x14ac:dyDescent="0.2">
      <c r="A933" s="103" t="s">
        <v>19</v>
      </c>
      <c r="B933" s="28" t="s">
        <v>601</v>
      </c>
      <c r="C933" s="24" t="s">
        <v>980</v>
      </c>
      <c r="D933" s="208" t="s">
        <v>403</v>
      </c>
      <c r="E933" s="35" t="s">
        <v>82</v>
      </c>
      <c r="F933" s="103" t="s">
        <v>968</v>
      </c>
      <c r="G933" s="103">
        <v>1</v>
      </c>
      <c r="H933" s="35" t="s">
        <v>203</v>
      </c>
      <c r="I933" s="35" t="s">
        <v>581</v>
      </c>
      <c r="J933" s="35">
        <v>5182</v>
      </c>
      <c r="K933" s="141">
        <v>5307.9892750274566</v>
      </c>
      <c r="L933" s="34">
        <v>125.98927502745664</v>
      </c>
      <c r="M933" s="56">
        <v>125.98927502745664</v>
      </c>
      <c r="N933" s="56">
        <v>2.103767043845111</v>
      </c>
      <c r="O933" s="132">
        <f t="shared" si="16"/>
        <v>2.103767043845111</v>
      </c>
      <c r="P933" s="56">
        <v>2.4312866659100085</v>
      </c>
      <c r="Q933" s="143">
        <v>2.4312866659100085</v>
      </c>
      <c r="R933" s="143">
        <v>5294.6531748829857</v>
      </c>
      <c r="S933" s="34">
        <v>112.6531748829857</v>
      </c>
      <c r="T933" s="56">
        <v>112.6531748829857</v>
      </c>
      <c r="U933" s="56">
        <v>2.0555815721762771</v>
      </c>
      <c r="V933" s="56">
        <v>2.1739323597642937</v>
      </c>
      <c r="W933" s="33">
        <v>2.1739323597642937</v>
      </c>
    </row>
    <row r="934" spans="1:23" ht="15" x14ac:dyDescent="0.2">
      <c r="A934" s="103" t="s">
        <v>19</v>
      </c>
      <c r="B934" t="s">
        <v>884</v>
      </c>
      <c r="C934" s="224" t="s">
        <v>977</v>
      </c>
      <c r="D934" s="224" t="s">
        <v>824</v>
      </c>
      <c r="E934" s="35" t="s">
        <v>148</v>
      </c>
      <c r="F934" s="103" t="s">
        <v>968</v>
      </c>
      <c r="G934" s="103">
        <v>1</v>
      </c>
      <c r="H934" s="35" t="s">
        <v>374</v>
      </c>
      <c r="I934" s="35" t="s">
        <v>580</v>
      </c>
      <c r="J934" s="35">
        <v>1733</v>
      </c>
      <c r="K934">
        <v>1859.0673267948566</v>
      </c>
      <c r="L934" s="34">
        <v>126.06732679485663</v>
      </c>
      <c r="M934" s="56">
        <v>126.06732679485663</v>
      </c>
      <c r="N934" s="56">
        <v>2.1040338934582126</v>
      </c>
      <c r="O934" s="132">
        <f t="shared" si="16"/>
        <v>2.1040338934582126</v>
      </c>
      <c r="P934" s="56">
        <v>7.2745139523864184</v>
      </c>
      <c r="Q934" s="143">
        <v>7.2745139523864184</v>
      </c>
      <c r="R934" s="143">
        <v>1851.5890943521374</v>
      </c>
      <c r="S934" s="34">
        <v>118.58909435213741</v>
      </c>
      <c r="T934" s="56">
        <v>118.58909435213741</v>
      </c>
      <c r="U934" s="56">
        <v>2.0776915769881952</v>
      </c>
      <c r="V934" s="56">
        <v>6.8429944807926946</v>
      </c>
      <c r="W934" s="33">
        <v>6.8429944807926946</v>
      </c>
    </row>
    <row r="935" spans="1:23" ht="16" x14ac:dyDescent="0.2">
      <c r="A935" s="103" t="s">
        <v>19</v>
      </c>
      <c r="B935" t="s">
        <v>842</v>
      </c>
      <c r="C935" s="103" t="s">
        <v>971</v>
      </c>
      <c r="D935" s="224" t="s">
        <v>824</v>
      </c>
      <c r="E935" s="35" t="s">
        <v>148</v>
      </c>
      <c r="F935" s="103" t="s">
        <v>968</v>
      </c>
      <c r="G935" s="103">
        <v>1</v>
      </c>
      <c r="H935" s="35" t="s">
        <v>374</v>
      </c>
      <c r="I935" s="35" t="s">
        <v>580</v>
      </c>
      <c r="J935" s="35">
        <v>2435</v>
      </c>
      <c r="K935" s="147">
        <v>2562.3181945372762</v>
      </c>
      <c r="L935" s="34">
        <v>127.31819453727621</v>
      </c>
      <c r="M935" s="56">
        <v>127.31819453727621</v>
      </c>
      <c r="N935" s="56">
        <v>2.108288240372644</v>
      </c>
      <c r="O935" s="132">
        <f t="shared" si="16"/>
        <v>2.108288240372644</v>
      </c>
      <c r="P935" s="56">
        <v>5.2286732869517953</v>
      </c>
      <c r="Q935" s="143">
        <v>5.2286732869517953</v>
      </c>
      <c r="R935" s="143">
        <v>2824.4598863434267</v>
      </c>
      <c r="S935" s="34">
        <v>389.45988634342666</v>
      </c>
      <c r="T935" s="56">
        <v>389.45988634342666</v>
      </c>
      <c r="U935" s="56">
        <v>2.5915764235281893</v>
      </c>
      <c r="V935" s="56">
        <v>15.99424584572594</v>
      </c>
      <c r="W935" s="33">
        <v>15.99424584572594</v>
      </c>
    </row>
    <row r="936" spans="1:23" ht="15" x14ac:dyDescent="0.2">
      <c r="A936" s="103" t="s">
        <v>19</v>
      </c>
      <c r="B936" t="s">
        <v>838</v>
      </c>
      <c r="C936" s="224" t="s">
        <v>977</v>
      </c>
      <c r="D936" s="224" t="s">
        <v>824</v>
      </c>
      <c r="E936" s="35" t="s">
        <v>148</v>
      </c>
      <c r="F936" s="103" t="s">
        <v>968</v>
      </c>
      <c r="G936" s="103">
        <v>1</v>
      </c>
      <c r="H936" s="35" t="s">
        <v>374</v>
      </c>
      <c r="I936" s="35" t="s">
        <v>580</v>
      </c>
      <c r="J936" s="35">
        <v>2285</v>
      </c>
      <c r="K936">
        <v>2412.8309516791137</v>
      </c>
      <c r="L936" s="34">
        <v>127.8309516791137</v>
      </c>
      <c r="M936" s="56">
        <v>127.8309516791137</v>
      </c>
      <c r="N936" s="56">
        <v>2.1100202149537286</v>
      </c>
      <c r="O936" s="132">
        <f t="shared" si="16"/>
        <v>2.1100202149537286</v>
      </c>
      <c r="P936" s="56">
        <v>5.5943523710771856</v>
      </c>
      <c r="Q936" s="143">
        <v>5.5943523710771856</v>
      </c>
      <c r="R936" s="143">
        <v>2425.5352400733977</v>
      </c>
      <c r="S936" s="34">
        <v>140.53524007339774</v>
      </c>
      <c r="T936" s="56">
        <v>140.53524007339774</v>
      </c>
      <c r="U936" s="56">
        <v>2.1508645858953654</v>
      </c>
      <c r="V936" s="56">
        <v>6.1503387340655467</v>
      </c>
      <c r="W936" s="33">
        <v>6.1503387340655467</v>
      </c>
    </row>
    <row r="937" spans="1:23" ht="15" x14ac:dyDescent="0.2">
      <c r="A937" s="103" t="s">
        <v>19</v>
      </c>
      <c r="B937" s="28" t="s">
        <v>434</v>
      </c>
      <c r="C937" s="24" t="s">
        <v>980</v>
      </c>
      <c r="D937" s="35" t="s">
        <v>458</v>
      </c>
      <c r="E937" s="208" t="s">
        <v>82</v>
      </c>
      <c r="F937" s="103" t="s">
        <v>968</v>
      </c>
      <c r="G937" s="103">
        <v>1</v>
      </c>
      <c r="H937" s="35" t="s">
        <v>374</v>
      </c>
      <c r="I937" s="35" t="s">
        <v>580</v>
      </c>
      <c r="J937" s="35">
        <v>2370</v>
      </c>
      <c r="K937" s="141">
        <v>2498.5119686462231</v>
      </c>
      <c r="L937" s="34">
        <v>128.51196864622307</v>
      </c>
      <c r="M937" s="56">
        <v>128.51196864622307</v>
      </c>
      <c r="N937" s="56">
        <v>2.1123099049178453</v>
      </c>
      <c r="O937" s="132">
        <f t="shared" si="16"/>
        <v>2.1123099049178453</v>
      </c>
      <c r="P937" s="56">
        <v>5.4224459344397919</v>
      </c>
      <c r="Q937" s="143">
        <v>5.4224459344397919</v>
      </c>
      <c r="R937" s="143">
        <v>2485.1098237131282</v>
      </c>
      <c r="S937" s="34">
        <v>115.10982371312821</v>
      </c>
      <c r="T937" s="56">
        <v>115.10982371312821</v>
      </c>
      <c r="U937" s="56">
        <v>2.0648689656809953</v>
      </c>
      <c r="V937" s="56">
        <v>4.8569545870518231</v>
      </c>
      <c r="W937" s="33">
        <v>4.8569545870518231</v>
      </c>
    </row>
    <row r="938" spans="1:23" ht="15" x14ac:dyDescent="0.2">
      <c r="A938" s="103" t="s">
        <v>19</v>
      </c>
      <c r="B938" s="28" t="s">
        <v>290</v>
      </c>
      <c r="C938" s="224" t="s">
        <v>974</v>
      </c>
      <c r="D938" s="208" t="s">
        <v>403</v>
      </c>
      <c r="E938" s="35" t="s">
        <v>82</v>
      </c>
      <c r="F938" s="103" t="s">
        <v>967</v>
      </c>
      <c r="G938" s="103">
        <v>0</v>
      </c>
      <c r="H938" s="35" t="s">
        <v>374</v>
      </c>
      <c r="I938" s="35" t="s">
        <v>580</v>
      </c>
      <c r="J938" s="35">
        <v>1369.3</v>
      </c>
      <c r="K938" s="141">
        <v>1498.1394700000001</v>
      </c>
      <c r="L938" s="34">
        <v>128.83947000000012</v>
      </c>
      <c r="M938" s="56">
        <v>128.83947000000012</v>
      </c>
      <c r="N938" s="56">
        <v>2.1134067340474951</v>
      </c>
      <c r="O938" s="132">
        <f t="shared" si="16"/>
        <v>2.1134067340474951</v>
      </c>
      <c r="P938" s="56">
        <v>9.4091484700211865</v>
      </c>
      <c r="Q938" s="143">
        <v>9.4091484700211865</v>
      </c>
      <c r="R938" s="143">
        <v>1398.3865409999999</v>
      </c>
      <c r="S938" s="34">
        <v>29.086540999999897</v>
      </c>
      <c r="T938" s="56">
        <v>29.086540999999897</v>
      </c>
      <c r="U938" s="56">
        <v>1.4783722604897056</v>
      </c>
      <c r="V938" s="56">
        <v>2.1241905353100048</v>
      </c>
      <c r="W938" s="33">
        <v>2.1241905353100048</v>
      </c>
    </row>
    <row r="939" spans="1:23" ht="15" x14ac:dyDescent="0.2">
      <c r="A939" s="103" t="s">
        <v>19</v>
      </c>
      <c r="B939" t="s">
        <v>836</v>
      </c>
      <c r="C939" s="224" t="s">
        <v>978</v>
      </c>
      <c r="D939" s="224" t="s">
        <v>824</v>
      </c>
      <c r="E939" s="35" t="s">
        <v>148</v>
      </c>
      <c r="F939" s="103" t="s">
        <v>968</v>
      </c>
      <c r="G939" s="103">
        <v>1</v>
      </c>
      <c r="H939" s="35" t="s">
        <v>374</v>
      </c>
      <c r="I939" s="35" t="s">
        <v>580</v>
      </c>
      <c r="J939" s="35">
        <v>2190</v>
      </c>
      <c r="K939">
        <v>2319.1694693608938</v>
      </c>
      <c r="L939" s="34">
        <v>129.1694693608938</v>
      </c>
      <c r="M939" s="56">
        <v>129.1694693608938</v>
      </c>
      <c r="N939" s="56">
        <v>2.1145091344401363</v>
      </c>
      <c r="O939" s="132">
        <f t="shared" si="16"/>
        <v>2.1145091344401363</v>
      </c>
      <c r="P939" s="56">
        <v>5.8981492858855615</v>
      </c>
      <c r="Q939" s="143">
        <v>5.8981492858855615</v>
      </c>
      <c r="R939" s="143">
        <v>2336.9667704309227</v>
      </c>
      <c r="S939" s="34">
        <v>146.96677043092268</v>
      </c>
      <c r="T939" s="56">
        <v>146.96677043092268</v>
      </c>
      <c r="U939" s="56">
        <v>2.1701641948623251</v>
      </c>
      <c r="V939" s="56">
        <v>6.7108114352019488</v>
      </c>
      <c r="W939" s="33">
        <v>6.7108114352019488</v>
      </c>
    </row>
    <row r="940" spans="1:23" ht="15" x14ac:dyDescent="0.2">
      <c r="A940" s="103" t="s">
        <v>19</v>
      </c>
      <c r="B940" s="28" t="s">
        <v>360</v>
      </c>
      <c r="C940" s="224" t="s">
        <v>978</v>
      </c>
      <c r="D940" s="208" t="s">
        <v>403</v>
      </c>
      <c r="E940" s="35" t="s">
        <v>82</v>
      </c>
      <c r="F940" s="103" t="s">
        <v>968</v>
      </c>
      <c r="G940" s="103">
        <v>1</v>
      </c>
      <c r="H940" s="35" t="s">
        <v>494</v>
      </c>
      <c r="I940" s="35" t="s">
        <v>580</v>
      </c>
      <c r="J940" s="35">
        <v>906.8</v>
      </c>
      <c r="K940" s="141">
        <v>1036.5758514570718</v>
      </c>
      <c r="L940" s="34">
        <v>129.77585145707189</v>
      </c>
      <c r="M940" s="56">
        <v>129.77585145707189</v>
      </c>
      <c r="N940" s="56">
        <v>2.1165275563186983</v>
      </c>
      <c r="O940" s="132">
        <f t="shared" si="16"/>
        <v>2.1165275563186983</v>
      </c>
      <c r="P940" s="56">
        <v>14.311408409469774</v>
      </c>
      <c r="Q940" s="143">
        <v>14.311408409469774</v>
      </c>
      <c r="R940" s="143">
        <v>1009.8834061529571</v>
      </c>
      <c r="S940" s="34">
        <v>103.0834061529572</v>
      </c>
      <c r="T940" s="56">
        <v>103.0834061529572</v>
      </c>
      <c r="U940" s="56">
        <v>2.0173814961710241</v>
      </c>
      <c r="V940" s="56">
        <v>11.3678215872251</v>
      </c>
      <c r="W940" s="33">
        <v>11.3678215872251</v>
      </c>
    </row>
    <row r="941" spans="1:23" ht="16" x14ac:dyDescent="0.2">
      <c r="A941" s="103" t="s">
        <v>19</v>
      </c>
      <c r="B941" t="s">
        <v>867</v>
      </c>
      <c r="C941" s="103" t="s">
        <v>971</v>
      </c>
      <c r="D941" s="224" t="s">
        <v>824</v>
      </c>
      <c r="E941" s="35" t="s">
        <v>148</v>
      </c>
      <c r="F941" s="103" t="s">
        <v>968</v>
      </c>
      <c r="G941" s="103">
        <v>1</v>
      </c>
      <c r="H941" s="35" t="s">
        <v>374</v>
      </c>
      <c r="I941" s="35" t="s">
        <v>580</v>
      </c>
      <c r="J941" s="35">
        <v>1842</v>
      </c>
      <c r="K941" s="147">
        <v>1711.3482607860199</v>
      </c>
      <c r="L941" s="34">
        <v>-130.65173921398014</v>
      </c>
      <c r="M941" s="56">
        <v>130.65173921398014</v>
      </c>
      <c r="N941" s="56">
        <v>2.119426600821845</v>
      </c>
      <c r="O941" s="132">
        <f t="shared" si="16"/>
        <v>-2.119426600821845</v>
      </c>
      <c r="P941" s="56">
        <v>-7.0929282960901272</v>
      </c>
      <c r="Q941" s="143">
        <v>7.0929282960901272</v>
      </c>
      <c r="R941" s="143">
        <v>1957.8457865915693</v>
      </c>
      <c r="S941" s="34">
        <v>115.84578659156932</v>
      </c>
      <c r="T941" s="56">
        <v>115.84578659156932</v>
      </c>
      <c r="U941" s="56">
        <v>2.067613056539773</v>
      </c>
      <c r="V941" s="56">
        <v>6.2891306510081062</v>
      </c>
      <c r="W941" s="33">
        <v>6.2891306510081062</v>
      </c>
    </row>
    <row r="942" spans="1:23" ht="16" x14ac:dyDescent="0.2">
      <c r="A942" s="103" t="s">
        <v>19</v>
      </c>
      <c r="B942" t="s">
        <v>842</v>
      </c>
      <c r="C942" s="103" t="s">
        <v>979</v>
      </c>
      <c r="D942" s="224" t="s">
        <v>824</v>
      </c>
      <c r="E942" s="35" t="s">
        <v>148</v>
      </c>
      <c r="F942" s="103" t="s">
        <v>967</v>
      </c>
      <c r="G942" s="103">
        <v>0</v>
      </c>
      <c r="H942" s="35" t="s">
        <v>374</v>
      </c>
      <c r="I942" s="35" t="s">
        <v>580</v>
      </c>
      <c r="J942" s="35">
        <v>2435</v>
      </c>
      <c r="K942" s="147">
        <v>2304.3478260869565</v>
      </c>
      <c r="L942" s="34">
        <v>-130.6521739130435</v>
      </c>
      <c r="M942" s="56">
        <v>130.6521739130435</v>
      </c>
      <c r="N942" s="56">
        <v>2.1194280348104422</v>
      </c>
      <c r="O942" s="132">
        <f t="shared" si="16"/>
        <v>-2.1194280348104422</v>
      </c>
      <c r="P942" s="56">
        <v>-5.3655923578251947</v>
      </c>
      <c r="Q942" s="143">
        <v>5.3655923578251947</v>
      </c>
      <c r="R942" s="143">
        <v>2291.666666666667</v>
      </c>
      <c r="S942" s="34">
        <v>-143.33333333333303</v>
      </c>
      <c r="T942" s="56">
        <v>143.33333333333303</v>
      </c>
      <c r="U942" s="56">
        <v>2.1593666416337021</v>
      </c>
      <c r="V942" s="56">
        <v>-5.8863791923340054</v>
      </c>
      <c r="W942" s="33">
        <v>5.8863791923340054</v>
      </c>
    </row>
    <row r="943" spans="1:23" ht="15" x14ac:dyDescent="0.2">
      <c r="A943" s="103" t="s">
        <v>19</v>
      </c>
      <c r="B943" s="28" t="s">
        <v>416</v>
      </c>
      <c r="C943" s="224" t="s">
        <v>974</v>
      </c>
      <c r="D943" s="35" t="s">
        <v>458</v>
      </c>
      <c r="E943" s="35" t="s">
        <v>82</v>
      </c>
      <c r="F943" s="103" t="s">
        <v>967</v>
      </c>
      <c r="G943" s="103">
        <v>0</v>
      </c>
      <c r="H943" s="35" t="s">
        <v>374</v>
      </c>
      <c r="I943" s="35" t="s">
        <v>580</v>
      </c>
      <c r="J943" s="35">
        <v>1250</v>
      </c>
      <c r="K943" s="141">
        <v>1380.8883000000001</v>
      </c>
      <c r="L943" s="34">
        <v>130.88830000000007</v>
      </c>
      <c r="M943" s="56">
        <v>130.88830000000007</v>
      </c>
      <c r="N943" s="56">
        <v>2.1202062703696112</v>
      </c>
      <c r="O943" s="132">
        <f t="shared" si="16"/>
        <v>2.1202062703696112</v>
      </c>
      <c r="P943" s="56">
        <v>10.471064000000005</v>
      </c>
      <c r="Q943" s="143">
        <v>10.471064000000005</v>
      </c>
      <c r="R943" s="143">
        <v>1278.6254999999999</v>
      </c>
      <c r="S943" s="34">
        <v>28.625499999999874</v>
      </c>
      <c r="T943" s="56">
        <v>28.625499999999874</v>
      </c>
      <c r="U943" s="56">
        <v>1.4716656888209771</v>
      </c>
      <c r="V943" s="56">
        <v>2.2900399999999901</v>
      </c>
      <c r="W943" s="33">
        <v>2.2900399999999901</v>
      </c>
    </row>
    <row r="944" spans="1:23" ht="15" x14ac:dyDescent="0.2">
      <c r="A944" s="103" t="s">
        <v>19</v>
      </c>
      <c r="B944" s="28" t="s">
        <v>664</v>
      </c>
      <c r="C944" s="103" t="s">
        <v>979</v>
      </c>
      <c r="D944" s="208" t="s">
        <v>403</v>
      </c>
      <c r="E944" s="35" t="s">
        <v>82</v>
      </c>
      <c r="F944" s="103" t="s">
        <v>967</v>
      </c>
      <c r="G944" s="103">
        <v>0</v>
      </c>
      <c r="H944" s="35" t="s">
        <v>374</v>
      </c>
      <c r="I944" s="35" t="s">
        <v>580</v>
      </c>
      <c r="J944" s="35">
        <v>1730.8</v>
      </c>
      <c r="K944" s="141">
        <v>1599.7391304347825</v>
      </c>
      <c r="L944" s="34">
        <v>-131.06086956521744</v>
      </c>
      <c r="M944" s="56">
        <v>131.06086956521744</v>
      </c>
      <c r="N944" s="56">
        <v>2.1207741525926957</v>
      </c>
      <c r="O944" s="132">
        <f t="shared" si="16"/>
        <v>-2.1207741525926957</v>
      </c>
      <c r="P944" s="56">
        <v>-7.57227117894716</v>
      </c>
      <c r="Q944" s="143">
        <v>7.57227117894716</v>
      </c>
      <c r="R944" s="143">
        <v>1659.2500000000002</v>
      </c>
      <c r="S944" s="34">
        <v>-71.549999999999727</v>
      </c>
      <c r="T944" s="56">
        <v>71.549999999999727</v>
      </c>
      <c r="U944" s="56">
        <v>1.8606374167737529</v>
      </c>
      <c r="V944" s="56">
        <v>-4.1339265079731762</v>
      </c>
      <c r="W944" s="33">
        <v>4.1339265079731762</v>
      </c>
    </row>
    <row r="945" spans="1:23" ht="15" x14ac:dyDescent="0.2">
      <c r="A945" s="103" t="s">
        <v>19</v>
      </c>
      <c r="B945" t="s">
        <v>888</v>
      </c>
      <c r="C945" s="224" t="s">
        <v>977</v>
      </c>
      <c r="D945" s="224" t="s">
        <v>824</v>
      </c>
      <c r="E945" s="35" t="s">
        <v>148</v>
      </c>
      <c r="F945" s="103" t="s">
        <v>968</v>
      </c>
      <c r="G945" s="103">
        <v>1</v>
      </c>
      <c r="H945" s="35" t="s">
        <v>374</v>
      </c>
      <c r="I945" s="35" t="s">
        <v>580</v>
      </c>
      <c r="J945" s="35">
        <v>2150</v>
      </c>
      <c r="K945">
        <v>2018.8286383397806</v>
      </c>
      <c r="L945" s="34">
        <v>-131.17136166021942</v>
      </c>
      <c r="M945" s="56">
        <v>131.17136166021942</v>
      </c>
      <c r="N945" s="56">
        <v>2.1211373642245825</v>
      </c>
      <c r="O945" s="132">
        <f t="shared" si="16"/>
        <v>-2.1211373642245825</v>
      </c>
      <c r="P945" s="56">
        <v>-6.1009935655916001</v>
      </c>
      <c r="Q945" s="143">
        <v>6.1009935655916001</v>
      </c>
      <c r="R945" s="143">
        <v>1974.7592227978682</v>
      </c>
      <c r="S945" s="34">
        <v>-175.24077720213177</v>
      </c>
      <c r="T945" s="56">
        <v>175.24077720213177</v>
      </c>
      <c r="U945" s="56">
        <v>2.2461063993370649</v>
      </c>
      <c r="V945" s="56">
        <v>-8.1507338233549653</v>
      </c>
      <c r="W945" s="33">
        <v>8.1507338233549653</v>
      </c>
    </row>
    <row r="946" spans="1:23" ht="15" x14ac:dyDescent="0.2">
      <c r="A946" s="103" t="s">
        <v>19</v>
      </c>
      <c r="B946" t="s">
        <v>836</v>
      </c>
      <c r="C946" s="103" t="s">
        <v>971</v>
      </c>
      <c r="D946" s="224" t="s">
        <v>824</v>
      </c>
      <c r="E946" s="35" t="s">
        <v>148</v>
      </c>
      <c r="F946" s="103" t="s">
        <v>968</v>
      </c>
      <c r="G946" s="103">
        <v>1</v>
      </c>
      <c r="H946" s="35" t="s">
        <v>374</v>
      </c>
      <c r="I946" s="35" t="s">
        <v>580</v>
      </c>
      <c r="J946" s="35">
        <v>2190</v>
      </c>
      <c r="K946">
        <v>2322.4411399246615</v>
      </c>
      <c r="L946" s="34">
        <v>132.44113992466146</v>
      </c>
      <c r="M946" s="56">
        <v>132.44113992466146</v>
      </c>
      <c r="N946" s="56">
        <v>2.1252897432822406</v>
      </c>
      <c r="O946" s="132">
        <f t="shared" si="16"/>
        <v>2.1252897432822406</v>
      </c>
      <c r="P946" s="56">
        <v>6.0475406358292902</v>
      </c>
      <c r="Q946" s="143">
        <v>6.0475406358292902</v>
      </c>
      <c r="R946" s="143">
        <v>2640.9798915411752</v>
      </c>
      <c r="S946" s="34">
        <v>450.97989154117522</v>
      </c>
      <c r="T946" s="56">
        <v>450.97989154117522</v>
      </c>
      <c r="U946" s="56">
        <v>2.6551191136012746</v>
      </c>
      <c r="V946" s="56">
        <v>20.592689111469188</v>
      </c>
      <c r="W946" s="33">
        <v>20.592689111469188</v>
      </c>
    </row>
    <row r="947" spans="1:23" ht="15" x14ac:dyDescent="0.2">
      <c r="A947" s="103" t="s">
        <v>19</v>
      </c>
      <c r="B947" s="28" t="s">
        <v>345</v>
      </c>
      <c r="C947" s="224" t="s">
        <v>977</v>
      </c>
      <c r="D947" s="208" t="s">
        <v>403</v>
      </c>
      <c r="E947" s="35" t="s">
        <v>82</v>
      </c>
      <c r="F947" s="103" t="s">
        <v>968</v>
      </c>
      <c r="G947" s="103">
        <v>1</v>
      </c>
      <c r="H947" s="35" t="s">
        <v>374</v>
      </c>
      <c r="I947" s="35" t="s">
        <v>580</v>
      </c>
      <c r="J947" s="35">
        <v>1499</v>
      </c>
      <c r="K947" s="141">
        <v>1631.5464597670332</v>
      </c>
      <c r="L947" s="34">
        <v>132.54645976703318</v>
      </c>
      <c r="M947" s="56">
        <v>132.54645976703318</v>
      </c>
      <c r="N947" s="56">
        <v>2.1256323796354066</v>
      </c>
      <c r="O947" s="132">
        <f t="shared" si="16"/>
        <v>2.1256323796354066</v>
      </c>
      <c r="P947" s="56">
        <v>8.842325534825429</v>
      </c>
      <c r="Q947" s="143">
        <v>8.842325534825429</v>
      </c>
      <c r="R947" s="143">
        <v>1626.122382068163</v>
      </c>
      <c r="S947" s="34">
        <v>127.12238206816301</v>
      </c>
      <c r="T947" s="56">
        <v>127.12238206816301</v>
      </c>
      <c r="U947" s="56">
        <v>2.1076250045269207</v>
      </c>
      <c r="V947" s="56">
        <v>8.4804791239601744</v>
      </c>
      <c r="W947" s="33">
        <v>8.4804791239601744</v>
      </c>
    </row>
    <row r="948" spans="1:23" ht="16" x14ac:dyDescent="0.2">
      <c r="A948" s="103" t="s">
        <v>19</v>
      </c>
      <c r="B948" t="s">
        <v>879</v>
      </c>
      <c r="C948" s="224" t="s">
        <v>974</v>
      </c>
      <c r="D948" s="224" t="s">
        <v>824</v>
      </c>
      <c r="E948" s="35" t="s">
        <v>148</v>
      </c>
      <c r="F948" s="103" t="s">
        <v>967</v>
      </c>
      <c r="G948" s="103">
        <v>0</v>
      </c>
      <c r="H948" s="35" t="s">
        <v>374</v>
      </c>
      <c r="I948" s="35" t="s">
        <v>580</v>
      </c>
      <c r="J948" s="35">
        <v>1550</v>
      </c>
      <c r="K948" s="147">
        <v>1685.8465000000001</v>
      </c>
      <c r="L948" s="34">
        <v>135.84650000000011</v>
      </c>
      <c r="M948" s="56">
        <v>135.84650000000011</v>
      </c>
      <c r="N948" s="56">
        <v>2.1362336943283515</v>
      </c>
      <c r="O948" s="132">
        <f t="shared" si="16"/>
        <v>2.1362336943283515</v>
      </c>
      <c r="P948" s="56">
        <v>8.7642903225806528</v>
      </c>
      <c r="Q948" s="143">
        <v>8.7642903225806528</v>
      </c>
      <c r="R948" s="143">
        <v>1589.6309999999999</v>
      </c>
      <c r="S948" s="34">
        <v>39.630999999999858</v>
      </c>
      <c r="T948" s="56">
        <v>39.630999999999858</v>
      </c>
      <c r="U948" s="56">
        <v>1.6088575112050094</v>
      </c>
      <c r="V948" s="56">
        <v>2.5568387096774101</v>
      </c>
      <c r="W948" s="33">
        <v>2.5568387096774101</v>
      </c>
    </row>
    <row r="949" spans="1:23" ht="15" x14ac:dyDescent="0.2">
      <c r="A949" s="103" t="s">
        <v>19</v>
      </c>
      <c r="B949" t="s">
        <v>884</v>
      </c>
      <c r="C949" s="224" t="s">
        <v>978</v>
      </c>
      <c r="D949" s="224" t="s">
        <v>824</v>
      </c>
      <c r="E949" s="35" t="s">
        <v>148</v>
      </c>
      <c r="F949" s="103" t="s">
        <v>968</v>
      </c>
      <c r="G949" s="103">
        <v>1</v>
      </c>
      <c r="H949" s="35" t="s">
        <v>374</v>
      </c>
      <c r="I949" s="35" t="s">
        <v>580</v>
      </c>
      <c r="J949" s="35">
        <v>1733</v>
      </c>
      <c r="K949">
        <v>1868.9009410172505</v>
      </c>
      <c r="L949" s="34">
        <v>135.90094101725049</v>
      </c>
      <c r="M949" s="56">
        <v>135.90094101725049</v>
      </c>
      <c r="N949" s="56">
        <v>2.1364064333582027</v>
      </c>
      <c r="O949" s="132">
        <f t="shared" si="16"/>
        <v>2.1364064333582027</v>
      </c>
      <c r="P949" s="56">
        <v>7.8419469715666752</v>
      </c>
      <c r="Q949" s="143">
        <v>7.8419469715666752</v>
      </c>
      <c r="R949" s="143">
        <v>1856.6569812945515</v>
      </c>
      <c r="S949" s="34">
        <v>123.65698129455154</v>
      </c>
      <c r="T949" s="56">
        <v>123.65698129455154</v>
      </c>
      <c r="U949" s="56">
        <v>2.095716605766373</v>
      </c>
      <c r="V949" s="56">
        <v>7.1354288109954735</v>
      </c>
      <c r="W949" s="33">
        <v>7.1354288109954735</v>
      </c>
    </row>
    <row r="950" spans="1:23" ht="15" x14ac:dyDescent="0.2">
      <c r="A950" s="103" t="s">
        <v>19</v>
      </c>
      <c r="B950" s="28" t="s">
        <v>289</v>
      </c>
      <c r="C950" s="103" t="s">
        <v>975</v>
      </c>
      <c r="D950" s="208" t="s">
        <v>403</v>
      </c>
      <c r="E950" s="35" t="s">
        <v>148</v>
      </c>
      <c r="F950" s="103" t="s">
        <v>967</v>
      </c>
      <c r="G950" s="103">
        <v>0</v>
      </c>
      <c r="H950" s="35" t="s">
        <v>494</v>
      </c>
      <c r="I950" s="35" t="s">
        <v>580</v>
      </c>
      <c r="J950" s="35">
        <v>899.05</v>
      </c>
      <c r="K950" s="141">
        <v>1035.3980599999998</v>
      </c>
      <c r="L950" s="34">
        <v>136.3480599999998</v>
      </c>
      <c r="M950" s="56">
        <v>136.3480599999998</v>
      </c>
      <c r="N950" s="56">
        <v>2.137822529521086</v>
      </c>
      <c r="O950" s="132">
        <f t="shared" si="16"/>
        <v>2.137822529521086</v>
      </c>
      <c r="P950" s="56">
        <v>15.165792781269097</v>
      </c>
      <c r="Q950" s="143">
        <v>15.165792781269097</v>
      </c>
      <c r="R950" s="143">
        <v>1035.7464580000001</v>
      </c>
      <c r="S950" s="34">
        <v>136.69645800000012</v>
      </c>
      <c r="T950" s="56">
        <v>136.69645800000012</v>
      </c>
      <c r="U950" s="56">
        <v>2.1389227689363763</v>
      </c>
      <c r="V950" s="56">
        <v>15.204544574829001</v>
      </c>
      <c r="W950" s="33">
        <v>15.204544574829001</v>
      </c>
    </row>
    <row r="951" spans="1:23" ht="15" x14ac:dyDescent="0.2">
      <c r="A951" s="103" t="s">
        <v>19</v>
      </c>
      <c r="B951" s="28" t="s">
        <v>345</v>
      </c>
      <c r="C951" s="103" t="s">
        <v>975</v>
      </c>
      <c r="D951" s="208" t="s">
        <v>403</v>
      </c>
      <c r="E951" s="35" t="s">
        <v>82</v>
      </c>
      <c r="F951" s="103" t="s">
        <v>967</v>
      </c>
      <c r="G951" s="103">
        <v>0</v>
      </c>
      <c r="H951" s="35" t="s">
        <v>374</v>
      </c>
      <c r="I951" s="35" t="s">
        <v>580</v>
      </c>
      <c r="J951" s="35">
        <v>1499</v>
      </c>
      <c r="K951" s="141">
        <v>1635.6571999999999</v>
      </c>
      <c r="L951" s="34">
        <v>136.65719999999988</v>
      </c>
      <c r="M951" s="56">
        <v>136.65719999999988</v>
      </c>
      <c r="N951" s="56">
        <v>2.1387989315919955</v>
      </c>
      <c r="O951" s="132">
        <f t="shared" si="16"/>
        <v>2.1387989315919955</v>
      </c>
      <c r="P951" s="56">
        <v>9.1165577051367492</v>
      </c>
      <c r="Q951" s="143">
        <v>9.1165577051367492</v>
      </c>
      <c r="R951" s="143">
        <v>1650.7888</v>
      </c>
      <c r="S951" s="34">
        <v>151.78880000000004</v>
      </c>
      <c r="T951" s="56">
        <v>151.78880000000004</v>
      </c>
      <c r="U951" s="56">
        <v>2.1840915199695705</v>
      </c>
      <c r="V951" s="56">
        <v>10.126004002668449</v>
      </c>
      <c r="W951" s="33">
        <v>10.126004002668449</v>
      </c>
    </row>
    <row r="952" spans="1:23" ht="15" x14ac:dyDescent="0.2">
      <c r="A952" s="103" t="s">
        <v>19</v>
      </c>
      <c r="B952" s="28" t="s">
        <v>75</v>
      </c>
      <c r="C952" s="103" t="s">
        <v>970</v>
      </c>
      <c r="D952" s="208" t="s">
        <v>403</v>
      </c>
      <c r="E952" s="35" t="s">
        <v>82</v>
      </c>
      <c r="F952" s="103" t="s">
        <v>967</v>
      </c>
      <c r="G952" s="103">
        <v>0</v>
      </c>
      <c r="H952" s="35" t="s">
        <v>374</v>
      </c>
      <c r="I952" s="35" t="s">
        <v>580</v>
      </c>
      <c r="J952" s="35">
        <v>2106.6</v>
      </c>
      <c r="K952" s="141">
        <v>1969.8274219999998</v>
      </c>
      <c r="L952" s="34">
        <v>-136.77257800000007</v>
      </c>
      <c r="M952" s="56">
        <v>136.77257800000007</v>
      </c>
      <c r="N952" s="56">
        <v>2.1391627849997708</v>
      </c>
      <c r="O952" s="132">
        <f t="shared" si="16"/>
        <v>-2.1391627849997708</v>
      </c>
      <c r="P952" s="56">
        <v>-6.4925746700845002</v>
      </c>
      <c r="Q952" s="143">
        <v>6.4925746700845002</v>
      </c>
      <c r="R952" s="143">
        <v>2002.3367900000003</v>
      </c>
      <c r="S952" s="34">
        <v>-104.26320999999962</v>
      </c>
      <c r="T952" s="56">
        <v>104.26320999999962</v>
      </c>
      <c r="U952" s="56">
        <v>2.0222766096868661</v>
      </c>
      <c r="V952" s="56">
        <v>-4.9493596316338948</v>
      </c>
      <c r="W952" s="33">
        <v>4.9493596316338948</v>
      </c>
    </row>
    <row r="953" spans="1:23" ht="15" x14ac:dyDescent="0.2">
      <c r="A953" s="103" t="s">
        <v>19</v>
      </c>
      <c r="B953" t="s">
        <v>896</v>
      </c>
      <c r="C953" s="103" t="s">
        <v>979</v>
      </c>
      <c r="D953" s="224" t="s">
        <v>824</v>
      </c>
      <c r="E953" s="35" t="s">
        <v>148</v>
      </c>
      <c r="F953" s="103" t="s">
        <v>967</v>
      </c>
      <c r="G953" s="103">
        <v>0</v>
      </c>
      <c r="H953" s="35" t="s">
        <v>374</v>
      </c>
      <c r="I953" s="35" t="s">
        <v>580</v>
      </c>
      <c r="J953" s="35">
        <v>1750</v>
      </c>
      <c r="K953">
        <v>1613.0434782608695</v>
      </c>
      <c r="L953" s="34">
        <v>-136.95652173913049</v>
      </c>
      <c r="M953" s="56">
        <v>136.95652173913049</v>
      </c>
      <c r="N953" s="56">
        <v>2.1397422360828195</v>
      </c>
      <c r="O953" s="132">
        <f t="shared" si="16"/>
        <v>-2.1397422360828195</v>
      </c>
      <c r="P953" s="56">
        <v>-7.8260869565217428</v>
      </c>
      <c r="Q953" s="143">
        <v>7.8260869565217428</v>
      </c>
      <c r="R953" s="143">
        <v>1612.5</v>
      </c>
      <c r="S953" s="34">
        <v>-137.5</v>
      </c>
      <c r="T953" s="56">
        <v>137.5</v>
      </c>
      <c r="U953" s="56">
        <v>2.1414497734004674</v>
      </c>
      <c r="V953" s="56">
        <v>-7.8571428571428568</v>
      </c>
      <c r="W953" s="33">
        <v>7.8571428571428568</v>
      </c>
    </row>
    <row r="954" spans="1:23" ht="15" x14ac:dyDescent="0.2">
      <c r="A954" s="103" t="s">
        <v>19</v>
      </c>
      <c r="B954" t="s">
        <v>893</v>
      </c>
      <c r="C954" s="103" t="s">
        <v>971</v>
      </c>
      <c r="D954" s="224" t="s">
        <v>824</v>
      </c>
      <c r="E954" s="35" t="s">
        <v>148</v>
      </c>
      <c r="F954" s="103" t="s">
        <v>968</v>
      </c>
      <c r="G954" s="103">
        <v>1</v>
      </c>
      <c r="H954" s="35" t="s">
        <v>374</v>
      </c>
      <c r="I954" s="35" t="s">
        <v>580</v>
      </c>
      <c r="J954" s="35">
        <v>1274</v>
      </c>
      <c r="K954">
        <v>1136.7246162033243</v>
      </c>
      <c r="L954" s="34">
        <v>-137.27538379667567</v>
      </c>
      <c r="M954" s="56">
        <v>137.27538379667567</v>
      </c>
      <c r="N954" s="56">
        <v>2.1407448725691336</v>
      </c>
      <c r="O954" s="132">
        <f t="shared" si="16"/>
        <v>-2.1407448725691336</v>
      </c>
      <c r="P954" s="56">
        <v>-10.775147864731213</v>
      </c>
      <c r="Q954" s="143">
        <v>10.775147864731213</v>
      </c>
      <c r="R954" s="143">
        <v>1296.1780475206035</v>
      </c>
      <c r="S954" s="34">
        <v>22.178047520603513</v>
      </c>
      <c r="T954" s="56">
        <v>22.178047520603513</v>
      </c>
      <c r="U954" s="56">
        <v>1.3650768489381078</v>
      </c>
      <c r="V954" s="56">
        <v>1.7408200565622851</v>
      </c>
      <c r="W954" s="33">
        <v>1.7408200565622851</v>
      </c>
    </row>
    <row r="955" spans="1:23" ht="15" x14ac:dyDescent="0.2">
      <c r="A955" s="103" t="s">
        <v>19</v>
      </c>
      <c r="B955" s="28" t="s">
        <v>426</v>
      </c>
      <c r="C955" s="103" t="s">
        <v>970</v>
      </c>
      <c r="D955" s="35" t="s">
        <v>458</v>
      </c>
      <c r="E955" s="208" t="s">
        <v>82</v>
      </c>
      <c r="F955" s="103" t="s">
        <v>967</v>
      </c>
      <c r="G955" s="103">
        <v>0</v>
      </c>
      <c r="H955" s="35" t="s">
        <v>374</v>
      </c>
      <c r="I955" s="35" t="s">
        <v>580</v>
      </c>
      <c r="J955" s="35">
        <v>1620</v>
      </c>
      <c r="K955" s="141">
        <v>1758.0925000000002</v>
      </c>
      <c r="L955" s="34">
        <v>138.0925000000002</v>
      </c>
      <c r="M955" s="56">
        <v>138.0925000000002</v>
      </c>
      <c r="N955" s="56">
        <v>2.1433037130515107</v>
      </c>
      <c r="O955" s="132">
        <f t="shared" si="16"/>
        <v>2.1433037130515107</v>
      </c>
      <c r="P955" s="56">
        <v>8.5242283950617406</v>
      </c>
      <c r="Q955" s="143">
        <v>8.5242283950617406</v>
      </c>
      <c r="R955" s="143">
        <v>1789.3400000000001</v>
      </c>
      <c r="S955" s="34">
        <v>169.34000000000015</v>
      </c>
      <c r="T955" s="56">
        <v>169.34000000000015</v>
      </c>
      <c r="U955" s="56">
        <v>2.2313166429095013</v>
      </c>
      <c r="V955" s="56">
        <v>10.453086419753095</v>
      </c>
      <c r="W955" s="33">
        <v>10.453086419753095</v>
      </c>
    </row>
    <row r="956" spans="1:23" ht="15" x14ac:dyDescent="0.2">
      <c r="A956" s="103" t="s">
        <v>19</v>
      </c>
      <c r="B956" t="s">
        <v>886</v>
      </c>
      <c r="C956" s="103" t="s">
        <v>970</v>
      </c>
      <c r="D956" s="224" t="s">
        <v>824</v>
      </c>
      <c r="E956" s="35" t="s">
        <v>148</v>
      </c>
      <c r="F956" s="103" t="s">
        <v>967</v>
      </c>
      <c r="G956" s="103">
        <v>0</v>
      </c>
      <c r="H956" s="35" t="s">
        <v>374</v>
      </c>
      <c r="I956" s="35" t="s">
        <v>580</v>
      </c>
      <c r="J956" s="35">
        <v>2100</v>
      </c>
      <c r="K956">
        <v>2238.5637000000002</v>
      </c>
      <c r="L956" s="34">
        <v>138.56370000000015</v>
      </c>
      <c r="M956" s="56">
        <v>138.56370000000015</v>
      </c>
      <c r="N956" s="56">
        <v>2.1447724745929451</v>
      </c>
      <c r="O956" s="132">
        <f t="shared" si="16"/>
        <v>2.1447724745929451</v>
      </c>
      <c r="P956" s="56">
        <v>6.5982714285714357</v>
      </c>
      <c r="Q956" s="143">
        <v>6.5982714285714357</v>
      </c>
      <c r="R956" s="143">
        <v>2309.1170000000002</v>
      </c>
      <c r="S956" s="34">
        <v>209.11700000000019</v>
      </c>
      <c r="T956" s="56">
        <v>209.11700000000019</v>
      </c>
      <c r="U956" s="56">
        <v>2.3224611914231579</v>
      </c>
      <c r="V956" s="56">
        <v>9.9579523809523902</v>
      </c>
      <c r="W956" s="33">
        <v>9.9579523809523902</v>
      </c>
    </row>
    <row r="957" spans="1:23" ht="16" x14ac:dyDescent="0.2">
      <c r="A957" s="103" t="s">
        <v>19</v>
      </c>
      <c r="B957" t="s">
        <v>868</v>
      </c>
      <c r="C957" s="224" t="s">
        <v>974</v>
      </c>
      <c r="D957" s="224" t="s">
        <v>824</v>
      </c>
      <c r="E957" s="35" t="s">
        <v>148</v>
      </c>
      <c r="F957" s="103" t="s">
        <v>967</v>
      </c>
      <c r="G957" s="103">
        <v>0</v>
      </c>
      <c r="H957" s="35" t="s">
        <v>374</v>
      </c>
      <c r="I957" s="35" t="s">
        <v>580</v>
      </c>
      <c r="J957" s="35">
        <v>1530</v>
      </c>
      <c r="K957" s="147">
        <v>1670.0727999999999</v>
      </c>
      <c r="L957" s="34">
        <v>140.07279999999992</v>
      </c>
      <c r="M957" s="56">
        <v>140.07279999999992</v>
      </c>
      <c r="N957" s="56">
        <v>2.1494432862657709</v>
      </c>
      <c r="O957" s="132">
        <f t="shared" si="16"/>
        <v>2.1494432862657709</v>
      </c>
      <c r="P957" s="56">
        <v>9.1550849673202563</v>
      </c>
      <c r="Q957" s="143">
        <v>9.1550849673202563</v>
      </c>
      <c r="R957" s="143">
        <v>1613.5545</v>
      </c>
      <c r="S957" s="34">
        <v>83.554499999999962</v>
      </c>
      <c r="T957" s="56">
        <v>83.554499999999962</v>
      </c>
      <c r="U957" s="56">
        <v>1.9271367257499985</v>
      </c>
      <c r="V957" s="56">
        <v>5.4610784313725471</v>
      </c>
      <c r="W957" s="33">
        <v>5.4610784313725471</v>
      </c>
    </row>
    <row r="958" spans="1:23" ht="15" x14ac:dyDescent="0.2">
      <c r="A958" s="103" t="s">
        <v>19</v>
      </c>
      <c r="B958" s="28" t="s">
        <v>427</v>
      </c>
      <c r="C958" s="224" t="s">
        <v>974</v>
      </c>
      <c r="D958" s="35" t="s">
        <v>458</v>
      </c>
      <c r="E958" s="208" t="s">
        <v>82</v>
      </c>
      <c r="F958" s="103" t="s">
        <v>967</v>
      </c>
      <c r="G958" s="103">
        <v>0</v>
      </c>
      <c r="H958" s="35" t="s">
        <v>374</v>
      </c>
      <c r="I958" s="35" t="s">
        <v>580</v>
      </c>
      <c r="J958" s="35">
        <v>1650</v>
      </c>
      <c r="K958" s="141">
        <v>1791.0045</v>
      </c>
      <c r="L958" s="34">
        <v>141.00450000000001</v>
      </c>
      <c r="M958" s="56">
        <v>141.00450000000001</v>
      </c>
      <c r="N958" s="56">
        <v>2.1523021070182873</v>
      </c>
      <c r="O958" s="132">
        <f t="shared" si="16"/>
        <v>2.1523021070182873</v>
      </c>
      <c r="P958" s="56">
        <v>8.5457272727272731</v>
      </c>
      <c r="Q958" s="143">
        <v>8.5457272727272731</v>
      </c>
      <c r="R958" s="143">
        <v>1709.2484999999999</v>
      </c>
      <c r="S958" s="34">
        <v>59.248499999999922</v>
      </c>
      <c r="T958" s="56">
        <v>59.248499999999922</v>
      </c>
      <c r="U958" s="56">
        <v>1.7799462388015574</v>
      </c>
      <c r="V958" s="56">
        <v>3.590818181818177</v>
      </c>
      <c r="W958" s="33">
        <v>3.590818181818177</v>
      </c>
    </row>
    <row r="959" spans="1:23" ht="15" x14ac:dyDescent="0.2">
      <c r="A959" s="103" t="s">
        <v>19</v>
      </c>
      <c r="B959" s="28" t="s">
        <v>433</v>
      </c>
      <c r="C959" s="103" t="s">
        <v>971</v>
      </c>
      <c r="D959" s="35" t="s">
        <v>458</v>
      </c>
      <c r="E959" s="208" t="s">
        <v>82</v>
      </c>
      <c r="F959" s="103" t="s">
        <v>968</v>
      </c>
      <c r="G959" s="103">
        <v>1</v>
      </c>
      <c r="H959" s="35" t="s">
        <v>374</v>
      </c>
      <c r="I959" s="35" t="s">
        <v>580</v>
      </c>
      <c r="J959" s="35">
        <v>1520</v>
      </c>
      <c r="K959" s="141">
        <v>1377.9459594160685</v>
      </c>
      <c r="L959" s="34">
        <v>-142.05404058393151</v>
      </c>
      <c r="M959" s="56">
        <v>142.05404058393151</v>
      </c>
      <c r="N959" s="56">
        <v>2.1555001290306386</v>
      </c>
      <c r="O959" s="132">
        <f t="shared" si="16"/>
        <v>-2.1555001290306386</v>
      </c>
      <c r="P959" s="56">
        <v>-9.3456605647323361</v>
      </c>
      <c r="Q959" s="143">
        <v>9.3456605647323361</v>
      </c>
      <c r="R959" s="143">
        <v>1559.8837969127667</v>
      </c>
      <c r="S959" s="34">
        <v>39.883796912766684</v>
      </c>
      <c r="T959" s="56">
        <v>39.883796912766684</v>
      </c>
      <c r="U959" s="56">
        <v>1.6115512222951853</v>
      </c>
      <c r="V959" s="56">
        <v>2.6239340074188608</v>
      </c>
      <c r="W959" s="33">
        <v>2.6239340074188608</v>
      </c>
    </row>
    <row r="960" spans="1:23" ht="15" x14ac:dyDescent="0.2">
      <c r="A960" s="103" t="s">
        <v>19</v>
      </c>
      <c r="B960" t="s">
        <v>899</v>
      </c>
      <c r="C960" s="103" t="s">
        <v>979</v>
      </c>
      <c r="D960" s="224" t="s">
        <v>824</v>
      </c>
      <c r="E960" s="35" t="s">
        <v>148</v>
      </c>
      <c r="F960" s="103" t="s">
        <v>967</v>
      </c>
      <c r="G960" s="103">
        <v>0</v>
      </c>
      <c r="H960" s="35" t="s">
        <v>374</v>
      </c>
      <c r="I960" s="35" t="s">
        <v>580</v>
      </c>
      <c r="J960" s="35">
        <v>2060</v>
      </c>
      <c r="K960">
        <v>1917.391304347826</v>
      </c>
      <c r="L960" s="34">
        <v>-142.60869565217399</v>
      </c>
      <c r="M960" s="56">
        <v>142.60869565217399</v>
      </c>
      <c r="N960" s="56">
        <v>2.1571807376738215</v>
      </c>
      <c r="O960" s="132">
        <f t="shared" si="16"/>
        <v>-2.1571807376738215</v>
      </c>
      <c r="P960" s="56">
        <v>-6.9227522161249508</v>
      </c>
      <c r="Q960" s="143">
        <v>6.9227522161249508</v>
      </c>
      <c r="R960" s="143">
        <v>1900</v>
      </c>
      <c r="S960" s="34">
        <v>-160</v>
      </c>
      <c r="T960" s="56">
        <v>160</v>
      </c>
      <c r="U960" s="56">
        <v>2.2068258760318495</v>
      </c>
      <c r="V960" s="56">
        <v>-7.766990291262136</v>
      </c>
      <c r="W960" s="33">
        <v>7.766990291262136</v>
      </c>
    </row>
    <row r="961" spans="1:23" ht="15" x14ac:dyDescent="0.2">
      <c r="A961" s="103" t="s">
        <v>19</v>
      </c>
      <c r="B961" s="28" t="s">
        <v>345</v>
      </c>
      <c r="C961" s="24" t="s">
        <v>980</v>
      </c>
      <c r="D961" s="208" t="s">
        <v>403</v>
      </c>
      <c r="E961" s="35" t="s">
        <v>82</v>
      </c>
      <c r="F961" s="103" t="s">
        <v>968</v>
      </c>
      <c r="G961" s="103">
        <v>1</v>
      </c>
      <c r="H961" s="35" t="s">
        <v>374</v>
      </c>
      <c r="I961" s="35" t="s">
        <v>580</v>
      </c>
      <c r="J961" s="35">
        <v>1499</v>
      </c>
      <c r="K961" s="141">
        <v>1643.9107366033597</v>
      </c>
      <c r="L961" s="34">
        <v>144.91073660335974</v>
      </c>
      <c r="M961" s="56">
        <v>144.91073660335974</v>
      </c>
      <c r="N961" s="56">
        <v>2.1640872499197386</v>
      </c>
      <c r="O961" s="132">
        <f t="shared" si="16"/>
        <v>2.1640872499197386</v>
      </c>
      <c r="P961" s="56">
        <v>9.6671605472554862</v>
      </c>
      <c r="Q961" s="143">
        <v>9.6671605472554862</v>
      </c>
      <c r="R961" s="143">
        <v>1638.3604511177209</v>
      </c>
      <c r="S961" s="34">
        <v>139.36045111772091</v>
      </c>
      <c r="T961" s="56">
        <v>139.36045111772091</v>
      </c>
      <c r="U961" s="56">
        <v>2.1472447553656973</v>
      </c>
      <c r="V961" s="56">
        <v>9.2968946709620361</v>
      </c>
      <c r="W961" s="33">
        <v>9.2968946709620361</v>
      </c>
    </row>
    <row r="962" spans="1:23" ht="15" x14ac:dyDescent="0.2">
      <c r="A962" s="103" t="s">
        <v>19</v>
      </c>
      <c r="B962" s="28" t="s">
        <v>425</v>
      </c>
      <c r="C962" s="224" t="s">
        <v>977</v>
      </c>
      <c r="D962" s="35" t="s">
        <v>458</v>
      </c>
      <c r="E962" s="208" t="s">
        <v>82</v>
      </c>
      <c r="F962" s="103" t="s">
        <v>968</v>
      </c>
      <c r="G962" s="103">
        <v>1</v>
      </c>
      <c r="H962" s="35" t="s">
        <v>293</v>
      </c>
      <c r="I962" s="35" t="s">
        <v>580</v>
      </c>
      <c r="J962" s="35">
        <v>2690</v>
      </c>
      <c r="K962" s="141">
        <v>2838.4373883432436</v>
      </c>
      <c r="L962" s="34">
        <v>148.43738834324358</v>
      </c>
      <c r="M962" s="56">
        <v>148.43738834324358</v>
      </c>
      <c r="N962" s="56">
        <v>2.1744592689634463</v>
      </c>
      <c r="O962" s="132">
        <f t="shared" si="16"/>
        <v>2.1744592689634463</v>
      </c>
      <c r="P962" s="56">
        <v>5.5181185257711372</v>
      </c>
      <c r="Q962" s="143">
        <v>5.5181185257711372</v>
      </c>
      <c r="R962" s="143">
        <v>2766.1988840513136</v>
      </c>
      <c r="S962" s="34">
        <v>76.198884051313598</v>
      </c>
      <c r="T962" s="56">
        <v>76.198884051313598</v>
      </c>
      <c r="U962" s="56">
        <v>1.8876110224360017</v>
      </c>
      <c r="V962" s="56">
        <v>2.8326722695655611</v>
      </c>
      <c r="W962" s="33">
        <v>2.8326722695655611</v>
      </c>
    </row>
    <row r="963" spans="1:23" ht="16" x14ac:dyDescent="0.2">
      <c r="A963" s="103" t="s">
        <v>19</v>
      </c>
      <c r="B963" t="s">
        <v>852</v>
      </c>
      <c r="C963" s="103" t="s">
        <v>971</v>
      </c>
      <c r="D963" s="224" t="s">
        <v>824</v>
      </c>
      <c r="E963" s="35" t="s">
        <v>148</v>
      </c>
      <c r="F963" s="103" t="s">
        <v>968</v>
      </c>
      <c r="G963" s="103">
        <v>1</v>
      </c>
      <c r="H963" s="35" t="s">
        <v>374</v>
      </c>
      <c r="I963" s="35" t="s">
        <v>580</v>
      </c>
      <c r="J963" s="35">
        <v>1210</v>
      </c>
      <c r="K963" s="147">
        <v>1060.1548480126878</v>
      </c>
      <c r="L963" s="34">
        <v>-149.84515198731219</v>
      </c>
      <c r="M963" s="56">
        <v>149.84515198731219</v>
      </c>
      <c r="N963" s="56">
        <v>2.1785313569439411</v>
      </c>
      <c r="O963" s="132">
        <f t="shared" si="16"/>
        <v>-2.1785313569439411</v>
      </c>
      <c r="P963" s="56">
        <v>-12.383896858455554</v>
      </c>
      <c r="Q963" s="143">
        <v>12.383896858455554</v>
      </c>
      <c r="R963" s="143">
        <v>1231.5498377756001</v>
      </c>
      <c r="S963" s="34">
        <v>21.549837775600054</v>
      </c>
      <c r="T963" s="56">
        <v>21.549837775600054</v>
      </c>
      <c r="U963" s="56">
        <v>1.353143421894017</v>
      </c>
      <c r="V963" s="56">
        <v>1.780978328561988</v>
      </c>
      <c r="W963" s="33">
        <v>1.780978328561988</v>
      </c>
    </row>
    <row r="964" spans="1:23" ht="15" x14ac:dyDescent="0.2">
      <c r="A964" s="103" t="s">
        <v>19</v>
      </c>
      <c r="B964" t="s">
        <v>898</v>
      </c>
      <c r="C964" s="103" t="s">
        <v>975</v>
      </c>
      <c r="D964" s="224" t="s">
        <v>824</v>
      </c>
      <c r="E964" s="35" t="s">
        <v>148</v>
      </c>
      <c r="F964" s="103" t="s">
        <v>967</v>
      </c>
      <c r="G964" s="103">
        <v>0</v>
      </c>
      <c r="H964" s="225" t="s">
        <v>494</v>
      </c>
      <c r="I964" s="35" t="s">
        <v>580</v>
      </c>
      <c r="J964" s="35">
        <v>874</v>
      </c>
      <c r="K964">
        <v>1024.1665999999998</v>
      </c>
      <c r="L964" s="34">
        <v>150.16659999999979</v>
      </c>
      <c r="M964" s="56">
        <v>150.16659999999979</v>
      </c>
      <c r="N964" s="56">
        <v>2.1794558451463177</v>
      </c>
      <c r="O964" s="132">
        <f t="shared" si="16"/>
        <v>2.1794558451463177</v>
      </c>
      <c r="P964" s="56">
        <v>17.181533180778008</v>
      </c>
      <c r="Q964" s="143">
        <v>17.181533180778008</v>
      </c>
      <c r="R964" s="143">
        <v>1034.2652</v>
      </c>
      <c r="S964" s="34">
        <v>160.26520000000005</v>
      </c>
      <c r="T964" s="56">
        <v>160.26520000000005</v>
      </c>
      <c r="U964" s="56">
        <v>2.20754065952445</v>
      </c>
      <c r="V964" s="56">
        <v>18.336979405034331</v>
      </c>
      <c r="W964" s="33">
        <v>18.336979405034331</v>
      </c>
    </row>
    <row r="965" spans="1:23" ht="15" x14ac:dyDescent="0.2">
      <c r="A965" s="103" t="s">
        <v>19</v>
      </c>
      <c r="B965" t="s">
        <v>884</v>
      </c>
      <c r="C965" s="24" t="s">
        <v>980</v>
      </c>
      <c r="D965" s="224" t="s">
        <v>824</v>
      </c>
      <c r="E965" s="35" t="s">
        <v>148</v>
      </c>
      <c r="F965" s="103" t="s">
        <v>968</v>
      </c>
      <c r="G965" s="103">
        <v>1</v>
      </c>
      <c r="H965" s="35" t="s">
        <v>374</v>
      </c>
      <c r="I965" s="35" t="s">
        <v>580</v>
      </c>
      <c r="J965" s="35">
        <v>1733</v>
      </c>
      <c r="K965">
        <v>1883.4378707002845</v>
      </c>
      <c r="L965" s="34">
        <v>150.43787070028452</v>
      </c>
      <c r="M965" s="56">
        <v>150.43787070028452</v>
      </c>
      <c r="N965" s="56">
        <v>2.1802344945794996</v>
      </c>
      <c r="O965" s="132">
        <f t="shared" si="16"/>
        <v>2.1802344945794996</v>
      </c>
      <c r="P965" s="56">
        <v>8.6807773052674264</v>
      </c>
      <c r="Q965" s="143">
        <v>8.6807773052674264</v>
      </c>
      <c r="R965" s="143">
        <v>1875.709062762948</v>
      </c>
      <c r="S965" s="34">
        <v>142.70906276294795</v>
      </c>
      <c r="T965" s="56">
        <v>142.70906276294795</v>
      </c>
      <c r="U965" s="56">
        <v>2.1574841570265768</v>
      </c>
      <c r="V965" s="56">
        <v>8.2347987745497946</v>
      </c>
      <c r="W965" s="33">
        <v>8.2347987745497946</v>
      </c>
    </row>
    <row r="966" spans="1:23" ht="15" x14ac:dyDescent="0.2">
      <c r="A966" s="103" t="s">
        <v>19</v>
      </c>
      <c r="B966" s="28" t="s">
        <v>434</v>
      </c>
      <c r="C966" s="224" t="s">
        <v>978</v>
      </c>
      <c r="D966" s="35" t="s">
        <v>458</v>
      </c>
      <c r="E966" s="208" t="s">
        <v>82</v>
      </c>
      <c r="F966" s="103" t="s">
        <v>968</v>
      </c>
      <c r="G966" s="103">
        <v>1</v>
      </c>
      <c r="H966" s="35" t="s">
        <v>374</v>
      </c>
      <c r="I966" s="35" t="s">
        <v>580</v>
      </c>
      <c r="J966" s="35">
        <v>2370</v>
      </c>
      <c r="K966" s="141">
        <v>2521.2618280319693</v>
      </c>
      <c r="L966" s="34">
        <v>151.26182803196934</v>
      </c>
      <c r="M966" s="56">
        <v>151.26182803196934</v>
      </c>
      <c r="N966" s="56">
        <v>2.1825910395610051</v>
      </c>
      <c r="O966" s="132">
        <f t="shared" si="16"/>
        <v>2.1825910395610051</v>
      </c>
      <c r="P966" s="56">
        <v>6.3823556131632637</v>
      </c>
      <c r="Q966" s="143">
        <v>6.3823556131632637</v>
      </c>
      <c r="R966" s="143">
        <v>2501.1698173158056</v>
      </c>
      <c r="S966" s="34">
        <v>131.16981731580563</v>
      </c>
      <c r="T966" s="56">
        <v>131.16981731580563</v>
      </c>
      <c r="U966" s="56">
        <v>2.1211322897200375</v>
      </c>
      <c r="V966" s="56">
        <v>5.5345914479242886</v>
      </c>
      <c r="W966" s="33">
        <v>5.5345914479242886</v>
      </c>
    </row>
    <row r="967" spans="1:23" ht="16" x14ac:dyDescent="0.2">
      <c r="A967" s="103" t="s">
        <v>19</v>
      </c>
      <c r="B967" t="s">
        <v>882</v>
      </c>
      <c r="C967" s="224" t="s">
        <v>974</v>
      </c>
      <c r="D967" s="224" t="s">
        <v>824</v>
      </c>
      <c r="E967" s="35" t="s">
        <v>148</v>
      </c>
      <c r="F967" s="103" t="s">
        <v>967</v>
      </c>
      <c r="G967" s="103">
        <v>0</v>
      </c>
      <c r="H967" s="35" t="s">
        <v>374</v>
      </c>
      <c r="I967" s="35" t="s">
        <v>580</v>
      </c>
      <c r="J967" s="35">
        <v>1643</v>
      </c>
      <c r="K967" s="147">
        <v>1796.2624000000001</v>
      </c>
      <c r="L967" s="34">
        <v>153.26240000000007</v>
      </c>
      <c r="M967" s="56">
        <v>153.26240000000007</v>
      </c>
      <c r="N967" s="56">
        <v>2.1882600837920201</v>
      </c>
      <c r="O967" s="132">
        <f t="shared" si="16"/>
        <v>2.1882600837920201</v>
      </c>
      <c r="P967" s="56">
        <v>9.3282045039561812</v>
      </c>
      <c r="Q967" s="143">
        <v>9.3282045039561812</v>
      </c>
      <c r="R967" s="143">
        <v>1694.8943999999999</v>
      </c>
      <c r="S967" s="34">
        <v>51.894399999999905</v>
      </c>
      <c r="T967" s="56">
        <v>51.894399999999905</v>
      </c>
      <c r="U967" s="56">
        <v>1.7234096951384696</v>
      </c>
      <c r="V967" s="56">
        <v>3.1585149117467988</v>
      </c>
      <c r="W967" s="33">
        <v>3.1585149117467988</v>
      </c>
    </row>
    <row r="968" spans="1:23" ht="15" x14ac:dyDescent="0.2">
      <c r="A968" s="103" t="s">
        <v>19</v>
      </c>
      <c r="B968" t="s">
        <v>886</v>
      </c>
      <c r="C968" s="224" t="s">
        <v>974</v>
      </c>
      <c r="D968" s="224" t="s">
        <v>824</v>
      </c>
      <c r="E968" s="35" t="s">
        <v>148</v>
      </c>
      <c r="F968" s="103" t="s">
        <v>967</v>
      </c>
      <c r="G968" s="103">
        <v>0</v>
      </c>
      <c r="H968" s="35" t="s">
        <v>374</v>
      </c>
      <c r="I968" s="35" t="s">
        <v>580</v>
      </c>
      <c r="J968" s="35">
        <v>2100</v>
      </c>
      <c r="K968">
        <v>2253.6997000000001</v>
      </c>
      <c r="L968" s="34">
        <v>153.69970000000012</v>
      </c>
      <c r="M968" s="56">
        <v>153.69970000000012</v>
      </c>
      <c r="N968" s="56">
        <v>2.1894894714985216</v>
      </c>
      <c r="O968" s="132">
        <f t="shared" si="16"/>
        <v>2.1894894714985216</v>
      </c>
      <c r="P968" s="56">
        <v>7.3190333333333388</v>
      </c>
      <c r="Q968" s="143">
        <v>7.3190333333333388</v>
      </c>
      <c r="R968" s="143">
        <v>2130.3020999999999</v>
      </c>
      <c r="S968" s="34">
        <v>30.302099999999882</v>
      </c>
      <c r="T968" s="56">
        <v>30.302099999999882</v>
      </c>
      <c r="U968" s="56">
        <v>1.4955734745374532</v>
      </c>
      <c r="V968" s="56">
        <v>1.4429571428571373</v>
      </c>
      <c r="W968" s="33">
        <v>1.4429571428571373</v>
      </c>
    </row>
    <row r="969" spans="1:23" ht="16" x14ac:dyDescent="0.2">
      <c r="A969" s="103" t="s">
        <v>19</v>
      </c>
      <c r="B969" t="s">
        <v>858</v>
      </c>
      <c r="C969" s="224" t="s">
        <v>974</v>
      </c>
      <c r="D969" s="224" t="s">
        <v>824</v>
      </c>
      <c r="E969" s="35" t="s">
        <v>148</v>
      </c>
      <c r="F969" s="103" t="s">
        <v>967</v>
      </c>
      <c r="G969" s="103">
        <v>0</v>
      </c>
      <c r="H969" s="225" t="s">
        <v>494</v>
      </c>
      <c r="I969" s="35" t="s">
        <v>580</v>
      </c>
      <c r="J969" s="35">
        <v>1062</v>
      </c>
      <c r="K969" s="147">
        <v>1217.8933999999999</v>
      </c>
      <c r="L969" s="34">
        <v>155.89339999999993</v>
      </c>
      <c r="M969" s="56">
        <v>155.89339999999993</v>
      </c>
      <c r="N969" s="56">
        <v>2.1956046746011579</v>
      </c>
      <c r="O969" s="132">
        <f t="shared" si="16"/>
        <v>2.1956046746011579</v>
      </c>
      <c r="P969" s="56">
        <v>14.67922787193973</v>
      </c>
      <c r="Q969" s="143">
        <v>14.67922787193973</v>
      </c>
      <c r="R969" s="143">
        <v>1135.0844999999999</v>
      </c>
      <c r="S969" s="34">
        <v>73.084499999999935</v>
      </c>
      <c r="T969" s="56">
        <v>73.084499999999935</v>
      </c>
      <c r="U969" s="56">
        <v>1.8697273541519159</v>
      </c>
      <c r="V969" s="56">
        <v>6.8817796610169433</v>
      </c>
      <c r="W969" s="33">
        <v>6.8817796610169433</v>
      </c>
    </row>
    <row r="970" spans="1:23" ht="15" x14ac:dyDescent="0.2">
      <c r="A970" s="103" t="s">
        <v>19</v>
      </c>
      <c r="B970" s="28" t="s">
        <v>306</v>
      </c>
      <c r="C970" s="103" t="s">
        <v>971</v>
      </c>
      <c r="D970" s="208" t="s">
        <v>403</v>
      </c>
      <c r="E970" s="35" t="s">
        <v>148</v>
      </c>
      <c r="F970" s="103" t="s">
        <v>968</v>
      </c>
      <c r="G970" s="103">
        <v>1</v>
      </c>
      <c r="H970" s="35" t="s">
        <v>494</v>
      </c>
      <c r="I970" s="35" t="s">
        <v>580</v>
      </c>
      <c r="J970" s="35">
        <v>1098.0999999999999</v>
      </c>
      <c r="K970" s="141">
        <v>1254.7504839175699</v>
      </c>
      <c r="L970" s="34">
        <v>156.65048391757</v>
      </c>
      <c r="M970" s="56">
        <v>156.65048391757</v>
      </c>
      <c r="N970" s="56">
        <v>2.1976953081788033</v>
      </c>
      <c r="O970" s="132">
        <f t="shared" si="16"/>
        <v>2.1976953081788033</v>
      </c>
      <c r="P970" s="56">
        <v>14.265593654272836</v>
      </c>
      <c r="Q970" s="143">
        <v>14.265593654272836</v>
      </c>
      <c r="R970" s="143">
        <v>1435.3812693587888</v>
      </c>
      <c r="S970" s="34">
        <v>337.2812693587889</v>
      </c>
      <c r="T970" s="56">
        <v>337.2812693587889</v>
      </c>
      <c r="U970" s="56">
        <v>2.5292779515588255</v>
      </c>
      <c r="V970" s="56">
        <v>30.714986736981054</v>
      </c>
      <c r="W970" s="33">
        <v>30.714986736981054</v>
      </c>
    </row>
    <row r="971" spans="1:23" ht="15" x14ac:dyDescent="0.2">
      <c r="A971" s="103" t="s">
        <v>19</v>
      </c>
      <c r="B971" s="28" t="s">
        <v>601</v>
      </c>
      <c r="C971" s="224" t="s">
        <v>977</v>
      </c>
      <c r="D971" s="208" t="s">
        <v>403</v>
      </c>
      <c r="E971" s="35" t="s">
        <v>82</v>
      </c>
      <c r="F971" s="103" t="s">
        <v>968</v>
      </c>
      <c r="G971" s="103">
        <v>1</v>
      </c>
      <c r="H971" s="35" t="s">
        <v>203</v>
      </c>
      <c r="I971" s="35" t="s">
        <v>581</v>
      </c>
      <c r="J971" s="35">
        <v>5182</v>
      </c>
      <c r="K971" s="141">
        <v>5025.3287239968904</v>
      </c>
      <c r="L971" s="34">
        <v>-156.6712760031096</v>
      </c>
      <c r="M971" s="56">
        <v>156.6712760031096</v>
      </c>
      <c r="N971" s="56">
        <v>2.1977525822979915</v>
      </c>
      <c r="O971" s="132">
        <f t="shared" si="16"/>
        <v>-2.1977525822979915</v>
      </c>
      <c r="P971" s="56">
        <v>-3.0233746816501275</v>
      </c>
      <c r="Q971" s="143">
        <v>3.0233746816501275</v>
      </c>
      <c r="R971" s="143">
        <v>5012.7883930999242</v>
      </c>
      <c r="S971" s="34">
        <v>-169.21160690007582</v>
      </c>
      <c r="T971" s="56">
        <v>169.21160690007582</v>
      </c>
      <c r="U971" s="56">
        <v>2.2309891717343624</v>
      </c>
      <c r="V971" s="56">
        <v>-3.2653725762268588</v>
      </c>
      <c r="W971" s="33">
        <v>3.2653725762268588</v>
      </c>
    </row>
    <row r="972" spans="1:23" ht="16" x14ac:dyDescent="0.2">
      <c r="A972" s="103" t="s">
        <v>19</v>
      </c>
      <c r="B972" t="s">
        <v>875</v>
      </c>
      <c r="C972" s="224" t="s">
        <v>974</v>
      </c>
      <c r="D972" s="224" t="s">
        <v>824</v>
      </c>
      <c r="E972" s="35" t="s">
        <v>148</v>
      </c>
      <c r="F972" s="103" t="s">
        <v>967</v>
      </c>
      <c r="G972" s="103">
        <v>0</v>
      </c>
      <c r="H972" s="35" t="s">
        <v>374</v>
      </c>
      <c r="I972" s="35" t="s">
        <v>580</v>
      </c>
      <c r="J972" s="35">
        <v>1490</v>
      </c>
      <c r="K972" s="147">
        <v>1649.0411999999999</v>
      </c>
      <c r="L972" s="34">
        <v>159.04119999999989</v>
      </c>
      <c r="M972" s="56">
        <v>159.04119999999989</v>
      </c>
      <c r="N972" s="56">
        <v>2.2042317990892664</v>
      </c>
      <c r="O972" s="132">
        <f t="shared" si="16"/>
        <v>2.2042317990892664</v>
      </c>
      <c r="P972" s="56">
        <v>10.673906040268449</v>
      </c>
      <c r="Q972" s="143">
        <v>10.673906040268449</v>
      </c>
      <c r="R972" s="143">
        <v>1532.2145999999998</v>
      </c>
      <c r="S972" s="34">
        <v>42.214599999999791</v>
      </c>
      <c r="T972" s="56">
        <v>42.214599999999791</v>
      </c>
      <c r="U972" s="56">
        <v>1.6356304974680662</v>
      </c>
      <c r="V972" s="56">
        <v>2.8331946308724691</v>
      </c>
      <c r="W972" s="33">
        <v>2.8331946308724691</v>
      </c>
    </row>
    <row r="973" spans="1:23" ht="16" x14ac:dyDescent="0.2">
      <c r="A973" s="103" t="s">
        <v>19</v>
      </c>
      <c r="B973" t="s">
        <v>881</v>
      </c>
      <c r="C973" s="103" t="s">
        <v>979</v>
      </c>
      <c r="D973" s="224" t="s">
        <v>824</v>
      </c>
      <c r="E973" s="35" t="s">
        <v>148</v>
      </c>
      <c r="F973" s="103" t="s">
        <v>967</v>
      </c>
      <c r="G973" s="103">
        <v>0</v>
      </c>
      <c r="H973" s="35" t="s">
        <v>374</v>
      </c>
      <c r="I973" s="35" t="s">
        <v>580</v>
      </c>
      <c r="J973" s="35">
        <v>1835</v>
      </c>
      <c r="K973" s="147">
        <v>1673.9130434782608</v>
      </c>
      <c r="L973" s="34">
        <v>-161.08695652173924</v>
      </c>
      <c r="M973" s="56">
        <v>161.08695652173924</v>
      </c>
      <c r="N973" s="56">
        <v>2.2097480676643513</v>
      </c>
      <c r="O973" s="132">
        <f t="shared" si="16"/>
        <v>-2.2097480676643513</v>
      </c>
      <c r="P973" s="56">
        <v>-8.7785807368795226</v>
      </c>
      <c r="Q973" s="143">
        <v>8.7785807368795226</v>
      </c>
      <c r="R973" s="143">
        <v>1666.6666666666667</v>
      </c>
      <c r="S973" s="34">
        <v>-168.33333333333326</v>
      </c>
      <c r="T973" s="56">
        <v>168.33333333333326</v>
      </c>
      <c r="U973" s="56">
        <v>2.2287424575642567</v>
      </c>
      <c r="V973" s="56">
        <v>-9.1734786557674788</v>
      </c>
      <c r="W973" s="33">
        <v>9.1734786557674788</v>
      </c>
    </row>
    <row r="974" spans="1:23" ht="15" x14ac:dyDescent="0.2">
      <c r="A974" s="103" t="s">
        <v>19</v>
      </c>
      <c r="B974" s="28" t="s">
        <v>434</v>
      </c>
      <c r="C974" s="103" t="s">
        <v>971</v>
      </c>
      <c r="D974" s="35" t="s">
        <v>458</v>
      </c>
      <c r="E974" s="208" t="s">
        <v>82</v>
      </c>
      <c r="F974" s="103" t="s">
        <v>968</v>
      </c>
      <c r="G974" s="103">
        <v>1</v>
      </c>
      <c r="H974" s="35" t="s">
        <v>374</v>
      </c>
      <c r="I974" s="35" t="s">
        <v>580</v>
      </c>
      <c r="J974" s="35">
        <v>2370</v>
      </c>
      <c r="K974" s="141">
        <v>2532.0754914771296</v>
      </c>
      <c r="L974" s="34">
        <v>162.07549147712962</v>
      </c>
      <c r="M974" s="56">
        <v>162.07549147712962</v>
      </c>
      <c r="N974" s="56">
        <v>2.2123886960737753</v>
      </c>
      <c r="O974" s="132">
        <f t="shared" si="16"/>
        <v>2.2123886960737753</v>
      </c>
      <c r="P974" s="56">
        <v>6.8386283323683381</v>
      </c>
      <c r="Q974" s="143">
        <v>6.8386283323683381</v>
      </c>
      <c r="R974" s="143">
        <v>2824.4598863434267</v>
      </c>
      <c r="S974" s="34">
        <v>454.45988634342666</v>
      </c>
      <c r="T974" s="56">
        <v>454.45988634342666</v>
      </c>
      <c r="U974" s="56">
        <v>2.6584501334345032</v>
      </c>
      <c r="V974" s="56">
        <v>19.17552263052433</v>
      </c>
      <c r="W974" s="33">
        <v>19.17552263052433</v>
      </c>
    </row>
    <row r="975" spans="1:23" ht="15" x14ac:dyDescent="0.2">
      <c r="A975" s="103" t="s">
        <v>19</v>
      </c>
      <c r="B975" s="206" t="s">
        <v>460</v>
      </c>
      <c r="C975" s="24" t="s">
        <v>980</v>
      </c>
      <c r="D975" s="35" t="s">
        <v>403</v>
      </c>
      <c r="E975" s="35" t="s">
        <v>82</v>
      </c>
      <c r="F975" s="103" t="s">
        <v>968</v>
      </c>
      <c r="G975" s="103">
        <v>1</v>
      </c>
      <c r="H975" s="35" t="s">
        <v>203</v>
      </c>
      <c r="I975" s="35" t="s">
        <v>581</v>
      </c>
      <c r="J975" s="35">
        <v>4340</v>
      </c>
      <c r="K975" s="141">
        <v>4503.1730298196908</v>
      </c>
      <c r="L975" s="34">
        <v>163.17302981969078</v>
      </c>
      <c r="M975" s="56">
        <v>163.17302981969078</v>
      </c>
      <c r="N975" s="56">
        <v>2.2153018131821338</v>
      </c>
      <c r="O975" s="132">
        <f t="shared" si="16"/>
        <v>2.2153018131821338</v>
      </c>
      <c r="P975" s="56">
        <v>3.7597472308684514</v>
      </c>
      <c r="Q975" s="143">
        <v>3.7597472308684514</v>
      </c>
      <c r="R975" s="143">
        <v>4435.362606988142</v>
      </c>
      <c r="S975" s="34">
        <v>95.362606988142034</v>
      </c>
      <c r="T975" s="56">
        <v>95.362606988142034</v>
      </c>
      <c r="U975" s="56">
        <v>1.9839085408618919</v>
      </c>
      <c r="V975" s="56">
        <v>2.1972950918926735</v>
      </c>
      <c r="W975" s="33">
        <v>2.1972950918926735</v>
      </c>
    </row>
    <row r="976" spans="1:23" ht="15" x14ac:dyDescent="0.2">
      <c r="A976" s="103" t="s">
        <v>19</v>
      </c>
      <c r="B976" t="s">
        <v>889</v>
      </c>
      <c r="C976" s="103" t="s">
        <v>970</v>
      </c>
      <c r="D976" s="224" t="s">
        <v>824</v>
      </c>
      <c r="E976" s="35" t="s">
        <v>148</v>
      </c>
      <c r="F976" s="103" t="s">
        <v>967</v>
      </c>
      <c r="G976" s="103">
        <v>0</v>
      </c>
      <c r="H976" s="35" t="s">
        <v>374</v>
      </c>
      <c r="I976" s="35" t="s">
        <v>580</v>
      </c>
      <c r="J976" s="35">
        <v>1895</v>
      </c>
      <c r="K976">
        <v>2058.3870000000002</v>
      </c>
      <c r="L976" s="34">
        <v>163.38700000000017</v>
      </c>
      <c r="M976" s="56">
        <v>163.38700000000017</v>
      </c>
      <c r="N976" s="56">
        <v>2.2158674698250804</v>
      </c>
      <c r="O976" s="132">
        <f t="shared" si="16"/>
        <v>2.2158674698250804</v>
      </c>
      <c r="P976" s="56">
        <v>8.6220052770448632</v>
      </c>
      <c r="Q976" s="143">
        <v>8.6220052770448632</v>
      </c>
      <c r="R976" s="143">
        <v>2085.5570000000002</v>
      </c>
      <c r="S976" s="34">
        <v>190.55700000000024</v>
      </c>
      <c r="T976" s="56">
        <v>190.55700000000024</v>
      </c>
      <c r="U976" s="56">
        <v>2.2822980268794035</v>
      </c>
      <c r="V976" s="56">
        <v>10.055778364116108</v>
      </c>
      <c r="W976" s="33">
        <v>10.055778364116108</v>
      </c>
    </row>
    <row r="977" spans="1:23" ht="16" x14ac:dyDescent="0.2">
      <c r="A977" s="103" t="s">
        <v>19</v>
      </c>
      <c r="B977" t="s">
        <v>858</v>
      </c>
      <c r="C977" s="103" t="s">
        <v>975</v>
      </c>
      <c r="D977" s="224" t="s">
        <v>824</v>
      </c>
      <c r="E977" s="35" t="s">
        <v>148</v>
      </c>
      <c r="F977" s="103" t="s">
        <v>967</v>
      </c>
      <c r="G977" s="103">
        <v>0</v>
      </c>
      <c r="H977" s="225" t="s">
        <v>494</v>
      </c>
      <c r="I977" s="35" t="s">
        <v>580</v>
      </c>
      <c r="J977" s="35">
        <v>1062</v>
      </c>
      <c r="K977" s="147">
        <v>1227.9967999999999</v>
      </c>
      <c r="L977" s="34">
        <v>165.99679999999989</v>
      </c>
      <c r="M977" s="56">
        <v>165.99679999999989</v>
      </c>
      <c r="N977" s="56">
        <v>2.2227081492574206</v>
      </c>
      <c r="O977" s="132">
        <f t="shared" si="16"/>
        <v>2.2227081492574206</v>
      </c>
      <c r="P977" s="56">
        <v>15.630583804143116</v>
      </c>
      <c r="Q977" s="143">
        <v>15.630583804143116</v>
      </c>
      <c r="R977" s="143">
        <v>1222.425</v>
      </c>
      <c r="S977" s="34">
        <v>160.42499999999995</v>
      </c>
      <c r="T977" s="56">
        <v>160.42499999999995</v>
      </c>
      <c r="U977" s="56">
        <v>2.2079707950778769</v>
      </c>
      <c r="V977" s="56">
        <v>15.105932203389827</v>
      </c>
      <c r="W977" s="33">
        <v>15.105932203389827</v>
      </c>
    </row>
    <row r="978" spans="1:23" ht="16" x14ac:dyDescent="0.2">
      <c r="A978" s="103" t="s">
        <v>19</v>
      </c>
      <c r="B978" t="s">
        <v>842</v>
      </c>
      <c r="C978" s="103" t="s">
        <v>970</v>
      </c>
      <c r="D978" s="224" t="s">
        <v>824</v>
      </c>
      <c r="E978" s="35" t="s">
        <v>148</v>
      </c>
      <c r="F978" s="103" t="s">
        <v>967</v>
      </c>
      <c r="G978" s="103">
        <v>0</v>
      </c>
      <c r="H978" s="35" t="s">
        <v>374</v>
      </c>
      <c r="I978" s="35" t="s">
        <v>580</v>
      </c>
      <c r="J978" s="35">
        <v>2435</v>
      </c>
      <c r="K978" s="147">
        <v>2604.3770000000004</v>
      </c>
      <c r="L978" s="34">
        <v>169.37700000000041</v>
      </c>
      <c r="M978" s="56">
        <v>169.37700000000041</v>
      </c>
      <c r="N978" s="56">
        <v>2.2314109669138431</v>
      </c>
      <c r="O978" s="132">
        <f t="shared" si="16"/>
        <v>2.2314109669138431</v>
      </c>
      <c r="P978" s="56">
        <v>6.9559342915811255</v>
      </c>
      <c r="Q978" s="143">
        <v>6.9559342915811255</v>
      </c>
      <c r="R978" s="143">
        <v>2683.5800000000004</v>
      </c>
      <c r="S978" s="34">
        <v>248.58000000000038</v>
      </c>
      <c r="T978" s="56">
        <v>248.58000000000038</v>
      </c>
      <c r="U978" s="56">
        <v>2.3972097803787804</v>
      </c>
      <c r="V978" s="56">
        <v>10.208624229979481</v>
      </c>
      <c r="W978" s="33">
        <v>10.208624229979481</v>
      </c>
    </row>
    <row r="979" spans="1:23" ht="15" x14ac:dyDescent="0.2">
      <c r="A979" s="103" t="s">
        <v>19</v>
      </c>
      <c r="B979" s="206" t="s">
        <v>460</v>
      </c>
      <c r="C979" s="103" t="s">
        <v>970</v>
      </c>
      <c r="D979" s="35" t="s">
        <v>403</v>
      </c>
      <c r="E979" s="35" t="s">
        <v>82</v>
      </c>
      <c r="F979" s="103" t="s">
        <v>967</v>
      </c>
      <c r="G979" s="103">
        <v>0</v>
      </c>
      <c r="H979" s="35" t="s">
        <v>203</v>
      </c>
      <c r="I979" s="35" t="s">
        <v>581</v>
      </c>
      <c r="J979" s="35">
        <v>4340</v>
      </c>
      <c r="K979" s="141">
        <v>4509.8821000000007</v>
      </c>
      <c r="L979" s="34">
        <v>169.88210000000072</v>
      </c>
      <c r="M979" s="56">
        <v>169.88210000000072</v>
      </c>
      <c r="N979" s="56">
        <v>2.2326965725020691</v>
      </c>
      <c r="O979" s="132">
        <f t="shared" si="16"/>
        <v>2.2326965725020691</v>
      </c>
      <c r="P979" s="56">
        <v>3.9143341013825053</v>
      </c>
      <c r="Q979" s="143">
        <v>3.9143341013825053</v>
      </c>
      <c r="R979" s="143">
        <v>4712.3870000000006</v>
      </c>
      <c r="S979" s="34">
        <v>372.38700000000063</v>
      </c>
      <c r="T979" s="56">
        <v>372.38700000000063</v>
      </c>
      <c r="U979" s="56">
        <v>2.5721591932955792</v>
      </c>
      <c r="V979" s="56">
        <v>8.5803456221198307</v>
      </c>
      <c r="W979" s="33">
        <v>8.5803456221198307</v>
      </c>
    </row>
    <row r="980" spans="1:23" ht="16" x14ac:dyDescent="0.2">
      <c r="A980" s="103" t="s">
        <v>19</v>
      </c>
      <c r="B980" t="s">
        <v>842</v>
      </c>
      <c r="C980" s="224" t="s">
        <v>974</v>
      </c>
      <c r="D980" s="224" t="s">
        <v>824</v>
      </c>
      <c r="E980" s="35" t="s">
        <v>148</v>
      </c>
      <c r="F980" s="103" t="s">
        <v>967</v>
      </c>
      <c r="G980" s="103">
        <v>0</v>
      </c>
      <c r="H980" s="35" t="s">
        <v>374</v>
      </c>
      <c r="I980" s="35" t="s">
        <v>580</v>
      </c>
      <c r="J980" s="35">
        <v>2435</v>
      </c>
      <c r="K980" s="147">
        <v>2605.9790000000003</v>
      </c>
      <c r="L980" s="34">
        <v>170.97900000000027</v>
      </c>
      <c r="M980" s="56">
        <v>170.97900000000027</v>
      </c>
      <c r="N980" s="56">
        <v>2.2354754193440569</v>
      </c>
      <c r="O980" s="132">
        <f t="shared" si="16"/>
        <v>2.2354754193440569</v>
      </c>
      <c r="P980" s="56">
        <v>7.0217248459959043</v>
      </c>
      <c r="Q980" s="143">
        <v>7.0217248459959043</v>
      </c>
      <c r="R980" s="143">
        <v>2450.877</v>
      </c>
      <c r="S980" s="34">
        <v>15.876999999999953</v>
      </c>
      <c r="T980" s="56">
        <v>15.876999999999953</v>
      </c>
      <c r="U980" s="56">
        <v>1.2272952503917094</v>
      </c>
      <c r="V980" s="56">
        <v>0.65203285420944368</v>
      </c>
      <c r="W980" s="33">
        <v>0.65203285420944368</v>
      </c>
    </row>
    <row r="981" spans="1:23" ht="15" x14ac:dyDescent="0.2">
      <c r="A981" s="103" t="s">
        <v>19</v>
      </c>
      <c r="B981" s="28" t="s">
        <v>426</v>
      </c>
      <c r="C981" s="224" t="s">
        <v>974</v>
      </c>
      <c r="D981" s="35" t="s">
        <v>458</v>
      </c>
      <c r="E981" s="208" t="s">
        <v>82</v>
      </c>
      <c r="F981" s="103" t="s">
        <v>967</v>
      </c>
      <c r="G981" s="103">
        <v>0</v>
      </c>
      <c r="H981" s="35" t="s">
        <v>374</v>
      </c>
      <c r="I981" s="35" t="s">
        <v>580</v>
      </c>
      <c r="J981" s="35">
        <v>1620</v>
      </c>
      <c r="K981" s="141">
        <v>1791.0045</v>
      </c>
      <c r="L981" s="34">
        <v>171.00450000000001</v>
      </c>
      <c r="M981" s="56">
        <v>171.00450000000001</v>
      </c>
      <c r="N981" s="56">
        <v>2.2355398091145471</v>
      </c>
      <c r="O981" s="132">
        <f t="shared" si="16"/>
        <v>2.2355398091145471</v>
      </c>
      <c r="P981" s="56">
        <v>10.555833333333334</v>
      </c>
      <c r="Q981" s="143">
        <v>10.555833333333334</v>
      </c>
      <c r="R981" s="143">
        <v>1685.3249999999998</v>
      </c>
      <c r="S981" s="34">
        <v>65.324999999999818</v>
      </c>
      <c r="T981" s="56">
        <v>65.324999999999818</v>
      </c>
      <c r="U981" s="56">
        <v>1.8216772586543657</v>
      </c>
      <c r="V981" s="56">
        <v>4.0324074074073959</v>
      </c>
      <c r="W981" s="33">
        <v>4.0324074074073959</v>
      </c>
    </row>
    <row r="982" spans="1:23" ht="16" x14ac:dyDescent="0.2">
      <c r="A982" s="103" t="s">
        <v>19</v>
      </c>
      <c r="B982" t="s">
        <v>867</v>
      </c>
      <c r="C982" s="103" t="s">
        <v>979</v>
      </c>
      <c r="D982" s="224" t="s">
        <v>824</v>
      </c>
      <c r="E982" s="35" t="s">
        <v>148</v>
      </c>
      <c r="F982" s="103" t="s">
        <v>967</v>
      </c>
      <c r="G982" s="103">
        <v>0</v>
      </c>
      <c r="H982" s="35" t="s">
        <v>374</v>
      </c>
      <c r="I982" s="35" t="s">
        <v>580</v>
      </c>
      <c r="J982" s="35">
        <v>1842</v>
      </c>
      <c r="K982" s="147">
        <v>1669.5652173913043</v>
      </c>
      <c r="L982" s="34">
        <v>-172.43478260869574</v>
      </c>
      <c r="M982" s="56">
        <v>172.43478260869574</v>
      </c>
      <c r="N982" s="56">
        <v>2.239136200292247</v>
      </c>
      <c r="O982" s="132">
        <f t="shared" si="16"/>
        <v>-2.239136200292247</v>
      </c>
      <c r="P982" s="56">
        <v>-9.361280271916165</v>
      </c>
      <c r="Q982" s="143">
        <v>9.361280271916165</v>
      </c>
      <c r="R982" s="143">
        <v>1687.5</v>
      </c>
      <c r="S982" s="34">
        <v>-154.5</v>
      </c>
      <c r="T982" s="56">
        <v>154.5</v>
      </c>
      <c r="U982" s="56">
        <v>2.1917303933628562</v>
      </c>
      <c r="V982" s="56">
        <v>-8.3876221498371333</v>
      </c>
      <c r="W982" s="33">
        <v>8.3876221498371333</v>
      </c>
    </row>
    <row r="983" spans="1:23" ht="15" x14ac:dyDescent="0.2">
      <c r="A983" s="103" t="s">
        <v>19</v>
      </c>
      <c r="B983" s="28" t="s">
        <v>360</v>
      </c>
      <c r="C983" s="24" t="s">
        <v>980</v>
      </c>
      <c r="D983" s="208" t="s">
        <v>403</v>
      </c>
      <c r="E983" s="35" t="s">
        <v>82</v>
      </c>
      <c r="F983" s="103" t="s">
        <v>968</v>
      </c>
      <c r="G983" s="103">
        <v>1</v>
      </c>
      <c r="H983" s="35" t="s">
        <v>494</v>
      </c>
      <c r="I983" s="35" t="s">
        <v>580</v>
      </c>
      <c r="J983" s="35">
        <v>906.8</v>
      </c>
      <c r="K983" s="141">
        <v>1079.7921565822337</v>
      </c>
      <c r="L983" s="34">
        <v>172.99215658223375</v>
      </c>
      <c r="M983" s="56">
        <v>172.99215658223375</v>
      </c>
      <c r="N983" s="56">
        <v>2.2405296710996585</v>
      </c>
      <c r="O983" s="132">
        <f t="shared" si="16"/>
        <v>2.2405296710996585</v>
      </c>
      <c r="P983" s="56">
        <v>19.077211797776108</v>
      </c>
      <c r="Q983" s="143">
        <v>19.077211797776108</v>
      </c>
      <c r="R983" s="143">
        <v>1055.5598001641042</v>
      </c>
      <c r="S983" s="34">
        <v>148.75980016410426</v>
      </c>
      <c r="T983" s="56">
        <v>148.75980016410426</v>
      </c>
      <c r="U983" s="56">
        <v>2.1753952518822466</v>
      </c>
      <c r="V983" s="56">
        <v>16.404918412450847</v>
      </c>
      <c r="W983" s="33">
        <v>16.404918412450847</v>
      </c>
    </row>
    <row r="984" spans="1:23" ht="16" x14ac:dyDescent="0.2">
      <c r="A984" s="103" t="s">
        <v>19</v>
      </c>
      <c r="B984" t="s">
        <v>883</v>
      </c>
      <c r="C984" s="103" t="s">
        <v>970</v>
      </c>
      <c r="D984" s="224" t="s">
        <v>824</v>
      </c>
      <c r="E984" s="35" t="s">
        <v>148</v>
      </c>
      <c r="F984" s="103" t="s">
        <v>967</v>
      </c>
      <c r="G984" s="103">
        <v>0</v>
      </c>
      <c r="H984" s="35" t="s">
        <v>374</v>
      </c>
      <c r="I984" s="35" t="s">
        <v>580</v>
      </c>
      <c r="J984" s="35">
        <v>1670</v>
      </c>
      <c r="K984" s="147">
        <v>1845.4509000000003</v>
      </c>
      <c r="L984" s="34">
        <v>175.45090000000027</v>
      </c>
      <c r="M984" s="56">
        <v>175.45090000000027</v>
      </c>
      <c r="N984" s="56">
        <v>2.2466238778506327</v>
      </c>
      <c r="O984" s="132">
        <f t="shared" si="16"/>
        <v>2.2466238778506327</v>
      </c>
      <c r="P984" s="56">
        <v>10.50604191616768</v>
      </c>
      <c r="Q984" s="143">
        <v>10.50604191616768</v>
      </c>
      <c r="R984" s="143">
        <v>1873.1750000000002</v>
      </c>
      <c r="S984" s="34">
        <v>203.17500000000018</v>
      </c>
      <c r="T984" s="56">
        <v>203.17500000000018</v>
      </c>
      <c r="U984" s="56">
        <v>2.3100025642605404</v>
      </c>
      <c r="V984" s="56">
        <v>12.16616766467067</v>
      </c>
      <c r="W984" s="33">
        <v>12.16616766467067</v>
      </c>
    </row>
    <row r="985" spans="1:23" ht="15" x14ac:dyDescent="0.2">
      <c r="A985" s="103" t="s">
        <v>19</v>
      </c>
      <c r="B985" s="28" t="s">
        <v>360</v>
      </c>
      <c r="C985" s="103" t="s">
        <v>970</v>
      </c>
      <c r="D985" s="208" t="s">
        <v>403</v>
      </c>
      <c r="E985" s="35" t="s">
        <v>82</v>
      </c>
      <c r="F985" s="103" t="s">
        <v>967</v>
      </c>
      <c r="G985" s="103">
        <v>0</v>
      </c>
      <c r="H985" s="35" t="s">
        <v>494</v>
      </c>
      <c r="I985" s="35" t="s">
        <v>580</v>
      </c>
      <c r="J985" s="35">
        <v>906.8</v>
      </c>
      <c r="K985" s="141">
        <v>1086.5248000000001</v>
      </c>
      <c r="L985" s="34">
        <v>179.72480000000019</v>
      </c>
      <c r="M985" s="56">
        <v>179.72480000000019</v>
      </c>
      <c r="N985" s="56">
        <v>2.2570177528051221</v>
      </c>
      <c r="O985" s="132">
        <f t="shared" si="16"/>
        <v>2.2570177528051221</v>
      </c>
      <c r="P985" s="56">
        <v>19.819673577415106</v>
      </c>
      <c r="Q985" s="143">
        <v>19.819673577415106</v>
      </c>
      <c r="R985" s="143">
        <v>1062.9376699999998</v>
      </c>
      <c r="S985" s="34">
        <v>156.13766999999984</v>
      </c>
      <c r="T985" s="56">
        <v>156.13766999999984</v>
      </c>
      <c r="U985" s="56">
        <v>2.1962803092413243</v>
      </c>
      <c r="V985" s="56">
        <v>17.21853440670488</v>
      </c>
      <c r="W985" s="33">
        <v>17.21853440670488</v>
      </c>
    </row>
    <row r="986" spans="1:23" ht="15" x14ac:dyDescent="0.2">
      <c r="A986" s="103" t="s">
        <v>19</v>
      </c>
      <c r="B986" s="28" t="s">
        <v>306</v>
      </c>
      <c r="C986" s="224" t="s">
        <v>978</v>
      </c>
      <c r="D986" s="208" t="s">
        <v>403</v>
      </c>
      <c r="E986" s="35" t="s">
        <v>148</v>
      </c>
      <c r="F986" s="103" t="s">
        <v>968</v>
      </c>
      <c r="G986" s="103">
        <v>1</v>
      </c>
      <c r="H986" s="35" t="s">
        <v>494</v>
      </c>
      <c r="I986" s="35" t="s">
        <v>580</v>
      </c>
      <c r="J986" s="35">
        <v>1098.0999999999999</v>
      </c>
      <c r="K986" s="141">
        <v>1278.8668234818808</v>
      </c>
      <c r="L986" s="34">
        <v>180.76682348188092</v>
      </c>
      <c r="M986" s="56">
        <v>180.76682348188092</v>
      </c>
      <c r="N986" s="56">
        <v>2.2595146176450585</v>
      </c>
      <c r="O986" s="132">
        <f t="shared" si="16"/>
        <v>2.2595146176450585</v>
      </c>
      <c r="P986" s="56">
        <v>16.461781575619792</v>
      </c>
      <c r="Q986" s="143">
        <v>16.461781575619792</v>
      </c>
      <c r="R986" s="143">
        <v>1261.6733122985354</v>
      </c>
      <c r="S986" s="34">
        <v>163.57331229853548</v>
      </c>
      <c r="T986" s="56">
        <v>163.57331229853548</v>
      </c>
      <c r="U986" s="56">
        <v>2.2163594100913753</v>
      </c>
      <c r="V986" s="56">
        <v>14.896030625492715</v>
      </c>
      <c r="W986" s="33">
        <v>14.896030625492715</v>
      </c>
    </row>
    <row r="987" spans="1:23" ht="16" x14ac:dyDescent="0.2">
      <c r="A987" s="103" t="s">
        <v>19</v>
      </c>
      <c r="B987" t="s">
        <v>876</v>
      </c>
      <c r="C987" s="103" t="s">
        <v>970</v>
      </c>
      <c r="D987" s="224" t="s">
        <v>824</v>
      </c>
      <c r="E987" s="35" t="s">
        <v>148</v>
      </c>
      <c r="F987" s="103" t="s">
        <v>967</v>
      </c>
      <c r="G987" s="103">
        <v>0</v>
      </c>
      <c r="H987" s="35" t="s">
        <v>374</v>
      </c>
      <c r="I987" s="35" t="s">
        <v>580</v>
      </c>
      <c r="J987" s="35">
        <v>1668</v>
      </c>
      <c r="K987" s="147">
        <v>1850.9108000000001</v>
      </c>
      <c r="L987" s="34">
        <v>182.91080000000011</v>
      </c>
      <c r="M987" s="56">
        <v>182.91080000000011</v>
      </c>
      <c r="N987" s="56">
        <v>2.2646072335484781</v>
      </c>
      <c r="O987" s="132">
        <f t="shared" si="16"/>
        <v>2.2646072335484781</v>
      </c>
      <c r="P987" s="56">
        <v>10.965875299760198</v>
      </c>
      <c r="Q987" s="143">
        <v>10.965875299760198</v>
      </c>
      <c r="R987" s="143">
        <v>1889.9420000000005</v>
      </c>
      <c r="S987" s="34">
        <v>221.94200000000046</v>
      </c>
      <c r="T987" s="56">
        <v>221.94200000000046</v>
      </c>
      <c r="U987" s="56">
        <v>2.3481918928408594</v>
      </c>
      <c r="V987" s="56">
        <v>13.305875299760221</v>
      </c>
      <c r="W987" s="33">
        <v>13.305875299760221</v>
      </c>
    </row>
    <row r="988" spans="1:23" ht="15" x14ac:dyDescent="0.2">
      <c r="A988" s="103" t="s">
        <v>19</v>
      </c>
      <c r="B988" s="28" t="s">
        <v>360</v>
      </c>
      <c r="C988" s="224" t="s">
        <v>977</v>
      </c>
      <c r="D988" s="208" t="s">
        <v>403</v>
      </c>
      <c r="E988" s="35" t="s">
        <v>82</v>
      </c>
      <c r="F988" s="103" t="s">
        <v>968</v>
      </c>
      <c r="G988" s="103">
        <v>1</v>
      </c>
      <c r="H988" s="35" t="s">
        <v>494</v>
      </c>
      <c r="I988" s="35" t="s">
        <v>580</v>
      </c>
      <c r="J988" s="35">
        <v>906.8</v>
      </c>
      <c r="K988" s="141">
        <v>1089.9526223552932</v>
      </c>
      <c r="L988" s="34">
        <v>183.15262235529326</v>
      </c>
      <c r="M988" s="56">
        <v>183.15262235529326</v>
      </c>
      <c r="N988" s="56">
        <v>2.2651779076401555</v>
      </c>
      <c r="O988" s="132">
        <f t="shared" ref="O988:O1051" si="17">SIGN(L988)*N988</f>
        <v>2.2651779076401555</v>
      </c>
      <c r="P988" s="56">
        <v>20.197686629388322</v>
      </c>
      <c r="Q988" s="143">
        <v>20.197686629388322</v>
      </c>
      <c r="R988" s="143">
        <v>1066.3762145750468</v>
      </c>
      <c r="S988" s="34">
        <v>159.57621457504683</v>
      </c>
      <c r="T988" s="56">
        <v>159.57621457504683</v>
      </c>
      <c r="U988" s="56">
        <v>2.2056812156386267</v>
      </c>
      <c r="V988" s="56">
        <v>17.5977298825592</v>
      </c>
      <c r="W988" s="33">
        <v>17.5977298825592</v>
      </c>
    </row>
    <row r="989" spans="1:23" ht="15" x14ac:dyDescent="0.2">
      <c r="A989" s="103" t="s">
        <v>19</v>
      </c>
      <c r="B989" t="s">
        <v>889</v>
      </c>
      <c r="C989" s="224" t="s">
        <v>974</v>
      </c>
      <c r="D989" s="224" t="s">
        <v>824</v>
      </c>
      <c r="E989" s="35" t="s">
        <v>148</v>
      </c>
      <c r="F989" s="103" t="s">
        <v>967</v>
      </c>
      <c r="G989" s="103">
        <v>0</v>
      </c>
      <c r="H989" s="35" t="s">
        <v>374</v>
      </c>
      <c r="I989" s="35" t="s">
        <v>580</v>
      </c>
      <c r="J989" s="35">
        <v>1895</v>
      </c>
      <c r="K989">
        <v>2080.1889999999999</v>
      </c>
      <c r="L989" s="34">
        <v>185.18899999999985</v>
      </c>
      <c r="M989" s="56">
        <v>185.18899999999985</v>
      </c>
      <c r="N989" s="56">
        <v>2.2699540193928143</v>
      </c>
      <c r="O989" s="132">
        <f t="shared" si="17"/>
        <v>2.2699540193928143</v>
      </c>
      <c r="P989" s="56">
        <v>9.7725065963060622</v>
      </c>
      <c r="Q989" s="143">
        <v>9.7725065963060622</v>
      </c>
      <c r="R989" s="143">
        <v>1938.9141</v>
      </c>
      <c r="S989" s="34">
        <v>43.914099999999962</v>
      </c>
      <c r="T989" s="56">
        <v>43.914099999999962</v>
      </c>
      <c r="U989" s="56">
        <v>1.652382701602497</v>
      </c>
      <c r="V989" s="56">
        <v>2.3173667546174124</v>
      </c>
      <c r="W989" s="33">
        <v>2.3173667546174124</v>
      </c>
    </row>
    <row r="990" spans="1:23" ht="15" x14ac:dyDescent="0.2">
      <c r="A990" s="103" t="s">
        <v>19</v>
      </c>
      <c r="B990" t="s">
        <v>838</v>
      </c>
      <c r="C990" s="24" t="s">
        <v>980</v>
      </c>
      <c r="D990" s="224" t="s">
        <v>824</v>
      </c>
      <c r="E990" s="35" t="s">
        <v>148</v>
      </c>
      <c r="F990" s="103" t="s">
        <v>968</v>
      </c>
      <c r="G990" s="103">
        <v>1</v>
      </c>
      <c r="H990" s="35" t="s">
        <v>374</v>
      </c>
      <c r="I990" s="35" t="s">
        <v>580</v>
      </c>
      <c r="J990" s="35">
        <v>2285</v>
      </c>
      <c r="K990">
        <v>2471.3324524302984</v>
      </c>
      <c r="L990" s="34">
        <v>186.33245243029842</v>
      </c>
      <c r="M990" s="56">
        <v>186.33245243029842</v>
      </c>
      <c r="N990" s="56">
        <v>2.2726130186489004</v>
      </c>
      <c r="O990" s="132">
        <f t="shared" si="17"/>
        <v>2.2726130186489004</v>
      </c>
      <c r="P990" s="56">
        <v>8.1545931041706101</v>
      </c>
      <c r="Q990" s="143">
        <v>8.1545931041706101</v>
      </c>
      <c r="R990" s="143">
        <v>2485.1098237131282</v>
      </c>
      <c r="S990" s="34">
        <v>200.10982371312821</v>
      </c>
      <c r="T990" s="56">
        <v>200.10982371312821</v>
      </c>
      <c r="U990" s="56">
        <v>2.3034332853167845</v>
      </c>
      <c r="V990" s="56">
        <v>8.7575415191741008</v>
      </c>
      <c r="W990" s="33">
        <v>8.7575415191741008</v>
      </c>
    </row>
    <row r="991" spans="1:23" ht="15" x14ac:dyDescent="0.2">
      <c r="A991" s="103" t="s">
        <v>19</v>
      </c>
      <c r="B991" s="28" t="s">
        <v>360</v>
      </c>
      <c r="C991" s="103" t="s">
        <v>979</v>
      </c>
      <c r="D991" s="208" t="s">
        <v>403</v>
      </c>
      <c r="E991" s="35" t="s">
        <v>82</v>
      </c>
      <c r="F991" s="103" t="s">
        <v>967</v>
      </c>
      <c r="G991" s="103">
        <v>0</v>
      </c>
      <c r="H991" s="35" t="s">
        <v>494</v>
      </c>
      <c r="I991" s="35" t="s">
        <v>580</v>
      </c>
      <c r="J991" s="35">
        <v>906.8</v>
      </c>
      <c r="K991" s="141">
        <v>1095.6521739130435</v>
      </c>
      <c r="L991" s="34">
        <v>188.85217391304354</v>
      </c>
      <c r="M991" s="56">
        <v>188.85217391304354</v>
      </c>
      <c r="N991" s="56">
        <v>2.2784155744177892</v>
      </c>
      <c r="O991" s="132">
        <f t="shared" si="17"/>
        <v>2.2784155744177892</v>
      </c>
      <c r="P991" s="56">
        <v>20.826221207878646</v>
      </c>
      <c r="Q991" s="143">
        <v>20.826221207878646</v>
      </c>
      <c r="R991" s="143">
        <v>1083.4583333333333</v>
      </c>
      <c r="S991" s="34">
        <v>176.6583333333333</v>
      </c>
      <c r="T991" s="56">
        <v>176.6583333333333</v>
      </c>
      <c r="U991" s="56">
        <v>2.2495855835439</v>
      </c>
      <c r="V991" s="56">
        <v>19.481510072048223</v>
      </c>
      <c r="W991" s="33">
        <v>19.481510072048223</v>
      </c>
    </row>
    <row r="992" spans="1:23" ht="15" x14ac:dyDescent="0.2">
      <c r="A992" s="103" t="s">
        <v>19</v>
      </c>
      <c r="B992" t="s">
        <v>888</v>
      </c>
      <c r="C992" s="103" t="s">
        <v>975</v>
      </c>
      <c r="D992" s="224" t="s">
        <v>824</v>
      </c>
      <c r="E992" s="35" t="s">
        <v>148</v>
      </c>
      <c r="F992" s="103" t="s">
        <v>967</v>
      </c>
      <c r="G992" s="103">
        <v>0</v>
      </c>
      <c r="H992" s="35" t="s">
        <v>374</v>
      </c>
      <c r="I992" s="35" t="s">
        <v>580</v>
      </c>
      <c r="J992" s="35">
        <v>2150</v>
      </c>
      <c r="K992">
        <v>1960.1215999999999</v>
      </c>
      <c r="L992" s="34">
        <v>-189.87840000000006</v>
      </c>
      <c r="M992" s="56">
        <v>189.87840000000006</v>
      </c>
      <c r="N992" s="56">
        <v>2.2807567859549165</v>
      </c>
      <c r="O992" s="132">
        <f t="shared" si="17"/>
        <v>-2.2807567859549165</v>
      </c>
      <c r="P992" s="56">
        <v>-8.8315534883720943</v>
      </c>
      <c r="Q992" s="143">
        <v>8.8315534883720943</v>
      </c>
      <c r="R992" s="143">
        <v>1947.0404000000001</v>
      </c>
      <c r="S992" s="34">
        <v>-202.95959999999991</v>
      </c>
      <c r="T992" s="56">
        <v>202.95959999999991</v>
      </c>
      <c r="U992" s="56">
        <v>2.3095441515697881</v>
      </c>
      <c r="V992" s="56">
        <v>-9.4399813953488341</v>
      </c>
      <c r="W992" s="33">
        <v>9.4399813953488341</v>
      </c>
    </row>
    <row r="993" spans="1:23" ht="15" x14ac:dyDescent="0.2">
      <c r="A993" s="103" t="s">
        <v>19</v>
      </c>
      <c r="B993" s="28" t="s">
        <v>136</v>
      </c>
      <c r="C993" s="103" t="s">
        <v>975</v>
      </c>
      <c r="D993" s="208" t="s">
        <v>403</v>
      </c>
      <c r="E993" s="35" t="s">
        <v>96</v>
      </c>
      <c r="F993" s="103" t="s">
        <v>967</v>
      </c>
      <c r="G993" s="103">
        <v>0</v>
      </c>
      <c r="H993" s="35" t="s">
        <v>374</v>
      </c>
      <c r="I993" s="35" t="s">
        <v>580</v>
      </c>
      <c r="J993" s="35">
        <v>2365.6</v>
      </c>
      <c r="K993" s="141">
        <v>2171.6058319999997</v>
      </c>
      <c r="L993" s="34">
        <v>-193.99416800000017</v>
      </c>
      <c r="M993" s="56">
        <v>193.99416800000017</v>
      </c>
      <c r="N993" s="56">
        <v>2.2900216224225471</v>
      </c>
      <c r="O993" s="132">
        <f t="shared" si="17"/>
        <v>-2.2900216224225471</v>
      </c>
      <c r="P993" s="56">
        <v>-8.2006327358809674</v>
      </c>
      <c r="Q993" s="143">
        <v>8.2006327358809674</v>
      </c>
      <c r="R993" s="143">
        <v>2224.0756799999999</v>
      </c>
      <c r="S993" s="34">
        <v>-141.52431999999999</v>
      </c>
      <c r="T993" s="56">
        <v>141.52431999999999</v>
      </c>
      <c r="U993" s="56">
        <v>2.1538889776119547</v>
      </c>
      <c r="V993" s="56">
        <v>-5.9825972269191743</v>
      </c>
      <c r="W993" s="33">
        <v>5.9825972269191743</v>
      </c>
    </row>
    <row r="994" spans="1:23" ht="16" x14ac:dyDescent="0.2">
      <c r="A994" s="103" t="s">
        <v>19</v>
      </c>
      <c r="B994" t="s">
        <v>840</v>
      </c>
      <c r="C994" s="103" t="s">
        <v>975</v>
      </c>
      <c r="D994" s="224" t="s">
        <v>824</v>
      </c>
      <c r="E994" s="35" t="s">
        <v>148</v>
      </c>
      <c r="F994" s="103" t="s">
        <v>967</v>
      </c>
      <c r="G994" s="103">
        <v>0</v>
      </c>
      <c r="H994" s="225" t="s">
        <v>293</v>
      </c>
      <c r="I994" s="35" t="s">
        <v>580</v>
      </c>
      <c r="J994" s="29">
        <v>2645</v>
      </c>
      <c r="K994" s="147">
        <v>2450.9779999999996</v>
      </c>
      <c r="L994" s="34">
        <v>-194.02200000000039</v>
      </c>
      <c r="M994" s="56">
        <v>194.02200000000039</v>
      </c>
      <c r="N994" s="56">
        <v>2.2900836059249383</v>
      </c>
      <c r="O994" s="132">
        <f t="shared" si="17"/>
        <v>-2.2900836059249383</v>
      </c>
      <c r="P994" s="56">
        <v>-7.3354253308128694</v>
      </c>
      <c r="Q994" s="143">
        <v>7.3354253308128694</v>
      </c>
      <c r="R994" s="143">
        <v>2483.4959999999996</v>
      </c>
      <c r="S994" s="34">
        <v>-161.50400000000036</v>
      </c>
      <c r="T994" s="56">
        <v>161.50400000000036</v>
      </c>
      <c r="U994" s="56">
        <v>2.2108640555090315</v>
      </c>
      <c r="V994" s="56">
        <v>-6.1060113421550231</v>
      </c>
      <c r="W994" s="33">
        <v>6.1060113421550231</v>
      </c>
    </row>
    <row r="995" spans="1:23" ht="15" x14ac:dyDescent="0.2">
      <c r="A995" s="103" t="s">
        <v>19</v>
      </c>
      <c r="B995" t="s">
        <v>836</v>
      </c>
      <c r="C995" s="103" t="s">
        <v>970</v>
      </c>
      <c r="D995" s="224" t="s">
        <v>824</v>
      </c>
      <c r="E995" s="35" t="s">
        <v>148</v>
      </c>
      <c r="F995" s="103" t="s">
        <v>967</v>
      </c>
      <c r="G995" s="103">
        <v>0</v>
      </c>
      <c r="H995" s="35" t="s">
        <v>374</v>
      </c>
      <c r="I995" s="35" t="s">
        <v>580</v>
      </c>
      <c r="J995" s="35">
        <v>2190</v>
      </c>
      <c r="K995">
        <v>2385.9810000000002</v>
      </c>
      <c r="L995" s="34">
        <v>195.98100000000022</v>
      </c>
      <c r="M995" s="56">
        <v>195.98100000000022</v>
      </c>
      <c r="N995" s="56">
        <v>2.2944243378717388</v>
      </c>
      <c r="O995" s="132">
        <f t="shared" si="17"/>
        <v>2.2944243378717388</v>
      </c>
      <c r="P995" s="56">
        <v>8.9489041095890496</v>
      </c>
      <c r="Q995" s="143">
        <v>8.9489041095890496</v>
      </c>
      <c r="R995" s="143">
        <v>2515.9100000000003</v>
      </c>
      <c r="S995" s="34">
        <v>325.91000000000031</v>
      </c>
      <c r="T995" s="56">
        <v>325.91000000000031</v>
      </c>
      <c r="U995" s="56">
        <v>2.5144282056167544</v>
      </c>
      <c r="V995" s="56">
        <v>14.881735159817365</v>
      </c>
      <c r="W995" s="33">
        <v>14.881735159817365</v>
      </c>
    </row>
    <row r="996" spans="1:23" ht="15" x14ac:dyDescent="0.2">
      <c r="A996" s="103" t="s">
        <v>19</v>
      </c>
      <c r="B996" s="28" t="s">
        <v>345</v>
      </c>
      <c r="C996" s="103" t="s">
        <v>970</v>
      </c>
      <c r="D996" s="208" t="s">
        <v>403</v>
      </c>
      <c r="E996" s="35" t="s">
        <v>82</v>
      </c>
      <c r="F996" s="103" t="s">
        <v>967</v>
      </c>
      <c r="G996" s="103">
        <v>0</v>
      </c>
      <c r="H996" s="35" t="s">
        <v>374</v>
      </c>
      <c r="I996" s="35" t="s">
        <v>580</v>
      </c>
      <c r="J996" s="35">
        <v>1499</v>
      </c>
      <c r="K996" s="141">
        <v>1698.0336000000002</v>
      </c>
      <c r="L996" s="34">
        <v>199.03360000000021</v>
      </c>
      <c r="M996" s="56">
        <v>199.03360000000021</v>
      </c>
      <c r="N996" s="56">
        <v>2.3011029510088639</v>
      </c>
      <c r="O996" s="132">
        <f t="shared" si="17"/>
        <v>2.3011029510088639</v>
      </c>
      <c r="P996" s="56">
        <v>13.277758505670462</v>
      </c>
      <c r="Q996" s="143">
        <v>13.277758505670462</v>
      </c>
      <c r="R996" s="143">
        <v>1744.6280000000002</v>
      </c>
      <c r="S996" s="34">
        <v>245.62800000000016</v>
      </c>
      <c r="T996" s="56">
        <v>245.62800000000016</v>
      </c>
      <c r="U996" s="56">
        <v>2.3920423810804059</v>
      </c>
      <c r="V996" s="56">
        <v>16.386124082721825</v>
      </c>
      <c r="W996" s="33">
        <v>16.386124082721825</v>
      </c>
    </row>
    <row r="997" spans="1:23" ht="15" x14ac:dyDescent="0.2">
      <c r="A997" s="103" t="s">
        <v>19</v>
      </c>
      <c r="B997" t="s">
        <v>837</v>
      </c>
      <c r="C997" s="24" t="s">
        <v>980</v>
      </c>
      <c r="D997" s="224" t="s">
        <v>824</v>
      </c>
      <c r="E997" s="35" t="s">
        <v>148</v>
      </c>
      <c r="F997" s="103" t="s">
        <v>968</v>
      </c>
      <c r="G997" s="103">
        <v>1</v>
      </c>
      <c r="H997" s="225" t="s">
        <v>293</v>
      </c>
      <c r="I997" s="35" t="s">
        <v>580</v>
      </c>
      <c r="J997" s="29">
        <v>2570</v>
      </c>
      <c r="K997">
        <v>2772.296628975394</v>
      </c>
      <c r="L997" s="34">
        <v>202.29662897539401</v>
      </c>
      <c r="M997" s="56">
        <v>202.29662897539401</v>
      </c>
      <c r="N997" s="56">
        <v>2.3081301773122997</v>
      </c>
      <c r="O997" s="132">
        <f t="shared" si="17"/>
        <v>2.3081301773122997</v>
      </c>
      <c r="P997" s="56">
        <v>7.871464162466693</v>
      </c>
      <c r="Q997" s="143">
        <v>7.871464162466693</v>
      </c>
      <c r="R997" s="143">
        <v>2797.3256877526032</v>
      </c>
      <c r="S997" s="34">
        <v>227.32568775260324</v>
      </c>
      <c r="T997" s="56">
        <v>227.32568775260324</v>
      </c>
      <c r="U997" s="56">
        <v>2.3585547744846704</v>
      </c>
      <c r="V997" s="56">
        <v>8.8453575001012936</v>
      </c>
      <c r="W997" s="33">
        <v>8.8453575001012936</v>
      </c>
    </row>
    <row r="998" spans="1:23" ht="15" x14ac:dyDescent="0.2">
      <c r="A998" s="103" t="s">
        <v>19</v>
      </c>
      <c r="B998" s="28" t="s">
        <v>75</v>
      </c>
      <c r="C998" s="24" t="s">
        <v>980</v>
      </c>
      <c r="D998" s="208" t="s">
        <v>403</v>
      </c>
      <c r="E998" s="35" t="s">
        <v>82</v>
      </c>
      <c r="F998" s="103" t="s">
        <v>968</v>
      </c>
      <c r="G998" s="103">
        <v>1</v>
      </c>
      <c r="H998" s="35" t="s">
        <v>374</v>
      </c>
      <c r="I998" s="35" t="s">
        <v>580</v>
      </c>
      <c r="J998" s="35">
        <v>2106.6</v>
      </c>
      <c r="K998" s="141">
        <v>1903.2984042856315</v>
      </c>
      <c r="L998" s="34">
        <v>-203.30159571436843</v>
      </c>
      <c r="M998" s="56">
        <v>203.30159571436843</v>
      </c>
      <c r="N998" s="56">
        <v>2.310271758738363</v>
      </c>
      <c r="O998" s="132">
        <f t="shared" si="17"/>
        <v>-2.310271758738363</v>
      </c>
      <c r="P998" s="56">
        <v>-9.6506976034543079</v>
      </c>
      <c r="Q998" s="143">
        <v>9.6506976034543079</v>
      </c>
      <c r="R998" s="143">
        <v>1866.2886837136323</v>
      </c>
      <c r="S998" s="34">
        <v>-240.31131628636763</v>
      </c>
      <c r="T998" s="56">
        <v>240.31131628636763</v>
      </c>
      <c r="U998" s="56">
        <v>2.3825776886120114</v>
      </c>
      <c r="V998" s="56">
        <v>-11.407543733331797</v>
      </c>
      <c r="W998" s="33">
        <v>11.407543733331797</v>
      </c>
    </row>
    <row r="999" spans="1:23" ht="15" x14ac:dyDescent="0.2">
      <c r="A999" s="103" t="s">
        <v>19</v>
      </c>
      <c r="B999" s="28" t="s">
        <v>306</v>
      </c>
      <c r="C999" s="103" t="s">
        <v>979</v>
      </c>
      <c r="D999" s="208" t="s">
        <v>403</v>
      </c>
      <c r="E999" s="35" t="s">
        <v>148</v>
      </c>
      <c r="F999" s="103" t="s">
        <v>967</v>
      </c>
      <c r="G999" s="103">
        <v>0</v>
      </c>
      <c r="H999" s="35" t="s">
        <v>494</v>
      </c>
      <c r="I999" s="35" t="s">
        <v>580</v>
      </c>
      <c r="J999" s="35">
        <v>1098.0999999999999</v>
      </c>
      <c r="K999" s="141">
        <v>1303.1739130434783</v>
      </c>
      <c r="L999" s="34">
        <v>205.07391304347834</v>
      </c>
      <c r="M999" s="56">
        <v>205.07391304347834</v>
      </c>
      <c r="N999" s="56">
        <v>2.3140230177940886</v>
      </c>
      <c r="O999" s="132">
        <f t="shared" si="17"/>
        <v>2.3140230177940886</v>
      </c>
      <c r="P999" s="56">
        <v>18.675340410115506</v>
      </c>
      <c r="Q999" s="143">
        <v>18.675340410115506</v>
      </c>
      <c r="R999" s="143">
        <v>1302.1666666666667</v>
      </c>
      <c r="S999" s="34">
        <v>204.06666666666683</v>
      </c>
      <c r="T999" s="56">
        <v>204.06666666666683</v>
      </c>
      <c r="U999" s="56">
        <v>2.3118950720737126</v>
      </c>
      <c r="V999" s="56">
        <v>18.583614121361155</v>
      </c>
      <c r="W999" s="33">
        <v>18.583614121361155</v>
      </c>
    </row>
    <row r="1000" spans="1:23" ht="16" x14ac:dyDescent="0.2">
      <c r="A1000" s="103" t="s">
        <v>19</v>
      </c>
      <c r="B1000" t="s">
        <v>883</v>
      </c>
      <c r="C1000" s="224" t="s">
        <v>974</v>
      </c>
      <c r="D1000" s="224" t="s">
        <v>824</v>
      </c>
      <c r="E1000" s="35" t="s">
        <v>148</v>
      </c>
      <c r="F1000" s="103" t="s">
        <v>967</v>
      </c>
      <c r="G1000" s="103">
        <v>0</v>
      </c>
      <c r="H1000" s="35" t="s">
        <v>374</v>
      </c>
      <c r="I1000" s="35" t="s">
        <v>580</v>
      </c>
      <c r="J1000" s="35">
        <v>1670</v>
      </c>
      <c r="K1000" s="147">
        <v>1875.1309000000001</v>
      </c>
      <c r="L1000" s="34">
        <v>205.13090000000011</v>
      </c>
      <c r="M1000" s="56">
        <v>205.13090000000011</v>
      </c>
      <c r="N1000" s="56">
        <v>2.3141430994628727</v>
      </c>
      <c r="O1000" s="132">
        <f t="shared" si="17"/>
        <v>2.3141430994628727</v>
      </c>
      <c r="P1000" s="56">
        <v>12.283287425149707</v>
      </c>
      <c r="Q1000" s="143">
        <v>12.283287425149707</v>
      </c>
      <c r="R1000" s="143">
        <v>1757.0954999999999</v>
      </c>
      <c r="S1000" s="34">
        <v>87.095499999999902</v>
      </c>
      <c r="T1000" s="56">
        <v>87.095499999999902</v>
      </c>
      <c r="U1000" s="56">
        <v>1.9449537248129318</v>
      </c>
      <c r="V1000" s="56">
        <v>5.2152994011975986</v>
      </c>
      <c r="W1000" s="33">
        <v>5.2152994011975986</v>
      </c>
    </row>
    <row r="1001" spans="1:23" ht="15" x14ac:dyDescent="0.2">
      <c r="A1001" s="103" t="s">
        <v>19</v>
      </c>
      <c r="B1001" t="s">
        <v>836</v>
      </c>
      <c r="C1001" s="224" t="s">
        <v>974</v>
      </c>
      <c r="D1001" s="224" t="s">
        <v>824</v>
      </c>
      <c r="E1001" s="35" t="s">
        <v>148</v>
      </c>
      <c r="F1001" s="103" t="s">
        <v>967</v>
      </c>
      <c r="G1001" s="103">
        <v>0</v>
      </c>
      <c r="H1001" s="35" t="s">
        <v>374</v>
      </c>
      <c r="I1001" s="35" t="s">
        <v>580</v>
      </c>
      <c r="J1001" s="35">
        <v>2190</v>
      </c>
      <c r="K1001">
        <v>2395.663</v>
      </c>
      <c r="L1001" s="34">
        <v>205.66300000000001</v>
      </c>
      <c r="M1001" s="56">
        <v>205.66300000000001</v>
      </c>
      <c r="N1001" s="56">
        <v>2.3152627294855588</v>
      </c>
      <c r="O1001" s="132">
        <f t="shared" si="17"/>
        <v>2.3152627294855588</v>
      </c>
      <c r="P1001" s="56">
        <v>9.3910045662100465</v>
      </c>
      <c r="Q1001" s="143">
        <v>9.3910045662100465</v>
      </c>
      <c r="R1001" s="143">
        <v>2307.3359999999998</v>
      </c>
      <c r="S1001" s="34">
        <v>117.33599999999979</v>
      </c>
      <c r="T1001" s="56">
        <v>117.33599999999979</v>
      </c>
      <c r="U1001" s="56">
        <v>2.0731168851430595</v>
      </c>
      <c r="V1001" s="56">
        <v>5.3578082191780725</v>
      </c>
      <c r="W1001" s="33">
        <v>5.3578082191780725</v>
      </c>
    </row>
    <row r="1002" spans="1:23" ht="15" x14ac:dyDescent="0.2">
      <c r="A1002" s="103" t="s">
        <v>19</v>
      </c>
      <c r="B1002" s="28" t="s">
        <v>434</v>
      </c>
      <c r="C1002" s="103" t="s">
        <v>970</v>
      </c>
      <c r="D1002" s="35" t="s">
        <v>458</v>
      </c>
      <c r="E1002" s="208" t="s">
        <v>82</v>
      </c>
      <c r="F1002" s="103" t="s">
        <v>967</v>
      </c>
      <c r="G1002" s="103">
        <v>0</v>
      </c>
      <c r="H1002" s="35" t="s">
        <v>374</v>
      </c>
      <c r="I1002" s="35" t="s">
        <v>580</v>
      </c>
      <c r="J1002" s="35">
        <v>2370</v>
      </c>
      <c r="K1002" s="141">
        <v>2577.0775000000003</v>
      </c>
      <c r="L1002" s="34">
        <v>207.07750000000033</v>
      </c>
      <c r="M1002" s="56">
        <v>207.07750000000033</v>
      </c>
      <c r="N1002" s="56">
        <v>2.3182251212777478</v>
      </c>
      <c r="O1002" s="132">
        <f t="shared" si="17"/>
        <v>2.3182251212777478</v>
      </c>
      <c r="P1002" s="56">
        <v>8.7374472573839803</v>
      </c>
      <c r="Q1002" s="143">
        <v>8.7374472573839803</v>
      </c>
      <c r="R1002" s="143">
        <v>2683.5800000000004</v>
      </c>
      <c r="S1002" s="34">
        <v>313.58000000000038</v>
      </c>
      <c r="T1002" s="56">
        <v>313.58000000000038</v>
      </c>
      <c r="U1002" s="56">
        <v>2.4977311080973674</v>
      </c>
      <c r="V1002" s="56">
        <v>13.231223628691998</v>
      </c>
      <c r="W1002" s="33">
        <v>13.231223628691998</v>
      </c>
    </row>
    <row r="1003" spans="1:23" ht="15" x14ac:dyDescent="0.2">
      <c r="A1003" s="103" t="s">
        <v>19</v>
      </c>
      <c r="B1003" t="s">
        <v>838</v>
      </c>
      <c r="C1003" s="224" t="s">
        <v>978</v>
      </c>
      <c r="D1003" s="224" t="s">
        <v>824</v>
      </c>
      <c r="E1003" s="35" t="s">
        <v>148</v>
      </c>
      <c r="F1003" s="103" t="s">
        <v>968</v>
      </c>
      <c r="G1003" s="103">
        <v>1</v>
      </c>
      <c r="H1003" s="35" t="s">
        <v>374</v>
      </c>
      <c r="I1003" s="35" t="s">
        <v>580</v>
      </c>
      <c r="J1003" s="35">
        <v>2285</v>
      </c>
      <c r="K1003">
        <v>2492.2125654661204</v>
      </c>
      <c r="L1003" s="34">
        <v>207.2125654661204</v>
      </c>
      <c r="M1003" s="56">
        <v>207.2125654661204</v>
      </c>
      <c r="N1003" s="56">
        <v>2.3185069352990566</v>
      </c>
      <c r="O1003" s="132">
        <f t="shared" si="17"/>
        <v>2.3185069352990566</v>
      </c>
      <c r="P1003" s="56">
        <v>9.0683836090205858</v>
      </c>
      <c r="Q1003" s="143">
        <v>9.0683836090205858</v>
      </c>
      <c r="R1003" s="143">
        <v>2501.1698173158056</v>
      </c>
      <c r="S1003" s="34">
        <v>216.16981731580563</v>
      </c>
      <c r="T1003" s="56">
        <v>216.16981731580563</v>
      </c>
      <c r="U1003" s="56">
        <v>2.3367994660178582</v>
      </c>
      <c r="V1003" s="56">
        <v>9.4603858781534189</v>
      </c>
      <c r="W1003" s="33">
        <v>9.4603858781534189</v>
      </c>
    </row>
    <row r="1004" spans="1:23" ht="15" x14ac:dyDescent="0.2">
      <c r="A1004" s="103" t="s">
        <v>19</v>
      </c>
      <c r="B1004" s="28" t="s">
        <v>434</v>
      </c>
      <c r="C1004" s="224" t="s">
        <v>974</v>
      </c>
      <c r="D1004" s="35" t="s">
        <v>458</v>
      </c>
      <c r="E1004" s="208" t="s">
        <v>82</v>
      </c>
      <c r="F1004" s="103" t="s">
        <v>967</v>
      </c>
      <c r="G1004" s="103">
        <v>0</v>
      </c>
      <c r="H1004" s="35" t="s">
        <v>374</v>
      </c>
      <c r="I1004" s="35" t="s">
        <v>580</v>
      </c>
      <c r="J1004" s="35">
        <v>2370</v>
      </c>
      <c r="K1004" s="141">
        <v>2579.6895</v>
      </c>
      <c r="L1004" s="34">
        <v>209.68949999999995</v>
      </c>
      <c r="M1004" s="56">
        <v>209.68949999999995</v>
      </c>
      <c r="N1004" s="56">
        <v>2.3236428924866606</v>
      </c>
      <c r="O1004" s="132">
        <f t="shared" si="17"/>
        <v>2.3236428924866606</v>
      </c>
      <c r="P1004" s="56">
        <v>8.8476582278481004</v>
      </c>
      <c r="Q1004" s="143">
        <v>8.8476582278481004</v>
      </c>
      <c r="R1004" s="143">
        <v>2450.877</v>
      </c>
      <c r="S1004" s="34">
        <v>80.876999999999953</v>
      </c>
      <c r="T1004" s="56">
        <v>80.876999999999953</v>
      </c>
      <c r="U1004" s="56">
        <v>1.9131619215904379</v>
      </c>
      <c r="V1004" s="56">
        <v>3.4125316455696182</v>
      </c>
      <c r="W1004" s="33">
        <v>3.4125316455696182</v>
      </c>
    </row>
    <row r="1005" spans="1:23" ht="16" x14ac:dyDescent="0.2">
      <c r="A1005" s="103" t="s">
        <v>19</v>
      </c>
      <c r="B1005" t="s">
        <v>840</v>
      </c>
      <c r="C1005" s="103" t="s">
        <v>979</v>
      </c>
      <c r="D1005" s="224" t="s">
        <v>824</v>
      </c>
      <c r="E1005" s="35" t="s">
        <v>148</v>
      </c>
      <c r="F1005" s="103" t="s">
        <v>967</v>
      </c>
      <c r="G1005" s="103">
        <v>0</v>
      </c>
      <c r="H1005" s="225" t="s">
        <v>293</v>
      </c>
      <c r="I1005" s="35" t="s">
        <v>580</v>
      </c>
      <c r="J1005" s="29">
        <v>2645</v>
      </c>
      <c r="K1005" s="147">
        <v>2434.782608695652</v>
      </c>
      <c r="L1005" s="34">
        <v>-210.21739130434798</v>
      </c>
      <c r="M1005" s="56">
        <v>210.21739130434798</v>
      </c>
      <c r="N1005" s="56">
        <v>2.3247296744515191</v>
      </c>
      <c r="O1005" s="132">
        <f t="shared" si="17"/>
        <v>-2.3247296744515191</v>
      </c>
      <c r="P1005" s="56">
        <v>-7.9477274595216629</v>
      </c>
      <c r="Q1005" s="143">
        <v>7.9477274595216629</v>
      </c>
      <c r="R1005" s="143">
        <v>2458.3333333333335</v>
      </c>
      <c r="S1005" s="34">
        <v>-186.66666666666652</v>
      </c>
      <c r="T1005" s="56">
        <v>186.66666666666652</v>
      </c>
      <c r="U1005" s="56">
        <v>2.2733871401316836</v>
      </c>
      <c r="V1005" s="56">
        <v>-7.0573408947700003</v>
      </c>
      <c r="W1005" s="33">
        <v>7.0573408947700003</v>
      </c>
    </row>
    <row r="1006" spans="1:23" ht="16" x14ac:dyDescent="0.2">
      <c r="A1006" s="103" t="s">
        <v>19</v>
      </c>
      <c r="B1006" t="s">
        <v>876</v>
      </c>
      <c r="C1006" s="224" t="s">
        <v>974</v>
      </c>
      <c r="D1006" s="224" t="s">
        <v>824</v>
      </c>
      <c r="E1006" s="35" t="s">
        <v>148</v>
      </c>
      <c r="F1006" s="103" t="s">
        <v>967</v>
      </c>
      <c r="G1006" s="103">
        <v>0</v>
      </c>
      <c r="H1006" s="35" t="s">
        <v>374</v>
      </c>
      <c r="I1006" s="35" t="s">
        <v>580</v>
      </c>
      <c r="J1006" s="35">
        <v>1668</v>
      </c>
      <c r="K1006" s="147">
        <v>1880.3888000000002</v>
      </c>
      <c r="L1006" s="34">
        <v>212.38880000000017</v>
      </c>
      <c r="M1006" s="56">
        <v>212.38880000000017</v>
      </c>
      <c r="N1006" s="56">
        <v>2.3291716211529105</v>
      </c>
      <c r="O1006" s="132">
        <f t="shared" si="17"/>
        <v>2.3291716211529105</v>
      </c>
      <c r="P1006" s="56">
        <v>12.733141486810563</v>
      </c>
      <c r="Q1006" s="143">
        <v>12.733141486810563</v>
      </c>
      <c r="R1006" s="143">
        <v>1771.4495999999999</v>
      </c>
      <c r="S1006" s="34">
        <v>103.44959999999992</v>
      </c>
      <c r="T1006" s="56">
        <v>103.44959999999992</v>
      </c>
      <c r="U1006" s="56">
        <v>2.0189067811461463</v>
      </c>
      <c r="V1006" s="56">
        <v>6.2020143884892036</v>
      </c>
      <c r="W1006" s="33">
        <v>6.2020143884892036</v>
      </c>
    </row>
    <row r="1007" spans="1:23" ht="15" x14ac:dyDescent="0.2">
      <c r="A1007" s="103" t="s">
        <v>19</v>
      </c>
      <c r="B1007" t="s">
        <v>884</v>
      </c>
      <c r="C1007" s="103" t="s">
        <v>970</v>
      </c>
      <c r="D1007" s="224" t="s">
        <v>824</v>
      </c>
      <c r="E1007" s="35" t="s">
        <v>148</v>
      </c>
      <c r="F1007" s="103" t="s">
        <v>967</v>
      </c>
      <c r="G1007" s="103">
        <v>0</v>
      </c>
      <c r="H1007" s="35" t="s">
        <v>374</v>
      </c>
      <c r="I1007" s="35" t="s">
        <v>580</v>
      </c>
      <c r="J1007" s="35">
        <v>1733</v>
      </c>
      <c r="K1007">
        <v>1949.1890000000003</v>
      </c>
      <c r="L1007" s="34">
        <v>216.18900000000031</v>
      </c>
      <c r="M1007" s="56">
        <v>216.18900000000031</v>
      </c>
      <c r="N1007" s="56">
        <v>2.3368378257037548</v>
      </c>
      <c r="O1007" s="132">
        <f t="shared" si="17"/>
        <v>2.3368378257037548</v>
      </c>
      <c r="P1007" s="56">
        <v>12.47484131563764</v>
      </c>
      <c r="Q1007" s="143">
        <v>12.47484131563764</v>
      </c>
      <c r="R1007" s="143">
        <v>2012.9</v>
      </c>
      <c r="S1007" s="34">
        <v>279.90000000000009</v>
      </c>
      <c r="T1007" s="56">
        <v>279.90000000000009</v>
      </c>
      <c r="U1007" s="56">
        <v>2.4485517392015783</v>
      </c>
      <c r="V1007" s="56">
        <v>16.151182919792273</v>
      </c>
      <c r="W1007" s="33">
        <v>16.151182919792273</v>
      </c>
    </row>
    <row r="1008" spans="1:23" ht="15" x14ac:dyDescent="0.2">
      <c r="A1008" s="103" t="s">
        <v>19</v>
      </c>
      <c r="B1008" s="28" t="s">
        <v>75</v>
      </c>
      <c r="C1008" s="224" t="s">
        <v>978</v>
      </c>
      <c r="D1008" s="208" t="s">
        <v>403</v>
      </c>
      <c r="E1008" s="35" t="s">
        <v>82</v>
      </c>
      <c r="F1008" s="103" t="s">
        <v>968</v>
      </c>
      <c r="G1008" s="103">
        <v>1</v>
      </c>
      <c r="H1008" s="35" t="s">
        <v>374</v>
      </c>
      <c r="I1008" s="35" t="s">
        <v>580</v>
      </c>
      <c r="J1008" s="35">
        <v>2106.6</v>
      </c>
      <c r="K1008" s="141">
        <v>1889.7871473879543</v>
      </c>
      <c r="L1008" s="34">
        <v>-216.81285261204562</v>
      </c>
      <c r="M1008" s="56">
        <v>216.81285261204562</v>
      </c>
      <c r="N1008" s="56">
        <v>2.3380835028476779</v>
      </c>
      <c r="O1008" s="132">
        <f t="shared" si="17"/>
        <v>-2.3380835028476779</v>
      </c>
      <c r="P1008" s="56">
        <v>-10.29207503142721</v>
      </c>
      <c r="Q1008" s="143">
        <v>10.29207503142721</v>
      </c>
      <c r="R1008" s="143">
        <v>1846.7818632010965</v>
      </c>
      <c r="S1008" s="34">
        <v>-259.81813679890342</v>
      </c>
      <c r="T1008" s="56">
        <v>259.81813679890342</v>
      </c>
      <c r="U1008" s="56">
        <v>2.4163377881251087</v>
      </c>
      <c r="V1008" s="56">
        <v>-12.333529706584233</v>
      </c>
      <c r="W1008" s="33">
        <v>12.333529706584233</v>
      </c>
    </row>
    <row r="1009" spans="1:23" ht="15" x14ac:dyDescent="0.2">
      <c r="A1009" s="103" t="s">
        <v>19</v>
      </c>
      <c r="B1009" t="s">
        <v>838</v>
      </c>
      <c r="C1009" s="103" t="s">
        <v>971</v>
      </c>
      <c r="D1009" s="224" t="s">
        <v>824</v>
      </c>
      <c r="E1009" s="35" t="s">
        <v>148</v>
      </c>
      <c r="F1009" s="103" t="s">
        <v>968</v>
      </c>
      <c r="G1009" s="103">
        <v>1</v>
      </c>
      <c r="H1009" s="35" t="s">
        <v>374</v>
      </c>
      <c r="I1009" s="35" t="s">
        <v>580</v>
      </c>
      <c r="J1009" s="35">
        <v>2285</v>
      </c>
      <c r="K1009">
        <v>2501.9054572343402</v>
      </c>
      <c r="L1009" s="34">
        <v>216.90545723434025</v>
      </c>
      <c r="M1009" s="56">
        <v>216.90545723434025</v>
      </c>
      <c r="N1009" s="56">
        <v>2.3382681068735267</v>
      </c>
      <c r="O1009" s="132">
        <f t="shared" si="17"/>
        <v>2.3382681068735267</v>
      </c>
      <c r="P1009" s="56">
        <v>9.4925801853102953</v>
      </c>
      <c r="Q1009" s="143">
        <v>9.4925801853102953</v>
      </c>
      <c r="R1009" s="143">
        <v>2824.4598863434267</v>
      </c>
      <c r="S1009" s="34">
        <v>539.45988634342666</v>
      </c>
      <c r="T1009" s="56">
        <v>539.45988634342666</v>
      </c>
      <c r="U1009" s="56">
        <v>2.7327634655674182</v>
      </c>
      <c r="V1009" s="56">
        <v>23.608747761200291</v>
      </c>
      <c r="W1009" s="33">
        <v>23.608747761200291</v>
      </c>
    </row>
    <row r="1010" spans="1:23" ht="15" x14ac:dyDescent="0.2">
      <c r="A1010" s="103" t="s">
        <v>19</v>
      </c>
      <c r="B1010" s="28" t="s">
        <v>306</v>
      </c>
      <c r="C1010" s="24" t="s">
        <v>980</v>
      </c>
      <c r="D1010" s="208" t="s">
        <v>403</v>
      </c>
      <c r="E1010" s="35" t="s">
        <v>148</v>
      </c>
      <c r="F1010" s="103" t="s">
        <v>968</v>
      </c>
      <c r="G1010" s="103">
        <v>1</v>
      </c>
      <c r="H1010" s="35" t="s">
        <v>494</v>
      </c>
      <c r="I1010" s="35" t="s">
        <v>580</v>
      </c>
      <c r="J1010" s="35">
        <v>1098.0999999999999</v>
      </c>
      <c r="K1010" s="141">
        <v>1316.5640273832407</v>
      </c>
      <c r="L1010" s="34">
        <v>218.46402738324082</v>
      </c>
      <c r="M1010" s="56">
        <v>218.46402738324082</v>
      </c>
      <c r="N1010" s="56">
        <v>2.3413633446726418</v>
      </c>
      <c r="O1010" s="132">
        <f t="shared" si="17"/>
        <v>2.3413633446726418</v>
      </c>
      <c r="P1010" s="56">
        <v>19.894729749862567</v>
      </c>
      <c r="Q1010" s="143">
        <v>19.894729749862567</v>
      </c>
      <c r="R1010" s="143">
        <v>1302.4359504793742</v>
      </c>
      <c r="S1010" s="34">
        <v>204.33595047937433</v>
      </c>
      <c r="T1010" s="56">
        <v>204.33595047937433</v>
      </c>
      <c r="U1010" s="56">
        <v>2.3124649928579473</v>
      </c>
      <c r="V1010" s="56">
        <v>18.60813682536876</v>
      </c>
      <c r="W1010" s="33">
        <v>18.60813682536876</v>
      </c>
    </row>
    <row r="1011" spans="1:23" ht="15" x14ac:dyDescent="0.2">
      <c r="A1011" s="103" t="s">
        <v>19</v>
      </c>
      <c r="B1011" s="28" t="s">
        <v>306</v>
      </c>
      <c r="C1011" s="224" t="s">
        <v>977</v>
      </c>
      <c r="D1011" s="208" t="s">
        <v>403</v>
      </c>
      <c r="E1011" s="35" t="s">
        <v>148</v>
      </c>
      <c r="F1011" s="103" t="s">
        <v>968</v>
      </c>
      <c r="G1011" s="103">
        <v>1</v>
      </c>
      <c r="H1011" s="35" t="s">
        <v>494</v>
      </c>
      <c r="I1011" s="35" t="s">
        <v>580</v>
      </c>
      <c r="J1011" s="35">
        <v>1098.0999999999999</v>
      </c>
      <c r="K1011" s="141">
        <v>1318.391127910186</v>
      </c>
      <c r="L1011" s="34">
        <v>220.29112791018611</v>
      </c>
      <c r="M1011" s="56">
        <v>220.29112791018611</v>
      </c>
      <c r="N1011" s="56">
        <v>2.3449640023733127</v>
      </c>
      <c r="O1011" s="132">
        <f t="shared" si="17"/>
        <v>2.3449640023733127</v>
      </c>
      <c r="P1011" s="56">
        <v>20.061117194261556</v>
      </c>
      <c r="Q1011" s="143">
        <v>20.061117194261556</v>
      </c>
      <c r="R1011" s="143">
        <v>1304.7000593989587</v>
      </c>
      <c r="S1011" s="34">
        <v>206.60005939895882</v>
      </c>
      <c r="T1011" s="56">
        <v>206.60005939895882</v>
      </c>
      <c r="U1011" s="56">
        <v>2.3172274734376743</v>
      </c>
      <c r="V1011" s="56">
        <v>18.814321045347313</v>
      </c>
      <c r="W1011" s="33">
        <v>18.814321045347313</v>
      </c>
    </row>
    <row r="1012" spans="1:23" ht="15" x14ac:dyDescent="0.2">
      <c r="A1012" s="103" t="s">
        <v>19</v>
      </c>
      <c r="B1012" s="28" t="s">
        <v>136</v>
      </c>
      <c r="C1012" s="103" t="s">
        <v>979</v>
      </c>
      <c r="D1012" s="208" t="s">
        <v>403</v>
      </c>
      <c r="E1012" s="35" t="s">
        <v>96</v>
      </c>
      <c r="F1012" s="103" t="s">
        <v>967</v>
      </c>
      <c r="G1012" s="103">
        <v>0</v>
      </c>
      <c r="H1012" s="35" t="s">
        <v>374</v>
      </c>
      <c r="I1012" s="35" t="s">
        <v>580</v>
      </c>
      <c r="J1012" s="35">
        <v>2365.6</v>
      </c>
      <c r="K1012" s="141">
        <v>2142.782608695652</v>
      </c>
      <c r="L1012" s="34">
        <v>-222.81739130434789</v>
      </c>
      <c r="M1012" s="56">
        <v>222.81739130434789</v>
      </c>
      <c r="N1012" s="56">
        <v>2.3498938295295075</v>
      </c>
      <c r="O1012" s="132">
        <f t="shared" si="17"/>
        <v>-2.3498938295295075</v>
      </c>
      <c r="P1012" s="56">
        <v>-9.4190645630853869</v>
      </c>
      <c r="Q1012" s="143">
        <v>9.4190645630853869</v>
      </c>
      <c r="R1012" s="143">
        <v>2188.3333333333335</v>
      </c>
      <c r="S1012" s="34">
        <v>-177.26666666666642</v>
      </c>
      <c r="T1012" s="56">
        <v>177.26666666666642</v>
      </c>
      <c r="U1012" s="56">
        <v>2.2510701438702836</v>
      </c>
      <c r="V1012" s="56">
        <v>-7.4935182053883338</v>
      </c>
      <c r="W1012" s="33">
        <v>7.4935182053883338</v>
      </c>
    </row>
    <row r="1013" spans="1:23" ht="15" x14ac:dyDescent="0.2">
      <c r="A1013" s="103" t="s">
        <v>19</v>
      </c>
      <c r="B1013" s="28" t="s">
        <v>152</v>
      </c>
      <c r="C1013" s="103" t="s">
        <v>975</v>
      </c>
      <c r="D1013" s="208" t="s">
        <v>403</v>
      </c>
      <c r="E1013" s="35" t="s">
        <v>82</v>
      </c>
      <c r="F1013" s="103" t="s">
        <v>967</v>
      </c>
      <c r="G1013" s="103">
        <v>0</v>
      </c>
      <c r="H1013" s="35" t="s">
        <v>203</v>
      </c>
      <c r="I1013" s="35" t="s">
        <v>581</v>
      </c>
      <c r="J1013" s="35">
        <v>5810</v>
      </c>
      <c r="K1013" s="141">
        <v>6032.9817799999992</v>
      </c>
      <c r="L1013" s="34">
        <v>222.98177999999916</v>
      </c>
      <c r="M1013" s="56">
        <v>222.98177999999916</v>
      </c>
      <c r="N1013" s="56">
        <v>2.3502126916944723</v>
      </c>
      <c r="O1013" s="132">
        <f t="shared" si="17"/>
        <v>2.3502126916944723</v>
      </c>
      <c r="P1013" s="56">
        <v>3.8378963855421544</v>
      </c>
      <c r="Q1013" s="143">
        <v>3.8378963855421544</v>
      </c>
      <c r="R1013" s="143">
        <v>6201.0532399999993</v>
      </c>
      <c r="S1013" s="34">
        <v>391.05323999999928</v>
      </c>
      <c r="T1013" s="56">
        <v>391.05323999999928</v>
      </c>
      <c r="U1013" s="56">
        <v>2.5933450472964696</v>
      </c>
      <c r="V1013" s="56">
        <v>6.730692598967285</v>
      </c>
      <c r="W1013" s="33">
        <v>6.730692598967285</v>
      </c>
    </row>
    <row r="1014" spans="1:23" ht="15" x14ac:dyDescent="0.2">
      <c r="A1014" s="103" t="s">
        <v>19</v>
      </c>
      <c r="B1014" s="28" t="s">
        <v>75</v>
      </c>
      <c r="C1014" s="103" t="s">
        <v>971</v>
      </c>
      <c r="D1014" s="208" t="s">
        <v>403</v>
      </c>
      <c r="E1014" s="35" t="s">
        <v>82</v>
      </c>
      <c r="F1014" s="103" t="s">
        <v>968</v>
      </c>
      <c r="G1014" s="103">
        <v>1</v>
      </c>
      <c r="H1014" s="35" t="s">
        <v>374</v>
      </c>
      <c r="I1014" s="35" t="s">
        <v>580</v>
      </c>
      <c r="J1014" s="35">
        <v>2106.6</v>
      </c>
      <c r="K1014" s="141">
        <v>1879.1894948385327</v>
      </c>
      <c r="L1014" s="34">
        <v>-227.4105051614672</v>
      </c>
      <c r="M1014" s="56">
        <v>227.4105051614672</v>
      </c>
      <c r="N1014" s="56">
        <v>2.3587160743055908</v>
      </c>
      <c r="O1014" s="132">
        <f t="shared" si="17"/>
        <v>-2.3587160743055908</v>
      </c>
      <c r="P1014" s="56">
        <v>-10.79514407867973</v>
      </c>
      <c r="Q1014" s="143">
        <v>10.79514407867973</v>
      </c>
      <c r="R1014" s="143">
        <v>2092.3707919978888</v>
      </c>
      <c r="S1014" s="34">
        <v>-14.229208002111136</v>
      </c>
      <c r="T1014" s="56">
        <v>14.229208002111136</v>
      </c>
      <c r="U1014" s="56">
        <v>1.1826773183553125</v>
      </c>
      <c r="V1014" s="56">
        <v>-0.67545846397565446</v>
      </c>
      <c r="W1014" s="33">
        <v>0.67545846397565446</v>
      </c>
    </row>
    <row r="1015" spans="1:23" ht="15" x14ac:dyDescent="0.2">
      <c r="A1015" s="103" t="s">
        <v>19</v>
      </c>
      <c r="B1015" t="s">
        <v>888</v>
      </c>
      <c r="C1015" s="103" t="s">
        <v>979</v>
      </c>
      <c r="D1015" s="224" t="s">
        <v>824</v>
      </c>
      <c r="E1015" s="35" t="s">
        <v>148</v>
      </c>
      <c r="F1015" s="103" t="s">
        <v>967</v>
      </c>
      <c r="G1015" s="103">
        <v>0</v>
      </c>
      <c r="H1015" s="35" t="s">
        <v>374</v>
      </c>
      <c r="I1015" s="35" t="s">
        <v>580</v>
      </c>
      <c r="J1015" s="35">
        <v>2150</v>
      </c>
      <c r="K1015">
        <v>1921.7391304347825</v>
      </c>
      <c r="L1015" s="34">
        <v>-228.26086956521749</v>
      </c>
      <c r="M1015" s="56">
        <v>228.26086956521749</v>
      </c>
      <c r="N1015" s="56">
        <v>2.3603299353138714</v>
      </c>
      <c r="O1015" s="132">
        <f t="shared" si="17"/>
        <v>-2.3603299353138714</v>
      </c>
      <c r="P1015" s="56">
        <v>-10.61678463094035</v>
      </c>
      <c r="Q1015" s="143">
        <v>10.61678463094035</v>
      </c>
      <c r="R1015" s="143">
        <v>1900</v>
      </c>
      <c r="S1015" s="34">
        <v>-250</v>
      </c>
      <c r="T1015" s="56">
        <v>250</v>
      </c>
      <c r="U1015" s="56">
        <v>2.399673721481038</v>
      </c>
      <c r="V1015" s="56">
        <v>-11.627906976744185</v>
      </c>
      <c r="W1015" s="33">
        <v>11.627906976744185</v>
      </c>
    </row>
    <row r="1016" spans="1:23" ht="15" x14ac:dyDescent="0.2">
      <c r="A1016" s="103" t="s">
        <v>19</v>
      </c>
      <c r="B1016" s="28" t="s">
        <v>75</v>
      </c>
      <c r="C1016" s="224" t="s">
        <v>977</v>
      </c>
      <c r="D1016" s="208" t="s">
        <v>403</v>
      </c>
      <c r="E1016" s="35" t="s">
        <v>82</v>
      </c>
      <c r="F1016" s="103" t="s">
        <v>968</v>
      </c>
      <c r="G1016" s="103">
        <v>1</v>
      </c>
      <c r="H1016" s="35" t="s">
        <v>374</v>
      </c>
      <c r="I1016" s="35" t="s">
        <v>580</v>
      </c>
      <c r="J1016" s="35">
        <v>2106.6</v>
      </c>
      <c r="K1016" s="141">
        <v>1877.8779551186844</v>
      </c>
      <c r="L1016" s="34">
        <v>-228.72204488131547</v>
      </c>
      <c r="M1016" s="56">
        <v>228.72204488131547</v>
      </c>
      <c r="N1016" s="56">
        <v>2.3612026735185787</v>
      </c>
      <c r="O1016" s="132">
        <f t="shared" si="17"/>
        <v>-2.3612026735185787</v>
      </c>
      <c r="P1016" s="56">
        <v>-10.857402681159948</v>
      </c>
      <c r="Q1016" s="143">
        <v>10.857402681159948</v>
      </c>
      <c r="R1016" s="143">
        <v>1842.6631972242819</v>
      </c>
      <c r="S1016" s="34">
        <v>-263.93680277571798</v>
      </c>
      <c r="T1016" s="56">
        <v>263.93680277571798</v>
      </c>
      <c r="U1016" s="56">
        <v>2.4231422909972435</v>
      </c>
      <c r="V1016" s="56">
        <v>-12.52904219005592</v>
      </c>
      <c r="W1016" s="33">
        <v>12.52904219005592</v>
      </c>
    </row>
    <row r="1017" spans="1:23" ht="15" x14ac:dyDescent="0.2">
      <c r="A1017" s="103" t="s">
        <v>19</v>
      </c>
      <c r="B1017" s="28" t="s">
        <v>345</v>
      </c>
      <c r="C1017" s="224" t="s">
        <v>974</v>
      </c>
      <c r="D1017" s="208" t="s">
        <v>403</v>
      </c>
      <c r="E1017" s="35" t="s">
        <v>82</v>
      </c>
      <c r="F1017" s="103" t="s">
        <v>967</v>
      </c>
      <c r="G1017" s="103">
        <v>0</v>
      </c>
      <c r="H1017" s="35" t="s">
        <v>374</v>
      </c>
      <c r="I1017" s="35" t="s">
        <v>580</v>
      </c>
      <c r="J1017" s="35">
        <v>1499</v>
      </c>
      <c r="K1017" s="141">
        <v>1733.1676</v>
      </c>
      <c r="L1017" s="34">
        <v>234.16759999999999</v>
      </c>
      <c r="M1017" s="56">
        <v>234.16759999999999</v>
      </c>
      <c r="N1017" s="56">
        <v>2.3713774870023645</v>
      </c>
      <c r="O1017" s="132">
        <f t="shared" si="17"/>
        <v>2.3713774870023645</v>
      </c>
      <c r="P1017" s="56">
        <v>15.6215877251501</v>
      </c>
      <c r="Q1017" s="143">
        <v>15.6215877251501</v>
      </c>
      <c r="R1017" s="143">
        <v>1647.0473999999999</v>
      </c>
      <c r="S1017" s="34">
        <v>148.04739999999993</v>
      </c>
      <c r="T1017" s="56">
        <v>148.04739999999993</v>
      </c>
      <c r="U1017" s="56">
        <v>2.1733244045517992</v>
      </c>
      <c r="V1017" s="56">
        <v>9.8764109406270801</v>
      </c>
      <c r="W1017" s="33">
        <v>9.8764109406270801</v>
      </c>
    </row>
    <row r="1018" spans="1:23" ht="15" x14ac:dyDescent="0.2">
      <c r="A1018" s="103" t="s">
        <v>19</v>
      </c>
      <c r="B1018" s="28" t="s">
        <v>425</v>
      </c>
      <c r="C1018" s="24" t="s">
        <v>980</v>
      </c>
      <c r="D1018" s="35" t="s">
        <v>458</v>
      </c>
      <c r="E1018" s="208" t="s">
        <v>82</v>
      </c>
      <c r="F1018" s="103" t="s">
        <v>968</v>
      </c>
      <c r="G1018" s="103">
        <v>1</v>
      </c>
      <c r="H1018" s="35" t="s">
        <v>293</v>
      </c>
      <c r="I1018" s="35" t="s">
        <v>580</v>
      </c>
      <c r="J1018" s="35">
        <v>2690</v>
      </c>
      <c r="K1018" s="141">
        <v>2927.1301845291105</v>
      </c>
      <c r="L1018" s="34">
        <v>237.13018452911047</v>
      </c>
      <c r="M1018" s="56">
        <v>237.13018452911047</v>
      </c>
      <c r="N1018" s="56">
        <v>2.376814448506825</v>
      </c>
      <c r="O1018" s="132">
        <f t="shared" si="17"/>
        <v>2.376814448506825</v>
      </c>
      <c r="P1018" s="56">
        <v>8.8152484955059656</v>
      </c>
      <c r="Q1018" s="143">
        <v>8.8152484955059656</v>
      </c>
      <c r="R1018" s="143">
        <v>2849.8023032990063</v>
      </c>
      <c r="S1018" s="34">
        <v>159.80230329900633</v>
      </c>
      <c r="T1018" s="56">
        <v>159.80230329900633</v>
      </c>
      <c r="U1018" s="56">
        <v>2.2062922652015149</v>
      </c>
      <c r="V1018" s="56">
        <v>5.940606070595031</v>
      </c>
      <c r="W1018" s="33">
        <v>5.940606070595031</v>
      </c>
    </row>
    <row r="1019" spans="1:23" ht="15" x14ac:dyDescent="0.2">
      <c r="A1019" s="103" t="s">
        <v>19</v>
      </c>
      <c r="B1019" s="28" t="s">
        <v>360</v>
      </c>
      <c r="C1019" s="224" t="s">
        <v>974</v>
      </c>
      <c r="D1019" s="208" t="s">
        <v>403</v>
      </c>
      <c r="E1019" s="35" t="s">
        <v>82</v>
      </c>
      <c r="F1019" s="103" t="s">
        <v>967</v>
      </c>
      <c r="G1019" s="103">
        <v>0</v>
      </c>
      <c r="H1019" s="35" t="s">
        <v>494</v>
      </c>
      <c r="I1019" s="35" t="s">
        <v>580</v>
      </c>
      <c r="J1019" s="35">
        <v>906.8</v>
      </c>
      <c r="K1019" s="141">
        <v>1144.2828</v>
      </c>
      <c r="L1019" s="34">
        <v>237.4828</v>
      </c>
      <c r="M1019" s="56">
        <v>237.4828</v>
      </c>
      <c r="N1019" s="56">
        <v>2.3774570620576618</v>
      </c>
      <c r="O1019" s="132">
        <f t="shared" si="17"/>
        <v>2.3774570620576618</v>
      </c>
      <c r="P1019" s="56">
        <v>26.189104543449492</v>
      </c>
      <c r="Q1019" s="143">
        <v>26.189104543449492</v>
      </c>
      <c r="R1019" s="143">
        <v>1063.4575409999998</v>
      </c>
      <c r="S1019" s="34">
        <v>156.65754099999981</v>
      </c>
      <c r="T1019" s="56">
        <v>156.65754099999981</v>
      </c>
      <c r="U1019" s="56">
        <v>2.1977147485464177</v>
      </c>
      <c r="V1019" s="56">
        <v>17.275864689016299</v>
      </c>
      <c r="W1019" s="33">
        <v>17.275864689016299</v>
      </c>
    </row>
    <row r="1020" spans="1:23" ht="15" x14ac:dyDescent="0.2">
      <c r="A1020" s="103" t="s">
        <v>19</v>
      </c>
      <c r="B1020" s="28" t="s">
        <v>310</v>
      </c>
      <c r="C1020" s="103" t="s">
        <v>979</v>
      </c>
      <c r="D1020" s="208" t="s">
        <v>403</v>
      </c>
      <c r="E1020" s="35" t="s">
        <v>82</v>
      </c>
      <c r="F1020" s="103" t="s">
        <v>967</v>
      </c>
      <c r="G1020" s="103">
        <v>0</v>
      </c>
      <c r="H1020" s="35" t="s">
        <v>374</v>
      </c>
      <c r="I1020" s="35" t="s">
        <v>580</v>
      </c>
      <c r="J1020" s="35">
        <v>1464.23</v>
      </c>
      <c r="K1020" s="142">
        <v>1706.086956521739</v>
      </c>
      <c r="L1020" s="34">
        <v>241.85695652173899</v>
      </c>
      <c r="M1020" s="56">
        <v>241.85695652173899</v>
      </c>
      <c r="N1020" s="56">
        <v>2.3853505481456163</v>
      </c>
      <c r="O1020" s="132">
        <f t="shared" si="17"/>
        <v>2.3853505481456163</v>
      </c>
      <c r="P1020" s="56">
        <v>16.517688923307059</v>
      </c>
      <c r="Q1020" s="143">
        <v>16.517688923307059</v>
      </c>
      <c r="R1020" s="143">
        <v>1720.8333333333335</v>
      </c>
      <c r="S1020" s="34">
        <v>256.60333333333347</v>
      </c>
      <c r="T1020" s="56">
        <v>256.60333333333347</v>
      </c>
      <c r="U1020" s="56">
        <v>2.4109514784040278</v>
      </c>
      <c r="V1020" s="56">
        <v>17.524796878450342</v>
      </c>
      <c r="W1020" s="33">
        <v>17.524796878450342</v>
      </c>
    </row>
    <row r="1021" spans="1:23" ht="15" x14ac:dyDescent="0.2">
      <c r="A1021" s="103" t="s">
        <v>19</v>
      </c>
      <c r="B1021" t="s">
        <v>884</v>
      </c>
      <c r="C1021" s="224" t="s">
        <v>974</v>
      </c>
      <c r="D1021" s="224" t="s">
        <v>824</v>
      </c>
      <c r="E1021" s="35" t="s">
        <v>148</v>
      </c>
      <c r="F1021" s="103" t="s">
        <v>967</v>
      </c>
      <c r="G1021" s="103">
        <v>0</v>
      </c>
      <c r="H1021" s="35" t="s">
        <v>374</v>
      </c>
      <c r="I1021" s="35" t="s">
        <v>580</v>
      </c>
      <c r="J1021" s="35">
        <v>1733</v>
      </c>
      <c r="K1021">
        <v>1975.0309999999999</v>
      </c>
      <c r="L1021" s="34">
        <v>242.03099999999995</v>
      </c>
      <c r="M1021" s="56">
        <v>242.03099999999995</v>
      </c>
      <c r="N1021" s="56">
        <v>2.3856616738874181</v>
      </c>
      <c r="O1021" s="132">
        <f t="shared" si="17"/>
        <v>2.3856616738874181</v>
      </c>
      <c r="P1021" s="56">
        <v>13.966012694748986</v>
      </c>
      <c r="Q1021" s="143">
        <v>13.966012694748986</v>
      </c>
      <c r="R1021" s="143">
        <v>1876.7129999999997</v>
      </c>
      <c r="S1021" s="34">
        <v>143.71299999999974</v>
      </c>
      <c r="T1021" s="56">
        <v>143.71299999999974</v>
      </c>
      <c r="U1021" s="56">
        <v>2.160507546838915</v>
      </c>
      <c r="V1021" s="56">
        <v>8.2927293710328751</v>
      </c>
      <c r="W1021" s="33">
        <v>8.2927293710328751</v>
      </c>
    </row>
    <row r="1022" spans="1:23" ht="15" x14ac:dyDescent="0.2">
      <c r="A1022" s="103" t="s">
        <v>19</v>
      </c>
      <c r="B1022" t="s">
        <v>837</v>
      </c>
      <c r="C1022" s="224" t="s">
        <v>978</v>
      </c>
      <c r="D1022" s="224" t="s">
        <v>824</v>
      </c>
      <c r="E1022" s="35" t="s">
        <v>148</v>
      </c>
      <c r="F1022" s="103" t="s">
        <v>968</v>
      </c>
      <c r="G1022" s="103">
        <v>1</v>
      </c>
      <c r="H1022" s="225" t="s">
        <v>293</v>
      </c>
      <c r="I1022" s="35" t="s">
        <v>580</v>
      </c>
      <c r="J1022" s="29">
        <v>2570</v>
      </c>
      <c r="K1022">
        <v>2814.898840365217</v>
      </c>
      <c r="L1022" s="34">
        <v>244.89884036521698</v>
      </c>
      <c r="M1022" s="56">
        <v>244.89884036521698</v>
      </c>
      <c r="N1022" s="56">
        <v>2.3907564806534189</v>
      </c>
      <c r="O1022" s="132">
        <f t="shared" si="17"/>
        <v>2.3907564806534189</v>
      </c>
      <c r="P1022" s="56">
        <v>9.529137757401438</v>
      </c>
      <c r="Q1022" s="143">
        <v>9.529137757401438</v>
      </c>
      <c r="R1022" s="143">
        <v>2835.1931696936476</v>
      </c>
      <c r="S1022" s="34">
        <v>265.19316969364763</v>
      </c>
      <c r="T1022" s="56">
        <v>265.19316969364763</v>
      </c>
      <c r="U1022" s="56">
        <v>2.4251969076284552</v>
      </c>
      <c r="V1022" s="56">
        <v>10.318800377184733</v>
      </c>
      <c r="W1022" s="33">
        <v>10.318800377184733</v>
      </c>
    </row>
    <row r="1023" spans="1:23" ht="15" x14ac:dyDescent="0.2">
      <c r="A1023" s="103" t="s">
        <v>19</v>
      </c>
      <c r="B1023" s="28" t="s">
        <v>306</v>
      </c>
      <c r="C1023" s="103" t="s">
        <v>970</v>
      </c>
      <c r="D1023" s="208" t="s">
        <v>403</v>
      </c>
      <c r="E1023" s="35" t="s">
        <v>148</v>
      </c>
      <c r="F1023" s="103" t="s">
        <v>967</v>
      </c>
      <c r="G1023" s="103">
        <v>0</v>
      </c>
      <c r="H1023" s="35" t="s">
        <v>494</v>
      </c>
      <c r="I1023" s="35" t="s">
        <v>580</v>
      </c>
      <c r="J1023" s="35">
        <v>1098.0999999999999</v>
      </c>
      <c r="K1023" s="141">
        <v>1347.1258270000003</v>
      </c>
      <c r="L1023" s="34">
        <v>249.02582700000039</v>
      </c>
      <c r="M1023" s="56">
        <v>249.02582700000039</v>
      </c>
      <c r="N1023" s="56">
        <v>2.3979848724490211</v>
      </c>
      <c r="O1023" s="132">
        <f t="shared" si="17"/>
        <v>2.3979848724490211</v>
      </c>
      <c r="P1023" s="56">
        <v>22.67788243329391</v>
      </c>
      <c r="Q1023" s="143">
        <v>22.67788243329391</v>
      </c>
      <c r="R1023" s="143">
        <v>1356.3042799999998</v>
      </c>
      <c r="S1023" s="34">
        <v>258.20427999999993</v>
      </c>
      <c r="T1023" s="56">
        <v>258.20427999999993</v>
      </c>
      <c r="U1023" s="56">
        <v>2.4136421683599609</v>
      </c>
      <c r="V1023" s="56">
        <v>23.513730989891627</v>
      </c>
      <c r="W1023" s="33">
        <v>23.513730989891627</v>
      </c>
    </row>
    <row r="1024" spans="1:23" ht="15" x14ac:dyDescent="0.2">
      <c r="A1024" s="103" t="s">
        <v>19</v>
      </c>
      <c r="B1024" s="28" t="s">
        <v>360</v>
      </c>
      <c r="C1024" s="103" t="s">
        <v>975</v>
      </c>
      <c r="D1024" s="208" t="s">
        <v>403</v>
      </c>
      <c r="E1024" s="35" t="s">
        <v>82</v>
      </c>
      <c r="F1024" s="103" t="s">
        <v>967</v>
      </c>
      <c r="G1024" s="103">
        <v>0</v>
      </c>
      <c r="H1024" s="35" t="s">
        <v>494</v>
      </c>
      <c r="I1024" s="35" t="s">
        <v>580</v>
      </c>
      <c r="J1024" s="35">
        <v>906.8</v>
      </c>
      <c r="K1024" s="141">
        <v>1169.7595999999999</v>
      </c>
      <c r="L1024" s="34">
        <v>262.95959999999991</v>
      </c>
      <c r="M1024" s="56">
        <v>262.95959999999991</v>
      </c>
      <c r="N1024" s="56">
        <v>2.4215374615679286</v>
      </c>
      <c r="O1024" s="132">
        <f t="shared" si="17"/>
        <v>2.4215374615679286</v>
      </c>
      <c r="P1024" s="56">
        <v>28.998632554036163</v>
      </c>
      <c r="Q1024" s="143">
        <v>28.998632554036163</v>
      </c>
      <c r="R1024" s="143">
        <v>1162.4941019999999</v>
      </c>
      <c r="S1024" s="34">
        <v>255.69410199999993</v>
      </c>
      <c r="T1024" s="56">
        <v>255.69410199999993</v>
      </c>
      <c r="U1024" s="56">
        <v>2.409415890103928</v>
      </c>
      <c r="V1024" s="56">
        <v>28.197408689898538</v>
      </c>
      <c r="W1024" s="33">
        <v>28.197408689898538</v>
      </c>
    </row>
    <row r="1025" spans="1:23" ht="15" x14ac:dyDescent="0.2">
      <c r="A1025" s="103" t="s">
        <v>19</v>
      </c>
      <c r="B1025" s="28" t="s">
        <v>75</v>
      </c>
      <c r="C1025" s="103" t="s">
        <v>975</v>
      </c>
      <c r="D1025" s="208" t="s">
        <v>403</v>
      </c>
      <c r="E1025" s="35" t="s">
        <v>82</v>
      </c>
      <c r="F1025" s="103" t="s">
        <v>967</v>
      </c>
      <c r="G1025" s="103">
        <v>0</v>
      </c>
      <c r="H1025" s="35" t="s">
        <v>374</v>
      </c>
      <c r="I1025" s="35" t="s">
        <v>580</v>
      </c>
      <c r="J1025" s="35">
        <v>2106.6</v>
      </c>
      <c r="K1025" s="141">
        <v>1842.7320439999999</v>
      </c>
      <c r="L1025" s="34">
        <v>-263.86795600000005</v>
      </c>
      <c r="M1025" s="56">
        <v>263.86795600000005</v>
      </c>
      <c r="N1025" s="56">
        <v>2.4230294200784224</v>
      </c>
      <c r="O1025" s="132">
        <f t="shared" si="17"/>
        <v>-2.4230294200784224</v>
      </c>
      <c r="P1025" s="56">
        <v>-12.525774043482391</v>
      </c>
      <c r="Q1025" s="143">
        <v>12.525774043482391</v>
      </c>
      <c r="R1025" s="143">
        <v>1835.3855740000001</v>
      </c>
      <c r="S1025" s="34">
        <v>-271.21442599999978</v>
      </c>
      <c r="T1025" s="56">
        <v>271.21442599999978</v>
      </c>
      <c r="U1025" s="56">
        <v>2.4349111369076635</v>
      </c>
      <c r="V1025" s="56">
        <v>-12.874509921200028</v>
      </c>
      <c r="W1025" s="33">
        <v>12.874509921200028</v>
      </c>
    </row>
    <row r="1026" spans="1:23" ht="15" x14ac:dyDescent="0.2">
      <c r="A1026" s="103" t="s">
        <v>19</v>
      </c>
      <c r="B1026" t="s">
        <v>838</v>
      </c>
      <c r="C1026" s="103" t="s">
        <v>970</v>
      </c>
      <c r="D1026" s="224" t="s">
        <v>824</v>
      </c>
      <c r="E1026" s="35" t="s">
        <v>148</v>
      </c>
      <c r="F1026" s="103" t="s">
        <v>967</v>
      </c>
      <c r="G1026" s="103">
        <v>0</v>
      </c>
      <c r="H1026" s="35" t="s">
        <v>374</v>
      </c>
      <c r="I1026" s="35" t="s">
        <v>580</v>
      </c>
      <c r="J1026" s="35">
        <v>2285</v>
      </c>
      <c r="K1026">
        <v>2549.7780000000002</v>
      </c>
      <c r="L1026" s="34">
        <v>264.77800000000025</v>
      </c>
      <c r="M1026" s="56">
        <v>264.77800000000025</v>
      </c>
      <c r="N1026" s="56">
        <v>2.4245190289993737</v>
      </c>
      <c r="O1026" s="132">
        <f t="shared" si="17"/>
        <v>2.4245190289993737</v>
      </c>
      <c r="P1026" s="56">
        <v>11.58765864332605</v>
      </c>
      <c r="Q1026" s="143">
        <v>11.58765864332605</v>
      </c>
      <c r="R1026" s="143">
        <v>2683.5800000000004</v>
      </c>
      <c r="S1026" s="34">
        <v>398.58000000000038</v>
      </c>
      <c r="T1026" s="56">
        <v>398.58000000000038</v>
      </c>
      <c r="U1026" s="56">
        <v>2.6016037425494156</v>
      </c>
      <c r="V1026" s="56">
        <v>17.443326039387326</v>
      </c>
      <c r="W1026" s="33">
        <v>17.443326039387326</v>
      </c>
    </row>
    <row r="1027" spans="1:23" ht="15" x14ac:dyDescent="0.2">
      <c r="A1027" s="103" t="s">
        <v>19</v>
      </c>
      <c r="B1027" t="s">
        <v>837</v>
      </c>
      <c r="C1027" s="103" t="s">
        <v>971</v>
      </c>
      <c r="D1027" s="224" t="s">
        <v>824</v>
      </c>
      <c r="E1027" s="35" t="s">
        <v>148</v>
      </c>
      <c r="F1027" s="103" t="s">
        <v>968</v>
      </c>
      <c r="G1027" s="103">
        <v>1</v>
      </c>
      <c r="H1027" s="225" t="s">
        <v>293</v>
      </c>
      <c r="I1027" s="35" t="s">
        <v>580</v>
      </c>
      <c r="J1027" s="29">
        <v>2570</v>
      </c>
      <c r="K1027">
        <v>2837.6906448910595</v>
      </c>
      <c r="L1027" s="34">
        <v>267.69064489105949</v>
      </c>
      <c r="M1027" s="56">
        <v>267.69064489105949</v>
      </c>
      <c r="N1027" s="56">
        <v>2.4292525456928673</v>
      </c>
      <c r="O1027" s="132">
        <f t="shared" si="17"/>
        <v>2.4292525456928673</v>
      </c>
      <c r="P1027" s="56">
        <v>10.41597840043033</v>
      </c>
      <c r="Q1027" s="143">
        <v>10.41597840043033</v>
      </c>
      <c r="R1027" s="143">
        <v>3197.3013269680341</v>
      </c>
      <c r="S1027" s="34">
        <v>627.30132696803412</v>
      </c>
      <c r="T1027" s="56">
        <v>627.30132696803412</v>
      </c>
      <c r="U1027" s="56">
        <v>2.7981679769438341</v>
      </c>
      <c r="V1027" s="56">
        <v>24.408611944281482</v>
      </c>
      <c r="W1027" s="33">
        <v>24.408611944281482</v>
      </c>
    </row>
    <row r="1028" spans="1:23" ht="15" x14ac:dyDescent="0.2">
      <c r="A1028" s="103" t="s">
        <v>19</v>
      </c>
      <c r="B1028" t="s">
        <v>838</v>
      </c>
      <c r="C1028" s="224" t="s">
        <v>974</v>
      </c>
      <c r="D1028" s="224" t="s">
        <v>824</v>
      </c>
      <c r="E1028" s="35" t="s">
        <v>148</v>
      </c>
      <c r="F1028" s="103" t="s">
        <v>967</v>
      </c>
      <c r="G1028" s="103">
        <v>0</v>
      </c>
      <c r="H1028" s="35" t="s">
        <v>374</v>
      </c>
      <c r="I1028" s="35" t="s">
        <v>580</v>
      </c>
      <c r="J1028" s="35">
        <v>2285</v>
      </c>
      <c r="K1028">
        <v>2553.4</v>
      </c>
      <c r="L1028" s="34">
        <v>268.40000000000009</v>
      </c>
      <c r="M1028" s="56">
        <v>268.40000000000009</v>
      </c>
      <c r="N1028" s="56">
        <v>2.4303975913869671</v>
      </c>
      <c r="O1028" s="132">
        <f t="shared" si="17"/>
        <v>2.4303975913869671</v>
      </c>
      <c r="P1028" s="56">
        <v>11.746170678336984</v>
      </c>
      <c r="Q1028" s="143">
        <v>11.746170678336984</v>
      </c>
      <c r="R1028" s="143">
        <v>2450.877</v>
      </c>
      <c r="S1028" s="34">
        <v>165.87699999999995</v>
      </c>
      <c r="T1028" s="56">
        <v>165.87699999999995</v>
      </c>
      <c r="U1028" s="56">
        <v>2.2223964837049577</v>
      </c>
      <c r="V1028" s="56">
        <v>7.259387308533916</v>
      </c>
      <c r="W1028" s="33">
        <v>7.259387308533916</v>
      </c>
    </row>
    <row r="1029" spans="1:23" ht="15" x14ac:dyDescent="0.2">
      <c r="A1029" s="103" t="s">
        <v>19</v>
      </c>
      <c r="B1029" s="28" t="s">
        <v>322</v>
      </c>
      <c r="C1029" s="103" t="s">
        <v>979</v>
      </c>
      <c r="D1029" s="208" t="s">
        <v>403</v>
      </c>
      <c r="E1029" s="35" t="s">
        <v>96</v>
      </c>
      <c r="F1029" s="103" t="s">
        <v>967</v>
      </c>
      <c r="G1029" s="103">
        <v>0</v>
      </c>
      <c r="H1029" s="35" t="s">
        <v>374</v>
      </c>
      <c r="I1029" s="35" t="s">
        <v>580</v>
      </c>
      <c r="J1029" s="35">
        <v>2211.66</v>
      </c>
      <c r="K1029" s="141">
        <v>2480.4347826086955</v>
      </c>
      <c r="L1029" s="34">
        <v>268.77478260869566</v>
      </c>
      <c r="M1029" s="56">
        <v>268.77478260869566</v>
      </c>
      <c r="N1029" s="56">
        <v>2.4310013512449364</v>
      </c>
      <c r="O1029" s="132">
        <f t="shared" si="17"/>
        <v>2.4310013512449364</v>
      </c>
      <c r="P1029" s="56">
        <v>12.152626651867633</v>
      </c>
      <c r="Q1029" s="143">
        <v>12.152626651867633</v>
      </c>
      <c r="R1029" s="143">
        <v>2494.541666666667</v>
      </c>
      <c r="S1029" s="34">
        <v>282.88166666666712</v>
      </c>
      <c r="T1029" s="56">
        <v>282.88166666666712</v>
      </c>
      <c r="U1029" s="56">
        <v>2.4531373463032629</v>
      </c>
      <c r="V1029" s="56">
        <v>12.790468094854866</v>
      </c>
      <c r="W1029" s="33">
        <v>12.790468094854866</v>
      </c>
    </row>
    <row r="1030" spans="1:23" ht="15" x14ac:dyDescent="0.2">
      <c r="A1030" s="103" t="s">
        <v>19</v>
      </c>
      <c r="B1030" s="28" t="s">
        <v>306</v>
      </c>
      <c r="C1030" s="103" t="s">
        <v>975</v>
      </c>
      <c r="D1030" s="208" t="s">
        <v>403</v>
      </c>
      <c r="E1030" s="35" t="s">
        <v>148</v>
      </c>
      <c r="F1030" s="103" t="s">
        <v>967</v>
      </c>
      <c r="G1030" s="103">
        <v>0</v>
      </c>
      <c r="H1030" s="35" t="s">
        <v>494</v>
      </c>
      <c r="I1030" s="35" t="s">
        <v>580</v>
      </c>
      <c r="J1030" s="35">
        <v>1098.0999999999999</v>
      </c>
      <c r="K1030" s="141">
        <v>1368.3068539999999</v>
      </c>
      <c r="L1030" s="34">
        <v>270.20685400000002</v>
      </c>
      <c r="M1030" s="56">
        <v>270.20685400000002</v>
      </c>
      <c r="N1030" s="56">
        <v>2.4333006609205614</v>
      </c>
      <c r="O1030" s="132">
        <f t="shared" si="17"/>
        <v>2.4333006609205614</v>
      </c>
      <c r="P1030" s="56">
        <v>24.606762043529738</v>
      </c>
      <c r="Q1030" s="143">
        <v>24.606762043529738</v>
      </c>
      <c r="R1030" s="143">
        <v>1372.632568</v>
      </c>
      <c r="S1030" s="34">
        <v>274.53256800000008</v>
      </c>
      <c r="T1030" s="56">
        <v>274.53256800000008</v>
      </c>
      <c r="U1030" s="56">
        <v>2.4401729399091683</v>
      </c>
      <c r="V1030" s="56">
        <v>25.000689190419827</v>
      </c>
      <c r="W1030" s="33">
        <v>25.000689190419827</v>
      </c>
    </row>
    <row r="1031" spans="1:23" ht="15" x14ac:dyDescent="0.2">
      <c r="A1031" s="103" t="s">
        <v>19</v>
      </c>
      <c r="B1031" t="s">
        <v>837</v>
      </c>
      <c r="C1031" s="224" t="s">
        <v>974</v>
      </c>
      <c r="D1031" s="224" t="s">
        <v>824</v>
      </c>
      <c r="E1031" s="35" t="s">
        <v>148</v>
      </c>
      <c r="F1031" s="103" t="s">
        <v>967</v>
      </c>
      <c r="G1031" s="103">
        <v>0</v>
      </c>
      <c r="H1031" s="225" t="s">
        <v>293</v>
      </c>
      <c r="I1031" s="35" t="s">
        <v>580</v>
      </c>
      <c r="J1031" s="29">
        <v>2570</v>
      </c>
      <c r="K1031">
        <v>2842.5844999999999</v>
      </c>
      <c r="L1031" s="34">
        <v>272.58449999999993</v>
      </c>
      <c r="M1031" s="56">
        <v>272.58449999999993</v>
      </c>
      <c r="N1031" s="56">
        <v>2.4370914886798212</v>
      </c>
      <c r="O1031" s="132">
        <f t="shared" si="17"/>
        <v>2.4370914886798212</v>
      </c>
      <c r="P1031" s="56">
        <v>10.606400778210114</v>
      </c>
      <c r="Q1031" s="143">
        <v>10.606400778210114</v>
      </c>
      <c r="R1031" s="143">
        <v>2737.9589999999998</v>
      </c>
      <c r="S1031" s="34">
        <v>167.95899999999983</v>
      </c>
      <c r="T1031" s="56">
        <v>167.95899999999983</v>
      </c>
      <c r="U1031" s="56">
        <v>2.2277813304478991</v>
      </c>
      <c r="V1031" s="56">
        <v>6.5353696498054408</v>
      </c>
      <c r="W1031" s="33">
        <v>6.5353696498054408</v>
      </c>
    </row>
    <row r="1032" spans="1:23" ht="15" x14ac:dyDescent="0.2">
      <c r="A1032" s="103" t="s">
        <v>19</v>
      </c>
      <c r="B1032" t="s">
        <v>837</v>
      </c>
      <c r="C1032" s="103" t="s">
        <v>970</v>
      </c>
      <c r="D1032" s="224" t="s">
        <v>824</v>
      </c>
      <c r="E1032" s="35" t="s">
        <v>148</v>
      </c>
      <c r="F1032" s="103" t="s">
        <v>967</v>
      </c>
      <c r="G1032" s="103">
        <v>0</v>
      </c>
      <c r="H1032" s="225" t="s">
        <v>293</v>
      </c>
      <c r="I1032" s="35" t="s">
        <v>580</v>
      </c>
      <c r="J1032" s="29">
        <v>2570</v>
      </c>
      <c r="K1032">
        <v>2850.0725000000002</v>
      </c>
      <c r="L1032" s="34">
        <v>280.07250000000022</v>
      </c>
      <c r="M1032" s="56">
        <v>280.07250000000022</v>
      </c>
      <c r="N1032" s="56">
        <v>2.4488183565199746</v>
      </c>
      <c r="O1032" s="132">
        <f t="shared" si="17"/>
        <v>2.4488183565199746</v>
      </c>
      <c r="P1032" s="56">
        <v>10.897762645914405</v>
      </c>
      <c r="Q1032" s="143">
        <v>10.897762645914405</v>
      </c>
      <c r="R1032" s="143">
        <v>3018.9200000000005</v>
      </c>
      <c r="S1032" s="34">
        <v>448.92000000000053</v>
      </c>
      <c r="T1032" s="56">
        <v>448.92000000000053</v>
      </c>
      <c r="U1032" s="56">
        <v>2.6531352990037118</v>
      </c>
      <c r="V1032" s="56">
        <v>17.467704280155662</v>
      </c>
      <c r="W1032" s="33">
        <v>17.467704280155662</v>
      </c>
    </row>
    <row r="1033" spans="1:23" ht="15" x14ac:dyDescent="0.2">
      <c r="A1033" s="103" t="s">
        <v>19</v>
      </c>
      <c r="B1033" s="28" t="s">
        <v>322</v>
      </c>
      <c r="C1033" s="103" t="s">
        <v>975</v>
      </c>
      <c r="D1033" s="208" t="s">
        <v>403</v>
      </c>
      <c r="E1033" s="35" t="s">
        <v>96</v>
      </c>
      <c r="F1033" s="103" t="s">
        <v>967</v>
      </c>
      <c r="G1033" s="103">
        <v>0</v>
      </c>
      <c r="H1033" s="35" t="s">
        <v>374</v>
      </c>
      <c r="I1033" s="35" t="s">
        <v>580</v>
      </c>
      <c r="J1033" s="35">
        <v>2211.66</v>
      </c>
      <c r="K1033" s="141">
        <v>2494.6558999999997</v>
      </c>
      <c r="L1033" s="34">
        <v>282.99589999999989</v>
      </c>
      <c r="M1033" s="56">
        <v>282.99589999999989</v>
      </c>
      <c r="N1033" s="56">
        <v>2.4533120702574993</v>
      </c>
      <c r="O1033" s="132">
        <f t="shared" si="17"/>
        <v>2.4533120702574993</v>
      </c>
      <c r="P1033" s="56">
        <v>12.795633144335021</v>
      </c>
      <c r="Q1033" s="143">
        <v>12.795633144335021</v>
      </c>
      <c r="R1033" s="143">
        <v>2518.2855460000001</v>
      </c>
      <c r="S1033" s="34">
        <v>306.62554600000021</v>
      </c>
      <c r="T1033" s="56">
        <v>306.62554600000021</v>
      </c>
      <c r="U1033" s="56">
        <v>2.4880223975343512</v>
      </c>
      <c r="V1033" s="56">
        <v>13.864045377680124</v>
      </c>
      <c r="W1033" s="33">
        <v>13.864045377680124</v>
      </c>
    </row>
    <row r="1034" spans="1:23" ht="15" x14ac:dyDescent="0.2">
      <c r="A1034" s="103" t="s">
        <v>19</v>
      </c>
      <c r="B1034" s="28" t="s">
        <v>310</v>
      </c>
      <c r="C1034" s="103" t="s">
        <v>975</v>
      </c>
      <c r="D1034" s="208" t="s">
        <v>403</v>
      </c>
      <c r="E1034" s="35" t="s">
        <v>82</v>
      </c>
      <c r="F1034" s="103" t="s">
        <v>967</v>
      </c>
      <c r="G1034" s="103">
        <v>0</v>
      </c>
      <c r="H1034" s="35" t="s">
        <v>374</v>
      </c>
      <c r="I1034" s="35" t="s">
        <v>580</v>
      </c>
      <c r="J1034" s="35">
        <v>1464.23</v>
      </c>
      <c r="K1034" s="142">
        <v>1753.7955199999999</v>
      </c>
      <c r="L1034" s="34">
        <v>289.56551999999988</v>
      </c>
      <c r="M1034" s="56">
        <v>289.56551999999988</v>
      </c>
      <c r="N1034" s="56">
        <v>2.4632440774011801</v>
      </c>
      <c r="O1034" s="132">
        <f t="shared" si="17"/>
        <v>2.4632440774011801</v>
      </c>
      <c r="P1034" s="56">
        <v>19.775958695013752</v>
      </c>
      <c r="Q1034" s="143">
        <v>19.775958695013752</v>
      </c>
      <c r="R1034" s="143">
        <v>1774.8942</v>
      </c>
      <c r="S1034" s="34">
        <v>310.66419999999994</v>
      </c>
      <c r="T1034" s="56">
        <v>310.66419999999994</v>
      </c>
      <c r="U1034" s="56">
        <v>2.4936869189422843</v>
      </c>
      <c r="V1034" s="56">
        <v>21.216898984449159</v>
      </c>
      <c r="W1034" s="33">
        <v>21.216898984449159</v>
      </c>
    </row>
    <row r="1035" spans="1:23" ht="15" x14ac:dyDescent="0.2">
      <c r="A1035" s="103" t="s">
        <v>19</v>
      </c>
      <c r="B1035" s="28" t="s">
        <v>425</v>
      </c>
      <c r="C1035" s="224" t="s">
        <v>978</v>
      </c>
      <c r="D1035" s="35" t="s">
        <v>458</v>
      </c>
      <c r="E1035" s="208" t="s">
        <v>82</v>
      </c>
      <c r="F1035" s="103" t="s">
        <v>968</v>
      </c>
      <c r="G1035" s="103">
        <v>1</v>
      </c>
      <c r="H1035" s="35" t="s">
        <v>293</v>
      </c>
      <c r="I1035" s="35" t="s">
        <v>580</v>
      </c>
      <c r="J1035" s="35">
        <v>2690</v>
      </c>
      <c r="K1035" s="141">
        <v>2981.7367442818527</v>
      </c>
      <c r="L1035" s="34">
        <v>291.73674428185268</v>
      </c>
      <c r="M1035" s="56">
        <v>291.73674428185268</v>
      </c>
      <c r="N1035" s="56">
        <v>2.4664772384477831</v>
      </c>
      <c r="O1035" s="132">
        <f t="shared" si="17"/>
        <v>2.4664772384477831</v>
      </c>
      <c r="P1035" s="56">
        <v>10.845232129436901</v>
      </c>
      <c r="Q1035" s="143">
        <v>10.845232129436901</v>
      </c>
      <c r="R1035" s="143">
        <v>2891.5591991350962</v>
      </c>
      <c r="S1035" s="34">
        <v>201.55919913509615</v>
      </c>
      <c r="T1035" s="56">
        <v>201.55919913509615</v>
      </c>
      <c r="U1035" s="56">
        <v>2.3065519712564155</v>
      </c>
      <c r="V1035" s="56">
        <v>7.4929070310444663</v>
      </c>
      <c r="W1035" s="33">
        <v>7.4929070310444663</v>
      </c>
    </row>
    <row r="1036" spans="1:23" ht="15" x14ac:dyDescent="0.2">
      <c r="A1036" s="103" t="s">
        <v>19</v>
      </c>
      <c r="B1036" s="28" t="s">
        <v>310</v>
      </c>
      <c r="C1036" s="103" t="s">
        <v>971</v>
      </c>
      <c r="D1036" s="208" t="s">
        <v>403</v>
      </c>
      <c r="E1036" s="35" t="s">
        <v>82</v>
      </c>
      <c r="F1036" s="103" t="s">
        <v>968</v>
      </c>
      <c r="G1036" s="103">
        <v>1</v>
      </c>
      <c r="H1036" s="35" t="s">
        <v>374</v>
      </c>
      <c r="I1036" s="35" t="s">
        <v>580</v>
      </c>
      <c r="J1036" s="35">
        <v>1464.23</v>
      </c>
      <c r="K1036" s="142">
        <v>1758.3691271865264</v>
      </c>
      <c r="L1036" s="34">
        <v>294.13912718652637</v>
      </c>
      <c r="M1036" s="56">
        <v>294.13912718652637</v>
      </c>
      <c r="N1036" s="56">
        <v>2.4700267886079619</v>
      </c>
      <c r="O1036" s="132">
        <f t="shared" si="17"/>
        <v>2.4700267886079619</v>
      </c>
      <c r="P1036" s="56">
        <v>20.088314485191969</v>
      </c>
      <c r="Q1036" s="143">
        <v>20.088314485191969</v>
      </c>
      <c r="R1036" s="143">
        <v>2004.2471621802322</v>
      </c>
      <c r="S1036" s="34">
        <v>540.01716218023216</v>
      </c>
      <c r="T1036" s="56">
        <v>540.01716218023216</v>
      </c>
      <c r="U1036" s="56">
        <v>2.7332110420417854</v>
      </c>
      <c r="V1036" s="56">
        <v>36.880624094591163</v>
      </c>
      <c r="W1036" s="33">
        <v>36.880624094591163</v>
      </c>
    </row>
    <row r="1037" spans="1:23" ht="15" x14ac:dyDescent="0.2">
      <c r="A1037" s="103" t="s">
        <v>19</v>
      </c>
      <c r="B1037" s="28" t="s">
        <v>306</v>
      </c>
      <c r="C1037" s="224" t="s">
        <v>974</v>
      </c>
      <c r="D1037" s="208" t="s">
        <v>403</v>
      </c>
      <c r="E1037" s="35" t="s">
        <v>148</v>
      </c>
      <c r="F1037" s="103" t="s">
        <v>967</v>
      </c>
      <c r="G1037" s="103">
        <v>0</v>
      </c>
      <c r="H1037" s="35" t="s">
        <v>494</v>
      </c>
      <c r="I1037" s="35" t="s">
        <v>580</v>
      </c>
      <c r="J1037" s="35">
        <v>1098.0999999999999</v>
      </c>
      <c r="K1037" s="141">
        <v>1395.2423670000001</v>
      </c>
      <c r="L1037" s="34">
        <v>297.14236700000015</v>
      </c>
      <c r="M1037" s="56">
        <v>297.14236700000015</v>
      </c>
      <c r="N1037" s="56">
        <v>2.4744236950763088</v>
      </c>
      <c r="O1037" s="132">
        <f t="shared" si="17"/>
        <v>2.4744236950763088</v>
      </c>
      <c r="P1037" s="56">
        <v>27.059681905108842</v>
      </c>
      <c r="Q1037" s="143">
        <v>27.059681905108842</v>
      </c>
      <c r="R1037" s="143">
        <v>1314.6064439999998</v>
      </c>
      <c r="S1037" s="34">
        <v>216.50644399999987</v>
      </c>
      <c r="T1037" s="56">
        <v>216.50644399999987</v>
      </c>
      <c r="U1037" s="56">
        <v>2.337472128197251</v>
      </c>
      <c r="V1037" s="56">
        <v>19.716459703123565</v>
      </c>
      <c r="W1037" s="33">
        <v>19.716459703123565</v>
      </c>
    </row>
    <row r="1038" spans="1:23" ht="15" x14ac:dyDescent="0.2">
      <c r="A1038" s="103" t="s">
        <v>19</v>
      </c>
      <c r="B1038" s="28" t="s">
        <v>425</v>
      </c>
      <c r="C1038" s="224" t="s">
        <v>974</v>
      </c>
      <c r="D1038" s="35" t="s">
        <v>458</v>
      </c>
      <c r="E1038" s="208" t="s">
        <v>82</v>
      </c>
      <c r="F1038" s="103" t="s">
        <v>967</v>
      </c>
      <c r="G1038" s="103">
        <v>0</v>
      </c>
      <c r="H1038" s="35" t="s">
        <v>293</v>
      </c>
      <c r="I1038" s="35" t="s">
        <v>580</v>
      </c>
      <c r="J1038" s="35">
        <v>2690</v>
      </c>
      <c r="K1038" s="141">
        <v>2989.8056999999999</v>
      </c>
      <c r="L1038" s="34">
        <v>299.80569999999989</v>
      </c>
      <c r="M1038" s="56">
        <v>299.80569999999989</v>
      </c>
      <c r="N1038" s="56">
        <v>2.478286061491056</v>
      </c>
      <c r="O1038" s="132">
        <f t="shared" si="17"/>
        <v>2.478286061491056</v>
      </c>
      <c r="P1038" s="56">
        <v>11.145193308550182</v>
      </c>
      <c r="Q1038" s="143">
        <v>11.145193308550182</v>
      </c>
      <c r="R1038" s="143">
        <v>2785.806</v>
      </c>
      <c r="S1038" s="34">
        <v>95.80600000000004</v>
      </c>
      <c r="T1038" s="56">
        <v>95.80600000000004</v>
      </c>
      <c r="U1038" s="56">
        <v>1.9859022755536162</v>
      </c>
      <c r="V1038" s="56">
        <v>3.5615613382899642</v>
      </c>
      <c r="W1038" s="33">
        <v>3.5615613382899642</v>
      </c>
    </row>
    <row r="1039" spans="1:23" ht="15" x14ac:dyDescent="0.2">
      <c r="A1039" s="103" t="s">
        <v>19</v>
      </c>
      <c r="B1039" s="28" t="s">
        <v>597</v>
      </c>
      <c r="C1039" s="103" t="s">
        <v>979</v>
      </c>
      <c r="D1039" s="208" t="s">
        <v>403</v>
      </c>
      <c r="E1039" s="35" t="s">
        <v>82</v>
      </c>
      <c r="F1039" s="103" t="s">
        <v>967</v>
      </c>
      <c r="G1039" s="103">
        <v>0</v>
      </c>
      <c r="H1039" s="35" t="s">
        <v>203</v>
      </c>
      <c r="I1039" s="35" t="s">
        <v>581</v>
      </c>
      <c r="J1039" s="35">
        <v>5241.7</v>
      </c>
      <c r="K1039" s="141">
        <v>4939.1304347826081</v>
      </c>
      <c r="L1039" s="34">
        <v>-302.56956521739176</v>
      </c>
      <c r="M1039" s="56">
        <v>302.56956521739176</v>
      </c>
      <c r="N1039" s="56">
        <v>2.4822582286177122</v>
      </c>
      <c r="O1039" s="132">
        <f t="shared" si="17"/>
        <v>-2.4822582286177122</v>
      </c>
      <c r="P1039" s="56">
        <v>-5.7723556330463737</v>
      </c>
      <c r="Q1039" s="143">
        <v>5.7723556330463737</v>
      </c>
      <c r="R1039" s="143">
        <v>4983.3333333333339</v>
      </c>
      <c r="S1039" s="34">
        <v>-258.36666666666588</v>
      </c>
      <c r="T1039" s="56">
        <v>258.36666666666588</v>
      </c>
      <c r="U1039" s="56">
        <v>2.4139141605956471</v>
      </c>
      <c r="V1039" s="56">
        <v>-4.9290624542928034</v>
      </c>
      <c r="W1039" s="33">
        <v>4.9290624542928034</v>
      </c>
    </row>
    <row r="1040" spans="1:23" ht="15" x14ac:dyDescent="0.2">
      <c r="A1040" s="103" t="s">
        <v>19</v>
      </c>
      <c r="B1040" s="28" t="s">
        <v>310</v>
      </c>
      <c r="C1040" s="224" t="s">
        <v>977</v>
      </c>
      <c r="D1040" s="208" t="s">
        <v>403</v>
      </c>
      <c r="E1040" s="35" t="s">
        <v>82</v>
      </c>
      <c r="F1040" s="103" t="s">
        <v>968</v>
      </c>
      <c r="G1040" s="103">
        <v>1</v>
      </c>
      <c r="H1040" s="35" t="s">
        <v>374</v>
      </c>
      <c r="I1040" s="35" t="s">
        <v>580</v>
      </c>
      <c r="J1040" s="35">
        <v>1464.23</v>
      </c>
      <c r="K1040" s="142">
        <v>1771.7071545292999</v>
      </c>
      <c r="L1040" s="34">
        <v>307.47715452929992</v>
      </c>
      <c r="M1040" s="56">
        <v>307.47715452929992</v>
      </c>
      <c r="N1040" s="56">
        <v>2.4892230061999054</v>
      </c>
      <c r="O1040" s="132">
        <f t="shared" si="17"/>
        <v>2.4892230061999054</v>
      </c>
      <c r="P1040" s="56">
        <v>20.999238816941322</v>
      </c>
      <c r="Q1040" s="143">
        <v>20.999238816941322</v>
      </c>
      <c r="R1040" s="143">
        <v>1771.4419498373834</v>
      </c>
      <c r="S1040" s="34">
        <v>307.21194983738337</v>
      </c>
      <c r="T1040" s="56">
        <v>307.21194983738337</v>
      </c>
      <c r="U1040" s="56">
        <v>2.4888494729541941</v>
      </c>
      <c r="V1040" s="56">
        <v>20.981126587857329</v>
      </c>
      <c r="W1040" s="33">
        <v>20.981126587857329</v>
      </c>
    </row>
    <row r="1041" spans="1:23" ht="15" x14ac:dyDescent="0.2">
      <c r="A1041" s="103" t="s">
        <v>19</v>
      </c>
      <c r="B1041" s="28" t="s">
        <v>75</v>
      </c>
      <c r="C1041" s="103" t="s">
        <v>979</v>
      </c>
      <c r="D1041" s="208" t="s">
        <v>403</v>
      </c>
      <c r="E1041" s="35" t="s">
        <v>82</v>
      </c>
      <c r="F1041" s="103" t="s">
        <v>967</v>
      </c>
      <c r="G1041" s="103">
        <v>0</v>
      </c>
      <c r="H1041" s="35" t="s">
        <v>374</v>
      </c>
      <c r="I1041" s="35" t="s">
        <v>580</v>
      </c>
      <c r="J1041" s="35">
        <v>2106.6</v>
      </c>
      <c r="K1041" s="141">
        <v>1799.0434782608693</v>
      </c>
      <c r="L1041" s="34">
        <v>-307.55652173913063</v>
      </c>
      <c r="M1041" s="56">
        <v>307.55652173913063</v>
      </c>
      <c r="N1041" s="56">
        <v>2.489334730220131</v>
      </c>
      <c r="O1041" s="132">
        <f t="shared" si="17"/>
        <v>-2.489334730220131</v>
      </c>
      <c r="P1041" s="56">
        <v>-14.599663995971264</v>
      </c>
      <c r="Q1041" s="143">
        <v>14.599663995971264</v>
      </c>
      <c r="R1041" s="143">
        <v>1783.7916666666667</v>
      </c>
      <c r="S1041" s="34">
        <v>-322.80833333333317</v>
      </c>
      <c r="T1041" s="56">
        <v>322.80833333333317</v>
      </c>
      <c r="U1041" s="56">
        <v>2.5102880212984924</v>
      </c>
      <c r="V1041" s="56">
        <v>-15.323665305864102</v>
      </c>
      <c r="W1041" s="33">
        <v>15.323665305864102</v>
      </c>
    </row>
    <row r="1042" spans="1:23" ht="15" x14ac:dyDescent="0.2">
      <c r="A1042" s="103" t="s">
        <v>19</v>
      </c>
      <c r="B1042" s="28" t="s">
        <v>310</v>
      </c>
      <c r="C1042" s="224" t="s">
        <v>978</v>
      </c>
      <c r="D1042" s="208" t="s">
        <v>403</v>
      </c>
      <c r="E1042" s="35" t="s">
        <v>82</v>
      </c>
      <c r="F1042" s="103" t="s">
        <v>968</v>
      </c>
      <c r="G1042" s="103">
        <v>1</v>
      </c>
      <c r="H1042" s="35" t="s">
        <v>374</v>
      </c>
      <c r="I1042" s="35" t="s">
        <v>580</v>
      </c>
      <c r="J1042" s="35">
        <v>1464.23</v>
      </c>
      <c r="K1042" s="142">
        <v>1772.1923179128714</v>
      </c>
      <c r="L1042" s="34">
        <v>307.96231791287141</v>
      </c>
      <c r="M1042" s="56">
        <v>307.96231791287141</v>
      </c>
      <c r="N1042" s="56">
        <v>2.4899055146337705</v>
      </c>
      <c r="O1042" s="132">
        <f t="shared" si="17"/>
        <v>2.4899055146337705</v>
      </c>
      <c r="P1042" s="56">
        <v>21.032373186785641</v>
      </c>
      <c r="Q1042" s="143">
        <v>21.032373186785641</v>
      </c>
      <c r="R1042" s="143">
        <v>1768.1659346300371</v>
      </c>
      <c r="S1042" s="34">
        <v>303.93593463003708</v>
      </c>
      <c r="T1042" s="56">
        <v>303.93593463003708</v>
      </c>
      <c r="U1042" s="56">
        <v>2.4842086060379134</v>
      </c>
      <c r="V1042" s="56">
        <v>20.757390207142119</v>
      </c>
      <c r="W1042" s="33">
        <v>20.757390207142119</v>
      </c>
    </row>
    <row r="1043" spans="1:23" ht="15" x14ac:dyDescent="0.2">
      <c r="A1043" s="103" t="s">
        <v>19</v>
      </c>
      <c r="B1043" s="28" t="s">
        <v>425</v>
      </c>
      <c r="C1043" s="103" t="s">
        <v>970</v>
      </c>
      <c r="D1043" s="35" t="s">
        <v>458</v>
      </c>
      <c r="E1043" s="208" t="s">
        <v>82</v>
      </c>
      <c r="F1043" s="103" t="s">
        <v>967</v>
      </c>
      <c r="G1043" s="103">
        <v>0</v>
      </c>
      <c r="H1043" s="35" t="s">
        <v>293</v>
      </c>
      <c r="I1043" s="35" t="s">
        <v>580</v>
      </c>
      <c r="J1043" s="35">
        <v>2690</v>
      </c>
      <c r="K1043" s="141">
        <v>3002.9497000000001</v>
      </c>
      <c r="L1043" s="34">
        <v>312.94970000000012</v>
      </c>
      <c r="M1043" s="56">
        <v>312.94970000000012</v>
      </c>
      <c r="N1043" s="56">
        <v>2.4968600723970535</v>
      </c>
      <c r="O1043" s="132">
        <f t="shared" si="17"/>
        <v>2.4968600723970535</v>
      </c>
      <c r="P1043" s="56">
        <v>11.633817843866176</v>
      </c>
      <c r="Q1043" s="143">
        <v>11.633817843866176</v>
      </c>
      <c r="R1043" s="143">
        <v>3074.8100000000004</v>
      </c>
      <c r="S1043" s="34">
        <v>384.8100000000004</v>
      </c>
      <c r="T1043" s="56">
        <v>384.8100000000004</v>
      </c>
      <c r="U1043" s="56">
        <v>2.5863734801469929</v>
      </c>
      <c r="V1043" s="56">
        <v>14.305204460966559</v>
      </c>
      <c r="W1043" s="33">
        <v>14.305204460966559</v>
      </c>
    </row>
    <row r="1044" spans="1:23" ht="15" x14ac:dyDescent="0.2">
      <c r="A1044" s="103" t="s">
        <v>19</v>
      </c>
      <c r="B1044" s="28" t="s">
        <v>425</v>
      </c>
      <c r="C1044" s="103" t="s">
        <v>971</v>
      </c>
      <c r="D1044" s="35" t="s">
        <v>458</v>
      </c>
      <c r="E1044" s="208" t="s">
        <v>82</v>
      </c>
      <c r="F1044" s="103" t="s">
        <v>968</v>
      </c>
      <c r="G1044" s="103">
        <v>1</v>
      </c>
      <c r="H1044" s="35" t="s">
        <v>293</v>
      </c>
      <c r="I1044" s="35" t="s">
        <v>580</v>
      </c>
      <c r="J1044" s="35">
        <v>2690</v>
      </c>
      <c r="K1044" s="141">
        <v>3011.8308079334615</v>
      </c>
      <c r="L1044" s="34">
        <v>321.83080793346153</v>
      </c>
      <c r="M1044" s="56">
        <v>321.83080793346153</v>
      </c>
      <c r="N1044" s="56">
        <v>2.5089749730050013</v>
      </c>
      <c r="O1044" s="132">
        <f t="shared" si="17"/>
        <v>2.5089749730050013</v>
      </c>
      <c r="P1044" s="56">
        <v>11.96397055514727</v>
      </c>
      <c r="Q1044" s="143">
        <v>11.96397055514727</v>
      </c>
      <c r="R1044" s="143">
        <v>3260.1691887446077</v>
      </c>
      <c r="S1044" s="34">
        <v>570.16918874460771</v>
      </c>
      <c r="T1044" s="56">
        <v>570.16918874460771</v>
      </c>
      <c r="U1044" s="56">
        <v>2.7567647717388661</v>
      </c>
      <c r="V1044" s="56">
        <v>21.195880622476121</v>
      </c>
      <c r="W1044" s="33">
        <v>21.195880622476121</v>
      </c>
    </row>
    <row r="1045" spans="1:23" ht="15" x14ac:dyDescent="0.2">
      <c r="A1045" s="103" t="s">
        <v>19</v>
      </c>
      <c r="B1045" s="28" t="s">
        <v>310</v>
      </c>
      <c r="C1045" s="24" t="s">
        <v>980</v>
      </c>
      <c r="D1045" s="208" t="s">
        <v>403</v>
      </c>
      <c r="E1045" s="35" t="s">
        <v>82</v>
      </c>
      <c r="F1045" s="103" t="s">
        <v>968</v>
      </c>
      <c r="G1045" s="103">
        <v>1</v>
      </c>
      <c r="H1045" s="35" t="s">
        <v>374</v>
      </c>
      <c r="I1045" s="35" t="s">
        <v>580</v>
      </c>
      <c r="J1045" s="35">
        <v>1464.23</v>
      </c>
      <c r="K1045" s="142">
        <v>1791.3134876320246</v>
      </c>
      <c r="L1045" s="34">
        <v>327.08348763202457</v>
      </c>
      <c r="M1045" s="56">
        <v>327.08348763202457</v>
      </c>
      <c r="N1045" s="56">
        <v>2.5159843729927069</v>
      </c>
      <c r="O1045" s="132">
        <f t="shared" si="17"/>
        <v>2.5159843729927069</v>
      </c>
      <c r="P1045" s="56">
        <v>22.338258854962987</v>
      </c>
      <c r="Q1045" s="143">
        <v>22.338258854962987</v>
      </c>
      <c r="R1045" s="143">
        <v>1791.191175969321</v>
      </c>
      <c r="S1045" s="34">
        <v>326.96117596932095</v>
      </c>
      <c r="T1045" s="56">
        <v>326.96117596932095</v>
      </c>
      <c r="U1045" s="56">
        <v>2.5158224349913874</v>
      </c>
      <c r="V1045" s="56">
        <v>22.32990554553048</v>
      </c>
      <c r="W1045" s="33">
        <v>22.32990554553048</v>
      </c>
    </row>
    <row r="1046" spans="1:23" ht="15" x14ac:dyDescent="0.2">
      <c r="A1046" s="103" t="s">
        <v>19</v>
      </c>
      <c r="B1046" s="28" t="s">
        <v>600</v>
      </c>
      <c r="C1046" s="103" t="s">
        <v>975</v>
      </c>
      <c r="D1046" s="208" t="s">
        <v>403</v>
      </c>
      <c r="E1046" s="35" t="s">
        <v>82</v>
      </c>
      <c r="F1046" s="103" t="s">
        <v>967</v>
      </c>
      <c r="G1046" s="103">
        <v>0</v>
      </c>
      <c r="H1046" s="35" t="s">
        <v>293</v>
      </c>
      <c r="I1046" s="35" t="s">
        <v>580</v>
      </c>
      <c r="J1046" s="35">
        <v>2516.1099999999997</v>
      </c>
      <c r="K1046" s="141">
        <v>2847.6981259999998</v>
      </c>
      <c r="L1046" s="34">
        <v>331.5881260000001</v>
      </c>
      <c r="M1046" s="56">
        <v>331.5881260000001</v>
      </c>
      <c r="N1046" s="56">
        <v>2.5219067400586934</v>
      </c>
      <c r="O1046" s="132">
        <f t="shared" si="17"/>
        <v>2.5219067400586934</v>
      </c>
      <c r="P1046" s="56">
        <v>13.178602127887897</v>
      </c>
      <c r="Q1046" s="143">
        <v>13.178602127887897</v>
      </c>
      <c r="R1046" s="143">
        <v>2841.1997900000001</v>
      </c>
      <c r="S1046" s="34">
        <v>325.08979000000045</v>
      </c>
      <c r="T1046" s="56">
        <v>325.08979000000045</v>
      </c>
      <c r="U1046" s="56">
        <v>2.5133372010872304</v>
      </c>
      <c r="V1046" s="56">
        <v>12.920332974313542</v>
      </c>
      <c r="W1046" s="33">
        <v>12.920332974313542</v>
      </c>
    </row>
    <row r="1047" spans="1:23" ht="15" x14ac:dyDescent="0.2">
      <c r="A1047" s="103" t="s">
        <v>19</v>
      </c>
      <c r="B1047" s="28" t="s">
        <v>600</v>
      </c>
      <c r="C1047" s="103" t="s">
        <v>979</v>
      </c>
      <c r="D1047" s="208" t="s">
        <v>403</v>
      </c>
      <c r="E1047" s="35" t="s">
        <v>82</v>
      </c>
      <c r="F1047" s="103" t="s">
        <v>967</v>
      </c>
      <c r="G1047" s="103">
        <v>0</v>
      </c>
      <c r="H1047" s="35" t="s">
        <v>293</v>
      </c>
      <c r="I1047" s="35" t="s">
        <v>580</v>
      </c>
      <c r="J1047" s="35">
        <v>2516.1099999999997</v>
      </c>
      <c r="K1047" s="141">
        <v>2849.4347826086955</v>
      </c>
      <c r="L1047" s="34">
        <v>333.32478260869584</v>
      </c>
      <c r="M1047" s="56">
        <v>333.32478260869584</v>
      </c>
      <c r="N1047" s="56">
        <v>2.5241685708829649</v>
      </c>
      <c r="O1047" s="132">
        <f t="shared" si="17"/>
        <v>2.5241685708829649</v>
      </c>
      <c r="P1047" s="56">
        <v>13.247623617755021</v>
      </c>
      <c r="Q1047" s="143">
        <v>13.247623617755021</v>
      </c>
      <c r="R1047" s="143">
        <v>2830.625</v>
      </c>
      <c r="S1047" s="34">
        <v>314.51500000000033</v>
      </c>
      <c r="T1047" s="56">
        <v>314.51500000000033</v>
      </c>
      <c r="U1047" s="56">
        <v>2.4990200110044771</v>
      </c>
      <c r="V1047" s="56">
        <v>12.500049679862977</v>
      </c>
      <c r="W1047" s="33">
        <v>12.500049679862977</v>
      </c>
    </row>
    <row r="1048" spans="1:23" ht="15" x14ac:dyDescent="0.2">
      <c r="A1048" s="103" t="s">
        <v>19</v>
      </c>
      <c r="B1048" s="206" t="s">
        <v>460</v>
      </c>
      <c r="C1048" s="224" t="s">
        <v>978</v>
      </c>
      <c r="D1048" s="35" t="s">
        <v>403</v>
      </c>
      <c r="E1048" s="35" t="s">
        <v>82</v>
      </c>
      <c r="F1048" s="103" t="s">
        <v>968</v>
      </c>
      <c r="G1048" s="103">
        <v>1</v>
      </c>
      <c r="H1048" s="35" t="s">
        <v>203</v>
      </c>
      <c r="I1048" s="35" t="s">
        <v>581</v>
      </c>
      <c r="J1048" s="35">
        <v>4340</v>
      </c>
      <c r="K1048" s="141">
        <v>4706.2561376313961</v>
      </c>
      <c r="L1048" s="34">
        <v>366.25613763139609</v>
      </c>
      <c r="M1048" s="56">
        <v>366.25613763139609</v>
      </c>
      <c r="N1048" s="56">
        <v>2.5649690625076955</v>
      </c>
      <c r="O1048" s="132">
        <f t="shared" si="17"/>
        <v>2.5649690625076955</v>
      </c>
      <c r="P1048" s="56">
        <v>8.4390815122441509</v>
      </c>
      <c r="Q1048" s="143">
        <v>8.4390815122441509</v>
      </c>
      <c r="R1048" s="143">
        <v>4619.7347021333508</v>
      </c>
      <c r="S1048" s="34">
        <v>279.73470213335077</v>
      </c>
      <c r="T1048" s="56">
        <v>279.73470213335077</v>
      </c>
      <c r="U1048" s="56">
        <v>2.4482960998931227</v>
      </c>
      <c r="V1048" s="56">
        <v>6.4455000491555472</v>
      </c>
      <c r="W1048" s="33">
        <v>6.4455000491555472</v>
      </c>
    </row>
    <row r="1049" spans="1:23" ht="15" x14ac:dyDescent="0.2">
      <c r="A1049" s="103" t="s">
        <v>19</v>
      </c>
      <c r="B1049" s="28" t="s">
        <v>152</v>
      </c>
      <c r="C1049" s="103" t="s">
        <v>979</v>
      </c>
      <c r="D1049" s="208" t="s">
        <v>403</v>
      </c>
      <c r="E1049" s="35" t="s">
        <v>82</v>
      </c>
      <c r="F1049" s="103" t="s">
        <v>967</v>
      </c>
      <c r="G1049" s="103">
        <v>0</v>
      </c>
      <c r="H1049" s="35" t="s">
        <v>203</v>
      </c>
      <c r="I1049" s="35" t="s">
        <v>581</v>
      </c>
      <c r="J1049" s="35">
        <v>5810</v>
      </c>
      <c r="K1049" s="141">
        <v>6178.6956521739121</v>
      </c>
      <c r="L1049" s="34">
        <v>368.69565217391209</v>
      </c>
      <c r="M1049" s="56">
        <v>368.69565217391209</v>
      </c>
      <c r="N1049" s="56">
        <v>2.5678443430589559</v>
      </c>
      <c r="O1049" s="132">
        <f t="shared" si="17"/>
        <v>2.5678443430589559</v>
      </c>
      <c r="P1049" s="56">
        <v>6.3458804160742188</v>
      </c>
      <c r="Q1049" s="143">
        <v>6.3458804160742188</v>
      </c>
      <c r="R1049" s="143">
        <v>6327.5</v>
      </c>
      <c r="S1049" s="34">
        <v>517.5</v>
      </c>
      <c r="T1049" s="56">
        <v>517.5</v>
      </c>
      <c r="U1049" s="56">
        <v>2.7147487607250596</v>
      </c>
      <c r="V1049" s="56">
        <v>8.9070567986230635</v>
      </c>
      <c r="W1049" s="33">
        <v>8.9070567986230635</v>
      </c>
    </row>
    <row r="1050" spans="1:23" ht="15" x14ac:dyDescent="0.2">
      <c r="A1050" s="103" t="s">
        <v>19</v>
      </c>
      <c r="B1050" s="28" t="s">
        <v>734</v>
      </c>
      <c r="C1050" s="224" t="s">
        <v>977</v>
      </c>
      <c r="D1050" s="35" t="s">
        <v>403</v>
      </c>
      <c r="E1050" s="35" t="s">
        <v>82</v>
      </c>
      <c r="F1050" s="103" t="s">
        <v>968</v>
      </c>
      <c r="G1050" s="103">
        <v>1</v>
      </c>
      <c r="H1050" s="35" t="s">
        <v>203</v>
      </c>
      <c r="I1050" s="35" t="s">
        <v>581</v>
      </c>
      <c r="J1050" s="35">
        <v>5600</v>
      </c>
      <c r="K1050" s="141">
        <v>5981.1690253284078</v>
      </c>
      <c r="L1050" s="34">
        <v>381.16902532840777</v>
      </c>
      <c r="M1050" s="56">
        <v>381.16902532840777</v>
      </c>
      <c r="N1050" s="56">
        <v>2.5822554847229662</v>
      </c>
      <c r="O1050" s="132">
        <f t="shared" si="17"/>
        <v>2.5822554847229662</v>
      </c>
      <c r="P1050" s="56">
        <v>6.8065897380072808</v>
      </c>
      <c r="Q1050" s="143">
        <v>6.8065897380072808</v>
      </c>
      <c r="R1050" s="143">
        <v>5945.4336844759046</v>
      </c>
      <c r="S1050" s="34">
        <v>345.43368447590456</v>
      </c>
      <c r="T1050" s="56">
        <v>345.43368447590456</v>
      </c>
      <c r="U1050" s="56">
        <v>2.5396201127644336</v>
      </c>
      <c r="V1050" s="56">
        <v>6.1684586513554391</v>
      </c>
      <c r="W1050" s="33">
        <v>6.1684586513554391</v>
      </c>
    </row>
    <row r="1051" spans="1:23" ht="15" x14ac:dyDescent="0.2">
      <c r="A1051" s="103" t="s">
        <v>19</v>
      </c>
      <c r="B1051" s="28" t="s">
        <v>310</v>
      </c>
      <c r="C1051" s="103" t="s">
        <v>970</v>
      </c>
      <c r="D1051" s="208" t="s">
        <v>403</v>
      </c>
      <c r="E1051" s="35" t="s">
        <v>82</v>
      </c>
      <c r="F1051" s="103" t="s">
        <v>967</v>
      </c>
      <c r="G1051" s="103">
        <v>0</v>
      </c>
      <c r="H1051" s="35" t="s">
        <v>374</v>
      </c>
      <c r="I1051" s="35" t="s">
        <v>580</v>
      </c>
      <c r="J1051" s="35">
        <v>1464.23</v>
      </c>
      <c r="K1051" s="142">
        <v>1853.09476</v>
      </c>
      <c r="L1051" s="34">
        <v>388.86475999999993</v>
      </c>
      <c r="M1051" s="56">
        <v>388.86475999999993</v>
      </c>
      <c r="N1051" s="56">
        <v>2.5909139809453272</v>
      </c>
      <c r="O1051" s="132">
        <f t="shared" si="17"/>
        <v>2.5909139809453272</v>
      </c>
      <c r="P1051" s="56">
        <v>26.557628241464794</v>
      </c>
      <c r="Q1051" s="143">
        <v>26.557628241464794</v>
      </c>
      <c r="R1051" s="143">
        <v>1917.8870000000002</v>
      </c>
      <c r="S1051" s="34">
        <v>453.65700000000015</v>
      </c>
      <c r="T1051" s="56">
        <v>453.65700000000015</v>
      </c>
      <c r="U1051" s="56">
        <v>2.657683881968933</v>
      </c>
      <c r="V1051" s="56">
        <v>30.982632509919899</v>
      </c>
      <c r="W1051" s="33">
        <v>30.982632509919899</v>
      </c>
    </row>
    <row r="1052" spans="1:23" ht="15" x14ac:dyDescent="0.2">
      <c r="A1052" s="103" t="s">
        <v>19</v>
      </c>
      <c r="B1052" s="28" t="s">
        <v>597</v>
      </c>
      <c r="C1052" s="103" t="s">
        <v>975</v>
      </c>
      <c r="D1052" s="208" t="s">
        <v>403</v>
      </c>
      <c r="E1052" s="35" t="s">
        <v>82</v>
      </c>
      <c r="F1052" s="103" t="s">
        <v>967</v>
      </c>
      <c r="G1052" s="103">
        <v>0</v>
      </c>
      <c r="H1052" s="35" t="s">
        <v>203</v>
      </c>
      <c r="I1052" s="35" t="s">
        <v>581</v>
      </c>
      <c r="J1052" s="35">
        <v>5241.7</v>
      </c>
      <c r="K1052" s="141">
        <v>4847.0227999999997</v>
      </c>
      <c r="L1052" s="34">
        <v>-394.67720000000008</v>
      </c>
      <c r="M1052" s="56">
        <v>394.67720000000008</v>
      </c>
      <c r="N1052" s="56">
        <v>2.5973410257538481</v>
      </c>
      <c r="O1052" s="132">
        <f t="shared" ref="O1052:O1115" si="18">SIGN(L1052)*N1052</f>
        <v>-2.5973410257538481</v>
      </c>
      <c r="P1052" s="56">
        <v>-7.5295648358357044</v>
      </c>
      <c r="Q1052" s="143">
        <v>7.5295648358357044</v>
      </c>
      <c r="R1052" s="143">
        <v>4909.5563999999995</v>
      </c>
      <c r="S1052" s="34">
        <v>-332.14360000000033</v>
      </c>
      <c r="T1052" s="56">
        <v>332.14360000000033</v>
      </c>
      <c r="U1052" s="56">
        <v>2.5226314744812912</v>
      </c>
      <c r="V1052" s="56">
        <v>-6.3365625655798752</v>
      </c>
      <c r="W1052" s="33">
        <v>6.3365625655798752</v>
      </c>
    </row>
    <row r="1053" spans="1:23" ht="15" x14ac:dyDescent="0.2">
      <c r="A1053" s="103" t="s">
        <v>19</v>
      </c>
      <c r="B1053" s="28" t="s">
        <v>310</v>
      </c>
      <c r="C1053" s="224" t="s">
        <v>974</v>
      </c>
      <c r="D1053" s="208" t="s">
        <v>403</v>
      </c>
      <c r="E1053" s="35" t="s">
        <v>82</v>
      </c>
      <c r="F1053" s="103" t="s">
        <v>967</v>
      </c>
      <c r="G1053" s="103">
        <v>0</v>
      </c>
      <c r="H1053" s="35" t="s">
        <v>374</v>
      </c>
      <c r="I1053" s="35" t="s">
        <v>580</v>
      </c>
      <c r="J1053" s="35">
        <v>1464.23</v>
      </c>
      <c r="K1053" s="142">
        <v>1882.4919599999998</v>
      </c>
      <c r="L1053" s="34">
        <v>418.26195999999982</v>
      </c>
      <c r="M1053" s="56">
        <v>418.26195999999982</v>
      </c>
      <c r="N1053" s="56">
        <v>2.6224854602773306</v>
      </c>
      <c r="O1053" s="132">
        <f t="shared" si="18"/>
        <v>2.6224854602773306</v>
      </c>
      <c r="P1053" s="56">
        <v>28.565318290159318</v>
      </c>
      <c r="Q1053" s="143">
        <v>28.565318290159318</v>
      </c>
      <c r="R1053" s="143">
        <v>1795.3730999999998</v>
      </c>
      <c r="S1053" s="34">
        <v>331.14309999999978</v>
      </c>
      <c r="T1053" s="56">
        <v>331.14309999999978</v>
      </c>
      <c r="U1053" s="56">
        <v>2.5213252347602531</v>
      </c>
      <c r="V1053" s="56">
        <v>22.615511224329495</v>
      </c>
      <c r="W1053" s="33">
        <v>22.615511224329495</v>
      </c>
    </row>
    <row r="1054" spans="1:23" ht="15" x14ac:dyDescent="0.2">
      <c r="A1054" s="103" t="s">
        <v>19</v>
      </c>
      <c r="B1054" s="28" t="s">
        <v>601</v>
      </c>
      <c r="C1054" s="224" t="s">
        <v>978</v>
      </c>
      <c r="D1054" s="208" t="s">
        <v>403</v>
      </c>
      <c r="E1054" s="35" t="s">
        <v>82</v>
      </c>
      <c r="F1054" s="103" t="s">
        <v>968</v>
      </c>
      <c r="G1054" s="103">
        <v>1</v>
      </c>
      <c r="H1054" s="35" t="s">
        <v>203</v>
      </c>
      <c r="I1054" s="35" t="s">
        <v>581</v>
      </c>
      <c r="J1054" s="35">
        <v>5182</v>
      </c>
      <c r="K1054" s="141">
        <v>5601.9007410168369</v>
      </c>
      <c r="L1054" s="34">
        <v>419.90074101683695</v>
      </c>
      <c r="M1054" s="56">
        <v>419.90074101683695</v>
      </c>
      <c r="N1054" s="56">
        <v>2.6241796903458843</v>
      </c>
      <c r="O1054" s="132">
        <f t="shared" si="18"/>
        <v>2.6241796903458843</v>
      </c>
      <c r="P1054" s="56">
        <v>8.1030633156471819</v>
      </c>
      <c r="Q1054" s="143">
        <v>8.1030633156471819</v>
      </c>
      <c r="R1054" s="143">
        <v>5572.8499408908046</v>
      </c>
      <c r="S1054" s="34">
        <v>390.84994089080465</v>
      </c>
      <c r="T1054" s="56">
        <v>390.84994089080465</v>
      </c>
      <c r="U1054" s="56">
        <v>2.5931197855921395</v>
      </c>
      <c r="V1054" s="56">
        <v>7.5424535100502634</v>
      </c>
      <c r="W1054" s="33">
        <v>7.5424535100502634</v>
      </c>
    </row>
    <row r="1055" spans="1:23" ht="15" x14ac:dyDescent="0.2">
      <c r="A1055" s="103" t="s">
        <v>19</v>
      </c>
      <c r="B1055" s="28" t="s">
        <v>734</v>
      </c>
      <c r="C1055" s="103" t="s">
        <v>979</v>
      </c>
      <c r="D1055" s="35" t="s">
        <v>403</v>
      </c>
      <c r="E1055" s="35" t="s">
        <v>82</v>
      </c>
      <c r="F1055" s="103" t="s">
        <v>967</v>
      </c>
      <c r="G1055" s="103">
        <v>0</v>
      </c>
      <c r="H1055" s="35" t="s">
        <v>203</v>
      </c>
      <c r="I1055" s="35" t="s">
        <v>581</v>
      </c>
      <c r="J1055" s="35">
        <v>5600</v>
      </c>
      <c r="K1055" s="141">
        <v>5172.173913043478</v>
      </c>
      <c r="L1055" s="34">
        <v>-427.82608695652198</v>
      </c>
      <c r="M1055" s="56">
        <v>427.82608695652198</v>
      </c>
      <c r="N1055" s="56">
        <v>2.6322811971060207</v>
      </c>
      <c r="O1055" s="132">
        <f t="shared" si="18"/>
        <v>-2.6322811971060207</v>
      </c>
      <c r="P1055" s="56">
        <v>-7.639751552795035</v>
      </c>
      <c r="Q1055" s="143">
        <v>7.639751552795035</v>
      </c>
      <c r="R1055" s="143">
        <v>5189.166666666667</v>
      </c>
      <c r="S1055" s="34">
        <v>-410.83333333333303</v>
      </c>
      <c r="T1055" s="56">
        <v>410.83333333333303</v>
      </c>
      <c r="U1055" s="56">
        <v>2.6147214950184354</v>
      </c>
      <c r="V1055" s="56">
        <v>-7.3363095238095175</v>
      </c>
      <c r="W1055" s="33">
        <v>7.3363095238095175</v>
      </c>
    </row>
    <row r="1056" spans="1:23" ht="15" x14ac:dyDescent="0.2">
      <c r="A1056" s="103" t="s">
        <v>19</v>
      </c>
      <c r="B1056" s="28" t="s">
        <v>597</v>
      </c>
      <c r="C1056" s="224" t="s">
        <v>977</v>
      </c>
      <c r="D1056" s="208" t="s">
        <v>403</v>
      </c>
      <c r="E1056" s="35" t="s">
        <v>82</v>
      </c>
      <c r="F1056" s="103" t="s">
        <v>968</v>
      </c>
      <c r="G1056" s="103">
        <v>1</v>
      </c>
      <c r="H1056" s="35" t="s">
        <v>203</v>
      </c>
      <c r="I1056" s="35" t="s">
        <v>581</v>
      </c>
      <c r="J1056" s="35">
        <v>5241.7</v>
      </c>
      <c r="K1056" s="141">
        <v>5686.1885551498071</v>
      </c>
      <c r="L1056" s="34">
        <v>444.48855514980733</v>
      </c>
      <c r="M1056" s="56">
        <v>444.48855514980733</v>
      </c>
      <c r="N1056" s="56">
        <v>2.6488365512480203</v>
      </c>
      <c r="O1056" s="132">
        <f t="shared" si="18"/>
        <v>2.6488365512480203</v>
      </c>
      <c r="P1056" s="56">
        <v>8.4798549163402601</v>
      </c>
      <c r="Q1056" s="143">
        <v>8.4798549163402601</v>
      </c>
      <c r="R1056" s="143">
        <v>5687.2303976046314</v>
      </c>
      <c r="S1056" s="34">
        <v>445.53039760463162</v>
      </c>
      <c r="T1056" s="56">
        <v>445.53039760463162</v>
      </c>
      <c r="U1056" s="56">
        <v>2.6498510288742789</v>
      </c>
      <c r="V1056" s="56">
        <v>8.4997309576021447</v>
      </c>
      <c r="W1056" s="33">
        <v>8.4997309576021447</v>
      </c>
    </row>
    <row r="1057" spans="1:23" ht="15" x14ac:dyDescent="0.2">
      <c r="A1057" s="103" t="s">
        <v>19</v>
      </c>
      <c r="B1057" s="28" t="s">
        <v>322</v>
      </c>
      <c r="C1057" s="224" t="s">
        <v>977</v>
      </c>
      <c r="D1057" s="208" t="s">
        <v>403</v>
      </c>
      <c r="E1057" s="35" t="s">
        <v>96</v>
      </c>
      <c r="F1057" s="103" t="s">
        <v>968</v>
      </c>
      <c r="G1057" s="103">
        <v>1</v>
      </c>
      <c r="H1057" s="35" t="s">
        <v>374</v>
      </c>
      <c r="I1057" s="35" t="s">
        <v>580</v>
      </c>
      <c r="J1057" s="35">
        <v>2211.66</v>
      </c>
      <c r="K1057" s="141">
        <v>2671.0601867588293</v>
      </c>
      <c r="L1057" s="34">
        <v>459.40018675882948</v>
      </c>
      <c r="M1057" s="56">
        <v>459.40018675882948</v>
      </c>
      <c r="N1057" s="56">
        <v>2.6631354911269822</v>
      </c>
      <c r="O1057" s="132">
        <f t="shared" si="18"/>
        <v>2.6631354911269822</v>
      </c>
      <c r="P1057" s="56">
        <v>20.771736467577725</v>
      </c>
      <c r="Q1057" s="143">
        <v>20.771736467577725</v>
      </c>
      <c r="R1057" s="143">
        <v>2662.0751840020312</v>
      </c>
      <c r="S1057" s="34">
        <v>450.41518400203131</v>
      </c>
      <c r="T1057" s="56">
        <v>450.41518400203131</v>
      </c>
      <c r="U1057" s="56">
        <v>2.6545761631099074</v>
      </c>
      <c r="V1057" s="56">
        <v>20.36548040847288</v>
      </c>
      <c r="W1057" s="33">
        <v>20.36548040847288</v>
      </c>
    </row>
    <row r="1058" spans="1:23" ht="15" x14ac:dyDescent="0.2">
      <c r="A1058" s="103" t="s">
        <v>19</v>
      </c>
      <c r="B1058" s="28" t="s">
        <v>157</v>
      </c>
      <c r="C1058" s="103" t="s">
        <v>979</v>
      </c>
      <c r="D1058" s="208" t="s">
        <v>403</v>
      </c>
      <c r="E1058" s="35" t="s">
        <v>82</v>
      </c>
      <c r="F1058" s="103" t="s">
        <v>967</v>
      </c>
      <c r="G1058" s="103">
        <v>0</v>
      </c>
      <c r="H1058" s="35" t="s">
        <v>203</v>
      </c>
      <c r="I1058" s="35" t="s">
        <v>581</v>
      </c>
      <c r="J1058" s="35">
        <v>6408.96</v>
      </c>
      <c r="K1058" s="141">
        <v>5940.4347826086951</v>
      </c>
      <c r="L1058" s="34">
        <v>-468.52521739130498</v>
      </c>
      <c r="M1058" s="56">
        <v>468.52521739130498</v>
      </c>
      <c r="N1058" s="56">
        <v>2.6716589224376697</v>
      </c>
      <c r="O1058" s="132">
        <f t="shared" si="18"/>
        <v>-2.6716589224376697</v>
      </c>
      <c r="P1058" s="56">
        <v>-7.3104718611335535</v>
      </c>
      <c r="Q1058" s="143">
        <v>7.3104718611335535</v>
      </c>
      <c r="R1058" s="143">
        <v>5868.75</v>
      </c>
      <c r="S1058" s="34">
        <v>-540.21</v>
      </c>
      <c r="T1058" s="56">
        <v>540.21</v>
      </c>
      <c r="U1058" s="56">
        <v>2.7333658125092812</v>
      </c>
      <c r="V1058" s="56">
        <v>-8.4289806770521274</v>
      </c>
      <c r="W1058" s="33">
        <v>8.4289806770521274</v>
      </c>
    </row>
    <row r="1059" spans="1:23" ht="15" x14ac:dyDescent="0.2">
      <c r="A1059" s="103" t="s">
        <v>19</v>
      </c>
      <c r="B1059" s="28" t="s">
        <v>734</v>
      </c>
      <c r="C1059" s="224" t="s">
        <v>974</v>
      </c>
      <c r="D1059" s="35" t="s">
        <v>403</v>
      </c>
      <c r="E1059" s="35" t="s">
        <v>82</v>
      </c>
      <c r="F1059" s="103" t="s">
        <v>967</v>
      </c>
      <c r="G1059" s="103">
        <v>0</v>
      </c>
      <c r="H1059" s="35" t="s">
        <v>203</v>
      </c>
      <c r="I1059" s="35" t="s">
        <v>581</v>
      </c>
      <c r="J1059" s="35">
        <v>5600</v>
      </c>
      <c r="K1059" s="141">
        <v>6074.0898400000005</v>
      </c>
      <c r="L1059" s="34">
        <v>474.08984000000055</v>
      </c>
      <c r="M1059" s="56">
        <v>474.08984000000055</v>
      </c>
      <c r="N1059" s="56">
        <v>2.6767757429447445</v>
      </c>
      <c r="O1059" s="132">
        <f t="shared" si="18"/>
        <v>2.6767757429447445</v>
      </c>
      <c r="P1059" s="56">
        <v>8.4658900000000106</v>
      </c>
      <c r="Q1059" s="143">
        <v>8.4658900000000106</v>
      </c>
      <c r="R1059" s="143">
        <v>5778.1573800000006</v>
      </c>
      <c r="S1059" s="34">
        <v>178.15738000000056</v>
      </c>
      <c r="T1059" s="56">
        <v>178.15738000000056</v>
      </c>
      <c r="U1059" s="56">
        <v>2.2532347026905879</v>
      </c>
      <c r="V1059" s="56">
        <v>3.1813817857142959</v>
      </c>
      <c r="W1059" s="33">
        <v>3.1813817857142959</v>
      </c>
    </row>
    <row r="1060" spans="1:23" ht="15" x14ac:dyDescent="0.2">
      <c r="A1060" s="103" t="s">
        <v>19</v>
      </c>
      <c r="B1060" s="206" t="s">
        <v>460</v>
      </c>
      <c r="C1060" s="103" t="s">
        <v>971</v>
      </c>
      <c r="D1060" s="35" t="s">
        <v>403</v>
      </c>
      <c r="E1060" s="35" t="s">
        <v>82</v>
      </c>
      <c r="F1060" s="103" t="s">
        <v>968</v>
      </c>
      <c r="G1060" s="103">
        <v>1</v>
      </c>
      <c r="H1060" s="35" t="s">
        <v>203</v>
      </c>
      <c r="I1060" s="35" t="s">
        <v>581</v>
      </c>
      <c r="J1060" s="35">
        <v>4340</v>
      </c>
      <c r="K1060" s="141">
        <v>4828.8706377658327</v>
      </c>
      <c r="L1060" s="34">
        <v>488.87063776583273</v>
      </c>
      <c r="M1060" s="56">
        <v>488.87063776583273</v>
      </c>
      <c r="N1060" s="56">
        <v>2.6900814091676333</v>
      </c>
      <c r="O1060" s="132">
        <f t="shared" si="18"/>
        <v>2.6900814091676333</v>
      </c>
      <c r="P1060" s="56">
        <v>11.264300409350984</v>
      </c>
      <c r="Q1060" s="143">
        <v>11.264300409350984</v>
      </c>
      <c r="R1060" s="143">
        <v>5182.2080736060016</v>
      </c>
      <c r="S1060" s="34">
        <v>842.20807360600156</v>
      </c>
      <c r="T1060" s="56">
        <v>842.20807360600156</v>
      </c>
      <c r="U1060" s="56">
        <v>2.9259347562007165</v>
      </c>
      <c r="V1060" s="56">
        <v>19.405715981705104</v>
      </c>
      <c r="W1060" s="33">
        <v>19.405715981705104</v>
      </c>
    </row>
    <row r="1061" spans="1:23" ht="15" x14ac:dyDescent="0.2">
      <c r="A1061" s="103" t="s">
        <v>19</v>
      </c>
      <c r="B1061" s="206" t="s">
        <v>460</v>
      </c>
      <c r="C1061" s="103" t="s">
        <v>979</v>
      </c>
      <c r="D1061" s="35" t="s">
        <v>403</v>
      </c>
      <c r="E1061" s="35" t="s">
        <v>82</v>
      </c>
      <c r="F1061" s="103" t="s">
        <v>967</v>
      </c>
      <c r="G1061" s="103">
        <v>0</v>
      </c>
      <c r="H1061" s="35" t="s">
        <v>203</v>
      </c>
      <c r="I1061" s="35" t="s">
        <v>581</v>
      </c>
      <c r="J1061" s="35">
        <v>4340</v>
      </c>
      <c r="K1061" s="141">
        <v>3821.7391304347825</v>
      </c>
      <c r="L1061" s="34">
        <v>-518.26086956521749</v>
      </c>
      <c r="M1061" s="56">
        <v>518.26086956521749</v>
      </c>
      <c r="N1061" s="56">
        <v>2.7153855962861675</v>
      </c>
      <c r="O1061" s="132">
        <f t="shared" si="18"/>
        <v>-2.7153855962861675</v>
      </c>
      <c r="P1061" s="56">
        <v>-11.9414946904428</v>
      </c>
      <c r="Q1061" s="143">
        <v>11.9414946904428</v>
      </c>
      <c r="R1061" s="143">
        <v>3804.166666666667</v>
      </c>
      <c r="S1061" s="34">
        <v>-535.83333333333303</v>
      </c>
      <c r="T1061" s="56">
        <v>535.83333333333303</v>
      </c>
      <c r="U1061" s="56">
        <v>2.7298394744360475</v>
      </c>
      <c r="V1061" s="56">
        <v>-12.346390168970807</v>
      </c>
      <c r="W1061" s="33">
        <v>12.346390168970807</v>
      </c>
    </row>
    <row r="1062" spans="1:23" ht="15" x14ac:dyDescent="0.2">
      <c r="A1062" s="103" t="s">
        <v>19</v>
      </c>
      <c r="B1062" s="28" t="s">
        <v>734</v>
      </c>
      <c r="C1062" s="103" t="s">
        <v>975</v>
      </c>
      <c r="D1062" s="35" t="s">
        <v>403</v>
      </c>
      <c r="E1062" s="35" t="s">
        <v>82</v>
      </c>
      <c r="F1062" s="103" t="s">
        <v>967</v>
      </c>
      <c r="G1062" s="103">
        <v>0</v>
      </c>
      <c r="H1062" s="35" t="s">
        <v>203</v>
      </c>
      <c r="I1062" s="35" t="s">
        <v>581</v>
      </c>
      <c r="J1062" s="35">
        <v>5600</v>
      </c>
      <c r="K1062" s="141">
        <v>5069.9880799999992</v>
      </c>
      <c r="L1062" s="34">
        <v>-530.01192000000083</v>
      </c>
      <c r="M1062" s="56">
        <v>530.01192000000083</v>
      </c>
      <c r="N1062" s="56">
        <v>2.7251042701061783</v>
      </c>
      <c r="O1062" s="132">
        <f t="shared" si="18"/>
        <v>-2.7251042701061783</v>
      </c>
      <c r="P1062" s="56">
        <v>-9.464498571428587</v>
      </c>
      <c r="Q1062" s="143">
        <v>9.464498571428587</v>
      </c>
      <c r="R1062" s="143">
        <v>5107.3243600000005</v>
      </c>
      <c r="S1062" s="34">
        <v>-492.67563999999948</v>
      </c>
      <c r="T1062" s="56">
        <v>492.67563999999948</v>
      </c>
      <c r="U1062" s="56">
        <v>2.6934416978604241</v>
      </c>
      <c r="V1062" s="56">
        <v>-8.7977792857142756</v>
      </c>
      <c r="W1062" s="33">
        <v>8.7977792857142756</v>
      </c>
    </row>
    <row r="1063" spans="1:23" ht="15" x14ac:dyDescent="0.2">
      <c r="A1063" s="103" t="s">
        <v>19</v>
      </c>
      <c r="B1063" s="28" t="s">
        <v>322</v>
      </c>
      <c r="C1063" s="24" t="s">
        <v>980</v>
      </c>
      <c r="D1063" s="208" t="s">
        <v>403</v>
      </c>
      <c r="E1063" s="35" t="s">
        <v>96</v>
      </c>
      <c r="F1063" s="103" t="s">
        <v>968</v>
      </c>
      <c r="G1063" s="103">
        <v>1</v>
      </c>
      <c r="H1063" s="35" t="s">
        <v>374</v>
      </c>
      <c r="I1063" s="35" t="s">
        <v>580</v>
      </c>
      <c r="J1063" s="35">
        <v>2211.66</v>
      </c>
      <c r="K1063" s="141">
        <v>2747.5117406360596</v>
      </c>
      <c r="L1063" s="34">
        <v>535.85174063605973</v>
      </c>
      <c r="M1063" s="56">
        <v>535.85174063605973</v>
      </c>
      <c r="N1063" s="56">
        <v>2.7298543655623106</v>
      </c>
      <c r="O1063" s="132">
        <f t="shared" si="18"/>
        <v>2.7298543655623106</v>
      </c>
      <c r="P1063" s="56">
        <v>24.228486324121235</v>
      </c>
      <c r="Q1063" s="143">
        <v>24.228486324121235</v>
      </c>
      <c r="R1063" s="143">
        <v>2738.1228074683436</v>
      </c>
      <c r="S1063" s="34">
        <v>526.46280746834373</v>
      </c>
      <c r="T1063" s="56">
        <v>526.46280746834373</v>
      </c>
      <c r="U1063" s="56">
        <v>2.7221918420157456</v>
      </c>
      <c r="V1063" s="56">
        <v>23.803966589274292</v>
      </c>
      <c r="W1063" s="33">
        <v>23.803966589274292</v>
      </c>
    </row>
    <row r="1064" spans="1:23" ht="15" x14ac:dyDescent="0.2">
      <c r="A1064" s="103" t="s">
        <v>19</v>
      </c>
      <c r="B1064" s="28" t="s">
        <v>597</v>
      </c>
      <c r="C1064" s="224" t="s">
        <v>974</v>
      </c>
      <c r="D1064" s="208" t="s">
        <v>403</v>
      </c>
      <c r="E1064" s="35" t="s">
        <v>82</v>
      </c>
      <c r="F1064" s="103" t="s">
        <v>967</v>
      </c>
      <c r="G1064" s="103">
        <v>0</v>
      </c>
      <c r="H1064" s="35" t="s">
        <v>203</v>
      </c>
      <c r="I1064" s="35" t="s">
        <v>581</v>
      </c>
      <c r="J1064" s="35">
        <v>5241.7</v>
      </c>
      <c r="K1064" s="141">
        <v>5792.2664000000004</v>
      </c>
      <c r="L1064" s="34">
        <v>550.56640000000061</v>
      </c>
      <c r="M1064" s="56">
        <v>550.56640000000061</v>
      </c>
      <c r="N1064" s="56">
        <v>2.7415978022118521</v>
      </c>
      <c r="O1064" s="132">
        <f t="shared" si="18"/>
        <v>2.7415978022118521</v>
      </c>
      <c r="P1064" s="56">
        <v>10.503584714882587</v>
      </c>
      <c r="Q1064" s="143">
        <v>10.503584714882587</v>
      </c>
      <c r="R1064" s="143">
        <v>5541.7932000000001</v>
      </c>
      <c r="S1064" s="34">
        <v>300.09320000000025</v>
      </c>
      <c r="T1064" s="56">
        <v>300.09320000000025</v>
      </c>
      <c r="U1064" s="56">
        <v>2.4787009473565829</v>
      </c>
      <c r="V1064" s="56">
        <v>5.725112081958148</v>
      </c>
      <c r="W1064" s="33">
        <v>5.725112081958148</v>
      </c>
    </row>
    <row r="1065" spans="1:23" ht="15" x14ac:dyDescent="0.2">
      <c r="A1065" s="103" t="s">
        <v>19</v>
      </c>
      <c r="B1065" s="28" t="s">
        <v>157</v>
      </c>
      <c r="C1065" s="224" t="s">
        <v>977</v>
      </c>
      <c r="D1065" s="208" t="s">
        <v>403</v>
      </c>
      <c r="E1065" s="35" t="s">
        <v>82</v>
      </c>
      <c r="F1065" s="103" t="s">
        <v>968</v>
      </c>
      <c r="G1065" s="103">
        <v>1</v>
      </c>
      <c r="H1065" s="35" t="s">
        <v>203</v>
      </c>
      <c r="I1065" s="35" t="s">
        <v>581</v>
      </c>
      <c r="J1065" s="35">
        <v>6408.96</v>
      </c>
      <c r="K1065" s="141">
        <v>6962.5009001588614</v>
      </c>
      <c r="L1065" s="34">
        <v>553.5409001588614</v>
      </c>
      <c r="M1065" s="56">
        <v>553.5409001588614</v>
      </c>
      <c r="N1065" s="56">
        <v>2.7439335830518914</v>
      </c>
      <c r="O1065" s="132">
        <f t="shared" si="18"/>
        <v>2.7439335830518914</v>
      </c>
      <c r="P1065" s="56">
        <v>8.6369847862814151</v>
      </c>
      <c r="Q1065" s="143">
        <v>8.6369847862814151</v>
      </c>
      <c r="R1065" s="143">
        <v>6804.8096978359818</v>
      </c>
      <c r="S1065" s="34">
        <v>395.84969783598171</v>
      </c>
      <c r="T1065" s="56">
        <v>395.84969783598171</v>
      </c>
      <c r="U1065" s="56">
        <v>2.5986260539670525</v>
      </c>
      <c r="V1065" s="56">
        <v>6.1765044224957206</v>
      </c>
      <c r="W1065" s="33">
        <v>6.1765044224957206</v>
      </c>
    </row>
    <row r="1066" spans="1:23" ht="15" x14ac:dyDescent="0.2">
      <c r="A1066" s="103" t="s">
        <v>19</v>
      </c>
      <c r="B1066" s="206" t="s">
        <v>460</v>
      </c>
      <c r="C1066" s="103" t="s">
        <v>975</v>
      </c>
      <c r="D1066" s="35" t="s">
        <v>403</v>
      </c>
      <c r="E1066" s="35" t="s">
        <v>82</v>
      </c>
      <c r="F1066" s="103" t="s">
        <v>967</v>
      </c>
      <c r="G1066" s="103">
        <v>0</v>
      </c>
      <c r="H1066" s="35" t="s">
        <v>203</v>
      </c>
      <c r="I1066" s="35" t="s">
        <v>581</v>
      </c>
      <c r="J1066" s="35">
        <v>4340</v>
      </c>
      <c r="K1066" s="141">
        <v>3777.9541999999997</v>
      </c>
      <c r="L1066" s="34">
        <v>-562.04580000000033</v>
      </c>
      <c r="M1066" s="56">
        <v>562.04580000000033</v>
      </c>
      <c r="N1066" s="56">
        <v>2.7505437232319188</v>
      </c>
      <c r="O1066" s="132">
        <f t="shared" si="18"/>
        <v>-2.7505437232319188</v>
      </c>
      <c r="P1066" s="56">
        <v>-12.950364055299547</v>
      </c>
      <c r="Q1066" s="143">
        <v>12.950364055299547</v>
      </c>
      <c r="R1066" s="143">
        <v>3776.5942</v>
      </c>
      <c r="S1066" s="34">
        <v>-563.4058</v>
      </c>
      <c r="T1066" s="56">
        <v>563.4058</v>
      </c>
      <c r="U1066" s="56">
        <v>2.7515914680430695</v>
      </c>
      <c r="V1066" s="56">
        <v>-12.981700460829494</v>
      </c>
      <c r="W1066" s="33">
        <v>12.981700460829494</v>
      </c>
    </row>
    <row r="1067" spans="1:23" ht="15" x14ac:dyDescent="0.2">
      <c r="A1067" s="103" t="s">
        <v>19</v>
      </c>
      <c r="B1067" s="28" t="s">
        <v>322</v>
      </c>
      <c r="C1067" s="224" t="s">
        <v>978</v>
      </c>
      <c r="D1067" s="208" t="s">
        <v>403</v>
      </c>
      <c r="E1067" s="35" t="s">
        <v>96</v>
      </c>
      <c r="F1067" s="103" t="s">
        <v>968</v>
      </c>
      <c r="G1067" s="103">
        <v>1</v>
      </c>
      <c r="H1067" s="35" t="s">
        <v>374</v>
      </c>
      <c r="I1067" s="35" t="s">
        <v>580</v>
      </c>
      <c r="J1067" s="35">
        <v>2211.66</v>
      </c>
      <c r="K1067" s="141">
        <v>2788.2430147332325</v>
      </c>
      <c r="L1067" s="34">
        <v>576.58301473323263</v>
      </c>
      <c r="M1067" s="56">
        <v>576.58301473323263</v>
      </c>
      <c r="N1067" s="56">
        <v>2.7616144132387062</v>
      </c>
      <c r="O1067" s="132">
        <f t="shared" si="18"/>
        <v>2.7616144132387062</v>
      </c>
      <c r="P1067" s="56">
        <v>26.070147072028824</v>
      </c>
      <c r="Q1067" s="143">
        <v>26.070147072028824</v>
      </c>
      <c r="R1067" s="143">
        <v>2771.6774946884475</v>
      </c>
      <c r="S1067" s="34">
        <v>560.01749468844764</v>
      </c>
      <c r="T1067" s="56">
        <v>560.01749468844764</v>
      </c>
      <c r="U1067" s="56">
        <v>2.7489764044436642</v>
      </c>
      <c r="V1067" s="56">
        <v>25.321138632902329</v>
      </c>
      <c r="W1067" s="33">
        <v>25.321138632902329</v>
      </c>
    </row>
    <row r="1068" spans="1:23" ht="15" x14ac:dyDescent="0.2">
      <c r="A1068" s="103" t="s">
        <v>19</v>
      </c>
      <c r="B1068" s="28" t="s">
        <v>600</v>
      </c>
      <c r="C1068" s="224" t="s">
        <v>977</v>
      </c>
      <c r="D1068" s="208" t="s">
        <v>403</v>
      </c>
      <c r="E1068" s="35" t="s">
        <v>82</v>
      </c>
      <c r="F1068" s="103" t="s">
        <v>968</v>
      </c>
      <c r="G1068" s="103">
        <v>1</v>
      </c>
      <c r="H1068" s="35" t="s">
        <v>293</v>
      </c>
      <c r="I1068" s="35" t="s">
        <v>580</v>
      </c>
      <c r="J1068" s="35">
        <v>2516.1099999999997</v>
      </c>
      <c r="K1068" s="141">
        <v>3109.9755937464215</v>
      </c>
      <c r="L1068" s="34">
        <v>593.86559374642184</v>
      </c>
      <c r="M1068" s="56">
        <v>593.86559374642184</v>
      </c>
      <c r="N1068" s="56">
        <v>2.774418850622411</v>
      </c>
      <c r="O1068" s="132">
        <f t="shared" si="18"/>
        <v>2.774418850622411</v>
      </c>
      <c r="P1068" s="56">
        <v>23.602529052641653</v>
      </c>
      <c r="Q1068" s="143">
        <v>23.602529052641653</v>
      </c>
      <c r="R1068" s="143">
        <v>3057.9922144365455</v>
      </c>
      <c r="S1068" s="34">
        <v>541.88221443654584</v>
      </c>
      <c r="T1068" s="56">
        <v>541.88221443654584</v>
      </c>
      <c r="U1068" s="56">
        <v>2.7347056138078414</v>
      </c>
      <c r="V1068" s="56">
        <v>21.536507324264278</v>
      </c>
      <c r="W1068" s="33">
        <v>21.536507324264278</v>
      </c>
    </row>
    <row r="1069" spans="1:23" ht="15" x14ac:dyDescent="0.2">
      <c r="A1069" s="103" t="s">
        <v>19</v>
      </c>
      <c r="B1069" s="28" t="s">
        <v>157</v>
      </c>
      <c r="C1069" s="224" t="s">
        <v>974</v>
      </c>
      <c r="D1069" s="208" t="s">
        <v>403</v>
      </c>
      <c r="E1069" s="35" t="s">
        <v>82</v>
      </c>
      <c r="F1069" s="103" t="s">
        <v>967</v>
      </c>
      <c r="G1069" s="103">
        <v>0</v>
      </c>
      <c r="H1069" s="35" t="s">
        <v>203</v>
      </c>
      <c r="I1069" s="35" t="s">
        <v>581</v>
      </c>
      <c r="J1069" s="35">
        <v>6408.96</v>
      </c>
      <c r="K1069" s="141">
        <v>7003.1607700000004</v>
      </c>
      <c r="L1069" s="34">
        <v>594.20077000000038</v>
      </c>
      <c r="M1069" s="56">
        <v>594.20077000000038</v>
      </c>
      <c r="N1069" s="56">
        <v>2.7746634843767586</v>
      </c>
      <c r="O1069" s="132">
        <f t="shared" si="18"/>
        <v>2.7746634843767586</v>
      </c>
      <c r="P1069" s="56">
        <v>9.271407061364096</v>
      </c>
      <c r="Q1069" s="143">
        <v>9.271407061364096</v>
      </c>
      <c r="R1069" s="143">
        <v>6558.5419500000007</v>
      </c>
      <c r="S1069" s="34">
        <v>149.58195000000069</v>
      </c>
      <c r="T1069" s="56">
        <v>149.58195000000069</v>
      </c>
      <c r="U1069" s="56">
        <v>2.1777729168500475</v>
      </c>
      <c r="V1069" s="56">
        <v>2.3339504381366196</v>
      </c>
      <c r="W1069" s="33">
        <v>2.3339504381366196</v>
      </c>
    </row>
    <row r="1070" spans="1:23" ht="15" x14ac:dyDescent="0.2">
      <c r="A1070" s="103" t="s">
        <v>19</v>
      </c>
      <c r="B1070" s="28" t="s">
        <v>322</v>
      </c>
      <c r="C1070" s="103" t="s">
        <v>971</v>
      </c>
      <c r="D1070" s="208" t="s">
        <v>403</v>
      </c>
      <c r="E1070" s="35" t="s">
        <v>96</v>
      </c>
      <c r="F1070" s="103" t="s">
        <v>968</v>
      </c>
      <c r="G1070" s="103">
        <v>1</v>
      </c>
      <c r="H1070" s="35" t="s">
        <v>374</v>
      </c>
      <c r="I1070" s="35" t="s">
        <v>580</v>
      </c>
      <c r="J1070" s="35">
        <v>2211.66</v>
      </c>
      <c r="K1070" s="141">
        <v>2809.90043671082</v>
      </c>
      <c r="L1070" s="34">
        <v>598.24043671082018</v>
      </c>
      <c r="M1070" s="56">
        <v>598.24043671082018</v>
      </c>
      <c r="N1070" s="56">
        <v>2.7776011118473507</v>
      </c>
      <c r="O1070" s="132">
        <f t="shared" si="18"/>
        <v>2.7776011118473507</v>
      </c>
      <c r="P1070" s="56">
        <v>27.049385380701384</v>
      </c>
      <c r="Q1070" s="143">
        <v>27.049385380701384</v>
      </c>
      <c r="R1070" s="143">
        <v>3126.4428216157248</v>
      </c>
      <c r="S1070" s="34">
        <v>914.78282161572497</v>
      </c>
      <c r="T1070" s="56">
        <v>914.78282161572497</v>
      </c>
      <c r="U1070" s="56">
        <v>2.9617924927104919</v>
      </c>
      <c r="V1070" s="56">
        <v>41.361819701750044</v>
      </c>
      <c r="W1070" s="33">
        <v>41.361819701750044</v>
      </c>
    </row>
    <row r="1071" spans="1:23" ht="15" x14ac:dyDescent="0.2">
      <c r="A1071" s="103" t="s">
        <v>19</v>
      </c>
      <c r="B1071" s="28" t="s">
        <v>601</v>
      </c>
      <c r="C1071" s="103" t="s">
        <v>971</v>
      </c>
      <c r="D1071" s="208" t="s">
        <v>403</v>
      </c>
      <c r="E1071" s="35" t="s">
        <v>82</v>
      </c>
      <c r="F1071" s="103" t="s">
        <v>968</v>
      </c>
      <c r="G1071" s="103">
        <v>1</v>
      </c>
      <c r="H1071" s="35" t="s">
        <v>203</v>
      </c>
      <c r="I1071" s="35" t="s">
        <v>581</v>
      </c>
      <c r="J1071" s="35">
        <v>5182</v>
      </c>
      <c r="K1071" s="141">
        <v>5782.3512668407357</v>
      </c>
      <c r="L1071" s="34">
        <v>600.35126684073566</v>
      </c>
      <c r="M1071" s="56">
        <v>600.35126684073566</v>
      </c>
      <c r="N1071" s="56">
        <v>2.7791282302165903</v>
      </c>
      <c r="O1071" s="132">
        <f t="shared" si="18"/>
        <v>2.7791282302165903</v>
      </c>
      <c r="P1071" s="56">
        <v>11.58531969974403</v>
      </c>
      <c r="Q1071" s="143">
        <v>11.58531969974403</v>
      </c>
      <c r="R1071" s="143">
        <v>6238.6459998153305</v>
      </c>
      <c r="S1071" s="34">
        <v>1056.6459998153305</v>
      </c>
      <c r="T1071" s="56">
        <v>1056.6459998153305</v>
      </c>
      <c r="U1071" s="56">
        <v>3.0243403311653205</v>
      </c>
      <c r="V1071" s="56">
        <v>20.390698568416258</v>
      </c>
      <c r="W1071" s="33">
        <v>20.390698568416258</v>
      </c>
    </row>
    <row r="1072" spans="1:23" ht="15" x14ac:dyDescent="0.2">
      <c r="A1072" s="103" t="s">
        <v>19</v>
      </c>
      <c r="B1072" s="28" t="s">
        <v>157</v>
      </c>
      <c r="C1072" s="103" t="s">
        <v>975</v>
      </c>
      <c r="D1072" s="208" t="s">
        <v>403</v>
      </c>
      <c r="E1072" s="35" t="s">
        <v>82</v>
      </c>
      <c r="F1072" s="103" t="s">
        <v>967</v>
      </c>
      <c r="G1072" s="103">
        <v>0</v>
      </c>
      <c r="H1072" s="35" t="s">
        <v>203</v>
      </c>
      <c r="I1072" s="35" t="s">
        <v>581</v>
      </c>
      <c r="J1072" s="35">
        <v>6408.96</v>
      </c>
      <c r="K1072" s="141">
        <v>5805.0247399999989</v>
      </c>
      <c r="L1072" s="34">
        <v>-603.93526000000111</v>
      </c>
      <c r="M1072" s="56">
        <v>603.93526000000111</v>
      </c>
      <c r="N1072" s="56">
        <v>2.7817088990670151</v>
      </c>
      <c r="O1072" s="132">
        <f t="shared" si="18"/>
        <v>-2.7817088990670151</v>
      </c>
      <c r="P1072" s="56">
        <v>-9.4232958233473312</v>
      </c>
      <c r="Q1072" s="143">
        <v>9.4232958233473312</v>
      </c>
      <c r="R1072" s="143">
        <v>5760.2789000000002</v>
      </c>
      <c r="S1072" s="34">
        <v>-648.68109999999979</v>
      </c>
      <c r="T1072" s="56">
        <v>648.68109999999979</v>
      </c>
      <c r="U1072" s="56">
        <v>2.8127002328033868</v>
      </c>
      <c r="V1072" s="56">
        <v>-10.121472126522864</v>
      </c>
      <c r="W1072" s="33">
        <v>10.121472126522864</v>
      </c>
    </row>
    <row r="1073" spans="1:23" ht="15" x14ac:dyDescent="0.2">
      <c r="A1073" s="103" t="s">
        <v>19</v>
      </c>
      <c r="B1073" s="28" t="s">
        <v>734</v>
      </c>
      <c r="C1073" s="103" t="s">
        <v>970</v>
      </c>
      <c r="D1073" s="35" t="s">
        <v>403</v>
      </c>
      <c r="E1073" s="35" t="s">
        <v>82</v>
      </c>
      <c r="F1073" s="103" t="s">
        <v>967</v>
      </c>
      <c r="G1073" s="103">
        <v>0</v>
      </c>
      <c r="H1073" s="35" t="s">
        <v>203</v>
      </c>
      <c r="I1073" s="35" t="s">
        <v>581</v>
      </c>
      <c r="J1073" s="35">
        <v>5600</v>
      </c>
      <c r="K1073" s="141">
        <v>6205.7270399999998</v>
      </c>
      <c r="L1073" s="34">
        <v>605.72703999999976</v>
      </c>
      <c r="M1073" s="56">
        <v>605.72703999999976</v>
      </c>
      <c r="N1073" s="56">
        <v>2.7829933505746802</v>
      </c>
      <c r="O1073" s="132">
        <f t="shared" si="18"/>
        <v>2.7829933505746802</v>
      </c>
      <c r="P1073" s="56">
        <v>10.816554285714281</v>
      </c>
      <c r="Q1073" s="143">
        <v>10.816554285714281</v>
      </c>
      <c r="R1073" s="143">
        <v>6570.1706000000013</v>
      </c>
      <c r="S1073" s="34">
        <v>970.17060000000129</v>
      </c>
      <c r="T1073" s="56">
        <v>970.17060000000129</v>
      </c>
      <c r="U1073" s="56">
        <v>2.9872955266440422</v>
      </c>
      <c r="V1073" s="56">
        <v>17.324475000000024</v>
      </c>
      <c r="W1073" s="33">
        <v>17.324475000000024</v>
      </c>
    </row>
    <row r="1074" spans="1:23" ht="15" x14ac:dyDescent="0.2">
      <c r="A1074" s="103" t="s">
        <v>19</v>
      </c>
      <c r="B1074" s="28" t="s">
        <v>322</v>
      </c>
      <c r="C1074" s="224" t="s">
        <v>974</v>
      </c>
      <c r="D1074" s="208" t="s">
        <v>403</v>
      </c>
      <c r="E1074" s="35" t="s">
        <v>96</v>
      </c>
      <c r="F1074" s="103" t="s">
        <v>967</v>
      </c>
      <c r="G1074" s="103">
        <v>0</v>
      </c>
      <c r="H1074" s="35" t="s">
        <v>374</v>
      </c>
      <c r="I1074" s="35" t="s">
        <v>580</v>
      </c>
      <c r="J1074" s="35">
        <v>2211.66</v>
      </c>
      <c r="K1074" s="141">
        <v>2818.9239499999999</v>
      </c>
      <c r="L1074" s="34">
        <v>607.26395000000002</v>
      </c>
      <c r="M1074" s="56">
        <v>607.26395000000002</v>
      </c>
      <c r="N1074" s="56">
        <v>2.7840920778799623</v>
      </c>
      <c r="O1074" s="132">
        <f t="shared" si="18"/>
        <v>2.7840920778799623</v>
      </c>
      <c r="P1074" s="56">
        <v>27.457382689925218</v>
      </c>
      <c r="Q1074" s="143">
        <v>27.457382689925218</v>
      </c>
      <c r="R1074" s="143">
        <v>2683.8440430000001</v>
      </c>
      <c r="S1074" s="34">
        <v>472.1840430000002</v>
      </c>
      <c r="T1074" s="56">
        <v>472.1840430000002</v>
      </c>
      <c r="U1074" s="56">
        <v>2.6750300906602549</v>
      </c>
      <c r="V1074" s="56">
        <v>21.349757331597093</v>
      </c>
      <c r="W1074" s="33">
        <v>21.349757331597093</v>
      </c>
    </row>
    <row r="1075" spans="1:23" ht="15" x14ac:dyDescent="0.2">
      <c r="A1075" s="103" t="s">
        <v>19</v>
      </c>
      <c r="B1075" s="28" t="s">
        <v>322</v>
      </c>
      <c r="C1075" s="103" t="s">
        <v>970</v>
      </c>
      <c r="D1075" s="208" t="s">
        <v>403</v>
      </c>
      <c r="E1075" s="35" t="s">
        <v>96</v>
      </c>
      <c r="F1075" s="103" t="s">
        <v>967</v>
      </c>
      <c r="G1075" s="103">
        <v>0</v>
      </c>
      <c r="H1075" s="35" t="s">
        <v>374</v>
      </c>
      <c r="I1075" s="35" t="s">
        <v>580</v>
      </c>
      <c r="J1075" s="35">
        <v>2211.66</v>
      </c>
      <c r="K1075" s="141">
        <v>2825.5029500000001</v>
      </c>
      <c r="L1075" s="34">
        <v>613.8429500000002</v>
      </c>
      <c r="M1075" s="56">
        <v>613.8429500000002</v>
      </c>
      <c r="N1075" s="56">
        <v>2.7887641976313504</v>
      </c>
      <c r="O1075" s="132">
        <f t="shared" si="18"/>
        <v>2.7887641976313504</v>
      </c>
      <c r="P1075" s="56">
        <v>27.754851559462136</v>
      </c>
      <c r="Q1075" s="143">
        <v>27.754851559462136</v>
      </c>
      <c r="R1075" s="143">
        <v>2955.7084100000006</v>
      </c>
      <c r="S1075" s="34">
        <v>744.04841000000079</v>
      </c>
      <c r="T1075" s="56">
        <v>744.04841000000079</v>
      </c>
      <c r="U1075" s="56">
        <v>2.8721844922285937</v>
      </c>
      <c r="V1075" s="56">
        <v>33.642079252688063</v>
      </c>
      <c r="W1075" s="33">
        <v>33.642079252688063</v>
      </c>
    </row>
    <row r="1076" spans="1:23" ht="15" x14ac:dyDescent="0.2">
      <c r="A1076" s="103" t="s">
        <v>19</v>
      </c>
      <c r="B1076" s="28" t="s">
        <v>597</v>
      </c>
      <c r="C1076" s="103" t="s">
        <v>970</v>
      </c>
      <c r="D1076" s="208" t="s">
        <v>403</v>
      </c>
      <c r="E1076" s="35" t="s">
        <v>82</v>
      </c>
      <c r="F1076" s="103" t="s">
        <v>967</v>
      </c>
      <c r="G1076" s="103">
        <v>0</v>
      </c>
      <c r="H1076" s="35" t="s">
        <v>203</v>
      </c>
      <c r="I1076" s="35" t="s">
        <v>581</v>
      </c>
      <c r="J1076" s="35">
        <v>5241.7</v>
      </c>
      <c r="K1076" s="141">
        <v>5913.0763999999999</v>
      </c>
      <c r="L1076" s="34">
        <v>671.3764000000001</v>
      </c>
      <c r="M1076" s="56">
        <v>671.3764000000001</v>
      </c>
      <c r="N1076" s="56">
        <v>2.8276124615645131</v>
      </c>
      <c r="O1076" s="132">
        <f t="shared" si="18"/>
        <v>2.8276124615645131</v>
      </c>
      <c r="P1076" s="56">
        <v>12.808371329912054</v>
      </c>
      <c r="Q1076" s="143">
        <v>12.808371329912054</v>
      </c>
      <c r="R1076" s="143">
        <v>6294.0740000000005</v>
      </c>
      <c r="S1076" s="34">
        <v>1052.3740000000007</v>
      </c>
      <c r="T1076" s="56">
        <v>1052.3740000000007</v>
      </c>
      <c r="U1076" s="56">
        <v>3.0225825946405225</v>
      </c>
      <c r="V1076" s="56">
        <v>20.076959764961764</v>
      </c>
      <c r="W1076" s="33">
        <v>20.076959764961764</v>
      </c>
    </row>
    <row r="1077" spans="1:23" ht="15" x14ac:dyDescent="0.2">
      <c r="A1077" s="103" t="s">
        <v>19</v>
      </c>
      <c r="B1077" s="28" t="s">
        <v>600</v>
      </c>
      <c r="C1077" s="24" t="s">
        <v>980</v>
      </c>
      <c r="D1077" s="208" t="s">
        <v>403</v>
      </c>
      <c r="E1077" s="35" t="s">
        <v>82</v>
      </c>
      <c r="F1077" s="103" t="s">
        <v>968</v>
      </c>
      <c r="G1077" s="103">
        <v>1</v>
      </c>
      <c r="H1077" s="35" t="s">
        <v>293</v>
      </c>
      <c r="I1077" s="35" t="s">
        <v>580</v>
      </c>
      <c r="J1077" s="35">
        <v>2516.1099999999997</v>
      </c>
      <c r="K1077" s="141">
        <v>3219.4633498833768</v>
      </c>
      <c r="L1077" s="34">
        <v>703.35334988337718</v>
      </c>
      <c r="M1077" s="56">
        <v>703.35334988337718</v>
      </c>
      <c r="N1077" s="56">
        <v>2.8477905844344611</v>
      </c>
      <c r="O1077" s="132">
        <f t="shared" si="18"/>
        <v>2.8477905844344611</v>
      </c>
      <c r="P1077" s="56">
        <v>27.95399842945568</v>
      </c>
      <c r="Q1077" s="143">
        <v>27.95399842945568</v>
      </c>
      <c r="R1077" s="143">
        <v>3163.6905239424182</v>
      </c>
      <c r="S1077" s="34">
        <v>647.58052394241849</v>
      </c>
      <c r="T1077" s="56">
        <v>647.58052394241849</v>
      </c>
      <c r="U1077" s="56">
        <v>2.8119639032155659</v>
      </c>
      <c r="V1077" s="56">
        <v>25.737369349607871</v>
      </c>
      <c r="W1077" s="33">
        <v>25.737369349607871</v>
      </c>
    </row>
    <row r="1078" spans="1:23" ht="15" x14ac:dyDescent="0.2">
      <c r="A1078" s="103" t="s">
        <v>19</v>
      </c>
      <c r="B1078" s="28" t="s">
        <v>600</v>
      </c>
      <c r="C1078" s="224" t="s">
        <v>974</v>
      </c>
      <c r="D1078" s="208" t="s">
        <v>403</v>
      </c>
      <c r="E1078" s="35" t="s">
        <v>82</v>
      </c>
      <c r="F1078" s="103" t="s">
        <v>967</v>
      </c>
      <c r="G1078" s="103">
        <v>0</v>
      </c>
      <c r="H1078" s="35" t="s">
        <v>293</v>
      </c>
      <c r="I1078" s="35" t="s">
        <v>580</v>
      </c>
      <c r="J1078" s="35">
        <v>2516.1099999999997</v>
      </c>
      <c r="K1078" s="141">
        <v>3265.1619230000001</v>
      </c>
      <c r="L1078" s="34">
        <v>749.05192300000044</v>
      </c>
      <c r="M1078" s="56">
        <v>749.05192300000044</v>
      </c>
      <c r="N1078" s="56">
        <v>2.8750913288474984</v>
      </c>
      <c r="O1078" s="132">
        <f t="shared" si="18"/>
        <v>2.8750913288474984</v>
      </c>
      <c r="P1078" s="56">
        <v>29.770237509488872</v>
      </c>
      <c r="Q1078" s="143">
        <v>29.770237509488872</v>
      </c>
      <c r="R1078" s="143">
        <v>3069.7779449999998</v>
      </c>
      <c r="S1078" s="34">
        <v>553.66794500000015</v>
      </c>
      <c r="T1078" s="56">
        <v>553.66794500000015</v>
      </c>
      <c r="U1078" s="56">
        <v>2.7440330681469534</v>
      </c>
      <c r="V1078" s="56">
        <v>22.004918107713902</v>
      </c>
      <c r="W1078" s="33">
        <v>22.004918107713902</v>
      </c>
    </row>
    <row r="1079" spans="1:23" ht="15" x14ac:dyDescent="0.2">
      <c r="A1079" s="103" t="s">
        <v>19</v>
      </c>
      <c r="B1079" s="28" t="s">
        <v>157</v>
      </c>
      <c r="C1079" s="103" t="s">
        <v>970</v>
      </c>
      <c r="D1079" s="208" t="s">
        <v>403</v>
      </c>
      <c r="E1079" s="35" t="s">
        <v>82</v>
      </c>
      <c r="F1079" s="103" t="s">
        <v>967</v>
      </c>
      <c r="G1079" s="103">
        <v>0</v>
      </c>
      <c r="H1079" s="35" t="s">
        <v>203</v>
      </c>
      <c r="I1079" s="35" t="s">
        <v>581</v>
      </c>
      <c r="J1079" s="35">
        <v>6408.96</v>
      </c>
      <c r="K1079" s="141">
        <v>7170.4913699999997</v>
      </c>
      <c r="L1079" s="34">
        <v>761.5313699999997</v>
      </c>
      <c r="M1079" s="56">
        <v>761.5313699999997</v>
      </c>
      <c r="N1079" s="56">
        <v>2.8822577149534547</v>
      </c>
      <c r="O1079" s="132">
        <f t="shared" si="18"/>
        <v>2.8822577149534547</v>
      </c>
      <c r="P1079" s="56">
        <v>11.882292446824442</v>
      </c>
      <c r="Q1079" s="143">
        <v>11.882292446824442</v>
      </c>
      <c r="R1079" s="143">
        <v>7481.7365000000009</v>
      </c>
      <c r="S1079" s="34">
        <v>1072.7765000000009</v>
      </c>
      <c r="T1079" s="56">
        <v>1072.7765000000009</v>
      </c>
      <c r="U1079" s="56">
        <v>3.0309138950341814</v>
      </c>
      <c r="V1079" s="56">
        <v>16.738698634411836</v>
      </c>
      <c r="W1079" s="33">
        <v>16.738698634411836</v>
      </c>
    </row>
    <row r="1080" spans="1:23" ht="15" x14ac:dyDescent="0.2">
      <c r="A1080" s="103" t="s">
        <v>19</v>
      </c>
      <c r="B1080" s="28" t="s">
        <v>734</v>
      </c>
      <c r="C1080" s="24" t="s">
        <v>980</v>
      </c>
      <c r="D1080" s="35" t="s">
        <v>403</v>
      </c>
      <c r="E1080" s="35" t="s">
        <v>82</v>
      </c>
      <c r="F1080" s="103" t="s">
        <v>968</v>
      </c>
      <c r="G1080" s="103">
        <v>1</v>
      </c>
      <c r="H1080" s="35" t="s">
        <v>203</v>
      </c>
      <c r="I1080" s="35" t="s">
        <v>581</v>
      </c>
      <c r="J1080" s="35">
        <v>5600</v>
      </c>
      <c r="K1080" s="141">
        <v>6363.889682017787</v>
      </c>
      <c r="L1080" s="34">
        <v>763.88968201778698</v>
      </c>
      <c r="M1080" s="56">
        <v>763.88968201778698</v>
      </c>
      <c r="N1080" s="56">
        <v>2.8835988025447752</v>
      </c>
      <c r="O1080" s="132">
        <f t="shared" si="18"/>
        <v>2.8835988025447752</v>
      </c>
      <c r="P1080" s="56">
        <v>13.640887178889054</v>
      </c>
      <c r="Q1080" s="143">
        <v>13.640887178889054</v>
      </c>
      <c r="R1080" s="143">
        <v>6324.8329659494721</v>
      </c>
      <c r="S1080" s="34">
        <v>724.83296594947205</v>
      </c>
      <c r="T1080" s="56">
        <v>724.83296594947205</v>
      </c>
      <c r="U1080" s="56">
        <v>2.8608366891398447</v>
      </c>
      <c r="V1080" s="56">
        <v>12.943445820526286</v>
      </c>
      <c r="W1080" s="33">
        <v>12.943445820526286</v>
      </c>
    </row>
    <row r="1081" spans="1:23" ht="15" x14ac:dyDescent="0.2">
      <c r="A1081" s="103" t="s">
        <v>19</v>
      </c>
      <c r="B1081" s="28" t="s">
        <v>601</v>
      </c>
      <c r="C1081" s="103" t="s">
        <v>979</v>
      </c>
      <c r="D1081" s="208" t="s">
        <v>403</v>
      </c>
      <c r="E1081" s="35" t="s">
        <v>82</v>
      </c>
      <c r="F1081" s="103" t="s">
        <v>967</v>
      </c>
      <c r="G1081" s="103">
        <v>0</v>
      </c>
      <c r="H1081" s="35" t="s">
        <v>203</v>
      </c>
      <c r="I1081" s="35" t="s">
        <v>581</v>
      </c>
      <c r="J1081" s="35">
        <v>5182</v>
      </c>
      <c r="K1081" s="141">
        <v>4413.0434782608691</v>
      </c>
      <c r="L1081" s="34">
        <v>-768.95652173913095</v>
      </c>
      <c r="M1081" s="56">
        <v>768.95652173913095</v>
      </c>
      <c r="N1081" s="56">
        <v>2.8864662019232648</v>
      </c>
      <c r="O1081" s="132">
        <f t="shared" si="18"/>
        <v>-2.8864662019232648</v>
      </c>
      <c r="P1081" s="56">
        <v>-14.838991156679487</v>
      </c>
      <c r="Q1081" s="143">
        <v>14.838991156679487</v>
      </c>
      <c r="R1081" s="143">
        <v>4441.666666666667</v>
      </c>
      <c r="S1081" s="34">
        <v>-740.33333333333303</v>
      </c>
      <c r="T1081" s="56">
        <v>740.33333333333303</v>
      </c>
      <c r="U1081" s="56">
        <v>2.8700135281903574</v>
      </c>
      <c r="V1081" s="56">
        <v>-14.286633217547916</v>
      </c>
      <c r="W1081" s="33">
        <v>14.286633217547916</v>
      </c>
    </row>
    <row r="1082" spans="1:23" ht="15" x14ac:dyDescent="0.2">
      <c r="A1082" s="103" t="s">
        <v>19</v>
      </c>
      <c r="B1082" s="28" t="s">
        <v>600</v>
      </c>
      <c r="C1082" s="103" t="s">
        <v>970</v>
      </c>
      <c r="D1082" s="208" t="s">
        <v>403</v>
      </c>
      <c r="E1082" s="35" t="s">
        <v>82</v>
      </c>
      <c r="F1082" s="103" t="s">
        <v>967</v>
      </c>
      <c r="G1082" s="103">
        <v>0</v>
      </c>
      <c r="H1082" s="35" t="s">
        <v>293</v>
      </c>
      <c r="I1082" s="35" t="s">
        <v>580</v>
      </c>
      <c r="J1082" s="35">
        <v>2516.1099999999997</v>
      </c>
      <c r="K1082" s="141">
        <v>3288.8846630000003</v>
      </c>
      <c r="L1082" s="34">
        <v>772.7746630000006</v>
      </c>
      <c r="M1082" s="56">
        <v>772.7746630000006</v>
      </c>
      <c r="N1082" s="56">
        <v>2.8886145047863088</v>
      </c>
      <c r="O1082" s="132">
        <f t="shared" si="18"/>
        <v>2.8886145047863088</v>
      </c>
      <c r="P1082" s="56">
        <v>30.713071487335636</v>
      </c>
      <c r="Q1082" s="143">
        <v>30.713071487335636</v>
      </c>
      <c r="R1082" s="143">
        <v>3406.5171500000006</v>
      </c>
      <c r="S1082" s="34">
        <v>890.40715000000091</v>
      </c>
      <c r="T1082" s="56">
        <v>890.40715000000091</v>
      </c>
      <c r="U1082" s="56">
        <v>2.9500761132514954</v>
      </c>
      <c r="V1082" s="56">
        <v>35.388244154667362</v>
      </c>
      <c r="W1082" s="33">
        <v>35.388244154667362</v>
      </c>
    </row>
    <row r="1083" spans="1:23" ht="15" x14ac:dyDescent="0.2">
      <c r="A1083" s="103" t="s">
        <v>19</v>
      </c>
      <c r="B1083" s="28" t="s">
        <v>600</v>
      </c>
      <c r="C1083" s="224" t="s">
        <v>978</v>
      </c>
      <c r="D1083" s="208" t="s">
        <v>403</v>
      </c>
      <c r="E1083" s="35" t="s">
        <v>82</v>
      </c>
      <c r="F1083" s="103" t="s">
        <v>968</v>
      </c>
      <c r="G1083" s="103">
        <v>1</v>
      </c>
      <c r="H1083" s="35" t="s">
        <v>293</v>
      </c>
      <c r="I1083" s="35" t="s">
        <v>580</v>
      </c>
      <c r="J1083" s="35">
        <v>2516.1099999999997</v>
      </c>
      <c r="K1083" s="141">
        <v>3298.1488586762248</v>
      </c>
      <c r="L1083" s="34">
        <v>782.03885867622512</v>
      </c>
      <c r="M1083" s="56">
        <v>782.03885867622512</v>
      </c>
      <c r="N1083" s="56">
        <v>2.8937833146631915</v>
      </c>
      <c r="O1083" s="132">
        <f t="shared" si="18"/>
        <v>2.8937833146631915</v>
      </c>
      <c r="P1083" s="56">
        <v>31.081266664661925</v>
      </c>
      <c r="Q1083" s="143">
        <v>31.081266664661925</v>
      </c>
      <c r="R1083" s="143">
        <v>3229.9602785975067</v>
      </c>
      <c r="S1083" s="34">
        <v>713.85027859750699</v>
      </c>
      <c r="T1083" s="56">
        <v>713.85027859750699</v>
      </c>
      <c r="U1083" s="56">
        <v>2.8542150907691628</v>
      </c>
      <c r="V1083" s="56">
        <v>28.371187213496512</v>
      </c>
      <c r="W1083" s="33">
        <v>28.371187213496512</v>
      </c>
    </row>
    <row r="1084" spans="1:23" ht="15" x14ac:dyDescent="0.2">
      <c r="A1084" s="103" t="s">
        <v>19</v>
      </c>
      <c r="B1084" s="28" t="s">
        <v>597</v>
      </c>
      <c r="C1084" s="24" t="s">
        <v>980</v>
      </c>
      <c r="D1084" s="208" t="s">
        <v>403</v>
      </c>
      <c r="E1084" s="35" t="s">
        <v>82</v>
      </c>
      <c r="F1084" s="103" t="s">
        <v>968</v>
      </c>
      <c r="G1084" s="103">
        <v>1</v>
      </c>
      <c r="H1084" s="35" t="s">
        <v>203</v>
      </c>
      <c r="I1084" s="35" t="s">
        <v>581</v>
      </c>
      <c r="J1084" s="35">
        <v>5241.7</v>
      </c>
      <c r="K1084" s="141">
        <v>6037.2169564434416</v>
      </c>
      <c r="L1084" s="34">
        <v>795.51695644344181</v>
      </c>
      <c r="M1084" s="56">
        <v>795.51695644344181</v>
      </c>
      <c r="N1084" s="56">
        <v>2.9011950256003449</v>
      </c>
      <c r="O1084" s="132">
        <f t="shared" si="18"/>
        <v>2.9011950256003449</v>
      </c>
      <c r="P1084" s="56">
        <v>15.176697568411809</v>
      </c>
      <c r="Q1084" s="143">
        <v>15.176697568411809</v>
      </c>
      <c r="R1084" s="143">
        <v>6038.8990591526126</v>
      </c>
      <c r="S1084" s="34">
        <v>797.19905915261279</v>
      </c>
      <c r="T1084" s="56">
        <v>797.19905915261279</v>
      </c>
      <c r="U1084" s="56">
        <v>2.9021112115398746</v>
      </c>
      <c r="V1084" s="56">
        <v>15.208788354018978</v>
      </c>
      <c r="W1084" s="33">
        <v>15.208788354018978</v>
      </c>
    </row>
    <row r="1085" spans="1:23" ht="15" x14ac:dyDescent="0.2">
      <c r="A1085" s="103" t="s">
        <v>19</v>
      </c>
      <c r="B1085" s="28" t="s">
        <v>600</v>
      </c>
      <c r="C1085" s="103" t="s">
        <v>971</v>
      </c>
      <c r="D1085" s="208" t="s">
        <v>403</v>
      </c>
      <c r="E1085" s="35" t="s">
        <v>82</v>
      </c>
      <c r="F1085" s="103" t="s">
        <v>968</v>
      </c>
      <c r="G1085" s="103">
        <v>1</v>
      </c>
      <c r="H1085" s="35" t="s">
        <v>293</v>
      </c>
      <c r="I1085" s="35" t="s">
        <v>580</v>
      </c>
      <c r="J1085" s="35">
        <v>2516.1099999999997</v>
      </c>
      <c r="K1085" s="141">
        <v>3342.9983939947442</v>
      </c>
      <c r="L1085" s="34">
        <v>826.88839399474455</v>
      </c>
      <c r="M1085" s="56">
        <v>826.88839399474455</v>
      </c>
      <c r="N1085" s="56">
        <v>2.9179717943462968</v>
      </c>
      <c r="O1085" s="132">
        <f t="shared" si="18"/>
        <v>2.9179717943462968</v>
      </c>
      <c r="P1085" s="56">
        <v>32.863761679526917</v>
      </c>
      <c r="Q1085" s="143">
        <v>32.863761679526917</v>
      </c>
      <c r="R1085" s="143">
        <v>3637.3337490540662</v>
      </c>
      <c r="S1085" s="34">
        <v>1121.2237490540665</v>
      </c>
      <c r="T1085" s="56">
        <v>1121.2237490540665</v>
      </c>
      <c r="U1085" s="56">
        <v>3.0500794552193318</v>
      </c>
      <c r="V1085" s="56">
        <v>44.561793763152906</v>
      </c>
      <c r="W1085" s="33">
        <v>44.561793763152906</v>
      </c>
    </row>
    <row r="1086" spans="1:23" ht="15" x14ac:dyDescent="0.2">
      <c r="A1086" s="103" t="s">
        <v>19</v>
      </c>
      <c r="B1086" s="28" t="s">
        <v>601</v>
      </c>
      <c r="C1086" s="103" t="s">
        <v>975</v>
      </c>
      <c r="D1086" s="208" t="s">
        <v>403</v>
      </c>
      <c r="E1086" s="35" t="s">
        <v>82</v>
      </c>
      <c r="F1086" s="103" t="s">
        <v>967</v>
      </c>
      <c r="G1086" s="103">
        <v>0</v>
      </c>
      <c r="H1086" s="35" t="s">
        <v>203</v>
      </c>
      <c r="I1086" s="35" t="s">
        <v>581</v>
      </c>
      <c r="J1086" s="35">
        <v>5182</v>
      </c>
      <c r="K1086" s="141">
        <v>4343.6869999999999</v>
      </c>
      <c r="L1086" s="34">
        <v>-838.3130000000001</v>
      </c>
      <c r="M1086" s="56">
        <v>838.3130000000001</v>
      </c>
      <c r="N1086" s="56">
        <v>2.9239239498908258</v>
      </c>
      <c r="O1086" s="132">
        <f t="shared" si="18"/>
        <v>-2.9239239498908258</v>
      </c>
      <c r="P1086" s="56">
        <v>-16.177402547279048</v>
      </c>
      <c r="Q1086" s="143">
        <v>16.177402547279048</v>
      </c>
      <c r="R1086" s="143">
        <v>4389.1143999999995</v>
      </c>
      <c r="S1086" s="34">
        <v>-792.88560000000052</v>
      </c>
      <c r="T1086" s="56">
        <v>792.88560000000052</v>
      </c>
      <c r="U1086" s="56">
        <v>2.8997579245073575</v>
      </c>
      <c r="V1086" s="56">
        <v>-15.300764183712863</v>
      </c>
      <c r="W1086" s="33">
        <v>15.300764183712863</v>
      </c>
    </row>
    <row r="1087" spans="1:23" ht="15" x14ac:dyDescent="0.2">
      <c r="A1087" s="103" t="s">
        <v>19</v>
      </c>
      <c r="B1087" s="28" t="s">
        <v>157</v>
      </c>
      <c r="C1087" s="24" t="s">
        <v>980</v>
      </c>
      <c r="D1087" s="208" t="s">
        <v>403</v>
      </c>
      <c r="E1087" s="35" t="s">
        <v>82</v>
      </c>
      <c r="F1087" s="103" t="s">
        <v>968</v>
      </c>
      <c r="G1087" s="103">
        <v>1</v>
      </c>
      <c r="H1087" s="35" t="s">
        <v>203</v>
      </c>
      <c r="I1087" s="35" t="s">
        <v>581</v>
      </c>
      <c r="J1087" s="35">
        <v>6408.96</v>
      </c>
      <c r="K1087" s="141">
        <v>7455.3580645186266</v>
      </c>
      <c r="L1087" s="34">
        <v>1046.3980645186266</v>
      </c>
      <c r="M1087" s="56">
        <v>1046.3980645186266</v>
      </c>
      <c r="N1087" s="56">
        <v>3.0201117670357203</v>
      </c>
      <c r="O1087" s="132">
        <f t="shared" si="18"/>
        <v>3.0201117670357203</v>
      </c>
      <c r="P1087" s="56">
        <v>16.327111801581328</v>
      </c>
      <c r="Q1087" s="143">
        <v>16.327111801581328</v>
      </c>
      <c r="R1087" s="143">
        <v>7280.1464045025705</v>
      </c>
      <c r="S1087" s="34">
        <v>871.18640450257044</v>
      </c>
      <c r="T1087" s="56">
        <v>871.18640450257044</v>
      </c>
      <c r="U1087" s="56">
        <v>2.94060931267961</v>
      </c>
      <c r="V1087" s="56">
        <v>13.593257010537911</v>
      </c>
      <c r="W1087" s="33">
        <v>13.593257010537911</v>
      </c>
    </row>
    <row r="1088" spans="1:23" ht="15" x14ac:dyDescent="0.2">
      <c r="A1088" s="103" t="s">
        <v>19</v>
      </c>
      <c r="B1088" s="28" t="s">
        <v>597</v>
      </c>
      <c r="C1088" s="224" t="s">
        <v>978</v>
      </c>
      <c r="D1088" s="208" t="s">
        <v>403</v>
      </c>
      <c r="E1088" s="35" t="s">
        <v>82</v>
      </c>
      <c r="F1088" s="103" t="s">
        <v>968</v>
      </c>
      <c r="G1088" s="103">
        <v>1</v>
      </c>
      <c r="H1088" s="35" t="s">
        <v>203</v>
      </c>
      <c r="I1088" s="35" t="s">
        <v>581</v>
      </c>
      <c r="J1088" s="35">
        <v>5241.7</v>
      </c>
      <c r="K1088" s="141">
        <v>6420.4902604521876</v>
      </c>
      <c r="L1088" s="34">
        <v>1178.7902604521878</v>
      </c>
      <c r="M1088" s="56">
        <v>1178.7902604521878</v>
      </c>
      <c r="N1088" s="56">
        <v>3.0718048066073869</v>
      </c>
      <c r="O1088" s="132">
        <f t="shared" si="18"/>
        <v>3.0718048066073869</v>
      </c>
      <c r="P1088" s="56">
        <v>22.488701384134686</v>
      </c>
      <c r="Q1088" s="143">
        <v>22.488701384134686</v>
      </c>
      <c r="R1088" s="143">
        <v>6405.87325886501</v>
      </c>
      <c r="S1088" s="34">
        <v>1164.1732588650102</v>
      </c>
      <c r="T1088" s="56">
        <v>1164.1732588650102</v>
      </c>
      <c r="U1088" s="56">
        <v>3.0663905088593095</v>
      </c>
      <c r="V1088" s="56">
        <v>22.209841441994207</v>
      </c>
      <c r="W1088" s="33">
        <v>22.209841441994207</v>
      </c>
    </row>
    <row r="1089" spans="1:23" ht="15" x14ac:dyDescent="0.2">
      <c r="A1089" s="103" t="s">
        <v>19</v>
      </c>
      <c r="B1089" s="28" t="s">
        <v>734</v>
      </c>
      <c r="C1089" s="224" t="s">
        <v>978</v>
      </c>
      <c r="D1089" s="35" t="s">
        <v>403</v>
      </c>
      <c r="E1089" s="35" t="s">
        <v>82</v>
      </c>
      <c r="F1089" s="103" t="s">
        <v>968</v>
      </c>
      <c r="G1089" s="103">
        <v>1</v>
      </c>
      <c r="H1089" s="35" t="s">
        <v>203</v>
      </c>
      <c r="I1089" s="35" t="s">
        <v>581</v>
      </c>
      <c r="J1089" s="35">
        <v>5600</v>
      </c>
      <c r="K1089" s="141">
        <v>6789.1528955379608</v>
      </c>
      <c r="L1089" s="34">
        <v>1189.1528955379608</v>
      </c>
      <c r="M1089" s="56">
        <v>1189.1528955379608</v>
      </c>
      <c r="N1089" s="56">
        <v>3.0756027575463492</v>
      </c>
      <c r="O1089" s="132">
        <f t="shared" si="18"/>
        <v>3.0756027575463492</v>
      </c>
      <c r="P1089" s="56">
        <v>21.234873134606445</v>
      </c>
      <c r="Q1089" s="143">
        <v>21.234873134606445</v>
      </c>
      <c r="R1089" s="143">
        <v>6727.5783178461807</v>
      </c>
      <c r="S1089" s="34">
        <v>1127.5783178461807</v>
      </c>
      <c r="T1089" s="56">
        <v>1127.5783178461807</v>
      </c>
      <c r="U1089" s="56">
        <v>3.0525317023843037</v>
      </c>
      <c r="V1089" s="56">
        <v>20.135327104396083</v>
      </c>
      <c r="W1089" s="33">
        <v>20.135327104396083</v>
      </c>
    </row>
    <row r="1090" spans="1:23" ht="15" x14ac:dyDescent="0.2">
      <c r="A1090" s="103" t="s">
        <v>19</v>
      </c>
      <c r="B1090" s="28" t="s">
        <v>597</v>
      </c>
      <c r="C1090" s="103" t="s">
        <v>971</v>
      </c>
      <c r="D1090" s="208" t="s">
        <v>403</v>
      </c>
      <c r="E1090" s="35" t="s">
        <v>82</v>
      </c>
      <c r="F1090" s="103" t="s">
        <v>968</v>
      </c>
      <c r="G1090" s="103">
        <v>1</v>
      </c>
      <c r="H1090" s="35" t="s">
        <v>203</v>
      </c>
      <c r="I1090" s="35" t="s">
        <v>581</v>
      </c>
      <c r="J1090" s="35">
        <v>5241.7</v>
      </c>
      <c r="K1090" s="141">
        <v>6658.4325402418253</v>
      </c>
      <c r="L1090" s="34">
        <v>1416.7325402418255</v>
      </c>
      <c r="M1090" s="56">
        <v>1416.7325402418255</v>
      </c>
      <c r="N1090" s="56">
        <v>3.1515943075374251</v>
      </c>
      <c r="O1090" s="132">
        <f t="shared" si="18"/>
        <v>3.1515943075374251</v>
      </c>
      <c r="P1090" s="56">
        <v>27.028111876716061</v>
      </c>
      <c r="Q1090" s="143">
        <v>27.028111876716061</v>
      </c>
      <c r="R1090" s="143">
        <v>7160.3487940898021</v>
      </c>
      <c r="S1090" s="34">
        <v>1918.6487940898023</v>
      </c>
      <c r="T1090" s="56">
        <v>1918.6487940898023</v>
      </c>
      <c r="U1090" s="56">
        <v>3.2832217804011576</v>
      </c>
      <c r="V1090" s="56">
        <v>36.603559801014981</v>
      </c>
      <c r="W1090" s="33">
        <v>36.603559801014981</v>
      </c>
    </row>
    <row r="1091" spans="1:23" ht="15" x14ac:dyDescent="0.2">
      <c r="A1091" s="103" t="s">
        <v>19</v>
      </c>
      <c r="B1091" s="28" t="s">
        <v>734</v>
      </c>
      <c r="C1091" s="103" t="s">
        <v>971</v>
      </c>
      <c r="D1091" s="35" t="s">
        <v>403</v>
      </c>
      <c r="E1091" s="35" t="s">
        <v>82</v>
      </c>
      <c r="F1091" s="103" t="s">
        <v>968</v>
      </c>
      <c r="G1091" s="103">
        <v>1</v>
      </c>
      <c r="H1091" s="35" t="s">
        <v>203</v>
      </c>
      <c r="I1091" s="35" t="s">
        <v>581</v>
      </c>
      <c r="J1091" s="35">
        <v>5600</v>
      </c>
      <c r="K1091" s="141">
        <v>7054.2743030895599</v>
      </c>
      <c r="L1091" s="34">
        <v>1454.2743030895599</v>
      </c>
      <c r="M1091" s="56">
        <v>1454.2743030895599</v>
      </c>
      <c r="N1091" s="56">
        <v>3.1629448607379227</v>
      </c>
      <c r="O1091" s="132">
        <f t="shared" si="18"/>
        <v>3.1629448607379227</v>
      </c>
      <c r="P1091" s="56">
        <v>25.969183983742141</v>
      </c>
      <c r="Q1091" s="143">
        <v>25.969183983742141</v>
      </c>
      <c r="R1091" s="143">
        <v>7515.9425534525653</v>
      </c>
      <c r="S1091" s="34">
        <v>1915.9425534525653</v>
      </c>
      <c r="T1091" s="56">
        <v>1915.9425534525653</v>
      </c>
      <c r="U1091" s="56">
        <v>3.282609098223717</v>
      </c>
      <c r="V1091" s="56">
        <v>34.213259883081527</v>
      </c>
      <c r="W1091" s="33">
        <v>34.213259883081527</v>
      </c>
    </row>
    <row r="1092" spans="1:23" ht="15" x14ac:dyDescent="0.2">
      <c r="A1092" s="103" t="s">
        <v>19</v>
      </c>
      <c r="B1092" s="28" t="s">
        <v>152</v>
      </c>
      <c r="C1092" s="224" t="s">
        <v>977</v>
      </c>
      <c r="D1092" s="208" t="s">
        <v>403</v>
      </c>
      <c r="E1092" s="35" t="s">
        <v>82</v>
      </c>
      <c r="F1092" s="103" t="s">
        <v>968</v>
      </c>
      <c r="G1092" s="103">
        <v>1</v>
      </c>
      <c r="H1092" s="35" t="s">
        <v>203</v>
      </c>
      <c r="I1092" s="35" t="s">
        <v>581</v>
      </c>
      <c r="J1092" s="35">
        <v>5810</v>
      </c>
      <c r="K1092" s="141">
        <v>7269.4316389592077</v>
      </c>
      <c r="L1092" s="34">
        <v>1459.4316389592077</v>
      </c>
      <c r="M1092" s="56">
        <v>1459.4316389592077</v>
      </c>
      <c r="N1092" s="56">
        <v>3.1644812329852745</v>
      </c>
      <c r="O1092" s="132">
        <f t="shared" si="18"/>
        <v>3.1644812329852745</v>
      </c>
      <c r="P1092" s="56">
        <v>25.119305317714417</v>
      </c>
      <c r="Q1092" s="143">
        <v>25.119305317714417</v>
      </c>
      <c r="R1092" s="143">
        <v>7390.4881216519134</v>
      </c>
      <c r="S1092" s="34">
        <v>1580.4881216519134</v>
      </c>
      <c r="T1092" s="56">
        <v>1580.4881216519134</v>
      </c>
      <c r="U1092" s="56">
        <v>3.1990659343355854</v>
      </c>
      <c r="V1092" s="56">
        <v>27.202893660101779</v>
      </c>
      <c r="W1092" s="33">
        <v>27.202893660101779</v>
      </c>
    </row>
    <row r="1093" spans="1:23" ht="15" x14ac:dyDescent="0.2">
      <c r="A1093" s="103" t="s">
        <v>19</v>
      </c>
      <c r="B1093" s="28" t="s">
        <v>152</v>
      </c>
      <c r="C1093" s="224" t="s">
        <v>974</v>
      </c>
      <c r="D1093" s="208" t="s">
        <v>403</v>
      </c>
      <c r="E1093" s="35" t="s">
        <v>82</v>
      </c>
      <c r="F1093" s="103" t="s">
        <v>967</v>
      </c>
      <c r="G1093" s="103">
        <v>0</v>
      </c>
      <c r="H1093" s="35" t="s">
        <v>203</v>
      </c>
      <c r="I1093" s="35" t="s">
        <v>581</v>
      </c>
      <c r="J1093" s="35">
        <v>5810</v>
      </c>
      <c r="K1093" s="141">
        <v>7291.2936900000004</v>
      </c>
      <c r="L1093" s="34">
        <v>1481.2936900000004</v>
      </c>
      <c r="M1093" s="56">
        <v>1481.2936900000004</v>
      </c>
      <c r="N1093" s="56">
        <v>3.1709342598578054</v>
      </c>
      <c r="O1093" s="132">
        <f t="shared" si="18"/>
        <v>3.1709342598578054</v>
      </c>
      <c r="P1093" s="56">
        <v>25.495588468158353</v>
      </c>
      <c r="Q1093" s="143">
        <v>25.495588468158353</v>
      </c>
      <c r="R1093" s="143">
        <v>7085.3374199999998</v>
      </c>
      <c r="S1093" s="34">
        <v>1275.3374199999998</v>
      </c>
      <c r="T1093" s="56">
        <v>1275.3374199999998</v>
      </c>
      <c r="U1093" s="56">
        <v>3.1059655021847825</v>
      </c>
      <c r="V1093" s="56">
        <v>21.950730120481925</v>
      </c>
      <c r="W1093" s="33">
        <v>21.950730120481925</v>
      </c>
    </row>
    <row r="1094" spans="1:23" ht="15" x14ac:dyDescent="0.2">
      <c r="A1094" s="103" t="s">
        <v>19</v>
      </c>
      <c r="B1094" s="28" t="s">
        <v>157</v>
      </c>
      <c r="C1094" s="224" t="s">
        <v>978</v>
      </c>
      <c r="D1094" s="208" t="s">
        <v>403</v>
      </c>
      <c r="E1094" s="35" t="s">
        <v>82</v>
      </c>
      <c r="F1094" s="103" t="s">
        <v>968</v>
      </c>
      <c r="G1094" s="103">
        <v>1</v>
      </c>
      <c r="H1094" s="35" t="s">
        <v>203</v>
      </c>
      <c r="I1094" s="35" t="s">
        <v>581</v>
      </c>
      <c r="J1094" s="35">
        <v>6408.96</v>
      </c>
      <c r="K1094" s="141">
        <v>8028.812595795288</v>
      </c>
      <c r="L1094" s="34">
        <v>1619.8525957952879</v>
      </c>
      <c r="M1094" s="56">
        <v>1619.8525957952879</v>
      </c>
      <c r="N1094" s="56">
        <v>3.2097435208673</v>
      </c>
      <c r="O1094" s="132">
        <f t="shared" si="18"/>
        <v>3.2097435208673</v>
      </c>
      <c r="P1094" s="56">
        <v>25.274812072400014</v>
      </c>
      <c r="Q1094" s="143">
        <v>25.274812072400014</v>
      </c>
      <c r="R1094" s="143">
        <v>7808.4632603970113</v>
      </c>
      <c r="S1094" s="34">
        <v>1399.5032603970112</v>
      </c>
      <c r="T1094" s="56">
        <v>1399.5032603970112</v>
      </c>
      <c r="U1094" s="56">
        <v>3.146284124206201</v>
      </c>
      <c r="V1094" s="56">
        <v>21.836667109749651</v>
      </c>
      <c r="W1094" s="33">
        <v>21.836667109749651</v>
      </c>
    </row>
    <row r="1095" spans="1:23" ht="15" x14ac:dyDescent="0.2">
      <c r="A1095" s="103" t="s">
        <v>19</v>
      </c>
      <c r="B1095" s="28" t="s">
        <v>152</v>
      </c>
      <c r="C1095" s="103" t="s">
        <v>970</v>
      </c>
      <c r="D1095" s="208" t="s">
        <v>403</v>
      </c>
      <c r="E1095" s="35" t="s">
        <v>82</v>
      </c>
      <c r="F1095" s="103" t="s">
        <v>967</v>
      </c>
      <c r="G1095" s="103">
        <v>0</v>
      </c>
      <c r="H1095" s="35" t="s">
        <v>203</v>
      </c>
      <c r="I1095" s="35" t="s">
        <v>581</v>
      </c>
      <c r="J1095" s="35">
        <v>5810</v>
      </c>
      <c r="K1095" s="141">
        <v>7469.6938899999996</v>
      </c>
      <c r="L1095" s="34">
        <v>1659.6938899999996</v>
      </c>
      <c r="M1095" s="56">
        <v>1659.6938899999996</v>
      </c>
      <c r="N1095" s="56">
        <v>3.2202895878183644</v>
      </c>
      <c r="O1095" s="132">
        <f t="shared" si="18"/>
        <v>3.2202895878183644</v>
      </c>
      <c r="P1095" s="56">
        <v>28.566159896729772</v>
      </c>
      <c r="Q1095" s="143">
        <v>28.566159896729772</v>
      </c>
      <c r="R1095" s="143">
        <v>8097.0854000000008</v>
      </c>
      <c r="S1095" s="34">
        <v>2287.0854000000008</v>
      </c>
      <c r="T1095" s="56">
        <v>2287.0854000000008</v>
      </c>
      <c r="U1095" s="56">
        <v>3.3594722299359341</v>
      </c>
      <c r="V1095" s="56">
        <v>39.36463683304649</v>
      </c>
      <c r="W1095" s="33">
        <v>39.36463683304649</v>
      </c>
    </row>
    <row r="1096" spans="1:23" ht="15" x14ac:dyDescent="0.2">
      <c r="A1096" s="103" t="s">
        <v>19</v>
      </c>
      <c r="B1096" s="28" t="s">
        <v>157</v>
      </c>
      <c r="C1096" s="103" t="s">
        <v>971</v>
      </c>
      <c r="D1096" s="208" t="s">
        <v>403</v>
      </c>
      <c r="E1096" s="35" t="s">
        <v>82</v>
      </c>
      <c r="F1096" s="103" t="s">
        <v>968</v>
      </c>
      <c r="G1096" s="103">
        <v>1</v>
      </c>
      <c r="H1096" s="35" t="s">
        <v>203</v>
      </c>
      <c r="I1096" s="35" t="s">
        <v>581</v>
      </c>
      <c r="J1096" s="35">
        <v>6408.96</v>
      </c>
      <c r="K1096" s="141">
        <v>8390.5438492698722</v>
      </c>
      <c r="L1096" s="34">
        <v>1981.5838492698722</v>
      </c>
      <c r="M1096" s="56">
        <v>1981.5838492698722</v>
      </c>
      <c r="N1096" s="56">
        <v>3.2972315639619754</v>
      </c>
      <c r="O1096" s="132">
        <f t="shared" si="18"/>
        <v>3.2972315639619754</v>
      </c>
      <c r="P1096" s="56">
        <v>30.918961099302731</v>
      </c>
      <c r="Q1096" s="143">
        <v>30.918961099302731</v>
      </c>
      <c r="R1096" s="143">
        <v>8709.3836143707558</v>
      </c>
      <c r="S1096" s="34">
        <v>2300.4236143707558</v>
      </c>
      <c r="T1096" s="56">
        <v>2300.4236143707558</v>
      </c>
      <c r="U1096" s="56">
        <v>3.3619965649750281</v>
      </c>
      <c r="V1096" s="56">
        <v>35.893867559959112</v>
      </c>
      <c r="W1096" s="33">
        <v>35.893867559959112</v>
      </c>
    </row>
    <row r="1097" spans="1:23" ht="15" x14ac:dyDescent="0.2">
      <c r="A1097" s="103" t="s">
        <v>19</v>
      </c>
      <c r="B1097" s="28" t="s">
        <v>152</v>
      </c>
      <c r="C1097" s="24" t="s">
        <v>980</v>
      </c>
      <c r="D1097" s="208" t="s">
        <v>403</v>
      </c>
      <c r="E1097" s="35" t="s">
        <v>82</v>
      </c>
      <c r="F1097" s="103" t="s">
        <v>968</v>
      </c>
      <c r="G1097" s="103">
        <v>1</v>
      </c>
      <c r="H1097" s="35" t="s">
        <v>203</v>
      </c>
      <c r="I1097" s="35" t="s">
        <v>581</v>
      </c>
      <c r="J1097" s="35">
        <v>5810</v>
      </c>
      <c r="K1097" s="141">
        <v>7798.1092142346288</v>
      </c>
      <c r="L1097" s="34">
        <v>1988.1092142346288</v>
      </c>
      <c r="M1097" s="56">
        <v>1988.1092142346288</v>
      </c>
      <c r="N1097" s="56">
        <v>3.2986586291964772</v>
      </c>
      <c r="O1097" s="132">
        <f t="shared" si="18"/>
        <v>3.2986586291964772</v>
      </c>
      <c r="P1097" s="56">
        <v>34.218747232954023</v>
      </c>
      <c r="Q1097" s="143">
        <v>34.218747232954023</v>
      </c>
      <c r="R1097" s="143">
        <v>7934.1577886664045</v>
      </c>
      <c r="S1097" s="34">
        <v>2124.1577886664045</v>
      </c>
      <c r="T1097" s="56">
        <v>2124.1577886664045</v>
      </c>
      <c r="U1097" s="56">
        <v>3.3273911810701313</v>
      </c>
      <c r="V1097" s="56">
        <v>36.56037502007581</v>
      </c>
      <c r="W1097" s="33">
        <v>36.56037502007581</v>
      </c>
    </row>
    <row r="1098" spans="1:23" ht="15" x14ac:dyDescent="0.2">
      <c r="A1098" s="103" t="s">
        <v>19</v>
      </c>
      <c r="B1098" s="28" t="s">
        <v>152</v>
      </c>
      <c r="C1098" s="224" t="s">
        <v>978</v>
      </c>
      <c r="D1098" s="208" t="s">
        <v>403</v>
      </c>
      <c r="E1098" s="35" t="s">
        <v>82</v>
      </c>
      <c r="F1098" s="103" t="s">
        <v>968</v>
      </c>
      <c r="G1098" s="103">
        <v>1</v>
      </c>
      <c r="H1098" s="35" t="s">
        <v>203</v>
      </c>
      <c r="I1098" s="35" t="s">
        <v>581</v>
      </c>
      <c r="J1098" s="35">
        <v>5810</v>
      </c>
      <c r="K1098" s="141">
        <v>8420.4145028977055</v>
      </c>
      <c r="L1098" s="34">
        <v>2610.4145028977055</v>
      </c>
      <c r="M1098" s="56">
        <v>2610.4145028977055</v>
      </c>
      <c r="N1098" s="56">
        <v>3.4168758117056308</v>
      </c>
      <c r="O1098" s="132">
        <f t="shared" si="18"/>
        <v>3.4168758117056308</v>
      </c>
      <c r="P1098" s="56">
        <v>44.929681633351215</v>
      </c>
      <c r="Q1098" s="143">
        <v>44.929681633351215</v>
      </c>
      <c r="R1098" s="143">
        <v>8553.3754542770639</v>
      </c>
      <c r="S1098" s="34">
        <v>2743.3754542770639</v>
      </c>
      <c r="T1098" s="56">
        <v>2743.3754542770639</v>
      </c>
      <c r="U1098" s="56">
        <v>3.4384435263373287</v>
      </c>
      <c r="V1098" s="56">
        <v>47.21816616655876</v>
      </c>
      <c r="W1098" s="33">
        <v>47.21816616655876</v>
      </c>
    </row>
    <row r="1099" spans="1:23" ht="15" x14ac:dyDescent="0.2">
      <c r="A1099" s="103" t="s">
        <v>19</v>
      </c>
      <c r="B1099" s="28" t="s">
        <v>152</v>
      </c>
      <c r="C1099" s="103" t="s">
        <v>971</v>
      </c>
      <c r="D1099" s="208" t="s">
        <v>403</v>
      </c>
      <c r="E1099" s="35" t="s">
        <v>82</v>
      </c>
      <c r="F1099" s="103" t="s">
        <v>968</v>
      </c>
      <c r="G1099" s="103">
        <v>1</v>
      </c>
      <c r="H1099" s="35" t="s">
        <v>203</v>
      </c>
      <c r="I1099" s="35" t="s">
        <v>581</v>
      </c>
      <c r="J1099" s="35">
        <v>5810</v>
      </c>
      <c r="K1099" s="141">
        <v>8814.1965261720907</v>
      </c>
      <c r="L1099" s="34">
        <v>3004.1965261720907</v>
      </c>
      <c r="M1099" s="56">
        <v>3004.1965261720907</v>
      </c>
      <c r="N1099" s="56">
        <v>3.4778728781494967</v>
      </c>
      <c r="O1099" s="132">
        <f t="shared" si="18"/>
        <v>3.4778728781494967</v>
      </c>
      <c r="P1099" s="56">
        <v>51.707341242204656</v>
      </c>
      <c r="Q1099" s="143">
        <v>51.707341242204656</v>
      </c>
      <c r="R1099" s="143">
        <v>9530.8044002059778</v>
      </c>
      <c r="S1099" s="34">
        <v>3720.8044002059778</v>
      </c>
      <c r="T1099" s="56">
        <v>3720.8044002059778</v>
      </c>
      <c r="U1099" s="56">
        <v>3.5707535450055516</v>
      </c>
      <c r="V1099" s="56">
        <v>64.041383824543502</v>
      </c>
      <c r="W1099" s="33">
        <v>64.041383824543502</v>
      </c>
    </row>
    <row r="1100" spans="1:23" x14ac:dyDescent="0.15">
      <c r="A1100" s="103" t="s">
        <v>77</v>
      </c>
      <c r="B1100" s="103" t="s">
        <v>598</v>
      </c>
      <c r="C1100" s="24" t="s">
        <v>980</v>
      </c>
      <c r="D1100" s="103" t="s">
        <v>403</v>
      </c>
      <c r="E1100" s="103" t="s">
        <v>82</v>
      </c>
      <c r="F1100" s="103" t="s">
        <v>968</v>
      </c>
      <c r="G1100" s="103">
        <v>0</v>
      </c>
      <c r="H1100" s="120" t="s">
        <v>494</v>
      </c>
      <c r="I1100" s="120" t="s">
        <v>580</v>
      </c>
      <c r="J1100" s="121">
        <v>1217</v>
      </c>
      <c r="K1100" s="121">
        <v>1216.9679213402842</v>
      </c>
      <c r="L1100" s="121">
        <v>-3.2078659715807589E-2</v>
      </c>
      <c r="M1100" s="121">
        <v>3.2078659715807589E-2</v>
      </c>
      <c r="N1100" s="121">
        <v>1.3712798239530007E-2</v>
      </c>
      <c r="O1100" s="132">
        <f t="shared" si="18"/>
        <v>-1.3712798239530007E-2</v>
      </c>
      <c r="P1100" s="121">
        <v>-2.6358800095158249E-3</v>
      </c>
      <c r="Q1100" s="121">
        <v>2.6358800095158249E-3</v>
      </c>
      <c r="R1100" s="121">
        <v>1213.1917593054482</v>
      </c>
      <c r="S1100" s="121">
        <v>-3.8082406945518414</v>
      </c>
      <c r="T1100" s="121">
        <v>3.8082406945518414</v>
      </c>
      <c r="U1100" s="121">
        <v>0.68198619978072017</v>
      </c>
      <c r="V1100" s="121">
        <v>-0.31292035288018416</v>
      </c>
      <c r="W1100" s="103">
        <v>0.31292035288018416</v>
      </c>
    </row>
    <row r="1101" spans="1:23" x14ac:dyDescent="0.15">
      <c r="A1101" s="103" t="s">
        <v>77</v>
      </c>
      <c r="B1101" s="103" t="s">
        <v>384</v>
      </c>
      <c r="C1101" s="103" t="s">
        <v>973</v>
      </c>
      <c r="D1101" s="103" t="s">
        <v>403</v>
      </c>
      <c r="E1101" s="103" t="s">
        <v>148</v>
      </c>
      <c r="F1101" s="103" t="s">
        <v>968</v>
      </c>
      <c r="G1101" s="103">
        <v>0</v>
      </c>
      <c r="H1101" s="120" t="s">
        <v>374</v>
      </c>
      <c r="I1101" s="120" t="s">
        <v>580</v>
      </c>
      <c r="J1101" s="121">
        <v>1545.5</v>
      </c>
      <c r="K1101" s="121">
        <v>1543.4159253806199</v>
      </c>
      <c r="L1101" s="121">
        <v>-2.0840746193800896</v>
      </c>
      <c r="M1101" s="121">
        <v>2.0840746193800896</v>
      </c>
      <c r="N1101" s="121">
        <v>0.48912487728844295</v>
      </c>
      <c r="O1101" s="132">
        <f t="shared" si="18"/>
        <v>-0.48912487728844295</v>
      </c>
      <c r="P1101" s="121">
        <v>-0.1348479210210346</v>
      </c>
      <c r="Q1101" s="121">
        <v>0.1348479210210346</v>
      </c>
      <c r="R1101" s="121">
        <v>1609.4018278452047</v>
      </c>
      <c r="S1101" s="121">
        <v>63.901827845204707</v>
      </c>
      <c r="T1101" s="121">
        <v>63.901827845204707</v>
      </c>
      <c r="U1101" s="121">
        <v>1.8122569281086551</v>
      </c>
      <c r="V1101" s="121">
        <v>4.1347025457913107</v>
      </c>
      <c r="W1101" s="103">
        <v>4.1347025457913107</v>
      </c>
    </row>
    <row r="1102" spans="1:23" x14ac:dyDescent="0.15">
      <c r="A1102" s="103" t="s">
        <v>77</v>
      </c>
      <c r="B1102" s="103" t="s">
        <v>665</v>
      </c>
      <c r="C1102" s="103" t="s">
        <v>979</v>
      </c>
      <c r="D1102" s="103" t="s">
        <v>403</v>
      </c>
      <c r="E1102" s="103" t="s">
        <v>82</v>
      </c>
      <c r="F1102" s="103" t="s">
        <v>967</v>
      </c>
      <c r="G1102" s="103">
        <v>1</v>
      </c>
      <c r="H1102" s="120" t="s">
        <v>374</v>
      </c>
      <c r="I1102" s="120" t="s">
        <v>580</v>
      </c>
      <c r="J1102" s="121">
        <v>1342.6</v>
      </c>
      <c r="K1102" s="121">
        <v>1344.875</v>
      </c>
      <c r="L1102" s="121">
        <v>2.2750000000000909</v>
      </c>
      <c r="M1102" s="121">
        <v>2.2750000000000909</v>
      </c>
      <c r="N1102" s="121">
        <v>0.51521130432781392</v>
      </c>
      <c r="O1102" s="132">
        <f t="shared" si="18"/>
        <v>0.51521130432781392</v>
      </c>
      <c r="P1102" s="121">
        <v>0.16944734098019448</v>
      </c>
      <c r="Q1102" s="121">
        <v>0.16944734098019448</v>
      </c>
      <c r="R1102" s="121">
        <v>1314.037037037037</v>
      </c>
      <c r="S1102" s="121">
        <v>-28.562962962962956</v>
      </c>
      <c r="T1102" s="121">
        <v>28.562962962962956</v>
      </c>
      <c r="U1102" s="121">
        <v>1.4707479592890171</v>
      </c>
      <c r="V1102" s="121">
        <v>-2.127436538281168</v>
      </c>
      <c r="W1102" s="103">
        <v>2.127436538281168</v>
      </c>
    </row>
    <row r="1103" spans="1:23" x14ac:dyDescent="0.15">
      <c r="A1103" s="103" t="s">
        <v>77</v>
      </c>
      <c r="B1103" s="103" t="s">
        <v>384</v>
      </c>
      <c r="C1103" s="24" t="s">
        <v>980</v>
      </c>
      <c r="D1103" s="103" t="s">
        <v>403</v>
      </c>
      <c r="E1103" s="103" t="s">
        <v>148</v>
      </c>
      <c r="F1103" s="103" t="s">
        <v>968</v>
      </c>
      <c r="G1103" s="103">
        <v>0</v>
      </c>
      <c r="H1103" s="120" t="s">
        <v>374</v>
      </c>
      <c r="I1103" s="120" t="s">
        <v>580</v>
      </c>
      <c r="J1103" s="121">
        <v>1545.5</v>
      </c>
      <c r="K1103" s="121">
        <v>1542.0424555892498</v>
      </c>
      <c r="L1103" s="121">
        <v>-3.457544410750188</v>
      </c>
      <c r="M1103" s="121">
        <v>3.457544410750188</v>
      </c>
      <c r="N1103" s="121">
        <v>0.64909567876778773</v>
      </c>
      <c r="O1103" s="132">
        <f t="shared" si="18"/>
        <v>-0.64909567876778773</v>
      </c>
      <c r="P1103" s="121">
        <v>-0.22371688196377792</v>
      </c>
      <c r="Q1103" s="121">
        <v>0.22371688196377792</v>
      </c>
      <c r="R1103" s="121">
        <v>1484.2094112929342</v>
      </c>
      <c r="S1103" s="121">
        <v>-61.290588707065808</v>
      </c>
      <c r="T1103" s="121">
        <v>61.290588707065808</v>
      </c>
      <c r="U1103" s="121">
        <v>1.7944224354017049</v>
      </c>
      <c r="V1103" s="121">
        <v>-3.9657449826635918</v>
      </c>
      <c r="W1103" s="103">
        <v>3.9657449826635918</v>
      </c>
    </row>
    <row r="1104" spans="1:23" x14ac:dyDescent="0.15">
      <c r="A1104" s="103" t="s">
        <v>77</v>
      </c>
      <c r="B1104" s="103" t="s">
        <v>584</v>
      </c>
      <c r="C1104" s="103" t="s">
        <v>973</v>
      </c>
      <c r="D1104" s="103" t="s">
        <v>403</v>
      </c>
      <c r="E1104" s="103" t="s">
        <v>148</v>
      </c>
      <c r="F1104" s="103" t="s">
        <v>968</v>
      </c>
      <c r="G1104" s="103">
        <v>0</v>
      </c>
      <c r="H1104" s="120" t="s">
        <v>374</v>
      </c>
      <c r="I1104" s="120" t="s">
        <v>580</v>
      </c>
      <c r="J1104" s="121">
        <v>1687.51</v>
      </c>
      <c r="K1104" s="121">
        <v>1683.4796914817264</v>
      </c>
      <c r="L1104" s="121">
        <v>-4.030308518273614</v>
      </c>
      <c r="M1104" s="121">
        <v>4.030308518273614</v>
      </c>
      <c r="N1104" s="121">
        <v>0.7015946219694168</v>
      </c>
      <c r="O1104" s="132">
        <f t="shared" si="18"/>
        <v>-0.7015946219694168</v>
      </c>
      <c r="P1104" s="121">
        <v>-0.23883168208032035</v>
      </c>
      <c r="Q1104" s="121">
        <v>0.23883168208032035</v>
      </c>
      <c r="R1104" s="121">
        <v>1789.5238438434135</v>
      </c>
      <c r="S1104" s="121">
        <v>102.0138438434135</v>
      </c>
      <c r="T1104" s="121">
        <v>102.0138438434135</v>
      </c>
      <c r="U1104" s="121">
        <v>2.0128955926740395</v>
      </c>
      <c r="V1104" s="121">
        <v>6.045228996771189</v>
      </c>
      <c r="W1104" s="103">
        <v>6.045228996771189</v>
      </c>
    </row>
    <row r="1105" spans="1:23" x14ac:dyDescent="0.15">
      <c r="A1105" s="103" t="s">
        <v>77</v>
      </c>
      <c r="B1105" s="103" t="s">
        <v>618</v>
      </c>
      <c r="C1105" s="103" t="s">
        <v>979</v>
      </c>
      <c r="D1105" s="103" t="s">
        <v>403</v>
      </c>
      <c r="E1105" s="103" t="s">
        <v>96</v>
      </c>
      <c r="F1105" s="103" t="s">
        <v>967</v>
      </c>
      <c r="G1105" s="103">
        <v>1</v>
      </c>
      <c r="H1105" s="120" t="s">
        <v>374</v>
      </c>
      <c r="I1105" s="120" t="s">
        <v>580</v>
      </c>
      <c r="J1105" s="121">
        <v>1814.51</v>
      </c>
      <c r="K1105" s="121">
        <v>1810</v>
      </c>
      <c r="L1105" s="121">
        <v>-4.5099999999999909</v>
      </c>
      <c r="M1105" s="121">
        <v>4.5099999999999909</v>
      </c>
      <c r="N1105" s="121">
        <v>0.74115159885178428</v>
      </c>
      <c r="O1105" s="132">
        <f t="shared" si="18"/>
        <v>-0.74115159885178428</v>
      </c>
      <c r="P1105" s="121">
        <v>-0.24855195066436619</v>
      </c>
      <c r="Q1105" s="121">
        <v>0.24855195066436619</v>
      </c>
      <c r="R1105" s="121">
        <v>1672.2222222222222</v>
      </c>
      <c r="S1105" s="121">
        <v>-142.28777777777782</v>
      </c>
      <c r="T1105" s="121">
        <v>142.28777777777782</v>
      </c>
      <c r="U1105" s="121">
        <v>2.1562091473405047</v>
      </c>
      <c r="V1105" s="121">
        <v>-7.8416640182626614</v>
      </c>
      <c r="W1105" s="103">
        <v>7.8416640182626614</v>
      </c>
    </row>
    <row r="1106" spans="1:23" x14ac:dyDescent="0.15">
      <c r="A1106" s="103" t="s">
        <v>77</v>
      </c>
      <c r="B1106" s="103" t="s">
        <v>369</v>
      </c>
      <c r="C1106" s="103" t="s">
        <v>972</v>
      </c>
      <c r="D1106" s="103" t="s">
        <v>403</v>
      </c>
      <c r="E1106" s="103" t="s">
        <v>148</v>
      </c>
      <c r="F1106" s="103" t="s">
        <v>968</v>
      </c>
      <c r="G1106" s="103">
        <v>0</v>
      </c>
      <c r="H1106" s="120" t="s">
        <v>374</v>
      </c>
      <c r="I1106" s="120" t="s">
        <v>580</v>
      </c>
      <c r="J1106" s="121">
        <v>2524.9700000000003</v>
      </c>
      <c r="K1106" s="121">
        <v>2517.8337443797336</v>
      </c>
      <c r="L1106" s="121">
        <v>-7.1362556202666383</v>
      </c>
      <c r="M1106" s="121">
        <v>7.1362556202666383</v>
      </c>
      <c r="N1106" s="121">
        <v>0.91042458454686004</v>
      </c>
      <c r="O1106" s="132">
        <f t="shared" si="18"/>
        <v>-0.91042458454686004</v>
      </c>
      <c r="P1106" s="121">
        <v>-0.28262734290968361</v>
      </c>
      <c r="Q1106" s="121">
        <v>0.28262734290968361</v>
      </c>
      <c r="R1106" s="121">
        <v>2624.8811277946111</v>
      </c>
      <c r="S1106" s="121">
        <v>99.91112779461082</v>
      </c>
      <c r="T1106" s="121">
        <v>99.91112779461082</v>
      </c>
      <c r="U1106" s="121">
        <v>2.003939059926946</v>
      </c>
      <c r="V1106" s="121">
        <v>3.9569233612522452</v>
      </c>
      <c r="W1106" s="103">
        <v>3.9569233612522452</v>
      </c>
    </row>
    <row r="1107" spans="1:23" x14ac:dyDescent="0.15">
      <c r="A1107" s="103" t="s">
        <v>77</v>
      </c>
      <c r="B1107" s="103" t="s">
        <v>100</v>
      </c>
      <c r="C1107" s="103" t="s">
        <v>975</v>
      </c>
      <c r="D1107" s="103" t="s">
        <v>403</v>
      </c>
      <c r="E1107" s="103" t="s">
        <v>82</v>
      </c>
      <c r="F1107" s="103" t="s">
        <v>967</v>
      </c>
      <c r="G1107" s="103">
        <v>1</v>
      </c>
      <c r="H1107" s="120" t="s">
        <v>374</v>
      </c>
      <c r="I1107" s="120" t="s">
        <v>580</v>
      </c>
      <c r="J1107" s="121">
        <v>1299.96</v>
      </c>
      <c r="K1107" s="121">
        <v>1307.1737000000001</v>
      </c>
      <c r="L1107" s="121">
        <v>7.2137000000000171</v>
      </c>
      <c r="M1107" s="121">
        <v>7.2137000000000171</v>
      </c>
      <c r="N1107" s="121">
        <v>0.9145388364864816</v>
      </c>
      <c r="O1107" s="132">
        <f t="shared" si="18"/>
        <v>0.9145388364864816</v>
      </c>
      <c r="P1107" s="121">
        <v>0.55491707437152038</v>
      </c>
      <c r="Q1107" s="121">
        <v>0.55491707437152038</v>
      </c>
      <c r="R1107" s="121">
        <v>1273.2942760000001</v>
      </c>
      <c r="S1107" s="121">
        <v>-26.665723999999955</v>
      </c>
      <c r="T1107" s="121">
        <v>26.665723999999955</v>
      </c>
      <c r="U1107" s="121">
        <v>1.4419420399971477</v>
      </c>
      <c r="V1107" s="121">
        <v>-2.0512726545432134</v>
      </c>
      <c r="W1107" s="103">
        <v>2.0512726545432134</v>
      </c>
    </row>
    <row r="1108" spans="1:23" x14ac:dyDescent="0.15">
      <c r="A1108" s="103" t="s">
        <v>77</v>
      </c>
      <c r="B1108" s="103" t="s">
        <v>381</v>
      </c>
      <c r="C1108" s="103" t="s">
        <v>972</v>
      </c>
      <c r="D1108" s="103" t="s">
        <v>403</v>
      </c>
      <c r="E1108" s="103" t="s">
        <v>148</v>
      </c>
      <c r="F1108" s="103" t="s">
        <v>968</v>
      </c>
      <c r="G1108" s="103">
        <v>0</v>
      </c>
      <c r="H1108" s="120" t="s">
        <v>494</v>
      </c>
      <c r="I1108" s="120" t="s">
        <v>580</v>
      </c>
      <c r="J1108" s="121">
        <v>786.1</v>
      </c>
      <c r="K1108" s="121">
        <v>777.70928875730351</v>
      </c>
      <c r="L1108" s="121">
        <v>-8.3907112426965114</v>
      </c>
      <c r="M1108" s="121">
        <v>8.3907112426965114</v>
      </c>
      <c r="N1108" s="121">
        <v>0.97269848652389967</v>
      </c>
      <c r="O1108" s="132">
        <f t="shared" si="18"/>
        <v>-0.97269848652389967</v>
      </c>
      <c r="P1108" s="121">
        <v>-1.0673847147559485</v>
      </c>
      <c r="Q1108" s="121">
        <v>1.0673847147559485</v>
      </c>
      <c r="R1108" s="121">
        <v>759.15275902336612</v>
      </c>
      <c r="S1108" s="121">
        <v>-26.947240976633907</v>
      </c>
      <c r="T1108" s="121">
        <v>26.947240976633907</v>
      </c>
      <c r="U1108" s="121">
        <v>1.4463389396726212</v>
      </c>
      <c r="V1108" s="121">
        <v>-3.427966031883209</v>
      </c>
      <c r="W1108" s="103">
        <v>3.427966031883209</v>
      </c>
    </row>
    <row r="1109" spans="1:23" x14ac:dyDescent="0.15">
      <c r="A1109" s="103" t="s">
        <v>77</v>
      </c>
      <c r="B1109" s="103" t="s">
        <v>369</v>
      </c>
      <c r="C1109" s="103" t="s">
        <v>971</v>
      </c>
      <c r="D1109" s="103" t="s">
        <v>403</v>
      </c>
      <c r="E1109" s="103" t="s">
        <v>148</v>
      </c>
      <c r="F1109" s="103" t="s">
        <v>968</v>
      </c>
      <c r="G1109" s="103">
        <v>0</v>
      </c>
      <c r="H1109" s="120" t="s">
        <v>374</v>
      </c>
      <c r="I1109" s="120" t="s">
        <v>580</v>
      </c>
      <c r="J1109" s="121">
        <v>2524.9700000000003</v>
      </c>
      <c r="K1109" s="121">
        <v>2533.4715107721372</v>
      </c>
      <c r="L1109" s="121">
        <v>8.5015107721369532</v>
      </c>
      <c r="M1109" s="121">
        <v>8.5015107721369532</v>
      </c>
      <c r="N1109" s="121">
        <v>0.97779266506117246</v>
      </c>
      <c r="O1109" s="132">
        <f t="shared" si="18"/>
        <v>0.97779266506117246</v>
      </c>
      <c r="P1109" s="121">
        <v>0.3366974962925085</v>
      </c>
      <c r="Q1109" s="121">
        <v>0.3366974962925085</v>
      </c>
      <c r="R1109" s="121">
        <v>2529.6225484268161</v>
      </c>
      <c r="S1109" s="121">
        <v>4.6525484268158834</v>
      </c>
      <c r="T1109" s="121">
        <v>4.6525484268158834</v>
      </c>
      <c r="U1109" s="121">
        <v>0.75224429174430096</v>
      </c>
      <c r="V1109" s="121">
        <v>0.18426153288220784</v>
      </c>
      <c r="W1109" s="103">
        <v>0.18426153288220784</v>
      </c>
    </row>
    <row r="1110" spans="1:23" x14ac:dyDescent="0.15">
      <c r="A1110" s="103" t="s">
        <v>77</v>
      </c>
      <c r="B1110" s="103" t="s">
        <v>618</v>
      </c>
      <c r="C1110" s="103" t="s">
        <v>971</v>
      </c>
      <c r="D1110" s="103" t="s">
        <v>403</v>
      </c>
      <c r="E1110" s="103" t="s">
        <v>96</v>
      </c>
      <c r="F1110" s="103" t="s">
        <v>968</v>
      </c>
      <c r="G1110" s="103">
        <v>0</v>
      </c>
      <c r="H1110" s="120" t="s">
        <v>374</v>
      </c>
      <c r="I1110" s="120" t="s">
        <v>580</v>
      </c>
      <c r="J1110" s="121">
        <v>1814.51</v>
      </c>
      <c r="K1110" s="121">
        <v>1823.3716463659869</v>
      </c>
      <c r="L1110" s="121">
        <v>8.8616463659868714</v>
      </c>
      <c r="M1110" s="121">
        <v>8.8616463659868714</v>
      </c>
      <c r="N1110" s="121">
        <v>0.99394942487792581</v>
      </c>
      <c r="O1110" s="132">
        <f t="shared" si="18"/>
        <v>0.99394942487792581</v>
      </c>
      <c r="P1110" s="121">
        <v>0.48837682713167035</v>
      </c>
      <c r="Q1110" s="121">
        <v>0.48837682713167035</v>
      </c>
      <c r="R1110" s="121">
        <v>1750.0783937625381</v>
      </c>
      <c r="S1110" s="121">
        <v>-64.431606237461892</v>
      </c>
      <c r="T1110" s="121">
        <v>64.431606237461892</v>
      </c>
      <c r="U1110" s="121">
        <v>1.8157875816387883</v>
      </c>
      <c r="V1110" s="121">
        <v>-3.5509094046029999</v>
      </c>
      <c r="W1110" s="103">
        <v>3.5509094046029999</v>
      </c>
    </row>
    <row r="1111" spans="1:23" x14ac:dyDescent="0.15">
      <c r="A1111" s="103" t="s">
        <v>77</v>
      </c>
      <c r="B1111" s="103" t="s">
        <v>669</v>
      </c>
      <c r="C1111" s="103" t="s">
        <v>972</v>
      </c>
      <c r="D1111" s="103" t="s">
        <v>403</v>
      </c>
      <c r="E1111" s="103" t="s">
        <v>148</v>
      </c>
      <c r="F1111" s="103" t="s">
        <v>968</v>
      </c>
      <c r="G1111" s="103">
        <v>0</v>
      </c>
      <c r="H1111" s="120" t="s">
        <v>494</v>
      </c>
      <c r="I1111" s="120" t="s">
        <v>580</v>
      </c>
      <c r="J1111" s="121">
        <v>875</v>
      </c>
      <c r="K1111" s="121">
        <v>865.48581574562763</v>
      </c>
      <c r="L1111" s="121">
        <v>-9.5141842543723669</v>
      </c>
      <c r="M1111" s="121">
        <v>9.5141842543723669</v>
      </c>
      <c r="N1111" s="121">
        <v>1.0217755834828655</v>
      </c>
      <c r="O1111" s="132">
        <f t="shared" si="18"/>
        <v>-1.0217755834828655</v>
      </c>
      <c r="P1111" s="121">
        <v>-1.087335343356842</v>
      </c>
      <c r="Q1111" s="121">
        <v>1.087335343356842</v>
      </c>
      <c r="R1111" s="121">
        <v>904.82556559837451</v>
      </c>
      <c r="S1111" s="121">
        <v>29.82556559837451</v>
      </c>
      <c r="T1111" s="121">
        <v>29.82556559837451</v>
      </c>
      <c r="U1111" s="121">
        <v>1.4889110539295536</v>
      </c>
      <c r="V1111" s="121">
        <v>3.4086360683856585</v>
      </c>
      <c r="W1111" s="103">
        <v>3.4086360683856585</v>
      </c>
    </row>
    <row r="1112" spans="1:23" x14ac:dyDescent="0.15">
      <c r="A1112" s="103" t="s">
        <v>77</v>
      </c>
      <c r="B1112" s="103" t="s">
        <v>486</v>
      </c>
      <c r="C1112" s="103" t="s">
        <v>972</v>
      </c>
      <c r="D1112" s="103" t="s">
        <v>403</v>
      </c>
      <c r="E1112" s="103" t="s">
        <v>82</v>
      </c>
      <c r="F1112" s="103" t="s">
        <v>968</v>
      </c>
      <c r="G1112" s="103">
        <v>0</v>
      </c>
      <c r="H1112" s="120" t="s">
        <v>203</v>
      </c>
      <c r="I1112" s="120" t="s">
        <v>581</v>
      </c>
      <c r="J1112" s="121">
        <v>4927.5</v>
      </c>
      <c r="K1112" s="121">
        <v>4938.067755605226</v>
      </c>
      <c r="L1112" s="121">
        <v>10.567755605226012</v>
      </c>
      <c r="M1112" s="121">
        <v>10.567755605226012</v>
      </c>
      <c r="N1112" s="121">
        <v>1.0632491046026897</v>
      </c>
      <c r="O1112" s="132">
        <f t="shared" si="18"/>
        <v>1.0632491046026897</v>
      </c>
      <c r="P1112" s="121">
        <v>0.21446485246526659</v>
      </c>
      <c r="Q1112" s="121">
        <v>0.21446485246526659</v>
      </c>
      <c r="R1112" s="121">
        <v>5146.2536344242371</v>
      </c>
      <c r="S1112" s="121">
        <v>218.75363442423713</v>
      </c>
      <c r="T1112" s="121">
        <v>218.75363442423713</v>
      </c>
      <c r="U1112" s="121">
        <v>2.3419360664413209</v>
      </c>
      <c r="V1112" s="121">
        <v>4.4394446357024275</v>
      </c>
      <c r="W1112" s="103">
        <v>4.4394446357024275</v>
      </c>
    </row>
    <row r="1113" spans="1:23" x14ac:dyDescent="0.15">
      <c r="A1113" s="103" t="s">
        <v>77</v>
      </c>
      <c r="B1113" s="103" t="s">
        <v>486</v>
      </c>
      <c r="C1113" s="103" t="s">
        <v>979</v>
      </c>
      <c r="D1113" s="103" t="s">
        <v>403</v>
      </c>
      <c r="E1113" s="103" t="s">
        <v>82</v>
      </c>
      <c r="F1113" s="103" t="s">
        <v>967</v>
      </c>
      <c r="G1113" s="103">
        <v>1</v>
      </c>
      <c r="H1113" s="120" t="s">
        <v>203</v>
      </c>
      <c r="I1113" s="120" t="s">
        <v>581</v>
      </c>
      <c r="J1113" s="121">
        <v>4927.5</v>
      </c>
      <c r="K1113" s="121">
        <v>4916.666666666667</v>
      </c>
      <c r="L1113" s="121">
        <v>-10.83333333333303</v>
      </c>
      <c r="M1113" s="121">
        <v>10.83333333333303</v>
      </c>
      <c r="N1113" s="121">
        <v>1.0731070983354205</v>
      </c>
      <c r="O1113" s="132">
        <f t="shared" si="18"/>
        <v>-1.0731070983354205</v>
      </c>
      <c r="P1113" s="121">
        <v>-0.21985455775409499</v>
      </c>
      <c r="Q1113" s="121">
        <v>0.21985455775409499</v>
      </c>
      <c r="R1113" s="121">
        <v>4725.9259259259252</v>
      </c>
      <c r="S1113" s="121">
        <v>-201.57407407407482</v>
      </c>
      <c r="T1113" s="121">
        <v>201.57407407407482</v>
      </c>
      <c r="U1113" s="121">
        <v>2.3065838625097248</v>
      </c>
      <c r="V1113" s="121">
        <v>-4.0907980532536747</v>
      </c>
      <c r="W1113" s="103">
        <v>4.0907980532536747</v>
      </c>
    </row>
    <row r="1114" spans="1:23" x14ac:dyDescent="0.15">
      <c r="A1114" s="103" t="s">
        <v>77</v>
      </c>
      <c r="B1114" s="103" t="s">
        <v>618</v>
      </c>
      <c r="C1114" s="103" t="s">
        <v>970</v>
      </c>
      <c r="D1114" s="103" t="s">
        <v>403</v>
      </c>
      <c r="E1114" s="103" t="s">
        <v>96</v>
      </c>
      <c r="F1114" s="103" t="s">
        <v>967</v>
      </c>
      <c r="G1114" s="103">
        <v>1</v>
      </c>
      <c r="H1114" s="120" t="s">
        <v>374</v>
      </c>
      <c r="I1114" s="120" t="s">
        <v>580</v>
      </c>
      <c r="J1114" s="121">
        <v>1814.51</v>
      </c>
      <c r="K1114" s="121">
        <v>1802.36104</v>
      </c>
      <c r="L1114" s="121">
        <v>-12.148959999999988</v>
      </c>
      <c r="M1114" s="121">
        <v>12.148959999999988</v>
      </c>
      <c r="N1114" s="121">
        <v>1.1188914042232905</v>
      </c>
      <c r="O1114" s="132">
        <f t="shared" si="18"/>
        <v>-1.1188914042232905</v>
      </c>
      <c r="P1114" s="121">
        <v>-0.66954494601848369</v>
      </c>
      <c r="Q1114" s="121">
        <v>0.66954494601848369</v>
      </c>
      <c r="R1114" s="121">
        <v>1730.5577999999998</v>
      </c>
      <c r="S1114" s="121">
        <v>-83.952200000000175</v>
      </c>
      <c r="T1114" s="121">
        <v>83.952200000000175</v>
      </c>
      <c r="U1114" s="121">
        <v>1.9291746302384791</v>
      </c>
      <c r="V1114" s="121">
        <v>-4.6267146502361616</v>
      </c>
      <c r="W1114" s="103">
        <v>4.6267146502361616</v>
      </c>
    </row>
    <row r="1115" spans="1:23" x14ac:dyDescent="0.15">
      <c r="A1115" s="103" t="s">
        <v>77</v>
      </c>
      <c r="B1115" s="103" t="s">
        <v>598</v>
      </c>
      <c r="C1115" s="103" t="s">
        <v>979</v>
      </c>
      <c r="D1115" s="103" t="s">
        <v>403</v>
      </c>
      <c r="E1115" s="103" t="s">
        <v>82</v>
      </c>
      <c r="F1115" s="103" t="s">
        <v>967</v>
      </c>
      <c r="G1115" s="103">
        <v>1</v>
      </c>
      <c r="H1115" s="120" t="s">
        <v>494</v>
      </c>
      <c r="I1115" s="120" t="s">
        <v>580</v>
      </c>
      <c r="J1115" s="121">
        <v>1217</v>
      </c>
      <c r="K1115" s="121">
        <v>1229.1666666666667</v>
      </c>
      <c r="L1115" s="121">
        <v>12.166666666666742</v>
      </c>
      <c r="M1115" s="121">
        <v>12.166666666666742</v>
      </c>
      <c r="N1115" s="121">
        <v>1.1194758409068002</v>
      </c>
      <c r="O1115" s="132">
        <f t="shared" si="18"/>
        <v>1.1194758409068002</v>
      </c>
      <c r="P1115" s="121">
        <v>0.99972610243769455</v>
      </c>
      <c r="Q1115" s="121">
        <v>0.99972610243769455</v>
      </c>
      <c r="R1115" s="121">
        <v>1196.2962962962963</v>
      </c>
      <c r="S1115" s="121">
        <v>-20.703703703703695</v>
      </c>
      <c r="T1115" s="121">
        <v>20.703703703703695</v>
      </c>
      <c r="U1115" s="121">
        <v>1.3365338518591032</v>
      </c>
      <c r="V1115" s="121">
        <v>-1.7012081925804188</v>
      </c>
      <c r="W1115" s="103">
        <v>1.7012081925804188</v>
      </c>
    </row>
    <row r="1116" spans="1:23" x14ac:dyDescent="0.15">
      <c r="A1116" s="103" t="s">
        <v>77</v>
      </c>
      <c r="B1116" s="103" t="s">
        <v>386</v>
      </c>
      <c r="C1116" s="103" t="s">
        <v>972</v>
      </c>
      <c r="D1116" s="103" t="s">
        <v>403</v>
      </c>
      <c r="E1116" s="103" t="s">
        <v>82</v>
      </c>
      <c r="F1116" s="103" t="s">
        <v>968</v>
      </c>
      <c r="G1116" s="103">
        <v>0</v>
      </c>
      <c r="H1116" s="120" t="s">
        <v>374</v>
      </c>
      <c r="I1116" s="120" t="s">
        <v>580</v>
      </c>
      <c r="J1116" s="121">
        <v>1538.3</v>
      </c>
      <c r="K1116" s="121">
        <v>1524.1381056039315</v>
      </c>
      <c r="L1116" s="121">
        <v>-14.161894396068419</v>
      </c>
      <c r="M1116" s="121">
        <v>14.161894396068419</v>
      </c>
      <c r="N1116" s="121">
        <v>1.1807534674147262</v>
      </c>
      <c r="O1116" s="132">
        <f t="shared" ref="O1116:O1179" si="19">SIGN(L1116)*N1116</f>
        <v>-1.1807534674147262</v>
      </c>
      <c r="P1116" s="121">
        <v>-0.92061980082353378</v>
      </c>
      <c r="Q1116" s="121">
        <v>0.92061980082353378</v>
      </c>
      <c r="R1116" s="121">
        <v>1540.0195249282044</v>
      </c>
      <c r="S1116" s="121">
        <v>1.7195249282044642</v>
      </c>
      <c r="T1116" s="121">
        <v>1.7195249282044642</v>
      </c>
      <c r="U1116" s="121">
        <v>0.43449304407857509</v>
      </c>
      <c r="V1116" s="121">
        <v>0.11178085732330913</v>
      </c>
      <c r="W1116" s="103">
        <v>0.11178085732330913</v>
      </c>
    </row>
    <row r="1117" spans="1:23" x14ac:dyDescent="0.15">
      <c r="A1117" s="103" t="s">
        <v>77</v>
      </c>
      <c r="B1117" s="103" t="s">
        <v>733</v>
      </c>
      <c r="C1117" s="103" t="s">
        <v>973</v>
      </c>
      <c r="D1117" s="103" t="s">
        <v>403</v>
      </c>
      <c r="E1117" s="103" t="s">
        <v>82</v>
      </c>
      <c r="F1117" s="103" t="s">
        <v>968</v>
      </c>
      <c r="G1117" s="103">
        <v>0</v>
      </c>
      <c r="H1117" s="120" t="s">
        <v>293</v>
      </c>
      <c r="I1117" s="120" t="s">
        <v>580</v>
      </c>
      <c r="J1117" s="121">
        <v>3740</v>
      </c>
      <c r="K1117" s="121">
        <v>3754.2508473031567</v>
      </c>
      <c r="L1117" s="121">
        <v>14.250847303156661</v>
      </c>
      <c r="M1117" s="121">
        <v>14.250847303156661</v>
      </c>
      <c r="N1117" s="121">
        <v>1.1832939727885881</v>
      </c>
      <c r="O1117" s="132">
        <f t="shared" si="19"/>
        <v>1.1832939727885881</v>
      </c>
      <c r="P1117" s="121">
        <v>0.38103869794536527</v>
      </c>
      <c r="Q1117" s="121">
        <v>0.38103869794536527</v>
      </c>
      <c r="R1117" s="121">
        <v>4110.6312709962413</v>
      </c>
      <c r="S1117" s="121">
        <v>370.63127099624126</v>
      </c>
      <c r="T1117" s="121">
        <v>370.63127099624126</v>
      </c>
      <c r="U1117" s="121">
        <v>2.5701122506652925</v>
      </c>
      <c r="V1117" s="121">
        <v>9.9099270319850596</v>
      </c>
      <c r="W1117" s="103">
        <v>9.9099270319850596</v>
      </c>
    </row>
    <row r="1118" spans="1:23" x14ac:dyDescent="0.15">
      <c r="A1118" s="103" t="s">
        <v>77</v>
      </c>
      <c r="B1118" s="103" t="s">
        <v>386</v>
      </c>
      <c r="C1118" s="103" t="s">
        <v>979</v>
      </c>
      <c r="D1118" s="103" t="s">
        <v>403</v>
      </c>
      <c r="E1118" s="103" t="s">
        <v>82</v>
      </c>
      <c r="F1118" s="103" t="s">
        <v>967</v>
      </c>
      <c r="G1118" s="103">
        <v>1</v>
      </c>
      <c r="H1118" s="120" t="s">
        <v>374</v>
      </c>
      <c r="I1118" s="120" t="s">
        <v>580</v>
      </c>
      <c r="J1118" s="121">
        <v>1538.3</v>
      </c>
      <c r="K1118" s="121">
        <v>1552.9166666666667</v>
      </c>
      <c r="L1118" s="121">
        <v>14.616666666666788</v>
      </c>
      <c r="M1118" s="121">
        <v>14.616666666666788</v>
      </c>
      <c r="N1118" s="121">
        <v>1.1935883405041381</v>
      </c>
      <c r="O1118" s="132">
        <f t="shared" si="19"/>
        <v>1.1935883405041381</v>
      </c>
      <c r="P1118" s="121">
        <v>0.95018310255910998</v>
      </c>
      <c r="Q1118" s="121">
        <v>0.95018310255910998</v>
      </c>
      <c r="R1118" s="121">
        <v>1464.8148148148148</v>
      </c>
      <c r="S1118" s="121">
        <v>-73.485185185185173</v>
      </c>
      <c r="T1118" s="121">
        <v>73.485185185185173</v>
      </c>
      <c r="U1118" s="121">
        <v>1.8720699018472169</v>
      </c>
      <c r="V1118" s="121">
        <v>-4.777038626092776</v>
      </c>
      <c r="W1118" s="103">
        <v>4.777038626092776</v>
      </c>
    </row>
    <row r="1119" spans="1:23" x14ac:dyDescent="0.15">
      <c r="A1119" s="103" t="s">
        <v>77</v>
      </c>
      <c r="B1119" s="103" t="s">
        <v>733</v>
      </c>
      <c r="C1119" s="103" t="s">
        <v>971</v>
      </c>
      <c r="D1119" s="103" t="s">
        <v>403</v>
      </c>
      <c r="E1119" s="103" t="s">
        <v>82</v>
      </c>
      <c r="F1119" s="103" t="s">
        <v>968</v>
      </c>
      <c r="G1119" s="103">
        <v>0</v>
      </c>
      <c r="H1119" s="120" t="s">
        <v>293</v>
      </c>
      <c r="I1119" s="120" t="s">
        <v>580</v>
      </c>
      <c r="J1119" s="121">
        <v>3740</v>
      </c>
      <c r="K1119" s="121">
        <v>3725.0236168311817</v>
      </c>
      <c r="L1119" s="121">
        <v>-14.976383168818302</v>
      </c>
      <c r="M1119" s="121">
        <v>14.976383168818302</v>
      </c>
      <c r="N1119" s="121">
        <v>1.2034784678683978</v>
      </c>
      <c r="O1119" s="132">
        <f t="shared" si="19"/>
        <v>-1.2034784678683978</v>
      </c>
      <c r="P1119" s="121">
        <v>-0.40043805264220056</v>
      </c>
      <c r="Q1119" s="121">
        <v>0.40043805264220056</v>
      </c>
      <c r="R1119" s="121">
        <v>3800.7168970904618</v>
      </c>
      <c r="S1119" s="121">
        <v>60.716897090461771</v>
      </c>
      <c r="T1119" s="121">
        <v>60.716897090461771</v>
      </c>
      <c r="U1119" s="121">
        <v>1.7904040831337316</v>
      </c>
      <c r="V1119" s="121">
        <v>1.6234464462690312</v>
      </c>
      <c r="W1119" s="103">
        <v>1.6234464462690312</v>
      </c>
    </row>
    <row r="1120" spans="1:23" x14ac:dyDescent="0.15">
      <c r="A1120" s="103" t="s">
        <v>77</v>
      </c>
      <c r="B1120" s="103" t="s">
        <v>369</v>
      </c>
      <c r="C1120" s="103" t="s">
        <v>979</v>
      </c>
      <c r="D1120" s="103" t="s">
        <v>403</v>
      </c>
      <c r="E1120" s="103" t="s">
        <v>148</v>
      </c>
      <c r="F1120" s="103" t="s">
        <v>967</v>
      </c>
      <c r="G1120" s="103">
        <v>1</v>
      </c>
      <c r="H1120" s="120" t="s">
        <v>374</v>
      </c>
      <c r="I1120" s="120" t="s">
        <v>580</v>
      </c>
      <c r="J1120" s="121">
        <v>2524.9700000000003</v>
      </c>
      <c r="K1120" s="121">
        <v>2540.25</v>
      </c>
      <c r="L1120" s="121">
        <v>15.279999999999745</v>
      </c>
      <c r="M1120" s="121">
        <v>15.279999999999745</v>
      </c>
      <c r="N1120" s="121">
        <v>1.2116544005531755</v>
      </c>
      <c r="O1120" s="132">
        <f t="shared" si="19"/>
        <v>1.2116544005531755</v>
      </c>
      <c r="P1120" s="121">
        <v>0.60515570482024517</v>
      </c>
      <c r="Q1120" s="121">
        <v>0.60515570482024517</v>
      </c>
      <c r="R1120" s="121">
        <v>2458.2222222222222</v>
      </c>
      <c r="S1120" s="121">
        <v>-66.747777777778083</v>
      </c>
      <c r="T1120" s="121">
        <v>66.747777777778083</v>
      </c>
      <c r="U1120" s="121">
        <v>1.8308950543113633</v>
      </c>
      <c r="V1120" s="121">
        <v>-2.6435077556477138</v>
      </c>
      <c r="W1120" s="103">
        <v>2.6435077556477138</v>
      </c>
    </row>
    <row r="1121" spans="1:23" x14ac:dyDescent="0.15">
      <c r="A1121" s="103" t="s">
        <v>77</v>
      </c>
      <c r="B1121" s="103" t="s">
        <v>598</v>
      </c>
      <c r="C1121" s="103" t="s">
        <v>972</v>
      </c>
      <c r="D1121" s="103" t="s">
        <v>403</v>
      </c>
      <c r="E1121" s="103" t="s">
        <v>82</v>
      </c>
      <c r="F1121" s="103" t="s">
        <v>968</v>
      </c>
      <c r="G1121" s="103">
        <v>0</v>
      </c>
      <c r="H1121" s="120" t="s">
        <v>494</v>
      </c>
      <c r="I1121" s="120" t="s">
        <v>580</v>
      </c>
      <c r="J1121" s="121">
        <v>1217</v>
      </c>
      <c r="K1121" s="121">
        <v>1200.7601503825711</v>
      </c>
      <c r="L1121" s="121">
        <v>-16.239849617428945</v>
      </c>
      <c r="M1121" s="121">
        <v>16.239849617428945</v>
      </c>
      <c r="N1121" s="121">
        <v>1.2365334731705018</v>
      </c>
      <c r="O1121" s="132">
        <f t="shared" si="19"/>
        <v>-1.2365334731705018</v>
      </c>
      <c r="P1121" s="121">
        <v>-1.3344165667566923</v>
      </c>
      <c r="Q1121" s="121">
        <v>1.3344165667566923</v>
      </c>
      <c r="R1121" s="121">
        <v>1250.0978362643707</v>
      </c>
      <c r="S1121" s="121">
        <v>33.097836264370699</v>
      </c>
      <c r="T1121" s="121">
        <v>33.097836264370699</v>
      </c>
      <c r="U1121" s="121">
        <v>1.5327268209790506</v>
      </c>
      <c r="V1121" s="121">
        <v>2.7196250011808298</v>
      </c>
      <c r="W1121" s="103">
        <v>2.7196250011808298</v>
      </c>
    </row>
    <row r="1122" spans="1:23" x14ac:dyDescent="0.15">
      <c r="A1122" s="103" t="s">
        <v>77</v>
      </c>
      <c r="B1122" s="103" t="s">
        <v>669</v>
      </c>
      <c r="C1122" s="103" t="s">
        <v>979</v>
      </c>
      <c r="D1122" s="103" t="s">
        <v>403</v>
      </c>
      <c r="E1122" s="103" t="s">
        <v>148</v>
      </c>
      <c r="F1122" s="103" t="s">
        <v>967</v>
      </c>
      <c r="G1122" s="103">
        <v>1</v>
      </c>
      <c r="H1122" s="120" t="s">
        <v>494</v>
      </c>
      <c r="I1122" s="120" t="s">
        <v>580</v>
      </c>
      <c r="J1122" s="121">
        <v>875</v>
      </c>
      <c r="K1122" s="121">
        <v>891.66666666666674</v>
      </c>
      <c r="L1122" s="121">
        <v>16.666666666666742</v>
      </c>
      <c r="M1122" s="121">
        <v>16.666666666666742</v>
      </c>
      <c r="N1122" s="121">
        <v>1.2471546148811286</v>
      </c>
      <c r="O1122" s="132">
        <f t="shared" si="19"/>
        <v>1.2471546148811286</v>
      </c>
      <c r="P1122" s="121">
        <v>1.9047619047619133</v>
      </c>
      <c r="Q1122" s="121">
        <v>1.9047619047619133</v>
      </c>
      <c r="R1122" s="121">
        <v>874.07407407407402</v>
      </c>
      <c r="S1122" s="121">
        <v>-0.92592592592598066</v>
      </c>
      <c r="T1122" s="121">
        <v>0.92592592592598066</v>
      </c>
      <c r="U1122" s="121">
        <v>0.28463957947582419</v>
      </c>
      <c r="V1122" s="121">
        <v>-0.10582010582011207</v>
      </c>
      <c r="W1122" s="103">
        <v>0.10582010582011207</v>
      </c>
    </row>
    <row r="1123" spans="1:23" x14ac:dyDescent="0.15">
      <c r="A1123" s="103" t="s">
        <v>77</v>
      </c>
      <c r="B1123" s="103" t="s">
        <v>381</v>
      </c>
      <c r="C1123" s="103" t="s">
        <v>979</v>
      </c>
      <c r="D1123" s="103" t="s">
        <v>403</v>
      </c>
      <c r="E1123" s="103" t="s">
        <v>148</v>
      </c>
      <c r="F1123" s="103" t="s">
        <v>967</v>
      </c>
      <c r="G1123" s="103">
        <v>1</v>
      </c>
      <c r="H1123" s="120" t="s">
        <v>494</v>
      </c>
      <c r="I1123" s="120" t="s">
        <v>580</v>
      </c>
      <c r="J1123" s="121">
        <v>786.1</v>
      </c>
      <c r="K1123" s="121">
        <v>802.91666666666663</v>
      </c>
      <c r="L1123" s="121">
        <v>16.816666666666606</v>
      </c>
      <c r="M1123" s="121">
        <v>16.816666666666606</v>
      </c>
      <c r="N1123" s="121">
        <v>1.2508264548251329</v>
      </c>
      <c r="O1123" s="132">
        <f t="shared" si="19"/>
        <v>1.2508264548251329</v>
      </c>
      <c r="P1123" s="121">
        <v>2.1392528516304039</v>
      </c>
      <c r="Q1123" s="121">
        <v>2.1392528516304039</v>
      </c>
      <c r="R1123" s="121">
        <v>737.11111111111109</v>
      </c>
      <c r="S1123" s="121">
        <v>-48.988888888888937</v>
      </c>
      <c r="T1123" s="121">
        <v>48.988888888888937</v>
      </c>
      <c r="U1123" s="121">
        <v>1.6988734837262425</v>
      </c>
      <c r="V1123" s="121">
        <v>-6.2318902033951078</v>
      </c>
      <c r="W1123" s="103">
        <v>6.2318902033951078</v>
      </c>
    </row>
    <row r="1124" spans="1:23" x14ac:dyDescent="0.15">
      <c r="A1124" s="103" t="s">
        <v>77</v>
      </c>
      <c r="B1124" s="103" t="s">
        <v>389</v>
      </c>
      <c r="C1124" s="103" t="s">
        <v>973</v>
      </c>
      <c r="D1124" s="103" t="s">
        <v>403</v>
      </c>
      <c r="E1124" s="103" t="s">
        <v>82</v>
      </c>
      <c r="F1124" s="103" t="s">
        <v>968</v>
      </c>
      <c r="G1124" s="103">
        <v>0</v>
      </c>
      <c r="H1124" s="120" t="s">
        <v>494</v>
      </c>
      <c r="I1124" s="120" t="s">
        <v>580</v>
      </c>
      <c r="J1124" s="121">
        <v>1095.26</v>
      </c>
      <c r="K1124" s="121">
        <v>1075.1313467983018</v>
      </c>
      <c r="L1124" s="121">
        <v>-20.128653201698171</v>
      </c>
      <c r="M1124" s="121">
        <v>20.128653201698171</v>
      </c>
      <c r="N1124" s="121">
        <v>1.3248718148132166</v>
      </c>
      <c r="O1124" s="132">
        <f t="shared" si="19"/>
        <v>-1.3248718148132166</v>
      </c>
      <c r="P1124" s="121">
        <v>-1.8377967972625835</v>
      </c>
      <c r="Q1124" s="121">
        <v>1.8377967972625835</v>
      </c>
      <c r="R1124" s="121">
        <v>1146.9400875090676</v>
      </c>
      <c r="S1124" s="121">
        <v>51.680087509067562</v>
      </c>
      <c r="T1124" s="121">
        <v>51.680087509067562</v>
      </c>
      <c r="U1124" s="121">
        <v>1.7216464877148334</v>
      </c>
      <c r="V1124" s="121">
        <v>4.7185223151642131</v>
      </c>
      <c r="W1124" s="103">
        <v>4.7185223151642131</v>
      </c>
    </row>
    <row r="1125" spans="1:23" x14ac:dyDescent="0.15">
      <c r="A1125" s="103" t="s">
        <v>77</v>
      </c>
      <c r="B1125" s="103" t="s">
        <v>618</v>
      </c>
      <c r="C1125" s="103" t="s">
        <v>975</v>
      </c>
      <c r="D1125" s="103" t="s">
        <v>403</v>
      </c>
      <c r="E1125" s="103" t="s">
        <v>96</v>
      </c>
      <c r="F1125" s="103" t="s">
        <v>967</v>
      </c>
      <c r="G1125" s="103">
        <v>1</v>
      </c>
      <c r="H1125" s="120" t="s">
        <v>374</v>
      </c>
      <c r="I1125" s="120" t="s">
        <v>580</v>
      </c>
      <c r="J1125" s="121">
        <v>1814.51</v>
      </c>
      <c r="K1125" s="121">
        <v>1834.9880000000001</v>
      </c>
      <c r="L1125" s="121">
        <v>20.478000000000065</v>
      </c>
      <c r="M1125" s="121">
        <v>20.478000000000065</v>
      </c>
      <c r="N1125" s="121">
        <v>1.3319938380422578</v>
      </c>
      <c r="O1125" s="132">
        <f t="shared" si="19"/>
        <v>1.3319938380422578</v>
      </c>
      <c r="P1125" s="121">
        <v>1.1285691453891169</v>
      </c>
      <c r="Q1125" s="121">
        <v>1.1285691453891169</v>
      </c>
      <c r="R1125" s="121">
        <v>1785.15245</v>
      </c>
      <c r="S1125" s="121">
        <v>-29.357549999999947</v>
      </c>
      <c r="T1125" s="121">
        <v>29.357549999999947</v>
      </c>
      <c r="U1125" s="121">
        <v>1.482266718988418</v>
      </c>
      <c r="V1125" s="121">
        <v>-1.6179326650169989</v>
      </c>
      <c r="W1125" s="103">
        <v>1.6179326650169989</v>
      </c>
    </row>
    <row r="1126" spans="1:23" x14ac:dyDescent="0.15">
      <c r="A1126" s="103" t="s">
        <v>77</v>
      </c>
      <c r="B1126" s="103" t="s">
        <v>486</v>
      </c>
      <c r="C1126" s="103" t="s">
        <v>973</v>
      </c>
      <c r="D1126" s="103" t="s">
        <v>403</v>
      </c>
      <c r="E1126" s="103" t="s">
        <v>82</v>
      </c>
      <c r="F1126" s="103" t="s">
        <v>968</v>
      </c>
      <c r="G1126" s="103">
        <v>0</v>
      </c>
      <c r="H1126" s="120" t="s">
        <v>203</v>
      </c>
      <c r="I1126" s="120" t="s">
        <v>581</v>
      </c>
      <c r="J1126" s="121">
        <v>4927.5</v>
      </c>
      <c r="K1126" s="121">
        <v>4948.9340113106673</v>
      </c>
      <c r="L1126" s="121">
        <v>21.434011310667302</v>
      </c>
      <c r="M1126" s="121">
        <v>21.434011310667302</v>
      </c>
      <c r="N1126" s="121">
        <v>1.350906934498332</v>
      </c>
      <c r="O1126" s="132">
        <f t="shared" si="19"/>
        <v>1.350906934498332</v>
      </c>
      <c r="P1126" s="121">
        <v>0.43498754562490721</v>
      </c>
      <c r="Q1126" s="121">
        <v>0.43498754562490721</v>
      </c>
      <c r="R1126" s="121">
        <v>5197.9743083433923</v>
      </c>
      <c r="S1126" s="121">
        <v>270.47430834339229</v>
      </c>
      <c r="T1126" s="121">
        <v>270.47430834339229</v>
      </c>
      <c r="U1126" s="121">
        <v>2.4337287353147379</v>
      </c>
      <c r="V1126" s="121">
        <v>5.4890777948938059</v>
      </c>
      <c r="W1126" s="103">
        <v>5.4890777948938059</v>
      </c>
    </row>
    <row r="1127" spans="1:23" x14ac:dyDescent="0.15">
      <c r="A1127" s="103" t="s">
        <v>77</v>
      </c>
      <c r="B1127" s="103" t="s">
        <v>665</v>
      </c>
      <c r="C1127" s="103" t="s">
        <v>971</v>
      </c>
      <c r="D1127" s="103" t="s">
        <v>403</v>
      </c>
      <c r="E1127" s="103" t="s">
        <v>82</v>
      </c>
      <c r="F1127" s="103" t="s">
        <v>968</v>
      </c>
      <c r="G1127" s="103">
        <v>0</v>
      </c>
      <c r="H1127" s="120" t="s">
        <v>374</v>
      </c>
      <c r="I1127" s="120" t="s">
        <v>580</v>
      </c>
      <c r="J1127" s="121">
        <v>1342.6</v>
      </c>
      <c r="K1127" s="121">
        <v>1366.77442531108</v>
      </c>
      <c r="L1127" s="121">
        <v>24.174425311080086</v>
      </c>
      <c r="M1127" s="121">
        <v>24.174425311080086</v>
      </c>
      <c r="N1127" s="121">
        <v>1.4009595651412268</v>
      </c>
      <c r="O1127" s="132">
        <f t="shared" si="19"/>
        <v>1.4009595651412268</v>
      </c>
      <c r="P1127" s="121">
        <v>1.8005679510710626</v>
      </c>
      <c r="Q1127" s="121">
        <v>1.8005679510710626</v>
      </c>
      <c r="R1127" s="121">
        <v>1389.8130411602556</v>
      </c>
      <c r="S1127" s="121">
        <v>47.213041160255671</v>
      </c>
      <c r="T1127" s="121">
        <v>47.213041160255671</v>
      </c>
      <c r="U1127" s="121">
        <v>1.6831645265765898</v>
      </c>
      <c r="V1127" s="121">
        <v>3.5165381468982329</v>
      </c>
      <c r="W1127" s="103">
        <v>3.5165381468982329</v>
      </c>
    </row>
    <row r="1128" spans="1:23" x14ac:dyDescent="0.15">
      <c r="A1128" s="103" t="s">
        <v>77</v>
      </c>
      <c r="B1128" s="103" t="s">
        <v>389</v>
      </c>
      <c r="C1128" s="103" t="s">
        <v>972</v>
      </c>
      <c r="D1128" s="103" t="s">
        <v>403</v>
      </c>
      <c r="E1128" s="103" t="s">
        <v>82</v>
      </c>
      <c r="F1128" s="103" t="s">
        <v>968</v>
      </c>
      <c r="G1128" s="103">
        <v>0</v>
      </c>
      <c r="H1128" s="120" t="s">
        <v>494</v>
      </c>
      <c r="I1128" s="120" t="s">
        <v>580</v>
      </c>
      <c r="J1128" s="121">
        <v>1095.26</v>
      </c>
      <c r="K1128" s="121">
        <v>1120.6014903860939</v>
      </c>
      <c r="L1128" s="121">
        <v>25.341490386093938</v>
      </c>
      <c r="M1128" s="121">
        <v>25.341490386093938</v>
      </c>
      <c r="N1128" s="121">
        <v>1.420640343448285</v>
      </c>
      <c r="O1128" s="132">
        <f t="shared" si="19"/>
        <v>1.420640343448285</v>
      </c>
      <c r="P1128" s="121">
        <v>2.3137419778038035</v>
      </c>
      <c r="Q1128" s="121">
        <v>2.3137419778038035</v>
      </c>
      <c r="R1128" s="121">
        <v>1135.5278505967674</v>
      </c>
      <c r="S1128" s="121">
        <v>40.267850596767403</v>
      </c>
      <c r="T1128" s="121">
        <v>40.267850596767403</v>
      </c>
      <c r="U1128" s="121">
        <v>1.6156118495831948</v>
      </c>
      <c r="V1128" s="121">
        <v>3.6765563059700348</v>
      </c>
      <c r="W1128" s="103">
        <v>3.6765563059700348</v>
      </c>
    </row>
    <row r="1129" spans="1:23" x14ac:dyDescent="0.15">
      <c r="A1129" s="103" t="s">
        <v>77</v>
      </c>
      <c r="B1129" s="103" t="s">
        <v>665</v>
      </c>
      <c r="C1129" s="103" t="s">
        <v>972</v>
      </c>
      <c r="D1129" s="103" t="s">
        <v>403</v>
      </c>
      <c r="E1129" s="103" t="s">
        <v>82</v>
      </c>
      <c r="F1129" s="103" t="s">
        <v>968</v>
      </c>
      <c r="G1129" s="103">
        <v>0</v>
      </c>
      <c r="H1129" s="120" t="s">
        <v>374</v>
      </c>
      <c r="I1129" s="120" t="s">
        <v>580</v>
      </c>
      <c r="J1129" s="121">
        <v>1342.6</v>
      </c>
      <c r="K1129" s="121">
        <v>1316.1603669763415</v>
      </c>
      <c r="L1129" s="121">
        <v>-26.439633023658416</v>
      </c>
      <c r="M1129" s="121">
        <v>26.439633023658416</v>
      </c>
      <c r="N1129" s="121">
        <v>1.4383782988398934</v>
      </c>
      <c r="O1129" s="132">
        <f t="shared" si="19"/>
        <v>-1.4383782988398934</v>
      </c>
      <c r="P1129" s="121">
        <v>-1.9692859394948918</v>
      </c>
      <c r="Q1129" s="121">
        <v>1.9692859394948918</v>
      </c>
      <c r="R1129" s="121">
        <v>1377.0061781418121</v>
      </c>
      <c r="S1129" s="121">
        <v>34.406178141812234</v>
      </c>
      <c r="T1129" s="121">
        <v>34.406178141812234</v>
      </c>
      <c r="U1129" s="121">
        <v>1.5490790501271849</v>
      </c>
      <c r="V1129" s="121">
        <v>2.5626529228223025</v>
      </c>
      <c r="W1129" s="103">
        <v>2.5626529228223025</v>
      </c>
    </row>
    <row r="1130" spans="1:23" x14ac:dyDescent="0.15">
      <c r="A1130" s="103" t="s">
        <v>77</v>
      </c>
      <c r="B1130" s="103" t="s">
        <v>665</v>
      </c>
      <c r="C1130" s="24" t="s">
        <v>980</v>
      </c>
      <c r="D1130" s="103" t="s">
        <v>403</v>
      </c>
      <c r="E1130" s="103" t="s">
        <v>82</v>
      </c>
      <c r="F1130" s="103" t="s">
        <v>968</v>
      </c>
      <c r="G1130" s="103">
        <v>0</v>
      </c>
      <c r="H1130" s="120" t="s">
        <v>374</v>
      </c>
      <c r="I1130" s="120" t="s">
        <v>580</v>
      </c>
      <c r="J1130" s="121">
        <v>1342.6</v>
      </c>
      <c r="K1130" s="121">
        <v>1314.3775260297766</v>
      </c>
      <c r="L1130" s="121">
        <v>-28.222473970223291</v>
      </c>
      <c r="M1130" s="121">
        <v>28.222473970223291</v>
      </c>
      <c r="N1130" s="121">
        <v>1.4657169804598273</v>
      </c>
      <c r="O1130" s="132">
        <f t="shared" si="19"/>
        <v>-1.4657169804598273</v>
      </c>
      <c r="P1130" s="121">
        <v>-2.1020761187414938</v>
      </c>
      <c r="Q1130" s="121">
        <v>2.1020761187414938</v>
      </c>
      <c r="R1130" s="121">
        <v>1314.690451727163</v>
      </c>
      <c r="S1130" s="121">
        <v>-27.909548272836901</v>
      </c>
      <c r="T1130" s="121">
        <v>27.909548272836901</v>
      </c>
      <c r="U1130" s="121">
        <v>1.4610413056399771</v>
      </c>
      <c r="V1130" s="121">
        <v>-2.0787686781496277</v>
      </c>
      <c r="W1130" s="103">
        <v>2.0787686781496277</v>
      </c>
    </row>
    <row r="1131" spans="1:23" x14ac:dyDescent="0.15">
      <c r="A1131" s="103" t="s">
        <v>77</v>
      </c>
      <c r="B1131" s="103" t="s">
        <v>386</v>
      </c>
      <c r="C1131" s="103" t="s">
        <v>970</v>
      </c>
      <c r="D1131" s="103" t="s">
        <v>403</v>
      </c>
      <c r="E1131" s="103" t="s">
        <v>82</v>
      </c>
      <c r="F1131" s="103" t="s">
        <v>967</v>
      </c>
      <c r="G1131" s="103">
        <v>1</v>
      </c>
      <c r="H1131" s="120" t="s">
        <v>374</v>
      </c>
      <c r="I1131" s="120" t="s">
        <v>580</v>
      </c>
      <c r="J1131" s="121">
        <v>1538.3</v>
      </c>
      <c r="K1131" s="121">
        <v>1569.96182</v>
      </c>
      <c r="L1131" s="121">
        <v>31.661820000000034</v>
      </c>
      <c r="M1131" s="121">
        <v>31.661820000000034</v>
      </c>
      <c r="N1131" s="121">
        <v>1.514040381072256</v>
      </c>
      <c r="O1131" s="132">
        <f t="shared" si="19"/>
        <v>1.514040381072256</v>
      </c>
      <c r="P1131" s="121">
        <v>2.0582344146135365</v>
      </c>
      <c r="Q1131" s="121">
        <v>2.0582344146135365</v>
      </c>
      <c r="R1131" s="121">
        <v>1538.7465999999999</v>
      </c>
      <c r="S1131" s="121">
        <v>0.44659999999998945</v>
      </c>
      <c r="T1131" s="121">
        <v>0.44659999999998945</v>
      </c>
      <c r="U1131" s="121">
        <v>0.16034846076109413</v>
      </c>
      <c r="V1131" s="121">
        <v>2.903204836507765E-2</v>
      </c>
      <c r="W1131" s="103">
        <v>2.903204836507765E-2</v>
      </c>
    </row>
    <row r="1132" spans="1:23" x14ac:dyDescent="0.15">
      <c r="A1132" s="103" t="s">
        <v>77</v>
      </c>
      <c r="B1132" s="103" t="s">
        <v>584</v>
      </c>
      <c r="C1132" s="24" t="s">
        <v>980</v>
      </c>
      <c r="D1132" s="103" t="s">
        <v>403</v>
      </c>
      <c r="E1132" s="103" t="s">
        <v>148</v>
      </c>
      <c r="F1132" s="103" t="s">
        <v>968</v>
      </c>
      <c r="G1132" s="103">
        <v>0</v>
      </c>
      <c r="H1132" s="120" t="s">
        <v>374</v>
      </c>
      <c r="I1132" s="120" t="s">
        <v>580</v>
      </c>
      <c r="J1132" s="121">
        <v>1687.51</v>
      </c>
      <c r="K1132" s="121">
        <v>1655.1887966164529</v>
      </c>
      <c r="L1132" s="121">
        <v>-32.321203383547072</v>
      </c>
      <c r="M1132" s="121">
        <v>32.321203383547072</v>
      </c>
      <c r="N1132" s="121">
        <v>1.5227206774105251</v>
      </c>
      <c r="O1132" s="132">
        <f t="shared" si="19"/>
        <v>-1.5227206774105251</v>
      </c>
      <c r="P1132" s="121">
        <v>-1.9153192208370364</v>
      </c>
      <c r="Q1132" s="121">
        <v>1.9153192208370364</v>
      </c>
      <c r="R1132" s="121">
        <v>1620.9907148847431</v>
      </c>
      <c r="S1132" s="121">
        <v>-66.519285115256935</v>
      </c>
      <c r="T1132" s="121">
        <v>66.519285115256935</v>
      </c>
      <c r="U1132" s="121">
        <v>1.8294278353927362</v>
      </c>
      <c r="V1132" s="121">
        <v>-3.9418602032140218</v>
      </c>
      <c r="W1132" s="103">
        <v>3.9418602032140218</v>
      </c>
    </row>
    <row r="1133" spans="1:23" x14ac:dyDescent="0.15">
      <c r="A1133" s="103" t="s">
        <v>77</v>
      </c>
      <c r="B1133" s="103" t="s">
        <v>618</v>
      </c>
      <c r="C1133" s="103" t="s">
        <v>972</v>
      </c>
      <c r="D1133" s="103" t="s">
        <v>403</v>
      </c>
      <c r="E1133" s="103" t="s">
        <v>96</v>
      </c>
      <c r="F1133" s="103" t="s">
        <v>968</v>
      </c>
      <c r="G1133" s="103">
        <v>0</v>
      </c>
      <c r="H1133" s="120" t="s">
        <v>374</v>
      </c>
      <c r="I1133" s="120" t="s">
        <v>580</v>
      </c>
      <c r="J1133" s="121">
        <v>1814.51</v>
      </c>
      <c r="K1133" s="121">
        <v>1781.9081239746224</v>
      </c>
      <c r="L1133" s="121">
        <v>-32.601876025377578</v>
      </c>
      <c r="M1133" s="121">
        <v>32.601876025377578</v>
      </c>
      <c r="N1133" s="121">
        <v>1.5263635251495136</v>
      </c>
      <c r="O1133" s="132">
        <f t="shared" si="19"/>
        <v>-1.5263635251495136</v>
      </c>
      <c r="P1133" s="121">
        <v>-1.796731681025598</v>
      </c>
      <c r="Q1133" s="121">
        <v>1.796731681025598</v>
      </c>
      <c r="R1133" s="121">
        <v>1765.0734889913315</v>
      </c>
      <c r="S1133" s="121">
        <v>-49.436511008668504</v>
      </c>
      <c r="T1133" s="121">
        <v>49.436511008668504</v>
      </c>
      <c r="U1133" s="121">
        <v>1.7027450362259675</v>
      </c>
      <c r="V1133" s="121">
        <v>-2.7245102539345885</v>
      </c>
      <c r="W1133" s="103">
        <v>2.7245102539345885</v>
      </c>
    </row>
    <row r="1134" spans="1:23" x14ac:dyDescent="0.15">
      <c r="A1134" s="103" t="s">
        <v>77</v>
      </c>
      <c r="B1134" s="103" t="s">
        <v>386</v>
      </c>
      <c r="C1134" s="103" t="s">
        <v>971</v>
      </c>
      <c r="D1134" s="103" t="s">
        <v>403</v>
      </c>
      <c r="E1134" s="103" t="s">
        <v>82</v>
      </c>
      <c r="F1134" s="103" t="s">
        <v>968</v>
      </c>
      <c r="G1134" s="103">
        <v>0</v>
      </c>
      <c r="H1134" s="120" t="s">
        <v>374</v>
      </c>
      <c r="I1134" s="120" t="s">
        <v>580</v>
      </c>
      <c r="J1134" s="121">
        <v>1538.3</v>
      </c>
      <c r="K1134" s="121">
        <v>1571.4988730249033</v>
      </c>
      <c r="L1134" s="121">
        <v>33.198873024903378</v>
      </c>
      <c r="M1134" s="121">
        <v>33.198873024903378</v>
      </c>
      <c r="N1134" s="121">
        <v>1.5340117947365444</v>
      </c>
      <c r="O1134" s="132">
        <f t="shared" si="19"/>
        <v>1.5340117947365444</v>
      </c>
      <c r="P1134" s="121">
        <v>2.1581533527207553</v>
      </c>
      <c r="Q1134" s="121">
        <v>2.1581533527207553</v>
      </c>
      <c r="R1134" s="121">
        <v>1541.9320292573154</v>
      </c>
      <c r="S1134" s="121">
        <v>3.6320292573154802</v>
      </c>
      <c r="T1134" s="121">
        <v>3.6320292573154802</v>
      </c>
      <c r="U1134" s="121">
        <v>0.66577129386500589</v>
      </c>
      <c r="V1134" s="121">
        <v>0.2361066929282637</v>
      </c>
      <c r="W1134" s="103">
        <v>0.2361066929282637</v>
      </c>
    </row>
    <row r="1135" spans="1:23" x14ac:dyDescent="0.15">
      <c r="A1135" s="103" t="s">
        <v>77</v>
      </c>
      <c r="B1135" s="103" t="s">
        <v>100</v>
      </c>
      <c r="C1135" s="103" t="s">
        <v>970</v>
      </c>
      <c r="D1135" s="103" t="s">
        <v>403</v>
      </c>
      <c r="E1135" s="103" t="s">
        <v>82</v>
      </c>
      <c r="F1135" s="103" t="s">
        <v>967</v>
      </c>
      <c r="G1135" s="103">
        <v>1</v>
      </c>
      <c r="H1135" s="120" t="s">
        <v>374</v>
      </c>
      <c r="I1135" s="120" t="s">
        <v>580</v>
      </c>
      <c r="J1135" s="121">
        <v>1299.96</v>
      </c>
      <c r="K1135" s="121">
        <v>1265.7712040000001</v>
      </c>
      <c r="L1135" s="121">
        <v>-34.188795999999911</v>
      </c>
      <c r="M1135" s="121">
        <v>34.188795999999911</v>
      </c>
      <c r="N1135" s="121">
        <v>1.5464044075143162</v>
      </c>
      <c r="O1135" s="132">
        <f t="shared" si="19"/>
        <v>-1.5464044075143162</v>
      </c>
      <c r="P1135" s="121">
        <v>-2.6299883073325265</v>
      </c>
      <c r="Q1135" s="121">
        <v>2.6299883073325265</v>
      </c>
      <c r="R1135" s="121">
        <v>1223.0116639999999</v>
      </c>
      <c r="S1135" s="121">
        <v>-76.948336000000154</v>
      </c>
      <c r="T1135" s="121">
        <v>76.948336000000154</v>
      </c>
      <c r="U1135" s="121">
        <v>1.8918068485340804</v>
      </c>
      <c r="V1135" s="121">
        <v>-5.9192849010738913</v>
      </c>
      <c r="W1135" s="103">
        <v>5.9192849010738913</v>
      </c>
    </row>
    <row r="1136" spans="1:23" x14ac:dyDescent="0.15">
      <c r="A1136" s="103" t="s">
        <v>77</v>
      </c>
      <c r="B1136" s="103" t="s">
        <v>127</v>
      </c>
      <c r="C1136" s="103" t="s">
        <v>975</v>
      </c>
      <c r="D1136" s="103" t="s">
        <v>403</v>
      </c>
      <c r="E1136" s="103" t="s">
        <v>82</v>
      </c>
      <c r="F1136" s="103" t="s">
        <v>967</v>
      </c>
      <c r="G1136" s="103">
        <v>1</v>
      </c>
      <c r="H1136" s="120" t="s">
        <v>203</v>
      </c>
      <c r="I1136" s="120" t="s">
        <v>581</v>
      </c>
      <c r="J1136" s="121">
        <v>4745.58</v>
      </c>
      <c r="K1136" s="121">
        <v>4780.35185</v>
      </c>
      <c r="L1136" s="121">
        <v>34.771850000000086</v>
      </c>
      <c r="M1136" s="121">
        <v>34.771850000000086</v>
      </c>
      <c r="N1136" s="121">
        <v>1.5535414009825024</v>
      </c>
      <c r="O1136" s="132">
        <f t="shared" si="19"/>
        <v>1.5535414009825024</v>
      </c>
      <c r="P1136" s="121">
        <v>0.73272076332081826</v>
      </c>
      <c r="Q1136" s="121">
        <v>0.73272076332081826</v>
      </c>
      <c r="R1136" s="121">
        <v>4821.3785209999996</v>
      </c>
      <c r="S1136" s="121">
        <v>75.79852099999971</v>
      </c>
      <c r="T1136" s="121">
        <v>75.79852099999971</v>
      </c>
      <c r="U1136" s="121">
        <v>1.8853528563892752</v>
      </c>
      <c r="V1136" s="121">
        <v>1.5972446149890995</v>
      </c>
      <c r="W1136" s="103">
        <v>1.5972446149890995</v>
      </c>
    </row>
    <row r="1137" spans="1:23" x14ac:dyDescent="0.15">
      <c r="A1137" s="103" t="s">
        <v>77</v>
      </c>
      <c r="B1137" s="103" t="s">
        <v>598</v>
      </c>
      <c r="C1137" s="103" t="s">
        <v>971</v>
      </c>
      <c r="D1137" s="103" t="s">
        <v>403</v>
      </c>
      <c r="E1137" s="103" t="s">
        <v>82</v>
      </c>
      <c r="F1137" s="103" t="s">
        <v>968</v>
      </c>
      <c r="G1137" s="103">
        <v>0</v>
      </c>
      <c r="H1137" s="120" t="s">
        <v>494</v>
      </c>
      <c r="I1137" s="120" t="s">
        <v>580</v>
      </c>
      <c r="J1137" s="121">
        <v>1217</v>
      </c>
      <c r="K1137" s="121">
        <v>1252.5128884464755</v>
      </c>
      <c r="L1137" s="121">
        <v>35.512888446475472</v>
      </c>
      <c r="M1137" s="121">
        <v>35.512888446475472</v>
      </c>
      <c r="N1137" s="121">
        <v>1.5624461902969349</v>
      </c>
      <c r="O1137" s="132">
        <f t="shared" si="19"/>
        <v>1.5624461902969349</v>
      </c>
      <c r="P1137" s="121">
        <v>2.9180680728410411</v>
      </c>
      <c r="Q1137" s="121">
        <v>2.9180680728410411</v>
      </c>
      <c r="R1137" s="121">
        <v>1270.4957305292112</v>
      </c>
      <c r="S1137" s="121">
        <v>53.495730529211187</v>
      </c>
      <c r="T1137" s="121">
        <v>53.495730529211187</v>
      </c>
      <c r="U1137" s="121">
        <v>1.7363624787860676</v>
      </c>
      <c r="V1137" s="121">
        <v>4.3957050558102866</v>
      </c>
      <c r="W1137" s="103">
        <v>4.3957050558102866</v>
      </c>
    </row>
    <row r="1138" spans="1:23" x14ac:dyDescent="0.15">
      <c r="A1138" s="103" t="s">
        <v>77</v>
      </c>
      <c r="B1138" s="103" t="s">
        <v>368</v>
      </c>
      <c r="C1138" s="24" t="s">
        <v>980</v>
      </c>
      <c r="D1138" s="103" t="s">
        <v>403</v>
      </c>
      <c r="E1138" s="103" t="s">
        <v>148</v>
      </c>
      <c r="F1138" s="103" t="s">
        <v>968</v>
      </c>
      <c r="G1138" s="103">
        <v>0</v>
      </c>
      <c r="H1138" s="120" t="s">
        <v>374</v>
      </c>
      <c r="I1138" s="120" t="s">
        <v>580</v>
      </c>
      <c r="J1138" s="121">
        <v>1933.19</v>
      </c>
      <c r="K1138" s="121">
        <v>1968.7670816219372</v>
      </c>
      <c r="L1138" s="121">
        <v>35.577081621937168</v>
      </c>
      <c r="M1138" s="121">
        <v>35.577081621937168</v>
      </c>
      <c r="N1138" s="121">
        <v>1.5632090514397439</v>
      </c>
      <c r="O1138" s="132">
        <f t="shared" si="19"/>
        <v>1.5632090514397439</v>
      </c>
      <c r="P1138" s="121">
        <v>1.8403303152787449</v>
      </c>
      <c r="Q1138" s="121">
        <v>1.8403303152787449</v>
      </c>
      <c r="R1138" s="121">
        <v>1899.281488074362</v>
      </c>
      <c r="S1138" s="121">
        <v>-33.908511925638095</v>
      </c>
      <c r="T1138" s="121">
        <v>33.908511925638095</v>
      </c>
      <c r="U1138" s="121">
        <v>1.5429313361742985</v>
      </c>
      <c r="V1138" s="121">
        <v>-1.7540185871868825</v>
      </c>
      <c r="W1138" s="103">
        <v>1.7540185871868825</v>
      </c>
    </row>
    <row r="1139" spans="1:23" x14ac:dyDescent="0.15">
      <c r="A1139" s="103" t="s">
        <v>77</v>
      </c>
      <c r="B1139" s="103" t="s">
        <v>733</v>
      </c>
      <c r="C1139" s="103" t="s">
        <v>972</v>
      </c>
      <c r="D1139" s="103" t="s">
        <v>403</v>
      </c>
      <c r="E1139" s="103" t="s">
        <v>82</v>
      </c>
      <c r="F1139" s="103" t="s">
        <v>968</v>
      </c>
      <c r="G1139" s="103">
        <v>0</v>
      </c>
      <c r="H1139" s="120" t="s">
        <v>293</v>
      </c>
      <c r="I1139" s="120" t="s">
        <v>580</v>
      </c>
      <c r="J1139" s="121">
        <v>3740</v>
      </c>
      <c r="K1139" s="121">
        <v>3775.6950310340203</v>
      </c>
      <c r="L1139" s="121">
        <v>35.695031034020303</v>
      </c>
      <c r="M1139" s="121">
        <v>35.695031034020303</v>
      </c>
      <c r="N1139" s="121">
        <v>1.5646072593308666</v>
      </c>
      <c r="O1139" s="132">
        <f t="shared" si="19"/>
        <v>1.5646072593308666</v>
      </c>
      <c r="P1139" s="121">
        <v>0.95441259449252147</v>
      </c>
      <c r="Q1139" s="121">
        <v>0.95441259449252147</v>
      </c>
      <c r="R1139" s="121">
        <v>4069.729833829108</v>
      </c>
      <c r="S1139" s="121">
        <v>329.72983382910797</v>
      </c>
      <c r="T1139" s="121">
        <v>329.72983382910797</v>
      </c>
      <c r="U1139" s="121">
        <v>2.5194733726668121</v>
      </c>
      <c r="V1139" s="121">
        <v>8.8163057173558279</v>
      </c>
      <c r="W1139" s="103">
        <v>8.8163057173558279</v>
      </c>
    </row>
    <row r="1140" spans="1:23" x14ac:dyDescent="0.15">
      <c r="A1140" s="103" t="s">
        <v>77</v>
      </c>
      <c r="B1140" s="103" t="s">
        <v>733</v>
      </c>
      <c r="C1140" s="103" t="s">
        <v>979</v>
      </c>
      <c r="D1140" s="103" t="s">
        <v>403</v>
      </c>
      <c r="E1140" s="103" t="s">
        <v>82</v>
      </c>
      <c r="F1140" s="103" t="s">
        <v>967</v>
      </c>
      <c r="G1140" s="103">
        <v>1</v>
      </c>
      <c r="H1140" s="120" t="s">
        <v>293</v>
      </c>
      <c r="I1140" s="120" t="s">
        <v>580</v>
      </c>
      <c r="J1140" s="121">
        <v>3740</v>
      </c>
      <c r="K1140" s="121">
        <v>3779.166666666667</v>
      </c>
      <c r="L1140" s="121">
        <v>39.16666666666697</v>
      </c>
      <c r="M1140" s="121">
        <v>39.16666666666697</v>
      </c>
      <c r="N1140" s="121">
        <v>1.603865792191228</v>
      </c>
      <c r="O1140" s="132">
        <f t="shared" si="19"/>
        <v>1.603865792191228</v>
      </c>
      <c r="P1140" s="121">
        <v>1.0472370766488495</v>
      </c>
      <c r="Q1140" s="121">
        <v>1.0472370766488495</v>
      </c>
      <c r="R1140" s="121">
        <v>3762.9629629629626</v>
      </c>
      <c r="S1140" s="121">
        <v>22.962962962962592</v>
      </c>
      <c r="T1140" s="121">
        <v>22.962962962962592</v>
      </c>
      <c r="U1140" s="121">
        <v>1.3795405165097063</v>
      </c>
      <c r="V1140" s="121">
        <v>0.61398296692413346</v>
      </c>
      <c r="W1140" s="103">
        <v>0.61398296692413346</v>
      </c>
    </row>
    <row r="1141" spans="1:23" x14ac:dyDescent="0.15">
      <c r="A1141" s="103" t="s">
        <v>77</v>
      </c>
      <c r="B1141" s="103" t="s">
        <v>665</v>
      </c>
      <c r="C1141" s="103" t="s">
        <v>970</v>
      </c>
      <c r="D1141" s="103" t="s">
        <v>403</v>
      </c>
      <c r="E1141" s="103" t="s">
        <v>82</v>
      </c>
      <c r="F1141" s="103" t="s">
        <v>967</v>
      </c>
      <c r="G1141" s="103">
        <v>1</v>
      </c>
      <c r="H1141" s="120" t="s">
        <v>374</v>
      </c>
      <c r="I1141" s="120" t="s">
        <v>580</v>
      </c>
      <c r="J1141" s="121">
        <v>1342.6</v>
      </c>
      <c r="K1141" s="121">
        <v>1381.8954819999999</v>
      </c>
      <c r="L1141" s="121">
        <v>39.295481999999993</v>
      </c>
      <c r="M1141" s="121">
        <v>39.295481999999993</v>
      </c>
      <c r="N1141" s="121">
        <v>1.6052563550129566</v>
      </c>
      <c r="O1141" s="132">
        <f t="shared" si="19"/>
        <v>1.6052563550129566</v>
      </c>
      <c r="P1141" s="121">
        <v>2.9268197527186053</v>
      </c>
      <c r="Q1141" s="121">
        <v>2.9268197527186053</v>
      </c>
      <c r="R1141" s="121">
        <v>1399.3067079999998</v>
      </c>
      <c r="S1141" s="121">
        <v>56.706707999999935</v>
      </c>
      <c r="T1141" s="121">
        <v>56.706707999999935</v>
      </c>
      <c r="U1141" s="121">
        <v>1.761226299777148</v>
      </c>
      <c r="V1141" s="121">
        <v>4.2236487412483195</v>
      </c>
      <c r="W1141" s="103">
        <v>4.2236487412483195</v>
      </c>
    </row>
    <row r="1142" spans="1:23" x14ac:dyDescent="0.15">
      <c r="A1142" s="103" t="s">
        <v>77</v>
      </c>
      <c r="B1142" s="103" t="s">
        <v>369</v>
      </c>
      <c r="C1142" s="103" t="s">
        <v>975</v>
      </c>
      <c r="D1142" s="103" t="s">
        <v>403</v>
      </c>
      <c r="E1142" s="103" t="s">
        <v>148</v>
      </c>
      <c r="F1142" s="103" t="s">
        <v>967</v>
      </c>
      <c r="G1142" s="103">
        <v>1</v>
      </c>
      <c r="H1142" s="120" t="s">
        <v>374</v>
      </c>
      <c r="I1142" s="120" t="s">
        <v>580</v>
      </c>
      <c r="J1142" s="121">
        <v>2524.9700000000003</v>
      </c>
      <c r="K1142" s="121">
        <v>2484.3263000000002</v>
      </c>
      <c r="L1142" s="121">
        <v>-40.643700000000081</v>
      </c>
      <c r="M1142" s="121">
        <v>40.643700000000081</v>
      </c>
      <c r="N1142" s="121">
        <v>1.619549309171729</v>
      </c>
      <c r="O1142" s="132">
        <f t="shared" si="19"/>
        <v>-1.619549309171729</v>
      </c>
      <c r="P1142" s="121">
        <v>-1.6096706099478439</v>
      </c>
      <c r="Q1142" s="121">
        <v>1.6096706099478439</v>
      </c>
      <c r="R1142" s="121">
        <v>2518.2239960000002</v>
      </c>
      <c r="S1142" s="121">
        <v>-6.7460040000000845</v>
      </c>
      <c r="T1142" s="121">
        <v>6.7460040000000845</v>
      </c>
      <c r="U1142" s="121">
        <v>0.8890777169177525</v>
      </c>
      <c r="V1142" s="121">
        <v>-0.26717164956415657</v>
      </c>
      <c r="W1142" s="103">
        <v>0.26717164956415657</v>
      </c>
    </row>
    <row r="1143" spans="1:23" x14ac:dyDescent="0.15">
      <c r="A1143" s="103" t="s">
        <v>77</v>
      </c>
      <c r="B1143" s="103" t="s">
        <v>669</v>
      </c>
      <c r="C1143" s="103" t="s">
        <v>971</v>
      </c>
      <c r="D1143" s="103" t="s">
        <v>403</v>
      </c>
      <c r="E1143" s="103" t="s">
        <v>148</v>
      </c>
      <c r="F1143" s="103" t="s">
        <v>968</v>
      </c>
      <c r="G1143" s="103">
        <v>0</v>
      </c>
      <c r="H1143" s="120" t="s">
        <v>494</v>
      </c>
      <c r="I1143" s="120" t="s">
        <v>580</v>
      </c>
      <c r="J1143" s="121">
        <v>875</v>
      </c>
      <c r="K1143" s="121">
        <v>917.27687493131361</v>
      </c>
      <c r="L1143" s="121">
        <v>42.276874931313614</v>
      </c>
      <c r="M1143" s="121">
        <v>42.276874931313614</v>
      </c>
      <c r="N1143" s="121">
        <v>1.636255892369139</v>
      </c>
      <c r="O1143" s="132">
        <f t="shared" si="19"/>
        <v>1.636255892369139</v>
      </c>
      <c r="P1143" s="121">
        <v>4.8316428492929848</v>
      </c>
      <c r="Q1143" s="121">
        <v>4.8316428492929848</v>
      </c>
      <c r="R1143" s="121">
        <v>941.1356297085855</v>
      </c>
      <c r="S1143" s="121">
        <v>66.135629708585498</v>
      </c>
      <c r="T1143" s="121">
        <v>66.135629708585498</v>
      </c>
      <c r="U1143" s="121">
        <v>1.8269530668014693</v>
      </c>
      <c r="V1143" s="121">
        <v>7.5583576809811994</v>
      </c>
      <c r="W1143" s="103">
        <v>7.5583576809811994</v>
      </c>
    </row>
    <row r="1144" spans="1:23" x14ac:dyDescent="0.15">
      <c r="A1144" s="103" t="s">
        <v>77</v>
      </c>
      <c r="B1144" s="103" t="s">
        <v>381</v>
      </c>
      <c r="C1144" s="103" t="s">
        <v>971</v>
      </c>
      <c r="D1144" s="103" t="s">
        <v>403</v>
      </c>
      <c r="E1144" s="103" t="s">
        <v>148</v>
      </c>
      <c r="F1144" s="103" t="s">
        <v>968</v>
      </c>
      <c r="G1144" s="103">
        <v>0</v>
      </c>
      <c r="H1144" s="120" t="s">
        <v>494</v>
      </c>
      <c r="I1144" s="120" t="s">
        <v>580</v>
      </c>
      <c r="J1144" s="121">
        <v>786.1</v>
      </c>
      <c r="K1144" s="121">
        <v>828.54506533893959</v>
      </c>
      <c r="L1144" s="121">
        <v>42.445065338939571</v>
      </c>
      <c r="M1144" s="121">
        <v>42.445065338939571</v>
      </c>
      <c r="N1144" s="121">
        <v>1.6379404547139227</v>
      </c>
      <c r="O1144" s="132">
        <f t="shared" si="19"/>
        <v>1.6379404547139227</v>
      </c>
      <c r="P1144" s="121">
        <v>5.3994485865589068</v>
      </c>
      <c r="Q1144" s="121">
        <v>5.3994485865589068</v>
      </c>
      <c r="R1144" s="121">
        <v>799.61108035229688</v>
      </c>
      <c r="S1144" s="121">
        <v>13.511080352296858</v>
      </c>
      <c r="T1144" s="121">
        <v>13.511080352296858</v>
      </c>
      <c r="U1144" s="121">
        <v>1.1616997469363526</v>
      </c>
      <c r="V1144" s="121">
        <v>1.7187482956744509</v>
      </c>
      <c r="W1144" s="103">
        <v>1.7187482956744509</v>
      </c>
    </row>
    <row r="1145" spans="1:23" x14ac:dyDescent="0.15">
      <c r="A1145" s="103" t="s">
        <v>77</v>
      </c>
      <c r="B1145" s="103" t="s">
        <v>584</v>
      </c>
      <c r="C1145" s="103" t="s">
        <v>972</v>
      </c>
      <c r="D1145" s="103" t="s">
        <v>403</v>
      </c>
      <c r="E1145" s="103" t="s">
        <v>148</v>
      </c>
      <c r="F1145" s="103" t="s">
        <v>968</v>
      </c>
      <c r="G1145" s="103">
        <v>0</v>
      </c>
      <c r="H1145" s="120" t="s">
        <v>374</v>
      </c>
      <c r="I1145" s="120" t="s">
        <v>580</v>
      </c>
      <c r="J1145" s="121">
        <v>1687.51</v>
      </c>
      <c r="K1145" s="121">
        <v>1732.3409490014649</v>
      </c>
      <c r="L1145" s="121">
        <v>44.830949001464887</v>
      </c>
      <c r="M1145" s="121">
        <v>44.830949001464887</v>
      </c>
      <c r="N1145" s="121">
        <v>1.661158850084246</v>
      </c>
      <c r="O1145" s="132">
        <f t="shared" si="19"/>
        <v>1.661158850084246</v>
      </c>
      <c r="P1145" s="121">
        <v>2.6566330867055536</v>
      </c>
      <c r="Q1145" s="121">
        <v>2.6566330867055536</v>
      </c>
      <c r="R1145" s="121">
        <v>1771.7177960048514</v>
      </c>
      <c r="S1145" s="121">
        <v>84.207796004851389</v>
      </c>
      <c r="T1145" s="121">
        <v>84.207796004851389</v>
      </c>
      <c r="U1145" s="121">
        <v>1.9304793319379985</v>
      </c>
      <c r="V1145" s="121">
        <v>4.9900620443642643</v>
      </c>
      <c r="W1145" s="103">
        <v>4.9900620443642643</v>
      </c>
    </row>
    <row r="1146" spans="1:23" x14ac:dyDescent="0.15">
      <c r="A1146" s="103" t="s">
        <v>77</v>
      </c>
      <c r="B1146" s="103" t="s">
        <v>384</v>
      </c>
      <c r="C1146" s="103" t="s">
        <v>972</v>
      </c>
      <c r="D1146" s="103" t="s">
        <v>403</v>
      </c>
      <c r="E1146" s="103" t="s">
        <v>148</v>
      </c>
      <c r="F1146" s="103" t="s">
        <v>968</v>
      </c>
      <c r="G1146" s="103">
        <v>0</v>
      </c>
      <c r="H1146" s="120" t="s">
        <v>374</v>
      </c>
      <c r="I1146" s="120" t="s">
        <v>580</v>
      </c>
      <c r="J1146" s="121">
        <v>1545.5</v>
      </c>
      <c r="K1146" s="121">
        <v>1592.158578608942</v>
      </c>
      <c r="L1146" s="121">
        <v>46.65857860894198</v>
      </c>
      <c r="M1146" s="121">
        <v>46.65857860894198</v>
      </c>
      <c r="N1146" s="121">
        <v>1.6781410856080372</v>
      </c>
      <c r="O1146" s="132">
        <f t="shared" si="19"/>
        <v>1.6781410856080372</v>
      </c>
      <c r="P1146" s="121">
        <v>3.0189957042343565</v>
      </c>
      <c r="Q1146" s="121">
        <v>3.0189957042343565</v>
      </c>
      <c r="R1146" s="121">
        <v>1593.3880228117184</v>
      </c>
      <c r="S1146" s="121">
        <v>47.888022811718429</v>
      </c>
      <c r="T1146" s="121">
        <v>47.888022811718429</v>
      </c>
      <c r="U1146" s="121">
        <v>1.6892024733586595</v>
      </c>
      <c r="V1146" s="121">
        <v>3.0985456364748254</v>
      </c>
      <c r="W1146" s="103">
        <v>3.0985456364748254</v>
      </c>
    </row>
    <row r="1147" spans="1:23" x14ac:dyDescent="0.15">
      <c r="A1147" s="103" t="s">
        <v>77</v>
      </c>
      <c r="B1147" s="103" t="s">
        <v>381</v>
      </c>
      <c r="C1147" s="103" t="s">
        <v>973</v>
      </c>
      <c r="D1147" s="103" t="s">
        <v>403</v>
      </c>
      <c r="E1147" s="103" t="s">
        <v>148</v>
      </c>
      <c r="F1147" s="103" t="s">
        <v>968</v>
      </c>
      <c r="G1147" s="103">
        <v>0</v>
      </c>
      <c r="H1147" s="120" t="s">
        <v>494</v>
      </c>
      <c r="I1147" s="120" t="s">
        <v>580</v>
      </c>
      <c r="J1147" s="121">
        <v>786.1</v>
      </c>
      <c r="K1147" s="121">
        <v>738.17938329809203</v>
      </c>
      <c r="L1147" s="121">
        <v>-47.920616701907988</v>
      </c>
      <c r="M1147" s="121">
        <v>47.920616701907988</v>
      </c>
      <c r="N1147" s="121">
        <v>1.6894919231914649</v>
      </c>
      <c r="O1147" s="132">
        <f t="shared" si="19"/>
        <v>-1.6894919231914649</v>
      </c>
      <c r="P1147" s="121">
        <v>-6.0959950008787667</v>
      </c>
      <c r="Q1147" s="121">
        <v>6.0959950008787667</v>
      </c>
      <c r="R1147" s="121">
        <v>766.78236593617646</v>
      </c>
      <c r="S1147" s="121">
        <v>-19.317634063823562</v>
      </c>
      <c r="T1147" s="121">
        <v>19.317634063823562</v>
      </c>
      <c r="U1147" s="121">
        <v>1.3078731340818981</v>
      </c>
      <c r="V1147" s="121">
        <v>-2.4574016109685233</v>
      </c>
      <c r="W1147" s="103">
        <v>2.4574016109685233</v>
      </c>
    </row>
    <row r="1148" spans="1:23" x14ac:dyDescent="0.15">
      <c r="A1148" s="103" t="s">
        <v>77</v>
      </c>
      <c r="B1148" s="103" t="s">
        <v>669</v>
      </c>
      <c r="C1148" s="24" t="s">
        <v>980</v>
      </c>
      <c r="D1148" s="103" t="s">
        <v>403</v>
      </c>
      <c r="E1148" s="103" t="s">
        <v>148</v>
      </c>
      <c r="F1148" s="103" t="s">
        <v>968</v>
      </c>
      <c r="G1148" s="103">
        <v>0</v>
      </c>
      <c r="H1148" s="120" t="s">
        <v>494</v>
      </c>
      <c r="I1148" s="120" t="s">
        <v>580</v>
      </c>
      <c r="J1148" s="121">
        <v>875</v>
      </c>
      <c r="K1148" s="121">
        <v>924.61219190393035</v>
      </c>
      <c r="L1148" s="121">
        <v>49.612191903930352</v>
      </c>
      <c r="M1148" s="121">
        <v>49.612191903930352</v>
      </c>
      <c r="N1148" s="121">
        <v>1.7042551460653272</v>
      </c>
      <c r="O1148" s="132">
        <f t="shared" si="19"/>
        <v>1.7042551460653272</v>
      </c>
      <c r="P1148" s="121">
        <v>5.6699647890206117</v>
      </c>
      <c r="Q1148" s="121">
        <v>5.6699647890206117</v>
      </c>
      <c r="R1148" s="121">
        <v>927.42414033353452</v>
      </c>
      <c r="S1148" s="121">
        <v>52.424140333534524</v>
      </c>
      <c r="T1148" s="121">
        <v>52.424140333534524</v>
      </c>
      <c r="U1148" s="121">
        <v>1.7277375425084316</v>
      </c>
      <c r="V1148" s="121">
        <v>5.9913303238325168</v>
      </c>
      <c r="W1148" s="103">
        <v>5.9913303238325168</v>
      </c>
    </row>
    <row r="1149" spans="1:23" x14ac:dyDescent="0.15">
      <c r="A1149" s="103" t="s">
        <v>77</v>
      </c>
      <c r="B1149" s="103" t="s">
        <v>115</v>
      </c>
      <c r="C1149" s="103" t="s">
        <v>971</v>
      </c>
      <c r="D1149" s="103" t="s">
        <v>403</v>
      </c>
      <c r="E1149" s="103" t="s">
        <v>83</v>
      </c>
      <c r="F1149" s="103" t="s">
        <v>968</v>
      </c>
      <c r="G1149" s="103">
        <v>0</v>
      </c>
      <c r="H1149" s="120" t="s">
        <v>203</v>
      </c>
      <c r="I1149" s="120" t="s">
        <v>581</v>
      </c>
      <c r="J1149" s="121">
        <v>4938.3100000000004</v>
      </c>
      <c r="K1149" s="121">
        <v>4888.4889111307457</v>
      </c>
      <c r="L1149" s="121">
        <v>-49.821088869254709</v>
      </c>
      <c r="M1149" s="121">
        <v>49.821088869254709</v>
      </c>
      <c r="N1149" s="121">
        <v>1.7060439658076767</v>
      </c>
      <c r="O1149" s="132">
        <f t="shared" si="19"/>
        <v>-1.7060439658076767</v>
      </c>
      <c r="P1149" s="121">
        <v>-1.0088692056443338</v>
      </c>
      <c r="Q1149" s="121">
        <v>1.0088692056443338</v>
      </c>
      <c r="R1149" s="121">
        <v>4817.2699769193605</v>
      </c>
      <c r="S1149" s="121">
        <v>-121.04002308063991</v>
      </c>
      <c r="T1149" s="121">
        <v>121.04002308063991</v>
      </c>
      <c r="U1149" s="121">
        <v>2.0865022811056826</v>
      </c>
      <c r="V1149" s="121">
        <v>-2.451041410535991</v>
      </c>
      <c r="W1149" s="103">
        <v>2.451041410535991</v>
      </c>
    </row>
    <row r="1150" spans="1:23" x14ac:dyDescent="0.15">
      <c r="A1150" s="103" t="s">
        <v>77</v>
      </c>
      <c r="B1150" s="103" t="s">
        <v>669</v>
      </c>
      <c r="C1150" s="103" t="s">
        <v>973</v>
      </c>
      <c r="D1150" s="103" t="s">
        <v>403</v>
      </c>
      <c r="E1150" s="103" t="s">
        <v>148</v>
      </c>
      <c r="F1150" s="103" t="s">
        <v>968</v>
      </c>
      <c r="G1150" s="103">
        <v>0</v>
      </c>
      <c r="H1150" s="120" t="s">
        <v>494</v>
      </c>
      <c r="I1150" s="120" t="s">
        <v>580</v>
      </c>
      <c r="J1150" s="121">
        <v>875</v>
      </c>
      <c r="K1150" s="121">
        <v>824.08221415949743</v>
      </c>
      <c r="L1150" s="121">
        <v>-50.917785840502575</v>
      </c>
      <c r="M1150" s="121">
        <v>50.917785840502575</v>
      </c>
      <c r="N1150" s="121">
        <v>1.7153161626490865</v>
      </c>
      <c r="O1150" s="132">
        <f t="shared" si="19"/>
        <v>-1.7153161626490865</v>
      </c>
      <c r="P1150" s="121">
        <v>-5.8191755246288652</v>
      </c>
      <c r="Q1150" s="121">
        <v>5.8191755246288652</v>
      </c>
      <c r="R1150" s="121">
        <v>913.91920756716263</v>
      </c>
      <c r="S1150" s="121">
        <v>38.91920756716263</v>
      </c>
      <c r="T1150" s="121">
        <v>38.91920756716263</v>
      </c>
      <c r="U1150" s="121">
        <v>1.6011819115576089</v>
      </c>
      <c r="V1150" s="121">
        <v>4.4479094362471576</v>
      </c>
      <c r="W1150" s="103">
        <v>4.4479094362471576</v>
      </c>
    </row>
    <row r="1151" spans="1:23" x14ac:dyDescent="0.15">
      <c r="A1151" s="103" t="s">
        <v>77</v>
      </c>
      <c r="B1151" s="103" t="s">
        <v>369</v>
      </c>
      <c r="C1151" s="103" t="s">
        <v>973</v>
      </c>
      <c r="D1151" s="103" t="s">
        <v>403</v>
      </c>
      <c r="E1151" s="103" t="s">
        <v>148</v>
      </c>
      <c r="F1151" s="103" t="s">
        <v>968</v>
      </c>
      <c r="G1151" s="103">
        <v>0</v>
      </c>
      <c r="H1151" s="120" t="s">
        <v>374</v>
      </c>
      <c r="I1151" s="120" t="s">
        <v>580</v>
      </c>
      <c r="J1151" s="121">
        <v>2524.9700000000003</v>
      </c>
      <c r="K1151" s="121">
        <v>2473.875529279936</v>
      </c>
      <c r="L1151" s="121">
        <v>-51.094470720064237</v>
      </c>
      <c r="M1151" s="121">
        <v>51.094470720064237</v>
      </c>
      <c r="N1151" s="121">
        <v>1.7167916299559782</v>
      </c>
      <c r="O1151" s="132">
        <f t="shared" si="19"/>
        <v>-1.7167916299559782</v>
      </c>
      <c r="P1151" s="121">
        <v>-2.0235674372394219</v>
      </c>
      <c r="Q1151" s="121">
        <v>2.0235674372394219</v>
      </c>
      <c r="R1151" s="121">
        <v>2651.2616038712436</v>
      </c>
      <c r="S1151" s="121">
        <v>126.2916038712433</v>
      </c>
      <c r="T1151" s="121">
        <v>126.2916038712433</v>
      </c>
      <c r="U1151" s="121">
        <v>2.1047997586211071</v>
      </c>
      <c r="V1151" s="121">
        <v>5.0017071042920627</v>
      </c>
      <c r="W1151" s="103">
        <v>5.0017071042920627</v>
      </c>
    </row>
    <row r="1152" spans="1:23" x14ac:dyDescent="0.15">
      <c r="A1152" s="103" t="s">
        <v>77</v>
      </c>
      <c r="B1152" s="103" t="s">
        <v>127</v>
      </c>
      <c r="C1152" s="103" t="s">
        <v>970</v>
      </c>
      <c r="D1152" s="103" t="s">
        <v>403</v>
      </c>
      <c r="E1152" s="103" t="s">
        <v>82</v>
      </c>
      <c r="F1152" s="103" t="s">
        <v>967</v>
      </c>
      <c r="G1152" s="103">
        <v>1</v>
      </c>
      <c r="H1152" s="120" t="s">
        <v>203</v>
      </c>
      <c r="I1152" s="120" t="s">
        <v>581</v>
      </c>
      <c r="J1152" s="121">
        <v>4745.58</v>
      </c>
      <c r="K1152" s="121">
        <v>4796.6950419999994</v>
      </c>
      <c r="L1152" s="121">
        <v>51.115041999999448</v>
      </c>
      <c r="M1152" s="121">
        <v>51.115041999999448</v>
      </c>
      <c r="N1152" s="121">
        <v>1.7169630921045749</v>
      </c>
      <c r="O1152" s="132">
        <f t="shared" si="19"/>
        <v>1.7169630921045749</v>
      </c>
      <c r="P1152" s="121">
        <v>1.0771084251029264</v>
      </c>
      <c r="Q1152" s="121">
        <v>1.0771084251029264</v>
      </c>
      <c r="R1152" s="121">
        <v>4741.2058440000001</v>
      </c>
      <c r="S1152" s="121">
        <v>-4.3741559999998572</v>
      </c>
      <c r="T1152" s="121">
        <v>4.3741559999998572</v>
      </c>
      <c r="U1152" s="121">
        <v>0.73031026889949224</v>
      </c>
      <c r="V1152" s="121">
        <v>-9.2173264384961526E-2</v>
      </c>
      <c r="W1152" s="103">
        <v>9.2173264384961526E-2</v>
      </c>
    </row>
    <row r="1153" spans="1:23" x14ac:dyDescent="0.15">
      <c r="A1153" s="103" t="s">
        <v>77</v>
      </c>
      <c r="B1153" s="103" t="s">
        <v>386</v>
      </c>
      <c r="C1153" s="24" t="s">
        <v>980</v>
      </c>
      <c r="D1153" s="103" t="s">
        <v>403</v>
      </c>
      <c r="E1153" s="103" t="s">
        <v>82</v>
      </c>
      <c r="F1153" s="103" t="s">
        <v>968</v>
      </c>
      <c r="G1153" s="103">
        <v>0</v>
      </c>
      <c r="H1153" s="120" t="s">
        <v>374</v>
      </c>
      <c r="I1153" s="120" t="s">
        <v>580</v>
      </c>
      <c r="J1153" s="121">
        <v>1538.3</v>
      </c>
      <c r="K1153" s="121">
        <v>1486.5686554114934</v>
      </c>
      <c r="L1153" s="121">
        <v>-51.731344588506545</v>
      </c>
      <c r="M1153" s="121">
        <v>51.731344588506545</v>
      </c>
      <c r="N1153" s="121">
        <v>1.7220688454813555</v>
      </c>
      <c r="O1153" s="132">
        <f t="shared" si="19"/>
        <v>-1.7220688454813555</v>
      </c>
      <c r="P1153" s="121">
        <v>-3.3628905017556097</v>
      </c>
      <c r="Q1153" s="121">
        <v>3.3628905017556097</v>
      </c>
      <c r="R1153" s="121">
        <v>1442.7819211931703</v>
      </c>
      <c r="S1153" s="121">
        <v>-95.518078806829635</v>
      </c>
      <c r="T1153" s="121">
        <v>95.518078806829635</v>
      </c>
      <c r="U1153" s="121">
        <v>1.9846086686874682</v>
      </c>
      <c r="V1153" s="121">
        <v>-6.2093271017896141</v>
      </c>
      <c r="W1153" s="103">
        <v>6.2093271017896141</v>
      </c>
    </row>
    <row r="1154" spans="1:23" x14ac:dyDescent="0.15">
      <c r="A1154" s="103" t="s">
        <v>77</v>
      </c>
      <c r="B1154" s="103" t="s">
        <v>389</v>
      </c>
      <c r="C1154" s="24" t="s">
        <v>980</v>
      </c>
      <c r="D1154" s="103" t="s">
        <v>403</v>
      </c>
      <c r="E1154" s="103" t="s">
        <v>82</v>
      </c>
      <c r="F1154" s="103" t="s">
        <v>968</v>
      </c>
      <c r="G1154" s="103">
        <v>0</v>
      </c>
      <c r="H1154" s="120" t="s">
        <v>494</v>
      </c>
      <c r="I1154" s="120" t="s">
        <v>580</v>
      </c>
      <c r="J1154" s="121">
        <v>1095.26</v>
      </c>
      <c r="K1154" s="121">
        <v>1148.4215390456909</v>
      </c>
      <c r="L1154" s="121">
        <v>53.161539045690915</v>
      </c>
      <c r="M1154" s="121">
        <v>53.161539045690915</v>
      </c>
      <c r="N1154" s="121">
        <v>1.7336909966954466</v>
      </c>
      <c r="O1154" s="132">
        <f t="shared" si="19"/>
        <v>1.7336909966954466</v>
      </c>
      <c r="P1154" s="121">
        <v>4.8537825763463394</v>
      </c>
      <c r="Q1154" s="121">
        <v>4.8537825763463394</v>
      </c>
      <c r="R1154" s="121">
        <v>1120.0554954364497</v>
      </c>
      <c r="S1154" s="121">
        <v>24.795495436449755</v>
      </c>
      <c r="T1154" s="121">
        <v>24.795495436449755</v>
      </c>
      <c r="U1154" s="121">
        <v>1.4115438734867058</v>
      </c>
      <c r="V1154" s="121">
        <v>2.26389126202452</v>
      </c>
      <c r="W1154" s="103">
        <v>2.26389126202452</v>
      </c>
    </row>
    <row r="1155" spans="1:23" x14ac:dyDescent="0.15">
      <c r="A1155" s="103" t="s">
        <v>77</v>
      </c>
      <c r="B1155" s="103" t="s">
        <v>389</v>
      </c>
      <c r="C1155" s="103" t="s">
        <v>979</v>
      </c>
      <c r="D1155" s="103" t="s">
        <v>403</v>
      </c>
      <c r="E1155" s="103" t="s">
        <v>82</v>
      </c>
      <c r="F1155" s="103" t="s">
        <v>967</v>
      </c>
      <c r="G1155" s="103">
        <v>1</v>
      </c>
      <c r="H1155" s="120" t="s">
        <v>494</v>
      </c>
      <c r="I1155" s="120" t="s">
        <v>580</v>
      </c>
      <c r="J1155" s="121">
        <v>1095.26</v>
      </c>
      <c r="K1155" s="121">
        <v>1148.6666666666667</v>
      </c>
      <c r="L1155" s="121">
        <v>53.406666666666752</v>
      </c>
      <c r="M1155" s="121">
        <v>53.406666666666752</v>
      </c>
      <c r="N1155" s="121">
        <v>1.7356521188002512</v>
      </c>
      <c r="O1155" s="132">
        <f t="shared" si="19"/>
        <v>1.7356521188002512</v>
      </c>
      <c r="P1155" s="121">
        <v>4.8761633462982994</v>
      </c>
      <c r="Q1155" s="121">
        <v>4.8761633462982994</v>
      </c>
      <c r="R1155" s="121">
        <v>1089.7037037037037</v>
      </c>
      <c r="S1155" s="121">
        <v>-5.5562962962962956</v>
      </c>
      <c r="T1155" s="121">
        <v>5.5562962962962956</v>
      </c>
      <c r="U1155" s="121">
        <v>0.81665857225336613</v>
      </c>
      <c r="V1155" s="121">
        <v>-0.50730386358456403</v>
      </c>
      <c r="W1155" s="103">
        <v>0.50730386358456403</v>
      </c>
    </row>
    <row r="1156" spans="1:23" x14ac:dyDescent="0.15">
      <c r="A1156" s="103" t="s">
        <v>77</v>
      </c>
      <c r="B1156" s="103" t="s">
        <v>381</v>
      </c>
      <c r="C1156" s="24" t="s">
        <v>980</v>
      </c>
      <c r="D1156" s="103" t="s">
        <v>403</v>
      </c>
      <c r="E1156" s="103" t="s">
        <v>148</v>
      </c>
      <c r="F1156" s="103" t="s">
        <v>968</v>
      </c>
      <c r="G1156" s="103">
        <v>0</v>
      </c>
      <c r="H1156" s="120" t="s">
        <v>494</v>
      </c>
      <c r="I1156" s="120" t="s">
        <v>580</v>
      </c>
      <c r="J1156" s="121">
        <v>786.1</v>
      </c>
      <c r="K1156" s="121">
        <v>845.25690391442788</v>
      </c>
      <c r="L1156" s="121">
        <v>59.156903914427858</v>
      </c>
      <c r="M1156" s="121">
        <v>59.156903914427858</v>
      </c>
      <c r="N1156" s="121">
        <v>1.7792854763954147</v>
      </c>
      <c r="O1156" s="132">
        <f t="shared" si="19"/>
        <v>1.7792854763954147</v>
      </c>
      <c r="P1156" s="121">
        <v>7.5253662275064057</v>
      </c>
      <c r="Q1156" s="121">
        <v>7.5253662275064057</v>
      </c>
      <c r="R1156" s="121">
        <v>801.54649077498243</v>
      </c>
      <c r="S1156" s="121">
        <v>15.446490774982408</v>
      </c>
      <c r="T1156" s="121">
        <v>15.446490774982408</v>
      </c>
      <c r="U1156" s="121">
        <v>1.2160732457727434</v>
      </c>
      <c r="V1156" s="121">
        <v>1.9649523947312566</v>
      </c>
      <c r="W1156" s="103">
        <v>1.9649523947312566</v>
      </c>
    </row>
    <row r="1157" spans="1:23" x14ac:dyDescent="0.15">
      <c r="A1157" s="103" t="s">
        <v>77</v>
      </c>
      <c r="B1157" s="103" t="s">
        <v>100</v>
      </c>
      <c r="C1157" s="103" t="s">
        <v>971</v>
      </c>
      <c r="D1157" s="103" t="s">
        <v>403</v>
      </c>
      <c r="E1157" s="103" t="s">
        <v>82</v>
      </c>
      <c r="F1157" s="103" t="s">
        <v>968</v>
      </c>
      <c r="G1157" s="103">
        <v>0</v>
      </c>
      <c r="H1157" s="120" t="s">
        <v>374</v>
      </c>
      <c r="I1157" s="120" t="s">
        <v>580</v>
      </c>
      <c r="J1157" s="121">
        <v>1299.96</v>
      </c>
      <c r="K1157" s="121">
        <v>1239.90334659007</v>
      </c>
      <c r="L1157" s="121">
        <v>-60.05665340993005</v>
      </c>
      <c r="M1157" s="121">
        <v>60.05665340993005</v>
      </c>
      <c r="N1157" s="121">
        <v>1.7857329964016977</v>
      </c>
      <c r="O1157" s="132">
        <f t="shared" si="19"/>
        <v>-1.7857329964016977</v>
      </c>
      <c r="P1157" s="121">
        <v>-4.6198847202937054</v>
      </c>
      <c r="Q1157" s="121">
        <v>4.6198847202937054</v>
      </c>
      <c r="R1157" s="121">
        <v>1196.3755793361854</v>
      </c>
      <c r="S1157" s="121">
        <v>-103.58442066381463</v>
      </c>
      <c r="T1157" s="121">
        <v>103.58442066381463</v>
      </c>
      <c r="U1157" s="121">
        <v>2.019466995012523</v>
      </c>
      <c r="V1157" s="121">
        <v>-7.968277536525326</v>
      </c>
      <c r="W1157" s="103">
        <v>7.968277536525326</v>
      </c>
    </row>
    <row r="1158" spans="1:23" x14ac:dyDescent="0.15">
      <c r="A1158" s="103" t="s">
        <v>77</v>
      </c>
      <c r="B1158" s="103" t="s">
        <v>598</v>
      </c>
      <c r="C1158" s="103" t="s">
        <v>970</v>
      </c>
      <c r="D1158" s="103" t="s">
        <v>403</v>
      </c>
      <c r="E1158" s="103" t="s">
        <v>82</v>
      </c>
      <c r="F1158" s="103" t="s">
        <v>967</v>
      </c>
      <c r="G1158" s="103">
        <v>1</v>
      </c>
      <c r="H1158" s="120" t="s">
        <v>494</v>
      </c>
      <c r="I1158" s="120" t="s">
        <v>580</v>
      </c>
      <c r="J1158" s="121">
        <v>1217</v>
      </c>
      <c r="K1158" s="121">
        <v>1277.297</v>
      </c>
      <c r="L1158" s="121">
        <v>60.297000000000025</v>
      </c>
      <c r="M1158" s="121">
        <v>60.297000000000025</v>
      </c>
      <c r="N1158" s="121">
        <v>1.7874392197822313</v>
      </c>
      <c r="O1158" s="132">
        <f t="shared" si="19"/>
        <v>1.7874392197822313</v>
      </c>
      <c r="P1158" s="121">
        <v>4.9545603944124919</v>
      </c>
      <c r="Q1158" s="121">
        <v>4.9545603944124919</v>
      </c>
      <c r="R1158" s="121">
        <v>1290.4195999999999</v>
      </c>
      <c r="S1158" s="121">
        <v>73.419599999999946</v>
      </c>
      <c r="T1158" s="121">
        <v>73.419599999999946</v>
      </c>
      <c r="U1158" s="121">
        <v>1.8716873313901694</v>
      </c>
      <c r="V1158" s="121">
        <v>6.0328348397699214</v>
      </c>
      <c r="W1158" s="103">
        <v>6.0328348397699214</v>
      </c>
    </row>
    <row r="1159" spans="1:23" x14ac:dyDescent="0.15">
      <c r="A1159" s="103" t="s">
        <v>77</v>
      </c>
      <c r="B1159" s="103" t="s">
        <v>369</v>
      </c>
      <c r="C1159" s="103" t="s">
        <v>970</v>
      </c>
      <c r="D1159" s="103" t="s">
        <v>403</v>
      </c>
      <c r="E1159" s="103" t="s">
        <v>148</v>
      </c>
      <c r="F1159" s="103" t="s">
        <v>967</v>
      </c>
      <c r="G1159" s="103">
        <v>1</v>
      </c>
      <c r="H1159" s="120" t="s">
        <v>374</v>
      </c>
      <c r="I1159" s="120" t="s">
        <v>580</v>
      </c>
      <c r="J1159" s="121">
        <v>2524.9700000000003</v>
      </c>
      <c r="K1159" s="121">
        <v>2462.4953559999999</v>
      </c>
      <c r="L1159" s="121">
        <v>-62.474644000000353</v>
      </c>
      <c r="M1159" s="121">
        <v>62.474644000000353</v>
      </c>
      <c r="N1159" s="121">
        <v>1.8026002737951656</v>
      </c>
      <c r="O1159" s="132">
        <f t="shared" si="19"/>
        <v>-1.8026002737951656</v>
      </c>
      <c r="P1159" s="121">
        <v>-2.4742727240323785</v>
      </c>
      <c r="Q1159" s="121">
        <v>2.4742727240323785</v>
      </c>
      <c r="R1159" s="121">
        <v>2457.4537439999999</v>
      </c>
      <c r="S1159" s="121">
        <v>-67.51625600000034</v>
      </c>
      <c r="T1159" s="121">
        <v>67.51625600000034</v>
      </c>
      <c r="U1159" s="121">
        <v>1.8357936233687093</v>
      </c>
      <c r="V1159" s="121">
        <v>-2.6739428983314784</v>
      </c>
      <c r="W1159" s="103">
        <v>2.6739428983314784</v>
      </c>
    </row>
    <row r="1160" spans="1:23" x14ac:dyDescent="0.15">
      <c r="A1160" s="103" t="s">
        <v>77</v>
      </c>
      <c r="B1160" s="103" t="s">
        <v>115</v>
      </c>
      <c r="C1160" s="103" t="s">
        <v>979</v>
      </c>
      <c r="D1160" s="103" t="s">
        <v>403</v>
      </c>
      <c r="E1160" s="103" t="s">
        <v>83</v>
      </c>
      <c r="F1160" s="103" t="s">
        <v>967</v>
      </c>
      <c r="G1160" s="103">
        <v>1</v>
      </c>
      <c r="H1160" s="120" t="s">
        <v>203</v>
      </c>
      <c r="I1160" s="120" t="s">
        <v>581</v>
      </c>
      <c r="J1160" s="121">
        <v>4938.3100000000004</v>
      </c>
      <c r="K1160" s="121">
        <v>5000.8333333333339</v>
      </c>
      <c r="L1160" s="121">
        <v>62.523333333333539</v>
      </c>
      <c r="M1160" s="121">
        <v>62.523333333333539</v>
      </c>
      <c r="N1160" s="121">
        <v>1.8029332792535862</v>
      </c>
      <c r="O1160" s="132">
        <f t="shared" si="19"/>
        <v>1.8029332792535862</v>
      </c>
      <c r="P1160" s="121">
        <v>1.2660876561684773</v>
      </c>
      <c r="Q1160" s="121">
        <v>1.2660876561684773</v>
      </c>
      <c r="R1160" s="121">
        <v>4821.4814814814808</v>
      </c>
      <c r="S1160" s="121">
        <v>-116.82851851851956</v>
      </c>
      <c r="T1160" s="121">
        <v>116.82851851851956</v>
      </c>
      <c r="U1160" s="121">
        <v>2.0712504172444222</v>
      </c>
      <c r="V1160" s="121">
        <v>-2.3657591062229701</v>
      </c>
      <c r="W1160" s="103">
        <v>2.3657591062229701</v>
      </c>
    </row>
    <row r="1161" spans="1:23" x14ac:dyDescent="0.15">
      <c r="A1161" s="103" t="s">
        <v>77</v>
      </c>
      <c r="B1161" s="103" t="s">
        <v>598</v>
      </c>
      <c r="C1161" s="103" t="s">
        <v>973</v>
      </c>
      <c r="D1161" s="103" t="s">
        <v>403</v>
      </c>
      <c r="E1161" s="103" t="s">
        <v>82</v>
      </c>
      <c r="F1161" s="103" t="s">
        <v>968</v>
      </c>
      <c r="G1161" s="103">
        <v>0</v>
      </c>
      <c r="H1161" s="120" t="s">
        <v>494</v>
      </c>
      <c r="I1161" s="120" t="s">
        <v>580</v>
      </c>
      <c r="J1161" s="121">
        <v>1217</v>
      </c>
      <c r="K1161" s="121">
        <v>1154.3808066489541</v>
      </c>
      <c r="L1161" s="121">
        <v>-62.619193351045851</v>
      </c>
      <c r="M1161" s="121">
        <v>62.619193351045851</v>
      </c>
      <c r="N1161" s="121">
        <v>1.8035881582417856</v>
      </c>
      <c r="O1161" s="132">
        <f t="shared" si="19"/>
        <v>-1.8035881582417856</v>
      </c>
      <c r="P1161" s="121">
        <v>-5.1453733238328558</v>
      </c>
      <c r="Q1161" s="121">
        <v>5.1453733238328558</v>
      </c>
      <c r="R1161" s="121">
        <v>1262.6615198970587</v>
      </c>
      <c r="S1161" s="121">
        <v>45.661519897058724</v>
      </c>
      <c r="T1161" s="121">
        <v>45.661519897058724</v>
      </c>
      <c r="U1161" s="121">
        <v>1.6689588808819766</v>
      </c>
      <c r="V1161" s="121">
        <v>3.7519736973754085</v>
      </c>
      <c r="W1161" s="103">
        <v>3.7519736973754085</v>
      </c>
    </row>
    <row r="1162" spans="1:23" x14ac:dyDescent="0.15">
      <c r="A1162" s="103" t="s">
        <v>77</v>
      </c>
      <c r="B1162" s="103" t="s">
        <v>386</v>
      </c>
      <c r="C1162" s="103" t="s">
        <v>973</v>
      </c>
      <c r="D1162" s="103" t="s">
        <v>403</v>
      </c>
      <c r="E1162" s="103" t="s">
        <v>82</v>
      </c>
      <c r="F1162" s="103" t="s">
        <v>968</v>
      </c>
      <c r="G1162" s="103">
        <v>0</v>
      </c>
      <c r="H1162" s="120" t="s">
        <v>374</v>
      </c>
      <c r="I1162" s="120" t="s">
        <v>580</v>
      </c>
      <c r="J1162" s="121">
        <v>1538.3</v>
      </c>
      <c r="K1162" s="121">
        <v>1475.581736414382</v>
      </c>
      <c r="L1162" s="121">
        <v>-62.718263585617933</v>
      </c>
      <c r="M1162" s="121">
        <v>62.718263585617933</v>
      </c>
      <c r="N1162" s="121">
        <v>1.8042639321407119</v>
      </c>
      <c r="O1162" s="132">
        <f t="shared" si="19"/>
        <v>-1.8042639321407119</v>
      </c>
      <c r="P1162" s="121">
        <v>-4.077115230164333</v>
      </c>
      <c r="Q1162" s="121">
        <v>4.077115230164333</v>
      </c>
      <c r="R1162" s="121">
        <v>1555.4969680035215</v>
      </c>
      <c r="S1162" s="121">
        <v>17.196968003521533</v>
      </c>
      <c r="T1162" s="121">
        <v>17.196968003521533</v>
      </c>
      <c r="U1162" s="121">
        <v>1.2599990314446803</v>
      </c>
      <c r="V1162" s="121">
        <v>1.117920301860595</v>
      </c>
      <c r="W1162" s="103">
        <v>1.117920301860595</v>
      </c>
    </row>
    <row r="1163" spans="1:23" x14ac:dyDescent="0.15">
      <c r="A1163" s="103" t="s">
        <v>77</v>
      </c>
      <c r="B1163" s="103" t="s">
        <v>386</v>
      </c>
      <c r="C1163" s="103" t="s">
        <v>975</v>
      </c>
      <c r="D1163" s="103" t="s">
        <v>403</v>
      </c>
      <c r="E1163" s="103" t="s">
        <v>82</v>
      </c>
      <c r="F1163" s="103" t="s">
        <v>967</v>
      </c>
      <c r="G1163" s="103">
        <v>1</v>
      </c>
      <c r="H1163" s="120" t="s">
        <v>374</v>
      </c>
      <c r="I1163" s="120" t="s">
        <v>580</v>
      </c>
      <c r="J1163" s="121">
        <v>1538.3</v>
      </c>
      <c r="K1163" s="121">
        <v>1606.3895</v>
      </c>
      <c r="L1163" s="121">
        <v>68.089500000000044</v>
      </c>
      <c r="M1163" s="121">
        <v>68.089500000000044</v>
      </c>
      <c r="N1163" s="121">
        <v>1.8394120497105735</v>
      </c>
      <c r="O1163" s="132">
        <f t="shared" si="19"/>
        <v>1.8394120497105735</v>
      </c>
      <c r="P1163" s="121">
        <v>4.4262822596372651</v>
      </c>
      <c r="Q1163" s="121">
        <v>4.4262822596372651</v>
      </c>
      <c r="R1163" s="121">
        <v>1591.71165</v>
      </c>
      <c r="S1163" s="121">
        <v>53.411650000000009</v>
      </c>
      <c r="T1163" s="121">
        <v>53.411650000000009</v>
      </c>
      <c r="U1163" s="121">
        <v>1.7356918958200751</v>
      </c>
      <c r="V1163" s="121">
        <v>3.4721218227913937</v>
      </c>
      <c r="W1163" s="103">
        <v>3.4721218227913937</v>
      </c>
    </row>
    <row r="1164" spans="1:23" x14ac:dyDescent="0.15">
      <c r="A1164" s="103" t="s">
        <v>77</v>
      </c>
      <c r="B1164" s="103" t="s">
        <v>584</v>
      </c>
      <c r="C1164" s="103" t="s">
        <v>970</v>
      </c>
      <c r="D1164" s="103" t="s">
        <v>403</v>
      </c>
      <c r="E1164" s="103" t="s">
        <v>148</v>
      </c>
      <c r="F1164" s="103" t="s">
        <v>967</v>
      </c>
      <c r="G1164" s="103">
        <v>1</v>
      </c>
      <c r="H1164" s="120" t="s">
        <v>374</v>
      </c>
      <c r="I1164" s="120" t="s">
        <v>580</v>
      </c>
      <c r="J1164" s="121">
        <v>1687.51</v>
      </c>
      <c r="K1164" s="121">
        <v>1757.7268300000001</v>
      </c>
      <c r="L1164" s="121">
        <v>70.216830000000073</v>
      </c>
      <c r="M1164" s="121">
        <v>70.216830000000073</v>
      </c>
      <c r="N1164" s="121">
        <v>1.85258263847405</v>
      </c>
      <c r="O1164" s="132">
        <f t="shared" si="19"/>
        <v>1.85258263847405</v>
      </c>
      <c r="P1164" s="121">
        <v>4.1609726757174812</v>
      </c>
      <c r="Q1164" s="121">
        <v>4.1609726757174812</v>
      </c>
      <c r="R1164" s="121">
        <v>1736.2093799999998</v>
      </c>
      <c r="S1164" s="121">
        <v>48.699379999999792</v>
      </c>
      <c r="T1164" s="121">
        <v>48.699379999999792</v>
      </c>
      <c r="U1164" s="121">
        <v>1.6963509709414129</v>
      </c>
      <c r="V1164" s="121">
        <v>2.8858720837209733</v>
      </c>
      <c r="W1164" s="103">
        <v>2.8858720837209733</v>
      </c>
    </row>
    <row r="1165" spans="1:23" x14ac:dyDescent="0.15">
      <c r="A1165" s="103" t="s">
        <v>77</v>
      </c>
      <c r="B1165" s="103" t="s">
        <v>104</v>
      </c>
      <c r="C1165" s="103" t="s">
        <v>973</v>
      </c>
      <c r="D1165" s="103" t="s">
        <v>403</v>
      </c>
      <c r="E1165" s="103" t="s">
        <v>83</v>
      </c>
      <c r="F1165" s="103" t="s">
        <v>968</v>
      </c>
      <c r="G1165" s="103">
        <v>0</v>
      </c>
      <c r="H1165" s="120" t="s">
        <v>203</v>
      </c>
      <c r="I1165" s="120" t="s">
        <v>581</v>
      </c>
      <c r="J1165" s="121">
        <v>4769.5</v>
      </c>
      <c r="K1165" s="121">
        <v>4698.2304426149494</v>
      </c>
      <c r="L1165" s="121">
        <v>-71.269557385050575</v>
      </c>
      <c r="M1165" s="121">
        <v>71.269557385050575</v>
      </c>
      <c r="N1165" s="121">
        <v>1.8589553948893247</v>
      </c>
      <c r="O1165" s="132">
        <f t="shared" si="19"/>
        <v>-1.8589553948893247</v>
      </c>
      <c r="P1165" s="121">
        <v>-1.4942773327403411</v>
      </c>
      <c r="Q1165" s="121">
        <v>1.4942773327403411</v>
      </c>
      <c r="R1165" s="121">
        <v>4815.7324786039781</v>
      </c>
      <c r="S1165" s="121">
        <v>46.232478603978052</v>
      </c>
      <c r="T1165" s="121">
        <v>46.232478603978052</v>
      </c>
      <c r="U1165" s="121">
        <v>1.6742407365101297</v>
      </c>
      <c r="V1165" s="121">
        <v>0.969335959827614</v>
      </c>
      <c r="W1165" s="103">
        <v>0.969335959827614</v>
      </c>
    </row>
    <row r="1166" spans="1:23" x14ac:dyDescent="0.15">
      <c r="A1166" s="103" t="s">
        <v>77</v>
      </c>
      <c r="B1166" s="103" t="s">
        <v>584</v>
      </c>
      <c r="C1166" s="103" t="s">
        <v>979</v>
      </c>
      <c r="D1166" s="103" t="s">
        <v>403</v>
      </c>
      <c r="E1166" s="103" t="s">
        <v>148</v>
      </c>
      <c r="F1166" s="103" t="s">
        <v>967</v>
      </c>
      <c r="G1166" s="103">
        <v>1</v>
      </c>
      <c r="H1166" s="120" t="s">
        <v>374</v>
      </c>
      <c r="I1166" s="120" t="s">
        <v>580</v>
      </c>
      <c r="J1166" s="121">
        <v>1687.51</v>
      </c>
      <c r="K1166" s="121">
        <v>1760.625</v>
      </c>
      <c r="L1166" s="121">
        <v>73.115000000000009</v>
      </c>
      <c r="M1166" s="121">
        <v>73.115000000000009</v>
      </c>
      <c r="N1166" s="121">
        <v>1.869906112945098</v>
      </c>
      <c r="O1166" s="132">
        <f t="shared" si="19"/>
        <v>1.869906112945098</v>
      </c>
      <c r="P1166" s="121">
        <v>4.3327150653922057</v>
      </c>
      <c r="Q1166" s="121">
        <v>4.3327150653922057</v>
      </c>
      <c r="R1166" s="121">
        <v>1678.333333333333</v>
      </c>
      <c r="S1166" s="121">
        <v>-9.1766666666669607</v>
      </c>
      <c r="T1166" s="121">
        <v>9.1766666666669607</v>
      </c>
      <c r="U1166" s="121">
        <v>1.0076055495790119</v>
      </c>
      <c r="V1166" s="121">
        <v>-0.54379924662176582</v>
      </c>
      <c r="W1166" s="103">
        <v>0.54379924662176582</v>
      </c>
    </row>
    <row r="1167" spans="1:23" x14ac:dyDescent="0.15">
      <c r="A1167" s="103" t="s">
        <v>77</v>
      </c>
      <c r="B1167" s="103" t="s">
        <v>665</v>
      </c>
      <c r="C1167" s="103" t="s">
        <v>973</v>
      </c>
      <c r="D1167" s="103" t="s">
        <v>403</v>
      </c>
      <c r="E1167" s="103" t="s">
        <v>82</v>
      </c>
      <c r="F1167" s="103" t="s">
        <v>968</v>
      </c>
      <c r="G1167" s="103">
        <v>0</v>
      </c>
      <c r="H1167" s="120" t="s">
        <v>374</v>
      </c>
      <c r="I1167" s="120" t="s">
        <v>580</v>
      </c>
      <c r="J1167" s="121">
        <v>1342.6</v>
      </c>
      <c r="K1167" s="121">
        <v>1268.7433335158883</v>
      </c>
      <c r="L1167" s="121">
        <v>-73.856666484111656</v>
      </c>
      <c r="M1167" s="121">
        <v>73.856666484111656</v>
      </c>
      <c r="N1167" s="121">
        <v>1.8742304832140129</v>
      </c>
      <c r="O1167" s="132">
        <f t="shared" si="19"/>
        <v>-1.8742304832140129</v>
      </c>
      <c r="P1167" s="121">
        <v>-5.5010179118212168</v>
      </c>
      <c r="Q1167" s="121">
        <v>5.5010179118212168</v>
      </c>
      <c r="R1167" s="121">
        <v>1390.8453109525103</v>
      </c>
      <c r="S1167" s="121">
        <v>48.245310952510408</v>
      </c>
      <c r="T1167" s="121">
        <v>48.245310952510408</v>
      </c>
      <c r="U1167" s="121">
        <v>1.6923648840844028</v>
      </c>
      <c r="V1167" s="121">
        <v>3.5934240244682267</v>
      </c>
      <c r="W1167" s="103">
        <v>3.5934240244682267</v>
      </c>
    </row>
    <row r="1168" spans="1:23" x14ac:dyDescent="0.15">
      <c r="A1168" s="103" t="s">
        <v>77</v>
      </c>
      <c r="B1168" s="103" t="s">
        <v>902</v>
      </c>
      <c r="C1168" s="103" t="s">
        <v>979</v>
      </c>
      <c r="D1168" s="103" t="s">
        <v>401</v>
      </c>
      <c r="E1168" s="103" t="s">
        <v>82</v>
      </c>
      <c r="F1168" s="103" t="s">
        <v>967</v>
      </c>
      <c r="G1168" s="103">
        <v>1</v>
      </c>
      <c r="H1168" s="120" t="s">
        <v>374</v>
      </c>
      <c r="I1168" s="120" t="s">
        <v>580</v>
      </c>
      <c r="J1168" s="121">
        <v>2870</v>
      </c>
      <c r="K1168" s="121">
        <v>2795.8333333333335</v>
      </c>
      <c r="L1168" s="121">
        <v>-74.166666666666515</v>
      </c>
      <c r="M1168" s="121">
        <v>74.166666666666515</v>
      </c>
      <c r="N1168" s="121">
        <v>1.8760252914943161</v>
      </c>
      <c r="O1168" s="132">
        <f t="shared" si="19"/>
        <v>-1.8760252914943161</v>
      </c>
      <c r="P1168" s="121">
        <v>-2.5842044134727007</v>
      </c>
      <c r="Q1168" s="121">
        <v>2.5842044134727007</v>
      </c>
      <c r="R1168" s="121">
        <v>2707.4074074074074</v>
      </c>
      <c r="S1168" s="121">
        <v>-162.59259259259261</v>
      </c>
      <c r="T1168" s="121">
        <v>162.59259259259261</v>
      </c>
      <c r="U1168" s="121">
        <v>2.2137636350994039</v>
      </c>
      <c r="V1168" s="121">
        <v>-5.6652471286617638</v>
      </c>
      <c r="W1168" s="103">
        <v>5.6652471286617638</v>
      </c>
    </row>
    <row r="1169" spans="1:23" x14ac:dyDescent="0.15">
      <c r="A1169" s="103" t="s">
        <v>77</v>
      </c>
      <c r="B1169" s="103" t="s">
        <v>104</v>
      </c>
      <c r="C1169" s="103" t="s">
        <v>972</v>
      </c>
      <c r="D1169" s="103" t="s">
        <v>403</v>
      </c>
      <c r="E1169" s="103" t="s">
        <v>83</v>
      </c>
      <c r="F1169" s="103" t="s">
        <v>968</v>
      </c>
      <c r="G1169" s="103">
        <v>0</v>
      </c>
      <c r="H1169" s="120" t="s">
        <v>203</v>
      </c>
      <c r="I1169" s="120" t="s">
        <v>581</v>
      </c>
      <c r="J1169" s="121">
        <v>4769.5</v>
      </c>
      <c r="K1169" s="121">
        <v>4694.882886691752</v>
      </c>
      <c r="L1169" s="121">
        <v>-74.617113308248008</v>
      </c>
      <c r="M1169" s="121">
        <v>74.617113308248008</v>
      </c>
      <c r="N1169" s="121">
        <v>1.8786200941025797</v>
      </c>
      <c r="O1169" s="132">
        <f t="shared" si="19"/>
        <v>-1.8786200941025797</v>
      </c>
      <c r="P1169" s="121">
        <v>-1.5644640592986268</v>
      </c>
      <c r="Q1169" s="121">
        <v>1.5644640592986268</v>
      </c>
      <c r="R1169" s="121">
        <v>4767.8151718931749</v>
      </c>
      <c r="S1169" s="121">
        <v>-1.6848281068250799</v>
      </c>
      <c r="T1169" s="121">
        <v>1.6848281068250799</v>
      </c>
      <c r="U1169" s="121">
        <v>0.42891648569775015</v>
      </c>
      <c r="V1169" s="121">
        <v>-3.5325046793690744E-2</v>
      </c>
      <c r="W1169" s="103">
        <v>3.5325046793690744E-2</v>
      </c>
    </row>
    <row r="1170" spans="1:23" x14ac:dyDescent="0.15">
      <c r="A1170" s="103" t="s">
        <v>77</v>
      </c>
      <c r="B1170" s="103" t="s">
        <v>384</v>
      </c>
      <c r="C1170" s="103" t="s">
        <v>979</v>
      </c>
      <c r="D1170" s="103" t="s">
        <v>403</v>
      </c>
      <c r="E1170" s="103" t="s">
        <v>148</v>
      </c>
      <c r="F1170" s="103" t="s">
        <v>967</v>
      </c>
      <c r="G1170" s="103">
        <v>1</v>
      </c>
      <c r="H1170" s="120" t="s">
        <v>374</v>
      </c>
      <c r="I1170" s="120" t="s">
        <v>580</v>
      </c>
      <c r="J1170" s="121">
        <v>1545.5</v>
      </c>
      <c r="K1170" s="121">
        <v>1620.8333333333335</v>
      </c>
      <c r="L1170" s="121">
        <v>75.333333333333485</v>
      </c>
      <c r="M1170" s="121">
        <v>75.333333333333485</v>
      </c>
      <c r="N1170" s="121">
        <v>1.8827142276202264</v>
      </c>
      <c r="O1170" s="132">
        <f t="shared" si="19"/>
        <v>1.8827142276202264</v>
      </c>
      <c r="P1170" s="121">
        <v>4.8743664402027491</v>
      </c>
      <c r="Q1170" s="121">
        <v>4.8743664402027491</v>
      </c>
      <c r="R1170" s="121">
        <v>1514.0740740740739</v>
      </c>
      <c r="S1170" s="121">
        <v>-31.425925925926094</v>
      </c>
      <c r="T1170" s="121">
        <v>31.425925925926094</v>
      </c>
      <c r="U1170" s="121">
        <v>1.5108923862604799</v>
      </c>
      <c r="V1170" s="121">
        <v>-2.0333824604287347</v>
      </c>
      <c r="W1170" s="103">
        <v>2.0333824604287347</v>
      </c>
    </row>
    <row r="1171" spans="1:23" x14ac:dyDescent="0.15">
      <c r="A1171" s="103" t="s">
        <v>77</v>
      </c>
      <c r="B1171" s="103" t="s">
        <v>389</v>
      </c>
      <c r="C1171" s="103" t="s">
        <v>971</v>
      </c>
      <c r="D1171" s="103" t="s">
        <v>403</v>
      </c>
      <c r="E1171" s="103" t="s">
        <v>82</v>
      </c>
      <c r="F1171" s="103" t="s">
        <v>968</v>
      </c>
      <c r="G1171" s="103">
        <v>0</v>
      </c>
      <c r="H1171" s="120" t="s">
        <v>494</v>
      </c>
      <c r="I1171" s="120" t="s">
        <v>580</v>
      </c>
      <c r="J1171" s="121">
        <v>1095.26</v>
      </c>
      <c r="K1171" s="121">
        <v>1172.8330172050526</v>
      </c>
      <c r="L1171" s="121">
        <v>77.573017205052565</v>
      </c>
      <c r="M1171" s="121">
        <v>77.573017205052565</v>
      </c>
      <c r="N1171" s="121">
        <v>1.8952734303797927</v>
      </c>
      <c r="O1171" s="132">
        <f t="shared" si="19"/>
        <v>1.8952734303797927</v>
      </c>
      <c r="P1171" s="121">
        <v>7.0826120925672962</v>
      </c>
      <c r="Q1171" s="121">
        <v>7.0826120925672962</v>
      </c>
      <c r="R1171" s="121">
        <v>1162.032052087291</v>
      </c>
      <c r="S1171" s="121">
        <v>66.772052087291058</v>
      </c>
      <c r="T1171" s="121">
        <v>66.772052087291058</v>
      </c>
      <c r="U1171" s="121">
        <v>1.8310506359527621</v>
      </c>
      <c r="V1171" s="121">
        <v>6.0964567397048244</v>
      </c>
      <c r="W1171" s="103">
        <v>6.0964567397048244</v>
      </c>
    </row>
    <row r="1172" spans="1:23" x14ac:dyDescent="0.15">
      <c r="A1172" s="103" t="s">
        <v>77</v>
      </c>
      <c r="B1172" s="103" t="s">
        <v>665</v>
      </c>
      <c r="C1172" s="103" t="s">
        <v>975</v>
      </c>
      <c r="D1172" s="103" t="s">
        <v>403</v>
      </c>
      <c r="E1172" s="103" t="s">
        <v>82</v>
      </c>
      <c r="F1172" s="103" t="s">
        <v>967</v>
      </c>
      <c r="G1172" s="103">
        <v>1</v>
      </c>
      <c r="H1172" s="120" t="s">
        <v>374</v>
      </c>
      <c r="I1172" s="120" t="s">
        <v>580</v>
      </c>
      <c r="J1172" s="121">
        <v>1342.6</v>
      </c>
      <c r="K1172" s="121">
        <v>1421.39885</v>
      </c>
      <c r="L1172" s="121">
        <v>78.79885000000013</v>
      </c>
      <c r="M1172" s="121">
        <v>78.79885000000013</v>
      </c>
      <c r="N1172" s="121">
        <v>1.9019966326758813</v>
      </c>
      <c r="O1172" s="132">
        <f t="shared" si="19"/>
        <v>1.9019966326758813</v>
      </c>
      <c r="P1172" s="121">
        <v>5.8691233427677743</v>
      </c>
      <c r="Q1172" s="121">
        <v>5.8691233427677743</v>
      </c>
      <c r="R1172" s="121">
        <v>1451.0870970000001</v>
      </c>
      <c r="S1172" s="121">
        <v>108.48709700000018</v>
      </c>
      <c r="T1172" s="121">
        <v>108.48709700000018</v>
      </c>
      <c r="U1172" s="121">
        <v>2.03936294080277</v>
      </c>
      <c r="V1172" s="121">
        <v>8.0803736779383417</v>
      </c>
      <c r="W1172" s="103">
        <v>8.0803736779383417</v>
      </c>
    </row>
    <row r="1173" spans="1:23" x14ac:dyDescent="0.15">
      <c r="A1173" s="103" t="s">
        <v>77</v>
      </c>
      <c r="B1173" s="103" t="s">
        <v>618</v>
      </c>
      <c r="C1173" s="103" t="s">
        <v>973</v>
      </c>
      <c r="D1173" s="103" t="s">
        <v>403</v>
      </c>
      <c r="E1173" s="103" t="s">
        <v>96</v>
      </c>
      <c r="F1173" s="103" t="s">
        <v>968</v>
      </c>
      <c r="G1173" s="103">
        <v>0</v>
      </c>
      <c r="H1173" s="120" t="s">
        <v>374</v>
      </c>
      <c r="I1173" s="120" t="s">
        <v>580</v>
      </c>
      <c r="J1173" s="121">
        <v>1814.51</v>
      </c>
      <c r="K1173" s="121">
        <v>1733.0862204841053</v>
      </c>
      <c r="L1173" s="121">
        <v>-81.423779515894694</v>
      </c>
      <c r="M1173" s="121">
        <v>81.423779515894694</v>
      </c>
      <c r="N1173" s="121">
        <v>1.9160525250789273</v>
      </c>
      <c r="O1173" s="132">
        <f t="shared" si="19"/>
        <v>-1.9160525250789273</v>
      </c>
      <c r="P1173" s="121">
        <v>-4.4873701173261482</v>
      </c>
      <c r="Q1173" s="121">
        <v>4.4873701173261482</v>
      </c>
      <c r="R1173" s="121">
        <v>1782.8127604793915</v>
      </c>
      <c r="S1173" s="121">
        <v>-31.697239520608491</v>
      </c>
      <c r="T1173" s="121">
        <v>31.697239520608491</v>
      </c>
      <c r="U1173" s="121">
        <v>1.5145110886978117</v>
      </c>
      <c r="V1173" s="121">
        <v>-1.7468759896946553</v>
      </c>
      <c r="W1173" s="103">
        <v>1.7468759896946553</v>
      </c>
    </row>
    <row r="1174" spans="1:23" x14ac:dyDescent="0.15">
      <c r="A1174" s="103" t="s">
        <v>77</v>
      </c>
      <c r="B1174" s="103" t="s">
        <v>88</v>
      </c>
      <c r="C1174" s="103" t="s">
        <v>970</v>
      </c>
      <c r="D1174" s="103" t="s">
        <v>403</v>
      </c>
      <c r="E1174" s="103" t="s">
        <v>82</v>
      </c>
      <c r="F1174" s="103" t="s">
        <v>967</v>
      </c>
      <c r="G1174" s="103">
        <v>1</v>
      </c>
      <c r="H1174" s="120" t="s">
        <v>293</v>
      </c>
      <c r="I1174" s="120" t="s">
        <v>580</v>
      </c>
      <c r="J1174" s="121">
        <v>3045.75</v>
      </c>
      <c r="K1174" s="121">
        <v>3129.2212219999997</v>
      </c>
      <c r="L1174" s="121">
        <v>83.471221999999671</v>
      </c>
      <c r="M1174" s="121">
        <v>83.471221999999671</v>
      </c>
      <c r="N1174" s="121">
        <v>1.9267087769341307</v>
      </c>
      <c r="O1174" s="132">
        <f t="shared" si="19"/>
        <v>1.9267087769341307</v>
      </c>
      <c r="P1174" s="121">
        <v>2.740580218337016</v>
      </c>
      <c r="Q1174" s="121">
        <v>2.740580218337016</v>
      </c>
      <c r="R1174" s="121">
        <v>3054.7743719999999</v>
      </c>
      <c r="S1174" s="121">
        <v>9.0243719999998575</v>
      </c>
      <c r="T1174" s="121">
        <v>9.0243719999998575</v>
      </c>
      <c r="U1174" s="121">
        <v>1.0010571747607848</v>
      </c>
      <c r="V1174" s="121">
        <v>0.29629391775424302</v>
      </c>
      <c r="W1174" s="103">
        <v>0.29629391775424302</v>
      </c>
    </row>
    <row r="1175" spans="1:23" x14ac:dyDescent="0.15">
      <c r="A1175" s="103" t="s">
        <v>77</v>
      </c>
      <c r="B1175" s="103" t="s">
        <v>100</v>
      </c>
      <c r="C1175" s="103" t="s">
        <v>979</v>
      </c>
      <c r="D1175" s="103" t="s">
        <v>403</v>
      </c>
      <c r="E1175" s="103" t="s">
        <v>82</v>
      </c>
      <c r="F1175" s="103" t="s">
        <v>967</v>
      </c>
      <c r="G1175" s="103">
        <v>1</v>
      </c>
      <c r="H1175" s="120" t="s">
        <v>374</v>
      </c>
      <c r="I1175" s="120" t="s">
        <v>580</v>
      </c>
      <c r="J1175" s="121">
        <v>1299.96</v>
      </c>
      <c r="K1175" s="121">
        <v>1216.4166666666667</v>
      </c>
      <c r="L1175" s="121">
        <v>-83.543333333333294</v>
      </c>
      <c r="M1175" s="121">
        <v>83.543333333333294</v>
      </c>
      <c r="N1175" s="121">
        <v>1.9270793669816921</v>
      </c>
      <c r="O1175" s="132">
        <f t="shared" si="19"/>
        <v>-1.9270793669816921</v>
      </c>
      <c r="P1175" s="121">
        <v>-6.4266079981948128</v>
      </c>
      <c r="Q1175" s="121">
        <v>6.4266079981948128</v>
      </c>
      <c r="R1175" s="121">
        <v>1123.4074074074074</v>
      </c>
      <c r="S1175" s="121">
        <v>-176.55259259259265</v>
      </c>
      <c r="T1175" s="121">
        <v>176.55259259259265</v>
      </c>
      <c r="U1175" s="121">
        <v>2.2493270181776865</v>
      </c>
      <c r="V1175" s="121">
        <v>-13.581386549785579</v>
      </c>
      <c r="W1175" s="103">
        <v>13.581386549785579</v>
      </c>
    </row>
    <row r="1176" spans="1:23" x14ac:dyDescent="0.15">
      <c r="A1176" s="103" t="s">
        <v>77</v>
      </c>
      <c r="B1176" s="103" t="s">
        <v>384</v>
      </c>
      <c r="C1176" s="103" t="s">
        <v>970</v>
      </c>
      <c r="D1176" s="103" t="s">
        <v>403</v>
      </c>
      <c r="E1176" s="103" t="s">
        <v>148</v>
      </c>
      <c r="F1176" s="103" t="s">
        <v>967</v>
      </c>
      <c r="G1176" s="103">
        <v>1</v>
      </c>
      <c r="H1176" s="120" t="s">
        <v>374</v>
      </c>
      <c r="I1176" s="120" t="s">
        <v>580</v>
      </c>
      <c r="J1176" s="121">
        <v>1545.5</v>
      </c>
      <c r="K1176" s="121">
        <v>1631.3574000000001</v>
      </c>
      <c r="L1176" s="121">
        <v>85.857400000000098</v>
      </c>
      <c r="M1176" s="121">
        <v>85.857400000000098</v>
      </c>
      <c r="N1176" s="121">
        <v>1.9388068249968178</v>
      </c>
      <c r="O1176" s="132">
        <f t="shared" si="19"/>
        <v>1.9388068249968178</v>
      </c>
      <c r="P1176" s="121">
        <v>5.5553154318990678</v>
      </c>
      <c r="Q1176" s="121">
        <v>5.5553154318990678</v>
      </c>
      <c r="R1176" s="121">
        <v>1584.3017599999998</v>
      </c>
      <c r="S1176" s="121">
        <v>38.801759999999831</v>
      </c>
      <c r="T1176" s="121">
        <v>38.801759999999831</v>
      </c>
      <c r="U1176" s="121">
        <v>1.5999022766311801</v>
      </c>
      <c r="V1176" s="121">
        <v>2.5106282756389406</v>
      </c>
      <c r="W1176" s="103">
        <v>2.5106282756389406</v>
      </c>
    </row>
    <row r="1177" spans="1:23" x14ac:dyDescent="0.15">
      <c r="A1177" s="103" t="s">
        <v>77</v>
      </c>
      <c r="B1177" s="103" t="s">
        <v>115</v>
      </c>
      <c r="C1177" s="103" t="s">
        <v>972</v>
      </c>
      <c r="D1177" s="103" t="s">
        <v>403</v>
      </c>
      <c r="E1177" s="103" t="s">
        <v>83</v>
      </c>
      <c r="F1177" s="103" t="s">
        <v>968</v>
      </c>
      <c r="G1177" s="103">
        <v>0</v>
      </c>
      <c r="H1177" s="120" t="s">
        <v>203</v>
      </c>
      <c r="I1177" s="120" t="s">
        <v>581</v>
      </c>
      <c r="J1177" s="121">
        <v>4938.3100000000004</v>
      </c>
      <c r="K1177" s="121">
        <v>5024.3060603468275</v>
      </c>
      <c r="L1177" s="121">
        <v>85.996060346827107</v>
      </c>
      <c r="M1177" s="121">
        <v>85.996060346827107</v>
      </c>
      <c r="N1177" s="121">
        <v>1.9394995858556989</v>
      </c>
      <c r="O1177" s="132">
        <f t="shared" si="19"/>
        <v>1.9394995858556989</v>
      </c>
      <c r="P1177" s="121">
        <v>1.7414066825862917</v>
      </c>
      <c r="Q1177" s="121">
        <v>1.7414066825862917</v>
      </c>
      <c r="R1177" s="121">
        <v>5253.4618316977894</v>
      </c>
      <c r="S1177" s="121">
        <v>315.15183169778902</v>
      </c>
      <c r="T1177" s="121">
        <v>315.15183169778902</v>
      </c>
      <c r="U1177" s="121">
        <v>2.4998957023407216</v>
      </c>
      <c r="V1177" s="121">
        <v>6.3817749735798079</v>
      </c>
      <c r="W1177" s="103">
        <v>6.3817749735798079</v>
      </c>
    </row>
    <row r="1178" spans="1:23" x14ac:dyDescent="0.15">
      <c r="A1178" s="103" t="s">
        <v>77</v>
      </c>
      <c r="B1178" s="103" t="s">
        <v>584</v>
      </c>
      <c r="C1178" s="103" t="s">
        <v>971</v>
      </c>
      <c r="D1178" s="103" t="s">
        <v>403</v>
      </c>
      <c r="E1178" s="103" t="s">
        <v>148</v>
      </c>
      <c r="F1178" s="103" t="s">
        <v>968</v>
      </c>
      <c r="G1178" s="103">
        <v>0</v>
      </c>
      <c r="H1178" s="120" t="s">
        <v>374</v>
      </c>
      <c r="I1178" s="120" t="s">
        <v>580</v>
      </c>
      <c r="J1178" s="121">
        <v>1687.51</v>
      </c>
      <c r="K1178" s="121">
        <v>1775.0845062030469</v>
      </c>
      <c r="L1178" s="121">
        <v>87.574506203046894</v>
      </c>
      <c r="M1178" s="121">
        <v>87.574506203046894</v>
      </c>
      <c r="N1178" s="121">
        <v>1.9473087398492488</v>
      </c>
      <c r="O1178" s="132">
        <f t="shared" si="19"/>
        <v>1.9473087398492488</v>
      </c>
      <c r="P1178" s="121">
        <v>5.1895696145828403</v>
      </c>
      <c r="Q1178" s="121">
        <v>5.1895696145828403</v>
      </c>
      <c r="R1178" s="121">
        <v>1756.193411438783</v>
      </c>
      <c r="S1178" s="121">
        <v>68.683411438782969</v>
      </c>
      <c r="T1178" s="121">
        <v>68.683411438782969</v>
      </c>
      <c r="U1178" s="121">
        <v>1.8431294039509869</v>
      </c>
      <c r="V1178" s="121">
        <v>4.0701039661265987</v>
      </c>
      <c r="W1178" s="103">
        <v>4.0701039661265987</v>
      </c>
    </row>
    <row r="1179" spans="1:23" x14ac:dyDescent="0.15">
      <c r="A1179" s="103" t="s">
        <v>77</v>
      </c>
      <c r="B1179" s="103" t="s">
        <v>902</v>
      </c>
      <c r="C1179" s="103" t="s">
        <v>971</v>
      </c>
      <c r="D1179" s="103" t="s">
        <v>401</v>
      </c>
      <c r="E1179" s="103" t="s">
        <v>82</v>
      </c>
      <c r="F1179" s="103" t="s">
        <v>968</v>
      </c>
      <c r="G1179" s="103">
        <v>0</v>
      </c>
      <c r="H1179" s="120" t="s">
        <v>374</v>
      </c>
      <c r="I1179" s="120" t="s">
        <v>580</v>
      </c>
      <c r="J1179" s="121">
        <v>2870</v>
      </c>
      <c r="K1179" s="121">
        <v>2780.4715311079658</v>
      </c>
      <c r="L1179" s="121">
        <v>-89.528468892034198</v>
      </c>
      <c r="M1179" s="121">
        <v>89.528468892034198</v>
      </c>
      <c r="N1179" s="121">
        <v>1.9567851752101737</v>
      </c>
      <c r="O1179" s="132">
        <f t="shared" si="19"/>
        <v>-1.9567851752101737</v>
      </c>
      <c r="P1179" s="121">
        <v>-3.1194588464123414</v>
      </c>
      <c r="Q1179" s="121">
        <v>3.1194588464123414</v>
      </c>
      <c r="R1179" s="121">
        <v>2774.2880675656875</v>
      </c>
      <c r="S1179" s="121">
        <v>-95.71193243431253</v>
      </c>
      <c r="T1179" s="121">
        <v>95.71193243431253</v>
      </c>
      <c r="U1179" s="121">
        <v>1.9854800611633743</v>
      </c>
      <c r="V1179" s="121">
        <v>-3.3349105377809245</v>
      </c>
      <c r="W1179" s="103">
        <v>3.3349105377809245</v>
      </c>
    </row>
    <row r="1180" spans="1:23" x14ac:dyDescent="0.15">
      <c r="A1180" s="103" t="s">
        <v>77</v>
      </c>
      <c r="B1180" s="103" t="s">
        <v>104</v>
      </c>
      <c r="C1180" s="103" t="s">
        <v>979</v>
      </c>
      <c r="D1180" s="103" t="s">
        <v>403</v>
      </c>
      <c r="E1180" s="103" t="s">
        <v>83</v>
      </c>
      <c r="F1180" s="103" t="s">
        <v>967</v>
      </c>
      <c r="G1180" s="103">
        <v>1</v>
      </c>
      <c r="H1180" s="120" t="s">
        <v>203</v>
      </c>
      <c r="I1180" s="120" t="s">
        <v>581</v>
      </c>
      <c r="J1180" s="121">
        <v>4769.5</v>
      </c>
      <c r="K1180" s="121">
        <v>4679.166666666667</v>
      </c>
      <c r="L1180" s="121">
        <v>-90.33333333333303</v>
      </c>
      <c r="M1180" s="121">
        <v>90.33333333333303</v>
      </c>
      <c r="N1180" s="121">
        <v>1.960629308100724</v>
      </c>
      <c r="O1180" s="132">
        <f t="shared" ref="O1180:O1243" si="20">SIGN(L1180)*N1180</f>
        <v>-1.960629308100724</v>
      </c>
      <c r="P1180" s="121">
        <v>-1.893979103330182</v>
      </c>
      <c r="Q1180" s="121">
        <v>1.893979103330182</v>
      </c>
      <c r="R1180" s="121">
        <v>4388.1481481481478</v>
      </c>
      <c r="S1180" s="121">
        <v>-381.35185185185219</v>
      </c>
      <c r="T1180" s="121">
        <v>381.35185185185219</v>
      </c>
      <c r="U1180" s="121">
        <v>2.5824631979566033</v>
      </c>
      <c r="V1180" s="121">
        <v>-7.9956358497086111</v>
      </c>
      <c r="W1180" s="103">
        <v>7.9956358497086111</v>
      </c>
    </row>
    <row r="1181" spans="1:23" x14ac:dyDescent="0.15">
      <c r="A1181" s="103" t="s">
        <v>77</v>
      </c>
      <c r="B1181" s="103" t="s">
        <v>384</v>
      </c>
      <c r="C1181" s="103" t="s">
        <v>971</v>
      </c>
      <c r="D1181" s="103" t="s">
        <v>403</v>
      </c>
      <c r="E1181" s="103" t="s">
        <v>148</v>
      </c>
      <c r="F1181" s="103" t="s">
        <v>968</v>
      </c>
      <c r="G1181" s="103">
        <v>0</v>
      </c>
      <c r="H1181" s="120" t="s">
        <v>374</v>
      </c>
      <c r="I1181" s="120" t="s">
        <v>580</v>
      </c>
      <c r="J1181" s="121">
        <v>1545.5</v>
      </c>
      <c r="K1181" s="121">
        <v>1638.1513056490467</v>
      </c>
      <c r="L1181" s="121">
        <v>92.651305649046662</v>
      </c>
      <c r="M1181" s="121">
        <v>92.651305649046662</v>
      </c>
      <c r="N1181" s="121">
        <v>1.9715138365134297</v>
      </c>
      <c r="O1181" s="132">
        <f t="shared" si="20"/>
        <v>1.9715138365134297</v>
      </c>
      <c r="P1181" s="121">
        <v>5.9949081623453031</v>
      </c>
      <c r="Q1181" s="121">
        <v>5.9949081623453031</v>
      </c>
      <c r="R1181" s="121">
        <v>1591.477372990583</v>
      </c>
      <c r="S1181" s="121">
        <v>45.977372990583035</v>
      </c>
      <c r="T1181" s="121">
        <v>45.977372990583035</v>
      </c>
      <c r="U1181" s="121">
        <v>1.6718887270522094</v>
      </c>
      <c r="V1181" s="121">
        <v>2.9749189900086077</v>
      </c>
      <c r="W1181" s="103">
        <v>2.9749189900086077</v>
      </c>
    </row>
    <row r="1182" spans="1:23" x14ac:dyDescent="0.15">
      <c r="A1182" s="103" t="s">
        <v>77</v>
      </c>
      <c r="B1182" s="103" t="s">
        <v>902</v>
      </c>
      <c r="C1182" s="103" t="s">
        <v>972</v>
      </c>
      <c r="D1182" s="103" t="s">
        <v>401</v>
      </c>
      <c r="E1182" s="103" t="s">
        <v>82</v>
      </c>
      <c r="F1182" s="103" t="s">
        <v>968</v>
      </c>
      <c r="G1182" s="103">
        <v>0</v>
      </c>
      <c r="H1182" s="120" t="s">
        <v>374</v>
      </c>
      <c r="I1182" s="120" t="s">
        <v>580</v>
      </c>
      <c r="J1182" s="121">
        <v>2870</v>
      </c>
      <c r="K1182" s="121">
        <v>2776.4799137704167</v>
      </c>
      <c r="L1182" s="121">
        <v>-93.520086229583285</v>
      </c>
      <c r="M1182" s="121">
        <v>93.520086229583285</v>
      </c>
      <c r="N1182" s="121">
        <v>1.9755241091623534</v>
      </c>
      <c r="O1182" s="132">
        <f t="shared" si="20"/>
        <v>-1.9755241091623534</v>
      </c>
      <c r="P1182" s="121">
        <v>-3.2585395898809506</v>
      </c>
      <c r="Q1182" s="121">
        <v>3.2585395898809506</v>
      </c>
      <c r="R1182" s="121">
        <v>2899.3460802802078</v>
      </c>
      <c r="S1182" s="121">
        <v>29.346080280207843</v>
      </c>
      <c r="T1182" s="121">
        <v>29.346080280207843</v>
      </c>
      <c r="U1182" s="121">
        <v>1.4821026024091963</v>
      </c>
      <c r="V1182" s="121">
        <v>1.0225115080211793</v>
      </c>
      <c r="W1182" s="103">
        <v>1.0225115080211793</v>
      </c>
    </row>
    <row r="1183" spans="1:23" x14ac:dyDescent="0.15">
      <c r="A1183" s="103" t="s">
        <v>77</v>
      </c>
      <c r="B1183" s="103" t="s">
        <v>100</v>
      </c>
      <c r="C1183" s="24" t="s">
        <v>980</v>
      </c>
      <c r="D1183" s="103" t="s">
        <v>403</v>
      </c>
      <c r="E1183" s="103" t="s">
        <v>82</v>
      </c>
      <c r="F1183" s="103" t="s">
        <v>968</v>
      </c>
      <c r="G1183" s="103">
        <v>0</v>
      </c>
      <c r="H1183" s="120" t="s">
        <v>374</v>
      </c>
      <c r="I1183" s="120" t="s">
        <v>580</v>
      </c>
      <c r="J1183" s="121">
        <v>1299.96</v>
      </c>
      <c r="K1183" s="121">
        <v>1206.1553916395981</v>
      </c>
      <c r="L1183" s="121">
        <v>-93.804608360401971</v>
      </c>
      <c r="M1183" s="121">
        <v>93.804608360401971</v>
      </c>
      <c r="N1183" s="121">
        <v>1.9768294484862698</v>
      </c>
      <c r="O1183" s="132">
        <f t="shared" si="20"/>
        <v>-1.9768294484862698</v>
      </c>
      <c r="P1183" s="121">
        <v>-7.2159611342196666</v>
      </c>
      <c r="Q1183" s="121">
        <v>7.2159611342196666</v>
      </c>
      <c r="R1183" s="121">
        <v>1149.6406702313127</v>
      </c>
      <c r="S1183" s="121">
        <v>-150.31932976868734</v>
      </c>
      <c r="T1183" s="121">
        <v>150.31932976868734</v>
      </c>
      <c r="U1183" s="121">
        <v>2.1798944090256409</v>
      </c>
      <c r="V1183" s="121">
        <v>-11.563381163165586</v>
      </c>
      <c r="W1183" s="103">
        <v>11.563381163165586</v>
      </c>
    </row>
    <row r="1184" spans="1:23" x14ac:dyDescent="0.15">
      <c r="A1184" s="103" t="s">
        <v>77</v>
      </c>
      <c r="B1184" s="103" t="s">
        <v>88</v>
      </c>
      <c r="C1184" s="103" t="s">
        <v>975</v>
      </c>
      <c r="D1184" s="103" t="s">
        <v>403</v>
      </c>
      <c r="E1184" s="103" t="s">
        <v>82</v>
      </c>
      <c r="F1184" s="103" t="s">
        <v>967</v>
      </c>
      <c r="G1184" s="103">
        <v>1</v>
      </c>
      <c r="H1184" s="120" t="s">
        <v>293</v>
      </c>
      <c r="I1184" s="120" t="s">
        <v>580</v>
      </c>
      <c r="J1184" s="121">
        <v>3045.75</v>
      </c>
      <c r="K1184" s="121">
        <v>3140.1483499999999</v>
      </c>
      <c r="L1184" s="121">
        <v>94.398349999999937</v>
      </c>
      <c r="M1184" s="121">
        <v>94.398349999999937</v>
      </c>
      <c r="N1184" s="121">
        <v>1.9795408632565885</v>
      </c>
      <c r="O1184" s="132">
        <f t="shared" si="20"/>
        <v>1.9795408632565885</v>
      </c>
      <c r="P1184" s="121">
        <v>3.0993466305507655</v>
      </c>
      <c r="Q1184" s="121">
        <v>3.0993466305507655</v>
      </c>
      <c r="R1184" s="121">
        <v>3120.619373</v>
      </c>
      <c r="S1184" s="121">
        <v>74.869372999999996</v>
      </c>
      <c r="T1184" s="121">
        <v>74.869372999999996</v>
      </c>
      <c r="U1184" s="121">
        <v>1.8800664949805648</v>
      </c>
      <c r="V1184" s="121">
        <v>2.4581588442912254</v>
      </c>
      <c r="W1184" s="103">
        <v>2.4581588442912254</v>
      </c>
    </row>
    <row r="1185" spans="1:23" x14ac:dyDescent="0.15">
      <c r="A1185" s="103" t="s">
        <v>77</v>
      </c>
      <c r="B1185" s="103" t="s">
        <v>669</v>
      </c>
      <c r="C1185" s="103" t="s">
        <v>970</v>
      </c>
      <c r="D1185" s="103" t="s">
        <v>403</v>
      </c>
      <c r="E1185" s="103" t="s">
        <v>148</v>
      </c>
      <c r="F1185" s="103" t="s">
        <v>967</v>
      </c>
      <c r="G1185" s="103">
        <v>1</v>
      </c>
      <c r="H1185" s="120" t="s">
        <v>494</v>
      </c>
      <c r="I1185" s="120" t="s">
        <v>580</v>
      </c>
      <c r="J1185" s="121">
        <v>875</v>
      </c>
      <c r="K1185" s="121">
        <v>972.20240000000001</v>
      </c>
      <c r="L1185" s="121">
        <v>97.202400000000011</v>
      </c>
      <c r="M1185" s="121">
        <v>97.202400000000011</v>
      </c>
      <c r="N1185" s="121">
        <v>1.992122101779005</v>
      </c>
      <c r="O1185" s="132">
        <f t="shared" si="20"/>
        <v>1.992122101779005</v>
      </c>
      <c r="P1185" s="121">
        <v>11.108845714285716</v>
      </c>
      <c r="Q1185" s="121">
        <v>11.108845714285716</v>
      </c>
      <c r="R1185" s="121">
        <v>992.42719999999997</v>
      </c>
      <c r="S1185" s="121">
        <v>117.42719999999997</v>
      </c>
      <c r="T1185" s="121">
        <v>117.42719999999997</v>
      </c>
      <c r="U1185" s="121">
        <v>2.0734514612824984</v>
      </c>
      <c r="V1185" s="121">
        <v>13.420251428571426</v>
      </c>
      <c r="W1185" s="103">
        <v>13.420251428571426</v>
      </c>
    </row>
    <row r="1186" spans="1:23" x14ac:dyDescent="0.15">
      <c r="A1186" s="103" t="s">
        <v>77</v>
      </c>
      <c r="B1186" s="103" t="s">
        <v>115</v>
      </c>
      <c r="C1186" s="103" t="s">
        <v>973</v>
      </c>
      <c r="D1186" s="103" t="s">
        <v>403</v>
      </c>
      <c r="E1186" s="103" t="s">
        <v>83</v>
      </c>
      <c r="F1186" s="103" t="s">
        <v>968</v>
      </c>
      <c r="G1186" s="103">
        <v>0</v>
      </c>
      <c r="H1186" s="120" t="s">
        <v>203</v>
      </c>
      <c r="I1186" s="120" t="s">
        <v>581</v>
      </c>
      <c r="J1186" s="121">
        <v>4938.3100000000004</v>
      </c>
      <c r="K1186" s="121">
        <v>5037.9268078155583</v>
      </c>
      <c r="L1186" s="121">
        <v>99.616807815557877</v>
      </c>
      <c r="M1186" s="121">
        <v>99.616807815557877</v>
      </c>
      <c r="N1186" s="121">
        <v>2.0026705347142379</v>
      </c>
      <c r="O1186" s="132">
        <f t="shared" si="20"/>
        <v>2.0026705347142379</v>
      </c>
      <c r="P1186" s="121">
        <v>2.0172246743432036</v>
      </c>
      <c r="Q1186" s="121">
        <v>2.0172246743432036</v>
      </c>
      <c r="R1186" s="121">
        <v>5306.25996518395</v>
      </c>
      <c r="S1186" s="121">
        <v>367.94996518394964</v>
      </c>
      <c r="T1186" s="121">
        <v>367.94996518394964</v>
      </c>
      <c r="U1186" s="121">
        <v>2.566967473698671</v>
      </c>
      <c r="V1186" s="121">
        <v>7.4509288640030631</v>
      </c>
      <c r="W1186" s="103">
        <v>7.4509288640030631</v>
      </c>
    </row>
    <row r="1187" spans="1:23" x14ac:dyDescent="0.15">
      <c r="A1187" s="103" t="s">
        <v>77</v>
      </c>
      <c r="B1187" s="103" t="s">
        <v>598</v>
      </c>
      <c r="C1187" s="103" t="s">
        <v>975</v>
      </c>
      <c r="D1187" s="103" t="s">
        <v>403</v>
      </c>
      <c r="E1187" s="103" t="s">
        <v>82</v>
      </c>
      <c r="F1187" s="103" t="s">
        <v>967</v>
      </c>
      <c r="G1187" s="103">
        <v>1</v>
      </c>
      <c r="H1187" s="120" t="s">
        <v>494</v>
      </c>
      <c r="I1187" s="120" t="s">
        <v>580</v>
      </c>
      <c r="J1187" s="121">
        <v>1217</v>
      </c>
      <c r="K1187" s="121">
        <v>1318.511</v>
      </c>
      <c r="L1187" s="121">
        <v>101.51099999999997</v>
      </c>
      <c r="M1187" s="121">
        <v>101.51099999999997</v>
      </c>
      <c r="N1187" s="121">
        <v>2.0107704701037692</v>
      </c>
      <c r="O1187" s="132">
        <f t="shared" si="20"/>
        <v>2.0107704701037692</v>
      </c>
      <c r="P1187" s="121">
        <v>8.3410846343467515</v>
      </c>
      <c r="Q1187" s="121">
        <v>8.3410846343467515</v>
      </c>
      <c r="R1187" s="121">
        <v>1341.2749000000001</v>
      </c>
      <c r="S1187" s="121">
        <v>124.27490000000012</v>
      </c>
      <c r="T1187" s="121">
        <v>124.27490000000012</v>
      </c>
      <c r="U1187" s="121">
        <v>2.0978640647414712</v>
      </c>
      <c r="V1187" s="121">
        <v>10.211577649958926</v>
      </c>
      <c r="W1187" s="103">
        <v>10.211577649958926</v>
      </c>
    </row>
    <row r="1188" spans="1:23" x14ac:dyDescent="0.15">
      <c r="A1188" s="103" t="s">
        <v>77</v>
      </c>
      <c r="B1188" s="103" t="s">
        <v>588</v>
      </c>
      <c r="C1188" s="24" t="s">
        <v>980</v>
      </c>
      <c r="D1188" s="103" t="s">
        <v>403</v>
      </c>
      <c r="E1188" s="103" t="s">
        <v>148</v>
      </c>
      <c r="F1188" s="103" t="s">
        <v>968</v>
      </c>
      <c r="G1188" s="103">
        <v>0</v>
      </c>
      <c r="H1188" s="120" t="s">
        <v>374</v>
      </c>
      <c r="I1188" s="120" t="s">
        <v>580</v>
      </c>
      <c r="J1188" s="121">
        <v>2740.86</v>
      </c>
      <c r="K1188" s="121">
        <v>2637.7916137790517</v>
      </c>
      <c r="L1188" s="121">
        <v>-103.06838622094847</v>
      </c>
      <c r="M1188" s="121">
        <v>103.06838622094847</v>
      </c>
      <c r="N1188" s="121">
        <v>2.0173188200486916</v>
      </c>
      <c r="O1188" s="132">
        <f t="shared" si="20"/>
        <v>-2.0173188200486916</v>
      </c>
      <c r="P1188" s="121">
        <v>-3.7604396510930314</v>
      </c>
      <c r="Q1188" s="121">
        <v>3.7604396510930314</v>
      </c>
      <c r="R1188" s="121">
        <v>2602.4547804218605</v>
      </c>
      <c r="S1188" s="121">
        <v>-138.40521957813962</v>
      </c>
      <c r="T1188" s="121">
        <v>138.40521957813962</v>
      </c>
      <c r="U1188" s="121">
        <v>2.1442790348204284</v>
      </c>
      <c r="V1188" s="121">
        <v>-5.0497004435884945</v>
      </c>
      <c r="W1188" s="103">
        <v>5.0497004435884945</v>
      </c>
    </row>
    <row r="1189" spans="1:23" x14ac:dyDescent="0.15">
      <c r="A1189" s="103" t="s">
        <v>77</v>
      </c>
      <c r="B1189" s="103" t="s">
        <v>584</v>
      </c>
      <c r="C1189" s="103" t="s">
        <v>975</v>
      </c>
      <c r="D1189" s="103" t="s">
        <v>403</v>
      </c>
      <c r="E1189" s="103" t="s">
        <v>148</v>
      </c>
      <c r="F1189" s="103" t="s">
        <v>967</v>
      </c>
      <c r="G1189" s="103">
        <v>1</v>
      </c>
      <c r="H1189" s="120" t="s">
        <v>374</v>
      </c>
      <c r="I1189" s="120" t="s">
        <v>580</v>
      </c>
      <c r="J1189" s="121">
        <v>1687.51</v>
      </c>
      <c r="K1189" s="121">
        <v>1791.0837500000002</v>
      </c>
      <c r="L1189" s="121">
        <v>103.57375000000025</v>
      </c>
      <c r="M1189" s="121">
        <v>103.57375000000025</v>
      </c>
      <c r="N1189" s="121">
        <v>2.0194226820373031</v>
      </c>
      <c r="O1189" s="132">
        <f t="shared" si="20"/>
        <v>2.0194226820373031</v>
      </c>
      <c r="P1189" s="121">
        <v>6.1376673323417492</v>
      </c>
      <c r="Q1189" s="121">
        <v>6.1376673323417492</v>
      </c>
      <c r="R1189" s="121">
        <v>1790.8520449999999</v>
      </c>
      <c r="S1189" s="121">
        <v>103.34204499999987</v>
      </c>
      <c r="T1189" s="121">
        <v>103.34204499999987</v>
      </c>
      <c r="U1189" s="121">
        <v>2.0184593442084005</v>
      </c>
      <c r="V1189" s="121">
        <v>6.1239367470414914</v>
      </c>
      <c r="W1189" s="103">
        <v>6.1239367470414914</v>
      </c>
    </row>
    <row r="1190" spans="1:23" x14ac:dyDescent="0.15">
      <c r="A1190" s="103" t="s">
        <v>77</v>
      </c>
      <c r="B1190" s="103" t="s">
        <v>120</v>
      </c>
      <c r="C1190" s="103" t="s">
        <v>970</v>
      </c>
      <c r="D1190" s="103" t="s">
        <v>403</v>
      </c>
      <c r="E1190" s="103" t="s">
        <v>82</v>
      </c>
      <c r="F1190" s="103" t="s">
        <v>967</v>
      </c>
      <c r="G1190" s="103">
        <v>1</v>
      </c>
      <c r="H1190" s="120" t="s">
        <v>203</v>
      </c>
      <c r="I1190" s="120" t="s">
        <v>581</v>
      </c>
      <c r="J1190" s="121">
        <v>4978</v>
      </c>
      <c r="K1190" s="121">
        <v>4874.3999999999996</v>
      </c>
      <c r="L1190" s="121">
        <v>-103.60000000000036</v>
      </c>
      <c r="M1190" s="121">
        <v>103.60000000000036</v>
      </c>
      <c r="N1190" s="121">
        <v>2.0195316845312568</v>
      </c>
      <c r="O1190" s="132">
        <f t="shared" si="20"/>
        <v>-2.0195316845312568</v>
      </c>
      <c r="P1190" s="121">
        <v>-2.0811570912012929</v>
      </c>
      <c r="Q1190" s="121">
        <v>2.0811570912012929</v>
      </c>
      <c r="R1190" s="121">
        <v>4688.2179999999998</v>
      </c>
      <c r="S1190" s="121">
        <v>-289.78200000000015</v>
      </c>
      <c r="T1190" s="121">
        <v>289.78200000000015</v>
      </c>
      <c r="U1190" s="121">
        <v>2.4635675193031537</v>
      </c>
      <c r="V1190" s="121">
        <v>-5.8212535154680625</v>
      </c>
      <c r="W1190" s="103">
        <v>5.8212535154680625</v>
      </c>
    </row>
    <row r="1191" spans="1:23" x14ac:dyDescent="0.15">
      <c r="A1191" s="103" t="s">
        <v>77</v>
      </c>
      <c r="B1191" s="103" t="s">
        <v>90</v>
      </c>
      <c r="C1191" s="103" t="s">
        <v>971</v>
      </c>
      <c r="D1191" s="103" t="s">
        <v>403</v>
      </c>
      <c r="E1191" s="103" t="s">
        <v>82</v>
      </c>
      <c r="F1191" s="103" t="s">
        <v>968</v>
      </c>
      <c r="G1191" s="103">
        <v>0</v>
      </c>
      <c r="H1191" s="120" t="s">
        <v>203</v>
      </c>
      <c r="I1191" s="120" t="s">
        <v>581</v>
      </c>
      <c r="J1191" s="121">
        <v>5080</v>
      </c>
      <c r="K1191" s="121">
        <v>5185.841518580929</v>
      </c>
      <c r="L1191" s="121">
        <v>105.84151858092901</v>
      </c>
      <c r="M1191" s="121">
        <v>105.84151858092901</v>
      </c>
      <c r="N1191" s="121">
        <v>2.028740052193128</v>
      </c>
      <c r="O1191" s="132">
        <f t="shared" si="20"/>
        <v>2.028740052193128</v>
      </c>
      <c r="P1191" s="121">
        <v>2.0834944602545078</v>
      </c>
      <c r="Q1191" s="121">
        <v>2.0834944602545078</v>
      </c>
      <c r="R1191" s="121">
        <v>5092.838828323288</v>
      </c>
      <c r="S1191" s="121">
        <v>12.838828323287999</v>
      </c>
      <c r="T1191" s="121">
        <v>12.838828323287999</v>
      </c>
      <c r="U1191" s="121">
        <v>1.1410993217485408</v>
      </c>
      <c r="V1191" s="121">
        <v>0.25273284100960625</v>
      </c>
      <c r="W1191" s="103">
        <v>0.25273284100960625</v>
      </c>
    </row>
    <row r="1192" spans="1:23" x14ac:dyDescent="0.15">
      <c r="A1192" s="103" t="s">
        <v>77</v>
      </c>
      <c r="B1192" s="103" t="s">
        <v>381</v>
      </c>
      <c r="C1192" s="103" t="s">
        <v>970</v>
      </c>
      <c r="D1192" s="103" t="s">
        <v>403</v>
      </c>
      <c r="E1192" s="103" t="s">
        <v>148</v>
      </c>
      <c r="F1192" s="103" t="s">
        <v>967</v>
      </c>
      <c r="G1192" s="103">
        <v>1</v>
      </c>
      <c r="H1192" s="120" t="s">
        <v>494</v>
      </c>
      <c r="I1192" s="120" t="s">
        <v>580</v>
      </c>
      <c r="J1192" s="121">
        <v>786.1</v>
      </c>
      <c r="K1192" s="121">
        <v>891.97381999999993</v>
      </c>
      <c r="L1192" s="121">
        <v>105.87381999999991</v>
      </c>
      <c r="M1192" s="121">
        <v>105.87381999999991</v>
      </c>
      <c r="N1192" s="121">
        <v>2.02887133269232</v>
      </c>
      <c r="O1192" s="132">
        <f t="shared" si="20"/>
        <v>2.02887133269232</v>
      </c>
      <c r="P1192" s="121">
        <v>13.468238137641508</v>
      </c>
      <c r="Q1192" s="121">
        <v>13.468238137641508</v>
      </c>
      <c r="R1192" s="121">
        <v>865.76330400000006</v>
      </c>
      <c r="S1192" s="121">
        <v>79.663304000000039</v>
      </c>
      <c r="T1192" s="121">
        <v>79.663304000000039</v>
      </c>
      <c r="U1192" s="121">
        <v>1.9066760069051805</v>
      </c>
      <c r="V1192" s="121">
        <v>10.133991095280503</v>
      </c>
      <c r="W1192" s="103">
        <v>10.133991095280503</v>
      </c>
    </row>
    <row r="1193" spans="1:23" x14ac:dyDescent="0.15">
      <c r="A1193" s="103" t="s">
        <v>77</v>
      </c>
      <c r="B1193" s="103" t="s">
        <v>120</v>
      </c>
      <c r="C1193" s="103" t="s">
        <v>971</v>
      </c>
      <c r="D1193" s="103" t="s">
        <v>403</v>
      </c>
      <c r="E1193" s="103" t="s">
        <v>82</v>
      </c>
      <c r="F1193" s="103" t="s">
        <v>968</v>
      </c>
      <c r="G1193" s="103">
        <v>0</v>
      </c>
      <c r="H1193" s="120" t="s">
        <v>203</v>
      </c>
      <c r="I1193" s="120" t="s">
        <v>581</v>
      </c>
      <c r="J1193" s="121">
        <v>4978</v>
      </c>
      <c r="K1193" s="121">
        <v>5085.2041858045113</v>
      </c>
      <c r="L1193" s="121">
        <v>107.20418580451133</v>
      </c>
      <c r="M1193" s="121">
        <v>107.20418580451133</v>
      </c>
      <c r="N1193" s="121">
        <v>2.0342440614788648</v>
      </c>
      <c r="O1193" s="132">
        <f t="shared" si="20"/>
        <v>2.0342440614788648</v>
      </c>
      <c r="P1193" s="121">
        <v>2.153559377350569</v>
      </c>
      <c r="Q1193" s="121">
        <v>2.153559377350569</v>
      </c>
      <c r="R1193" s="121">
        <v>4863.9663636881687</v>
      </c>
      <c r="S1193" s="121">
        <v>-114.03363631183129</v>
      </c>
      <c r="T1193" s="121">
        <v>114.03363631183129</v>
      </c>
      <c r="U1193" s="121">
        <v>2.0608248484291107</v>
      </c>
      <c r="V1193" s="121">
        <v>-2.2907520351914683</v>
      </c>
      <c r="W1193" s="103">
        <v>2.2907520351914683</v>
      </c>
    </row>
    <row r="1194" spans="1:23" x14ac:dyDescent="0.15">
      <c r="A1194" s="103" t="s">
        <v>77</v>
      </c>
      <c r="B1194" s="103" t="s">
        <v>389</v>
      </c>
      <c r="C1194" s="103" t="s">
        <v>970</v>
      </c>
      <c r="D1194" s="103" t="s">
        <v>403</v>
      </c>
      <c r="E1194" s="103" t="s">
        <v>82</v>
      </c>
      <c r="F1194" s="103" t="s">
        <v>967</v>
      </c>
      <c r="G1194" s="103">
        <v>1</v>
      </c>
      <c r="H1194" s="120" t="s">
        <v>494</v>
      </c>
      <c r="I1194" s="120" t="s">
        <v>580</v>
      </c>
      <c r="J1194" s="121">
        <v>1095.26</v>
      </c>
      <c r="K1194" s="121">
        <v>1204.526288</v>
      </c>
      <c r="L1194" s="121">
        <v>109.26628800000003</v>
      </c>
      <c r="M1194" s="121">
        <v>109.26628800000003</v>
      </c>
      <c r="N1194" s="121">
        <v>2.0424427547479733</v>
      </c>
      <c r="O1194" s="132">
        <f t="shared" si="20"/>
        <v>2.0424427547479733</v>
      </c>
      <c r="P1194" s="121">
        <v>9.976287639464605</v>
      </c>
      <c r="Q1194" s="121">
        <v>9.976287639464605</v>
      </c>
      <c r="R1194" s="121">
        <v>1191.8423439999999</v>
      </c>
      <c r="S1194" s="121">
        <v>96.582343999999921</v>
      </c>
      <c r="T1194" s="121">
        <v>96.582343999999921</v>
      </c>
      <c r="U1194" s="121">
        <v>1.9893712459758688</v>
      </c>
      <c r="V1194" s="121">
        <v>8.8182115662034519</v>
      </c>
      <c r="W1194" s="103">
        <v>8.8182115662034519</v>
      </c>
    </row>
    <row r="1195" spans="1:23" x14ac:dyDescent="0.15">
      <c r="A1195" s="103" t="s">
        <v>77</v>
      </c>
      <c r="B1195" s="103" t="s">
        <v>90</v>
      </c>
      <c r="C1195" s="103" t="s">
        <v>970</v>
      </c>
      <c r="D1195" s="103" t="s">
        <v>403</v>
      </c>
      <c r="E1195" s="103" t="s">
        <v>82</v>
      </c>
      <c r="F1195" s="103" t="s">
        <v>967</v>
      </c>
      <c r="G1195" s="103">
        <v>1</v>
      </c>
      <c r="H1195" s="120" t="s">
        <v>203</v>
      </c>
      <c r="I1195" s="120" t="s">
        <v>581</v>
      </c>
      <c r="J1195" s="121">
        <v>5080</v>
      </c>
      <c r="K1195" s="121">
        <v>4970.4483</v>
      </c>
      <c r="L1195" s="121">
        <v>-109.55169999999998</v>
      </c>
      <c r="M1195" s="121">
        <v>109.55169999999998</v>
      </c>
      <c r="N1195" s="121">
        <v>2.043565425295037</v>
      </c>
      <c r="O1195" s="132">
        <f t="shared" si="20"/>
        <v>-2.043565425295037</v>
      </c>
      <c r="P1195" s="121">
        <v>-2.1565295275590546</v>
      </c>
      <c r="Q1195" s="121">
        <v>2.1565295275590546</v>
      </c>
      <c r="R1195" s="121">
        <v>4910.1024559999996</v>
      </c>
      <c r="S1195" s="121">
        <v>-169.89754400000038</v>
      </c>
      <c r="T1195" s="121">
        <v>169.89754400000038</v>
      </c>
      <c r="U1195" s="121">
        <v>2.2327358214398023</v>
      </c>
      <c r="V1195" s="121">
        <v>-3.3444398425196926</v>
      </c>
      <c r="W1195" s="103">
        <v>3.3444398425196926</v>
      </c>
    </row>
    <row r="1196" spans="1:23" x14ac:dyDescent="0.15">
      <c r="A1196" s="103" t="s">
        <v>77</v>
      </c>
      <c r="B1196" s="103" t="s">
        <v>100</v>
      </c>
      <c r="C1196" s="103" t="s">
        <v>972</v>
      </c>
      <c r="D1196" s="103" t="s">
        <v>403</v>
      </c>
      <c r="E1196" s="103" t="s">
        <v>82</v>
      </c>
      <c r="F1196" s="103" t="s">
        <v>968</v>
      </c>
      <c r="G1196" s="103">
        <v>0</v>
      </c>
      <c r="H1196" s="120" t="s">
        <v>374</v>
      </c>
      <c r="I1196" s="120" t="s">
        <v>580</v>
      </c>
      <c r="J1196" s="121">
        <v>1299.96</v>
      </c>
      <c r="K1196" s="121">
        <v>1188.0570317595464</v>
      </c>
      <c r="L1196" s="121">
        <v>-111.90296824045367</v>
      </c>
      <c r="M1196" s="121">
        <v>111.90296824045367</v>
      </c>
      <c r="N1196" s="121">
        <v>2.0527053597593756</v>
      </c>
      <c r="O1196" s="132">
        <f t="shared" si="20"/>
        <v>-2.0527053597593756</v>
      </c>
      <c r="P1196" s="121">
        <v>-8.6081855011272399</v>
      </c>
      <c r="Q1196" s="121">
        <v>8.6081855011272399</v>
      </c>
      <c r="R1196" s="121">
        <v>1171.7190832272408</v>
      </c>
      <c r="S1196" s="121">
        <v>-128.24091677275919</v>
      </c>
      <c r="T1196" s="121">
        <v>128.24091677275919</v>
      </c>
      <c r="U1196" s="121">
        <v>2.1114000300322231</v>
      </c>
      <c r="V1196" s="121">
        <v>-9.8649894437335917</v>
      </c>
      <c r="W1196" s="103">
        <v>9.8649894437335917</v>
      </c>
    </row>
    <row r="1197" spans="1:23" x14ac:dyDescent="0.15">
      <c r="A1197" s="103" t="s">
        <v>77</v>
      </c>
      <c r="B1197" s="103" t="s">
        <v>486</v>
      </c>
      <c r="C1197" s="103" t="s">
        <v>971</v>
      </c>
      <c r="D1197" s="103" t="s">
        <v>403</v>
      </c>
      <c r="E1197" s="103" t="s">
        <v>82</v>
      </c>
      <c r="F1197" s="103" t="s">
        <v>968</v>
      </c>
      <c r="G1197" s="103">
        <v>0</v>
      </c>
      <c r="H1197" s="120" t="s">
        <v>203</v>
      </c>
      <c r="I1197" s="120" t="s">
        <v>581</v>
      </c>
      <c r="J1197" s="121">
        <v>4927.5</v>
      </c>
      <c r="K1197" s="121">
        <v>4808.6284221373598</v>
      </c>
      <c r="L1197" s="121">
        <v>-118.87157786264015</v>
      </c>
      <c r="M1197" s="121">
        <v>118.87157786264015</v>
      </c>
      <c r="N1197" s="121">
        <v>2.0787162219590245</v>
      </c>
      <c r="O1197" s="132">
        <f t="shared" si="20"/>
        <v>-2.0787162219590245</v>
      </c>
      <c r="P1197" s="121">
        <v>-2.4124115243559645</v>
      </c>
      <c r="Q1197" s="121">
        <v>2.4124115243559645</v>
      </c>
      <c r="R1197" s="121">
        <v>4725.9396666760695</v>
      </c>
      <c r="S1197" s="121">
        <v>-201.56033332393054</v>
      </c>
      <c r="T1197" s="121">
        <v>201.56033332393054</v>
      </c>
      <c r="U1197" s="121">
        <v>2.3065544029927931</v>
      </c>
      <c r="V1197" s="121">
        <v>-4.0905191948032575</v>
      </c>
      <c r="W1197" s="103">
        <v>4.0905191948032575</v>
      </c>
    </row>
    <row r="1198" spans="1:23" x14ac:dyDescent="0.15">
      <c r="A1198" s="103" t="s">
        <v>77</v>
      </c>
      <c r="B1198" s="103" t="s">
        <v>618</v>
      </c>
      <c r="C1198" s="24" t="s">
        <v>980</v>
      </c>
      <c r="D1198" s="103" t="s">
        <v>403</v>
      </c>
      <c r="E1198" s="103" t="s">
        <v>96</v>
      </c>
      <c r="F1198" s="103" t="s">
        <v>968</v>
      </c>
      <c r="G1198" s="103">
        <v>0</v>
      </c>
      <c r="H1198" s="120" t="s">
        <v>374</v>
      </c>
      <c r="I1198" s="120" t="s">
        <v>580</v>
      </c>
      <c r="J1198" s="121">
        <v>1814.51</v>
      </c>
      <c r="K1198" s="121">
        <v>1694.8386570628811</v>
      </c>
      <c r="L1198" s="121">
        <v>-119.67134293711888</v>
      </c>
      <c r="M1198" s="121">
        <v>119.67134293711888</v>
      </c>
      <c r="N1198" s="121">
        <v>2.0816041459718102</v>
      </c>
      <c r="O1198" s="132">
        <f t="shared" si="20"/>
        <v>-2.0816041459718102</v>
      </c>
      <c r="P1198" s="121">
        <v>-6.5952429546885316</v>
      </c>
      <c r="Q1198" s="121">
        <v>6.5952429546885316</v>
      </c>
      <c r="R1198" s="121">
        <v>1615.9375951063755</v>
      </c>
      <c r="S1198" s="121">
        <v>-198.57240489362448</v>
      </c>
      <c r="T1198" s="121">
        <v>198.57240489362448</v>
      </c>
      <c r="U1198" s="121">
        <v>2.3001004907041738</v>
      </c>
      <c r="V1198" s="121">
        <v>-10.943582834683991</v>
      </c>
      <c r="W1198" s="103">
        <v>10.943582834683991</v>
      </c>
    </row>
    <row r="1199" spans="1:23" x14ac:dyDescent="0.15">
      <c r="A1199" s="103" t="s">
        <v>77</v>
      </c>
      <c r="B1199" s="103" t="s">
        <v>120</v>
      </c>
      <c r="C1199" s="103" t="s">
        <v>975</v>
      </c>
      <c r="D1199" s="103" t="s">
        <v>403</v>
      </c>
      <c r="E1199" s="103" t="s">
        <v>82</v>
      </c>
      <c r="F1199" s="103" t="s">
        <v>967</v>
      </c>
      <c r="G1199" s="103">
        <v>1</v>
      </c>
      <c r="H1199" s="120" t="s">
        <v>203</v>
      </c>
      <c r="I1199" s="120" t="s">
        <v>581</v>
      </c>
      <c r="J1199" s="121">
        <v>4978</v>
      </c>
      <c r="K1199" s="121">
        <v>4856.7860000000001</v>
      </c>
      <c r="L1199" s="121">
        <v>-121.21399999999994</v>
      </c>
      <c r="M1199" s="121">
        <v>121.21399999999994</v>
      </c>
      <c r="N1199" s="121">
        <v>2.0871209585618931</v>
      </c>
      <c r="O1199" s="132">
        <f t="shared" si="20"/>
        <v>-2.0871209585618931</v>
      </c>
      <c r="P1199" s="121">
        <v>-2.4349939734833255</v>
      </c>
      <c r="Q1199" s="121">
        <v>2.4349939734833255</v>
      </c>
      <c r="R1199" s="121">
        <v>4767.9404999999997</v>
      </c>
      <c r="S1199" s="121">
        <v>-210.0595000000003</v>
      </c>
      <c r="T1199" s="121">
        <v>210.0595000000003</v>
      </c>
      <c r="U1199" s="121">
        <v>2.3244049049610438</v>
      </c>
      <c r="V1199" s="121">
        <v>-4.2197569304941807</v>
      </c>
      <c r="W1199" s="103">
        <v>4.2197569304941807</v>
      </c>
    </row>
    <row r="1200" spans="1:23" x14ac:dyDescent="0.15">
      <c r="A1200" s="103" t="s">
        <v>77</v>
      </c>
      <c r="B1200" s="103" t="s">
        <v>384</v>
      </c>
      <c r="C1200" s="103" t="s">
        <v>975</v>
      </c>
      <c r="D1200" s="103" t="s">
        <v>403</v>
      </c>
      <c r="E1200" s="103" t="s">
        <v>148</v>
      </c>
      <c r="F1200" s="103" t="s">
        <v>967</v>
      </c>
      <c r="G1200" s="103">
        <v>1</v>
      </c>
      <c r="H1200" s="120" t="s">
        <v>374</v>
      </c>
      <c r="I1200" s="120" t="s">
        <v>580</v>
      </c>
      <c r="J1200" s="121">
        <v>1545.5</v>
      </c>
      <c r="K1200" s="121">
        <v>1666.7810000000002</v>
      </c>
      <c r="L1200" s="121">
        <v>121.28100000000018</v>
      </c>
      <c r="M1200" s="121">
        <v>121.28100000000018</v>
      </c>
      <c r="N1200" s="121">
        <v>2.0873589816790608</v>
      </c>
      <c r="O1200" s="132">
        <f t="shared" si="20"/>
        <v>2.0873589816790608</v>
      </c>
      <c r="P1200" s="121">
        <v>7.8473633128437505</v>
      </c>
      <c r="Q1200" s="121">
        <v>7.8473633128437505</v>
      </c>
      <c r="R1200" s="121">
        <v>1637.6538400000002</v>
      </c>
      <c r="S1200" s="121">
        <v>92.153840000000173</v>
      </c>
      <c r="T1200" s="121">
        <v>92.153840000000173</v>
      </c>
      <c r="U1200" s="121">
        <v>1.9692007621462413</v>
      </c>
      <c r="V1200" s="121">
        <v>5.9627201552895608</v>
      </c>
      <c r="W1200" s="103">
        <v>5.9627201552895608</v>
      </c>
    </row>
    <row r="1201" spans="1:23" x14ac:dyDescent="0.15">
      <c r="A1201" s="103" t="s">
        <v>77</v>
      </c>
      <c r="B1201" s="103" t="s">
        <v>90</v>
      </c>
      <c r="C1201" s="103" t="s">
        <v>975</v>
      </c>
      <c r="D1201" s="103" t="s">
        <v>403</v>
      </c>
      <c r="E1201" s="103" t="s">
        <v>82</v>
      </c>
      <c r="F1201" s="103" t="s">
        <v>967</v>
      </c>
      <c r="G1201" s="103">
        <v>1</v>
      </c>
      <c r="H1201" s="120" t="s">
        <v>203</v>
      </c>
      <c r="I1201" s="120" t="s">
        <v>581</v>
      </c>
      <c r="J1201" s="121">
        <v>5080</v>
      </c>
      <c r="K1201" s="121">
        <v>4951.2635</v>
      </c>
      <c r="L1201" s="121">
        <v>-128.73649999999998</v>
      </c>
      <c r="M1201" s="121">
        <v>128.73649999999998</v>
      </c>
      <c r="N1201" s="121">
        <v>2.113062177460479</v>
      </c>
      <c r="O1201" s="132">
        <f t="shared" si="20"/>
        <v>-2.113062177460479</v>
      </c>
      <c r="P1201" s="121">
        <v>-2.5341830708661415</v>
      </c>
      <c r="Q1201" s="121">
        <v>2.5341830708661415</v>
      </c>
      <c r="R1201" s="121">
        <v>4991.7100540000001</v>
      </c>
      <c r="S1201" s="121">
        <v>-88.289945999999873</v>
      </c>
      <c r="T1201" s="121">
        <v>88.289945999999873</v>
      </c>
      <c r="U1201" s="121">
        <v>1.9508025603158829</v>
      </c>
      <c r="V1201" s="121">
        <v>-1.7379910629921236</v>
      </c>
      <c r="W1201" s="103">
        <v>1.7379910629921236</v>
      </c>
    </row>
    <row r="1202" spans="1:23" x14ac:dyDescent="0.15">
      <c r="A1202" s="103" t="s">
        <v>77</v>
      </c>
      <c r="B1202" s="103" t="s">
        <v>902</v>
      </c>
      <c r="C1202" s="103" t="s">
        <v>973</v>
      </c>
      <c r="D1202" s="103" t="s">
        <v>401</v>
      </c>
      <c r="E1202" s="103" t="s">
        <v>82</v>
      </c>
      <c r="F1202" s="103" t="s">
        <v>968</v>
      </c>
      <c r="G1202" s="103">
        <v>0</v>
      </c>
      <c r="H1202" s="120" t="s">
        <v>374</v>
      </c>
      <c r="I1202" s="120" t="s">
        <v>580</v>
      </c>
      <c r="J1202" s="121">
        <v>2870</v>
      </c>
      <c r="K1202" s="121">
        <v>2735.8757572659047</v>
      </c>
      <c r="L1202" s="121">
        <v>-134.12424273409533</v>
      </c>
      <c r="M1202" s="121">
        <v>134.12424273409533</v>
      </c>
      <c r="N1202" s="121">
        <v>2.1307332730866193</v>
      </c>
      <c r="O1202" s="132">
        <f t="shared" si="20"/>
        <v>-2.1307332730866193</v>
      </c>
      <c r="P1202" s="121">
        <v>-4.6733185621636002</v>
      </c>
      <c r="Q1202" s="121">
        <v>4.6733185621636002</v>
      </c>
      <c r="R1202" s="121">
        <v>2928.4849731233153</v>
      </c>
      <c r="S1202" s="121">
        <v>58.484973123315285</v>
      </c>
      <c r="T1202" s="121">
        <v>58.484973123315285</v>
      </c>
      <c r="U1202" s="121">
        <v>1.7744072696973987</v>
      </c>
      <c r="V1202" s="121">
        <v>2.0378039415789297</v>
      </c>
      <c r="W1202" s="103">
        <v>2.0378039415789297</v>
      </c>
    </row>
    <row r="1203" spans="1:23" x14ac:dyDescent="0.15">
      <c r="A1203" s="103" t="s">
        <v>77</v>
      </c>
      <c r="B1203" s="103" t="s">
        <v>382</v>
      </c>
      <c r="C1203" s="103" t="s">
        <v>973</v>
      </c>
      <c r="D1203" s="103" t="s">
        <v>403</v>
      </c>
      <c r="E1203" s="103" t="s">
        <v>148</v>
      </c>
      <c r="F1203" s="103" t="s">
        <v>968</v>
      </c>
      <c r="G1203" s="103">
        <v>0</v>
      </c>
      <c r="H1203" s="120" t="s">
        <v>494</v>
      </c>
      <c r="I1203" s="120" t="s">
        <v>580</v>
      </c>
      <c r="J1203" s="121">
        <v>965.43</v>
      </c>
      <c r="K1203" s="121">
        <v>1102.9118334067282</v>
      </c>
      <c r="L1203" s="121">
        <v>137.48183340672824</v>
      </c>
      <c r="M1203" s="121">
        <v>137.48183340672824</v>
      </c>
      <c r="N1203" s="121">
        <v>2.1413928046734778</v>
      </c>
      <c r="O1203" s="132">
        <f t="shared" si="20"/>
        <v>2.1413928046734778</v>
      </c>
      <c r="P1203" s="121">
        <v>14.240476617334062</v>
      </c>
      <c r="Q1203" s="121">
        <v>14.240476617334062</v>
      </c>
      <c r="R1203" s="121">
        <v>1193.583622456257</v>
      </c>
      <c r="S1203" s="121">
        <v>228.15362245625704</v>
      </c>
      <c r="T1203" s="121">
        <v>228.15362245625704</v>
      </c>
      <c r="U1203" s="121">
        <v>2.3601267269542667</v>
      </c>
      <c r="V1203" s="121">
        <v>23.632331961536003</v>
      </c>
      <c r="W1203" s="103">
        <v>23.632331961536003</v>
      </c>
    </row>
    <row r="1204" spans="1:23" x14ac:dyDescent="0.15">
      <c r="A1204" s="103" t="s">
        <v>77</v>
      </c>
      <c r="B1204" s="103" t="s">
        <v>669</v>
      </c>
      <c r="C1204" s="103" t="s">
        <v>975</v>
      </c>
      <c r="D1204" s="103" t="s">
        <v>403</v>
      </c>
      <c r="E1204" s="103" t="s">
        <v>148</v>
      </c>
      <c r="F1204" s="103" t="s">
        <v>967</v>
      </c>
      <c r="G1204" s="103">
        <v>1</v>
      </c>
      <c r="H1204" s="120" t="s">
        <v>494</v>
      </c>
      <c r="I1204" s="120" t="s">
        <v>580</v>
      </c>
      <c r="J1204" s="121">
        <v>875</v>
      </c>
      <c r="K1204" s="121">
        <v>1018.4059999999999</v>
      </c>
      <c r="L1204" s="121">
        <v>143.40599999999995</v>
      </c>
      <c r="M1204" s="121">
        <v>143.40599999999995</v>
      </c>
      <c r="N1204" s="121">
        <v>2.1595852383358118</v>
      </c>
      <c r="O1204" s="132">
        <f t="shared" si="20"/>
        <v>2.1595852383358118</v>
      </c>
      <c r="P1204" s="121">
        <v>16.389257142857137</v>
      </c>
      <c r="Q1204" s="121">
        <v>16.389257142857137</v>
      </c>
      <c r="R1204" s="121">
        <v>1040.7508</v>
      </c>
      <c r="S1204" s="121">
        <v>165.75080000000003</v>
      </c>
      <c r="T1204" s="121">
        <v>165.75080000000003</v>
      </c>
      <c r="U1204" s="121">
        <v>2.222067926155316</v>
      </c>
      <c r="V1204" s="121">
        <v>18.942948571428573</v>
      </c>
      <c r="W1204" s="103">
        <v>18.942948571428573</v>
      </c>
    </row>
    <row r="1205" spans="1:23" x14ac:dyDescent="0.15">
      <c r="A1205" s="103" t="s">
        <v>77</v>
      </c>
      <c r="B1205" s="103" t="s">
        <v>121</v>
      </c>
      <c r="C1205" s="103" t="s">
        <v>972</v>
      </c>
      <c r="D1205" s="103" t="s">
        <v>403</v>
      </c>
      <c r="E1205" s="103" t="s">
        <v>82</v>
      </c>
      <c r="F1205" s="103" t="s">
        <v>968</v>
      </c>
      <c r="G1205" s="103">
        <v>0</v>
      </c>
      <c r="H1205" s="120" t="s">
        <v>203</v>
      </c>
      <c r="I1205" s="120" t="s">
        <v>581</v>
      </c>
      <c r="J1205" s="121">
        <v>4470</v>
      </c>
      <c r="K1205" s="121">
        <v>4324.1862001116997</v>
      </c>
      <c r="L1205" s="121">
        <v>-145.81379988830031</v>
      </c>
      <c r="M1205" s="121">
        <v>145.81379988830031</v>
      </c>
      <c r="N1205" s="121">
        <v>2.1667668793788404</v>
      </c>
      <c r="O1205" s="132">
        <f t="shared" si="20"/>
        <v>-2.1667668793788404</v>
      </c>
      <c r="P1205" s="121">
        <v>-3.2620536887762932</v>
      </c>
      <c r="Q1205" s="121">
        <v>3.2620536887762932</v>
      </c>
      <c r="R1205" s="121">
        <v>4400.1745887346706</v>
      </c>
      <c r="S1205" s="121">
        <v>-69.825411265329421</v>
      </c>
      <c r="T1205" s="121">
        <v>69.825411265329421</v>
      </c>
      <c r="U1205" s="121">
        <v>1.850189105038498</v>
      </c>
      <c r="V1205" s="121">
        <v>-1.5620897374794054</v>
      </c>
      <c r="W1205" s="103">
        <v>1.5620897374794054</v>
      </c>
    </row>
    <row r="1206" spans="1:23" x14ac:dyDescent="0.15">
      <c r="A1206" s="103" t="s">
        <v>77</v>
      </c>
      <c r="B1206" s="103" t="s">
        <v>368</v>
      </c>
      <c r="C1206" s="103" t="s">
        <v>973</v>
      </c>
      <c r="D1206" s="103" t="s">
        <v>403</v>
      </c>
      <c r="E1206" s="103" t="s">
        <v>148</v>
      </c>
      <c r="F1206" s="103" t="s">
        <v>968</v>
      </c>
      <c r="G1206" s="103">
        <v>0</v>
      </c>
      <c r="H1206" s="120" t="s">
        <v>374</v>
      </c>
      <c r="I1206" s="120" t="s">
        <v>580</v>
      </c>
      <c r="J1206" s="121">
        <v>1933.19</v>
      </c>
      <c r="K1206" s="121">
        <v>2082.7717575461961</v>
      </c>
      <c r="L1206" s="121">
        <v>149.58175754619606</v>
      </c>
      <c r="M1206" s="121">
        <v>149.58175754619606</v>
      </c>
      <c r="N1206" s="121">
        <v>2.1777723617922944</v>
      </c>
      <c r="O1206" s="132">
        <f t="shared" si="20"/>
        <v>2.1777723617922944</v>
      </c>
      <c r="P1206" s="121">
        <v>7.737561106057659</v>
      </c>
      <c r="Q1206" s="121">
        <v>7.737561106057659</v>
      </c>
      <c r="R1206" s="121">
        <v>2165.4230354036026</v>
      </c>
      <c r="S1206" s="121">
        <v>232.23303540360257</v>
      </c>
      <c r="T1206" s="121">
        <v>232.23303540360257</v>
      </c>
      <c r="U1206" s="121">
        <v>2.3677900644290624</v>
      </c>
      <c r="V1206" s="121">
        <v>12.012944170185163</v>
      </c>
      <c r="W1206" s="103">
        <v>12.012944170185163</v>
      </c>
    </row>
    <row r="1207" spans="1:23" x14ac:dyDescent="0.15">
      <c r="A1207" s="103" t="s">
        <v>77</v>
      </c>
      <c r="B1207" s="103" t="s">
        <v>389</v>
      </c>
      <c r="C1207" s="103" t="s">
        <v>975</v>
      </c>
      <c r="D1207" s="103" t="s">
        <v>403</v>
      </c>
      <c r="E1207" s="103" t="s">
        <v>82</v>
      </c>
      <c r="F1207" s="103" t="s">
        <v>967</v>
      </c>
      <c r="G1207" s="103">
        <v>1</v>
      </c>
      <c r="H1207" s="120" t="s">
        <v>494</v>
      </c>
      <c r="I1207" s="120" t="s">
        <v>580</v>
      </c>
      <c r="J1207" s="121">
        <v>1095.26</v>
      </c>
      <c r="K1207" s="121">
        <v>1246.9304</v>
      </c>
      <c r="L1207" s="121">
        <v>151.67039999999997</v>
      </c>
      <c r="M1207" s="121">
        <v>151.67039999999997</v>
      </c>
      <c r="N1207" s="121">
        <v>2.1837548434560943</v>
      </c>
      <c r="O1207" s="132">
        <f t="shared" si="20"/>
        <v>2.1837548434560943</v>
      </c>
      <c r="P1207" s="121">
        <v>13.847889998721762</v>
      </c>
      <c r="Q1207" s="121">
        <v>13.847889998721762</v>
      </c>
      <c r="R1207" s="121">
        <v>1241.860146</v>
      </c>
      <c r="S1207" s="121">
        <v>146.600146</v>
      </c>
      <c r="T1207" s="121">
        <v>146.600146</v>
      </c>
      <c r="U1207" s="121">
        <v>2.1690867870734931</v>
      </c>
      <c r="V1207" s="121">
        <v>13.384963022478679</v>
      </c>
      <c r="W1207" s="103">
        <v>13.384963022478679</v>
      </c>
    </row>
    <row r="1208" spans="1:23" x14ac:dyDescent="0.15">
      <c r="A1208" s="103" t="s">
        <v>77</v>
      </c>
      <c r="B1208" s="103" t="s">
        <v>121</v>
      </c>
      <c r="C1208" s="103" t="s">
        <v>973</v>
      </c>
      <c r="D1208" s="103" t="s">
        <v>403</v>
      </c>
      <c r="E1208" s="103" t="s">
        <v>82</v>
      </c>
      <c r="F1208" s="103" t="s">
        <v>968</v>
      </c>
      <c r="G1208" s="103">
        <v>0</v>
      </c>
      <c r="H1208" s="120" t="s">
        <v>203</v>
      </c>
      <c r="I1208" s="120" t="s">
        <v>581</v>
      </c>
      <c r="J1208" s="121">
        <v>4470</v>
      </c>
      <c r="K1208" s="121">
        <v>4316.8140195056976</v>
      </c>
      <c r="L1208" s="121">
        <v>-153.18598049430238</v>
      </c>
      <c r="M1208" s="121">
        <v>153.18598049430238</v>
      </c>
      <c r="N1208" s="121">
        <v>2.1880448868747262</v>
      </c>
      <c r="O1208" s="132">
        <f t="shared" si="20"/>
        <v>-2.1880448868747262</v>
      </c>
      <c r="P1208" s="121">
        <v>-3.426979429402738</v>
      </c>
      <c r="Q1208" s="121">
        <v>3.426979429402738</v>
      </c>
      <c r="R1208" s="121">
        <v>4444.3970486555991</v>
      </c>
      <c r="S1208" s="121">
        <v>-25.602951344400935</v>
      </c>
      <c r="T1208" s="121">
        <v>25.602951344400935</v>
      </c>
      <c r="U1208" s="121">
        <v>1.4249298201455693</v>
      </c>
      <c r="V1208" s="121">
        <v>-0.57277296072485318</v>
      </c>
      <c r="W1208" s="103">
        <v>0.57277296072485318</v>
      </c>
    </row>
    <row r="1209" spans="1:23" x14ac:dyDescent="0.15">
      <c r="A1209" s="103" t="s">
        <v>77</v>
      </c>
      <c r="B1209" s="103" t="s">
        <v>121</v>
      </c>
      <c r="C1209" s="103" t="s">
        <v>979</v>
      </c>
      <c r="D1209" s="103" t="s">
        <v>403</v>
      </c>
      <c r="E1209" s="103" t="s">
        <v>82</v>
      </c>
      <c r="F1209" s="103" t="s">
        <v>967</v>
      </c>
      <c r="G1209" s="103">
        <v>1</v>
      </c>
      <c r="H1209" s="120" t="s">
        <v>203</v>
      </c>
      <c r="I1209" s="120" t="s">
        <v>581</v>
      </c>
      <c r="J1209" s="121">
        <v>4470</v>
      </c>
      <c r="K1209" s="121">
        <v>4316.666666666667</v>
      </c>
      <c r="L1209" s="121">
        <v>-153.33333333333303</v>
      </c>
      <c r="M1209" s="121">
        <v>153.33333333333303</v>
      </c>
      <c r="N1209" s="121">
        <v>2.1884597362982898</v>
      </c>
      <c r="O1209" s="132">
        <f t="shared" si="20"/>
        <v>-2.1884597362982898</v>
      </c>
      <c r="P1209" s="121">
        <v>-3.430275913497383</v>
      </c>
      <c r="Q1209" s="121">
        <v>3.430275913497383</v>
      </c>
      <c r="R1209" s="121">
        <v>4059.2592592592591</v>
      </c>
      <c r="S1209" s="121">
        <v>-410.74074074074088</v>
      </c>
      <c r="T1209" s="121">
        <v>410.74074074074088</v>
      </c>
      <c r="U1209" s="121">
        <v>2.6146238415019805</v>
      </c>
      <c r="V1209" s="121">
        <v>-9.1888308890546053</v>
      </c>
      <c r="W1209" s="103">
        <v>9.1888308890546053</v>
      </c>
    </row>
    <row r="1210" spans="1:23" x14ac:dyDescent="0.15">
      <c r="A1210" s="103" t="s">
        <v>77</v>
      </c>
      <c r="B1210" s="103" t="s">
        <v>381</v>
      </c>
      <c r="C1210" s="103" t="s">
        <v>975</v>
      </c>
      <c r="D1210" s="103" t="s">
        <v>403</v>
      </c>
      <c r="E1210" s="103" t="s">
        <v>148</v>
      </c>
      <c r="F1210" s="103" t="s">
        <v>967</v>
      </c>
      <c r="G1210" s="103">
        <v>1</v>
      </c>
      <c r="H1210" s="120" t="s">
        <v>494</v>
      </c>
      <c r="I1210" s="120" t="s">
        <v>580</v>
      </c>
      <c r="J1210" s="121">
        <v>786.1</v>
      </c>
      <c r="K1210" s="121">
        <v>939.48949999999991</v>
      </c>
      <c r="L1210" s="121">
        <v>153.38949999999988</v>
      </c>
      <c r="M1210" s="121">
        <v>153.38949999999988</v>
      </c>
      <c r="N1210" s="121">
        <v>2.1886177607204296</v>
      </c>
      <c r="O1210" s="132">
        <f t="shared" si="20"/>
        <v>2.1886177607204296</v>
      </c>
      <c r="P1210" s="121">
        <v>19.512721027859037</v>
      </c>
      <c r="Q1210" s="121">
        <v>19.512721027859037</v>
      </c>
      <c r="R1210" s="121">
        <v>913.01078600000005</v>
      </c>
      <c r="S1210" s="121">
        <v>126.91078600000003</v>
      </c>
      <c r="T1210" s="121">
        <v>126.91078600000003</v>
      </c>
      <c r="U1210" s="121">
        <v>2.1069071676434379</v>
      </c>
      <c r="V1210" s="121">
        <v>16.144356443200614</v>
      </c>
      <c r="W1210" s="103">
        <v>16.144356443200614</v>
      </c>
    </row>
    <row r="1211" spans="1:23" x14ac:dyDescent="0.15">
      <c r="A1211" s="103" t="s">
        <v>77</v>
      </c>
      <c r="B1211" s="103" t="s">
        <v>733</v>
      </c>
      <c r="C1211" s="103" t="s">
        <v>975</v>
      </c>
      <c r="D1211" s="103" t="s">
        <v>403</v>
      </c>
      <c r="E1211" s="103" t="s">
        <v>82</v>
      </c>
      <c r="F1211" s="103" t="s">
        <v>967</v>
      </c>
      <c r="G1211" s="103">
        <v>1</v>
      </c>
      <c r="H1211" s="120" t="s">
        <v>293</v>
      </c>
      <c r="I1211" s="120" t="s">
        <v>580</v>
      </c>
      <c r="J1211" s="121">
        <v>3740</v>
      </c>
      <c r="K1211" s="121">
        <v>3585.971</v>
      </c>
      <c r="L1211" s="121">
        <v>-154.029</v>
      </c>
      <c r="M1211" s="121">
        <v>154.029</v>
      </c>
      <c r="N1211" s="121">
        <v>2.1904129456665702</v>
      </c>
      <c r="O1211" s="132">
        <f t="shared" si="20"/>
        <v>-2.1904129456665702</v>
      </c>
      <c r="P1211" s="121">
        <v>-4.1184224598930479</v>
      </c>
      <c r="Q1211" s="121">
        <v>4.1184224598930479</v>
      </c>
      <c r="R1211" s="121">
        <v>3735.1048000000001</v>
      </c>
      <c r="S1211" s="121">
        <v>-4.8951999999999316</v>
      </c>
      <c r="T1211" s="121">
        <v>4.8951999999999316</v>
      </c>
      <c r="U1211" s="121">
        <v>0.77049854351472979</v>
      </c>
      <c r="V1211" s="121">
        <v>-0.13088770053475754</v>
      </c>
      <c r="W1211" s="103">
        <v>0.13088770053475754</v>
      </c>
    </row>
    <row r="1212" spans="1:23" x14ac:dyDescent="0.15">
      <c r="A1212" s="103" t="s">
        <v>77</v>
      </c>
      <c r="B1212" s="103" t="s">
        <v>733</v>
      </c>
      <c r="C1212" s="103" t="s">
        <v>970</v>
      </c>
      <c r="D1212" s="103" t="s">
        <v>403</v>
      </c>
      <c r="E1212" s="103" t="s">
        <v>82</v>
      </c>
      <c r="F1212" s="103" t="s">
        <v>967</v>
      </c>
      <c r="G1212" s="103">
        <v>1</v>
      </c>
      <c r="H1212" s="120" t="s">
        <v>293</v>
      </c>
      <c r="I1212" s="120" t="s">
        <v>580</v>
      </c>
      <c r="J1212" s="121">
        <v>3740</v>
      </c>
      <c r="K1212" s="121">
        <v>3582.4562000000001</v>
      </c>
      <c r="L1212" s="121">
        <v>-157.54379999999992</v>
      </c>
      <c r="M1212" s="121">
        <v>157.54379999999992</v>
      </c>
      <c r="N1212" s="121">
        <v>2.2001492632130857</v>
      </c>
      <c r="O1212" s="132">
        <f t="shared" si="20"/>
        <v>-2.2001492632130857</v>
      </c>
      <c r="P1212" s="121">
        <v>-4.2124010695187142</v>
      </c>
      <c r="Q1212" s="121">
        <v>4.2124010695187142</v>
      </c>
      <c r="R1212" s="121">
        <v>3664.0831999999996</v>
      </c>
      <c r="S1212" s="121">
        <v>-75.916800000000421</v>
      </c>
      <c r="T1212" s="121">
        <v>75.916800000000421</v>
      </c>
      <c r="U1212" s="121">
        <v>1.8860212078174756</v>
      </c>
      <c r="V1212" s="121">
        <v>-2.0298609625668562</v>
      </c>
      <c r="W1212" s="103">
        <v>2.0298609625668562</v>
      </c>
    </row>
    <row r="1213" spans="1:23" x14ac:dyDescent="0.15">
      <c r="A1213" s="103" t="s">
        <v>77</v>
      </c>
      <c r="B1213" s="103" t="s">
        <v>100</v>
      </c>
      <c r="C1213" s="103" t="s">
        <v>973</v>
      </c>
      <c r="D1213" s="103" t="s">
        <v>403</v>
      </c>
      <c r="E1213" s="103" t="s">
        <v>82</v>
      </c>
      <c r="F1213" s="103" t="s">
        <v>968</v>
      </c>
      <c r="G1213" s="103">
        <v>0</v>
      </c>
      <c r="H1213" s="120" t="s">
        <v>374</v>
      </c>
      <c r="I1213" s="120" t="s">
        <v>580</v>
      </c>
      <c r="J1213" s="121">
        <v>1299.96</v>
      </c>
      <c r="K1213" s="121">
        <v>1141.8111183653541</v>
      </c>
      <c r="L1213" s="121">
        <v>-158.14888163464593</v>
      </c>
      <c r="M1213" s="121">
        <v>158.14888163464593</v>
      </c>
      <c r="N1213" s="121">
        <v>2.2018035911090257</v>
      </c>
      <c r="O1213" s="132">
        <f t="shared" si="20"/>
        <v>-2.2018035911090257</v>
      </c>
      <c r="P1213" s="121">
        <v>-12.165672915677861</v>
      </c>
      <c r="Q1213" s="121">
        <v>12.165672915677861</v>
      </c>
      <c r="R1213" s="121">
        <v>1183.4950478285714</v>
      </c>
      <c r="S1213" s="121">
        <v>-116.46495217142865</v>
      </c>
      <c r="T1213" s="121">
        <v>116.46495217142865</v>
      </c>
      <c r="U1213" s="121">
        <v>2.0699083061901402</v>
      </c>
      <c r="V1213" s="121">
        <v>-8.9591181398988162</v>
      </c>
      <c r="W1213" s="103">
        <v>8.9591181398988162</v>
      </c>
    </row>
    <row r="1214" spans="1:23" x14ac:dyDescent="0.15">
      <c r="A1214" s="103" t="s">
        <v>77</v>
      </c>
      <c r="B1214" s="103" t="s">
        <v>902</v>
      </c>
      <c r="C1214" s="103" t="s">
        <v>975</v>
      </c>
      <c r="D1214" s="103" t="s">
        <v>401</v>
      </c>
      <c r="E1214" s="103" t="s">
        <v>82</v>
      </c>
      <c r="F1214" s="103" t="s">
        <v>967</v>
      </c>
      <c r="G1214" s="103">
        <v>1</v>
      </c>
      <c r="H1214" s="120" t="s">
        <v>374</v>
      </c>
      <c r="I1214" s="120" t="s">
        <v>580</v>
      </c>
      <c r="J1214" s="121">
        <v>2870</v>
      </c>
      <c r="K1214" s="121">
        <v>2711.5909999999999</v>
      </c>
      <c r="L1214" s="121">
        <v>-158.40900000000011</v>
      </c>
      <c r="M1214" s="121">
        <v>158.40900000000011</v>
      </c>
      <c r="N1214" s="121">
        <v>2.2025128373862963</v>
      </c>
      <c r="O1214" s="132">
        <f t="shared" si="20"/>
        <v>-2.2025128373862963</v>
      </c>
      <c r="P1214" s="121">
        <v>-5.5194773519163798</v>
      </c>
      <c r="Q1214" s="121">
        <v>5.5194773519163798</v>
      </c>
      <c r="R1214" s="121">
        <v>2750.6293000000001</v>
      </c>
      <c r="S1214" s="121">
        <v>-119.37069999999994</v>
      </c>
      <c r="T1214" s="121">
        <v>119.37069999999994</v>
      </c>
      <c r="U1214" s="121">
        <v>2.0805207861169936</v>
      </c>
      <c r="V1214" s="121">
        <v>-4.1592578397212527</v>
      </c>
      <c r="W1214" s="103">
        <v>4.1592578397212527</v>
      </c>
    </row>
    <row r="1215" spans="1:23" x14ac:dyDescent="0.15">
      <c r="A1215" s="103" t="s">
        <v>77</v>
      </c>
      <c r="B1215" s="103" t="s">
        <v>588</v>
      </c>
      <c r="C1215" s="103" t="s">
        <v>970</v>
      </c>
      <c r="D1215" s="103" t="s">
        <v>403</v>
      </c>
      <c r="E1215" s="103" t="s">
        <v>148</v>
      </c>
      <c r="F1215" s="103" t="s">
        <v>967</v>
      </c>
      <c r="G1215" s="103">
        <v>1</v>
      </c>
      <c r="H1215" s="120" t="s">
        <v>374</v>
      </c>
      <c r="I1215" s="120" t="s">
        <v>580</v>
      </c>
      <c r="J1215" s="121">
        <v>2740.86</v>
      </c>
      <c r="K1215" s="121">
        <v>2909.590776</v>
      </c>
      <c r="L1215" s="121">
        <v>168.73077599999988</v>
      </c>
      <c r="M1215" s="121">
        <v>168.73077599999988</v>
      </c>
      <c r="N1215" s="121">
        <v>2.2297605967969787</v>
      </c>
      <c r="O1215" s="132">
        <f t="shared" si="20"/>
        <v>2.2297605967969787</v>
      </c>
      <c r="P1215" s="121">
        <v>6.1561253037367791</v>
      </c>
      <c r="Q1215" s="121">
        <v>6.1561253037367791</v>
      </c>
      <c r="R1215" s="121">
        <v>2882.7265759999996</v>
      </c>
      <c r="S1215" s="121">
        <v>141.86657599999944</v>
      </c>
      <c r="T1215" s="121">
        <v>141.86657599999944</v>
      </c>
      <c r="U1215" s="121">
        <v>2.1549306363722014</v>
      </c>
      <c r="V1215" s="121">
        <v>5.1759876826981106</v>
      </c>
      <c r="W1215" s="103">
        <v>5.1759876826981106</v>
      </c>
    </row>
    <row r="1216" spans="1:23" x14ac:dyDescent="0.15">
      <c r="A1216" s="103" t="s">
        <v>77</v>
      </c>
      <c r="B1216" s="103" t="s">
        <v>139</v>
      </c>
      <c r="C1216" s="103" t="s">
        <v>973</v>
      </c>
      <c r="D1216" s="103" t="s">
        <v>403</v>
      </c>
      <c r="E1216" s="103" t="s">
        <v>82</v>
      </c>
      <c r="F1216" s="103" t="s">
        <v>968</v>
      </c>
      <c r="G1216" s="103">
        <v>0</v>
      </c>
      <c r="H1216" s="120" t="s">
        <v>203</v>
      </c>
      <c r="I1216" s="120" t="s">
        <v>581</v>
      </c>
      <c r="J1216" s="121">
        <v>4870</v>
      </c>
      <c r="K1216" s="121">
        <v>4695.5947848711103</v>
      </c>
      <c r="L1216" s="121">
        <v>-174.40521512888972</v>
      </c>
      <c r="M1216" s="121">
        <v>174.40521512888972</v>
      </c>
      <c r="N1216" s="121">
        <v>2.2440425016185563</v>
      </c>
      <c r="O1216" s="132">
        <f t="shared" si="20"/>
        <v>-2.2440425016185563</v>
      </c>
      <c r="P1216" s="121">
        <v>-3.5812159164043065</v>
      </c>
      <c r="Q1216" s="121">
        <v>3.5812159164043065</v>
      </c>
      <c r="R1216" s="121">
        <v>5062.0808408245503</v>
      </c>
      <c r="S1216" s="121">
        <v>192.08084082455025</v>
      </c>
      <c r="T1216" s="121">
        <v>192.08084082455025</v>
      </c>
      <c r="U1216" s="121">
        <v>2.2857391814076204</v>
      </c>
      <c r="V1216" s="121">
        <v>3.9441651093336807</v>
      </c>
      <c r="W1216" s="103">
        <v>3.9441651093336807</v>
      </c>
    </row>
    <row r="1217" spans="1:23" x14ac:dyDescent="0.15">
      <c r="A1217" s="103" t="s">
        <v>77</v>
      </c>
      <c r="B1217" s="103" t="s">
        <v>902</v>
      </c>
      <c r="C1217" s="103" t="s">
        <v>970</v>
      </c>
      <c r="D1217" s="103" t="s">
        <v>401</v>
      </c>
      <c r="E1217" s="103" t="s">
        <v>82</v>
      </c>
      <c r="F1217" s="103" t="s">
        <v>967</v>
      </c>
      <c r="G1217" s="103">
        <v>1</v>
      </c>
      <c r="H1217" s="120" t="s">
        <v>374</v>
      </c>
      <c r="I1217" s="120" t="s">
        <v>580</v>
      </c>
      <c r="J1217" s="121">
        <v>2870</v>
      </c>
      <c r="K1217" s="121">
        <v>2693.5385999999999</v>
      </c>
      <c r="L1217" s="121">
        <v>-176.46140000000014</v>
      </c>
      <c r="M1217" s="121">
        <v>176.46140000000014</v>
      </c>
      <c r="N1217" s="121">
        <v>2.2491039033627738</v>
      </c>
      <c r="O1217" s="132">
        <f t="shared" si="20"/>
        <v>-2.2491039033627738</v>
      </c>
      <c r="P1217" s="121">
        <v>-6.1484808362369385</v>
      </c>
      <c r="Q1217" s="121">
        <v>6.1484808362369385</v>
      </c>
      <c r="R1217" s="121">
        <v>2687.9011999999998</v>
      </c>
      <c r="S1217" s="121">
        <v>-182.09880000000021</v>
      </c>
      <c r="T1217" s="121">
        <v>182.09880000000021</v>
      </c>
      <c r="U1217" s="121">
        <v>2.2626854980150446</v>
      </c>
      <c r="V1217" s="121">
        <v>-6.3449059233449541</v>
      </c>
      <c r="W1217" s="103">
        <v>6.3449059233449541</v>
      </c>
    </row>
    <row r="1218" spans="1:23" x14ac:dyDescent="0.15">
      <c r="A1218" s="103" t="s">
        <v>77</v>
      </c>
      <c r="B1218" s="103" t="s">
        <v>139</v>
      </c>
      <c r="C1218" s="103" t="s">
        <v>972</v>
      </c>
      <c r="D1218" s="103" t="s">
        <v>403</v>
      </c>
      <c r="E1218" s="103" t="s">
        <v>82</v>
      </c>
      <c r="F1218" s="103" t="s">
        <v>968</v>
      </c>
      <c r="G1218" s="103">
        <v>0</v>
      </c>
      <c r="H1218" s="120" t="s">
        <v>203</v>
      </c>
      <c r="I1218" s="120" t="s">
        <v>581</v>
      </c>
      <c r="J1218" s="121">
        <v>4870</v>
      </c>
      <c r="K1218" s="121">
        <v>4692.3243372345787</v>
      </c>
      <c r="L1218" s="121">
        <v>-177.67566276542129</v>
      </c>
      <c r="M1218" s="121">
        <v>177.67566276542129</v>
      </c>
      <c r="N1218" s="121">
        <v>2.252065401713915</v>
      </c>
      <c r="O1218" s="132">
        <f t="shared" si="20"/>
        <v>-2.252065401713915</v>
      </c>
      <c r="P1218" s="121">
        <v>-3.6483708986739485</v>
      </c>
      <c r="Q1218" s="121">
        <v>3.6483708986739485</v>
      </c>
      <c r="R1218" s="121">
        <v>5011.7123285946136</v>
      </c>
      <c r="S1218" s="121">
        <v>141.71232859461361</v>
      </c>
      <c r="T1218" s="121">
        <v>141.71232859461361</v>
      </c>
      <c r="U1218" s="121">
        <v>2.1544614924512504</v>
      </c>
      <c r="V1218" s="121">
        <v>2.909904077918144</v>
      </c>
      <c r="W1218" s="103">
        <v>2.909904077918144</v>
      </c>
    </row>
    <row r="1219" spans="1:23" x14ac:dyDescent="0.15">
      <c r="A1219" s="103" t="s">
        <v>77</v>
      </c>
      <c r="B1219" s="103" t="s">
        <v>368</v>
      </c>
      <c r="C1219" s="103" t="s">
        <v>970</v>
      </c>
      <c r="D1219" s="103" t="s">
        <v>403</v>
      </c>
      <c r="E1219" s="103" t="s">
        <v>148</v>
      </c>
      <c r="F1219" s="103" t="s">
        <v>967</v>
      </c>
      <c r="G1219" s="103">
        <v>1</v>
      </c>
      <c r="H1219" s="120" t="s">
        <v>374</v>
      </c>
      <c r="I1219" s="120" t="s">
        <v>580</v>
      </c>
      <c r="J1219" s="121">
        <v>1933.19</v>
      </c>
      <c r="K1219" s="121">
        <v>2115.3654999999999</v>
      </c>
      <c r="L1219" s="121">
        <v>182.17549999999983</v>
      </c>
      <c r="M1219" s="121">
        <v>182.17549999999983</v>
      </c>
      <c r="N1219" s="121">
        <v>2.2628673856727302</v>
      </c>
      <c r="O1219" s="132">
        <f t="shared" si="20"/>
        <v>2.2628673856727302</v>
      </c>
      <c r="P1219" s="121">
        <v>9.4235693335885138</v>
      </c>
      <c r="Q1219" s="121">
        <v>9.4235693335885138</v>
      </c>
      <c r="R1219" s="121">
        <v>2051.8415599999998</v>
      </c>
      <c r="S1219" s="121">
        <v>118.65155999999979</v>
      </c>
      <c r="T1219" s="121">
        <v>118.65155999999979</v>
      </c>
      <c r="U1219" s="121">
        <v>2.0779183652559761</v>
      </c>
      <c r="V1219" s="121">
        <v>6.1376046844852183</v>
      </c>
      <c r="W1219" s="103">
        <v>6.1376046844852183</v>
      </c>
    </row>
    <row r="1220" spans="1:23" x14ac:dyDescent="0.15">
      <c r="A1220" s="103" t="s">
        <v>77</v>
      </c>
      <c r="B1220" s="103" t="s">
        <v>668</v>
      </c>
      <c r="C1220" s="103" t="s">
        <v>975</v>
      </c>
      <c r="D1220" s="103" t="s">
        <v>403</v>
      </c>
      <c r="E1220" s="103" t="s">
        <v>82</v>
      </c>
      <c r="F1220" s="103" t="s">
        <v>967</v>
      </c>
      <c r="G1220" s="103">
        <v>1</v>
      </c>
      <c r="H1220" s="120" t="s">
        <v>203</v>
      </c>
      <c r="I1220" s="120" t="s">
        <v>581</v>
      </c>
      <c r="J1220" s="121">
        <v>5410</v>
      </c>
      <c r="K1220" s="121">
        <v>5592.2285000000002</v>
      </c>
      <c r="L1220" s="121">
        <v>182.22850000000017</v>
      </c>
      <c r="M1220" s="121">
        <v>182.22850000000017</v>
      </c>
      <c r="N1220" s="121">
        <v>2.2629930262645446</v>
      </c>
      <c r="O1220" s="132">
        <f t="shared" si="20"/>
        <v>2.2629930262645446</v>
      </c>
      <c r="P1220" s="121">
        <v>3.3683641404805944</v>
      </c>
      <c r="Q1220" s="121">
        <v>3.3683641404805944</v>
      </c>
      <c r="R1220" s="121">
        <v>5584.1915899999995</v>
      </c>
      <c r="S1220" s="121">
        <v>174.19158999999945</v>
      </c>
      <c r="T1220" s="121">
        <v>174.19158999999945</v>
      </c>
      <c r="U1220" s="121">
        <v>2.2435132542050185</v>
      </c>
      <c r="V1220" s="121">
        <v>3.2198075785582154</v>
      </c>
      <c r="W1220" s="103">
        <v>3.2198075785582154</v>
      </c>
    </row>
    <row r="1221" spans="1:23" x14ac:dyDescent="0.15">
      <c r="A1221" s="103" t="s">
        <v>77</v>
      </c>
      <c r="B1221" s="103" t="s">
        <v>588</v>
      </c>
      <c r="C1221" s="103" t="s">
        <v>975</v>
      </c>
      <c r="D1221" s="103" t="s">
        <v>403</v>
      </c>
      <c r="E1221" s="103" t="s">
        <v>148</v>
      </c>
      <c r="F1221" s="103" t="s">
        <v>967</v>
      </c>
      <c r="G1221" s="103">
        <v>1</v>
      </c>
      <c r="H1221" s="120" t="s">
        <v>374</v>
      </c>
      <c r="I1221" s="120" t="s">
        <v>580</v>
      </c>
      <c r="J1221" s="121">
        <v>2740.86</v>
      </c>
      <c r="K1221" s="121">
        <v>2924.1098000000002</v>
      </c>
      <c r="L1221" s="121">
        <v>183.24980000000005</v>
      </c>
      <c r="M1221" s="121">
        <v>183.24980000000005</v>
      </c>
      <c r="N1221" s="121">
        <v>2.2654070251121285</v>
      </c>
      <c r="O1221" s="132">
        <f t="shared" si="20"/>
        <v>2.2654070251121285</v>
      </c>
      <c r="P1221" s="121">
        <v>6.6858504265084688</v>
      </c>
      <c r="Q1221" s="121">
        <v>6.6858504265084688</v>
      </c>
      <c r="R1221" s="121">
        <v>2947.109884</v>
      </c>
      <c r="S1221" s="121">
        <v>206.24988399999984</v>
      </c>
      <c r="T1221" s="121">
        <v>206.24988399999984</v>
      </c>
      <c r="U1221" s="121">
        <v>2.3164942961430635</v>
      </c>
      <c r="V1221" s="121">
        <v>7.5250061659479082</v>
      </c>
      <c r="W1221" s="103">
        <v>7.5250061659479082</v>
      </c>
    </row>
    <row r="1222" spans="1:23" x14ac:dyDescent="0.15">
      <c r="A1222" s="103" t="s">
        <v>77</v>
      </c>
      <c r="B1222" s="103" t="s">
        <v>382</v>
      </c>
      <c r="C1222" s="103" t="s">
        <v>972</v>
      </c>
      <c r="D1222" s="103" t="s">
        <v>403</v>
      </c>
      <c r="E1222" s="103" t="s">
        <v>148</v>
      </c>
      <c r="F1222" s="103" t="s">
        <v>968</v>
      </c>
      <c r="G1222" s="103">
        <v>0</v>
      </c>
      <c r="H1222" s="120" t="s">
        <v>494</v>
      </c>
      <c r="I1222" s="120" t="s">
        <v>580</v>
      </c>
      <c r="J1222" s="121">
        <v>965.43</v>
      </c>
      <c r="K1222" s="121">
        <v>1148.7192979282038</v>
      </c>
      <c r="L1222" s="121">
        <v>183.28929792820384</v>
      </c>
      <c r="M1222" s="121">
        <v>183.28929792820384</v>
      </c>
      <c r="N1222" s="121">
        <v>2.2655001155463732</v>
      </c>
      <c r="O1222" s="132">
        <f t="shared" si="20"/>
        <v>2.2655001155463732</v>
      </c>
      <c r="P1222" s="121">
        <v>18.985249881213953</v>
      </c>
      <c r="Q1222" s="121">
        <v>18.985249881213953</v>
      </c>
      <c r="R1222" s="121">
        <v>1181.7072749273341</v>
      </c>
      <c r="S1222" s="121">
        <v>216.27727492733413</v>
      </c>
      <c r="T1222" s="121">
        <v>216.27727492733413</v>
      </c>
      <c r="U1222" s="121">
        <v>2.3370143057509822</v>
      </c>
      <c r="V1222" s="121">
        <v>22.402170527882308</v>
      </c>
      <c r="W1222" s="103">
        <v>22.402170527882308</v>
      </c>
    </row>
    <row r="1223" spans="1:23" x14ac:dyDescent="0.15">
      <c r="A1223" s="103" t="s">
        <v>77</v>
      </c>
      <c r="B1223" s="103" t="s">
        <v>104</v>
      </c>
      <c r="C1223" s="103" t="s">
        <v>971</v>
      </c>
      <c r="D1223" s="103" t="s">
        <v>403</v>
      </c>
      <c r="E1223" s="103" t="s">
        <v>83</v>
      </c>
      <c r="F1223" s="103" t="s">
        <v>968</v>
      </c>
      <c r="G1223" s="103">
        <v>0</v>
      </c>
      <c r="H1223" s="120" t="s">
        <v>203</v>
      </c>
      <c r="I1223" s="120" t="s">
        <v>581</v>
      </c>
      <c r="J1223" s="121">
        <v>4769.5</v>
      </c>
      <c r="K1223" s="121">
        <v>4583.0588573712121</v>
      </c>
      <c r="L1223" s="121">
        <v>-186.44114262878793</v>
      </c>
      <c r="M1223" s="121">
        <v>186.44114262878793</v>
      </c>
      <c r="N1223" s="121">
        <v>2.2728649230273663</v>
      </c>
      <c r="O1223" s="132">
        <f t="shared" si="20"/>
        <v>-2.2728649230273663</v>
      </c>
      <c r="P1223" s="121">
        <v>-3.9090290937999357</v>
      </c>
      <c r="Q1223" s="121">
        <v>3.9090290937999357</v>
      </c>
      <c r="R1223" s="121">
        <v>4402.4370081155466</v>
      </c>
      <c r="S1223" s="121">
        <v>-367.06299188445337</v>
      </c>
      <c r="T1223" s="121">
        <v>367.06299188445337</v>
      </c>
      <c r="U1223" s="121">
        <v>2.565922152061261</v>
      </c>
      <c r="V1223" s="121">
        <v>-7.6960476335979324</v>
      </c>
      <c r="W1223" s="103">
        <v>7.6960476335979324</v>
      </c>
    </row>
    <row r="1224" spans="1:23" x14ac:dyDescent="0.15">
      <c r="A1224" s="103" t="s">
        <v>77</v>
      </c>
      <c r="B1224" s="103" t="s">
        <v>88</v>
      </c>
      <c r="C1224" s="103" t="s">
        <v>973</v>
      </c>
      <c r="D1224" s="103" t="s">
        <v>403</v>
      </c>
      <c r="E1224" s="103" t="s">
        <v>82</v>
      </c>
      <c r="F1224" s="103" t="s">
        <v>968</v>
      </c>
      <c r="G1224" s="103">
        <v>0</v>
      </c>
      <c r="H1224" s="120" t="s">
        <v>293</v>
      </c>
      <c r="I1224" s="120" t="s">
        <v>580</v>
      </c>
      <c r="J1224" s="121">
        <v>3045.75</v>
      </c>
      <c r="K1224" s="121">
        <v>3233.0907690299005</v>
      </c>
      <c r="L1224" s="121">
        <v>187.34076902990046</v>
      </c>
      <c r="M1224" s="121">
        <v>187.34076902990046</v>
      </c>
      <c r="N1224" s="121">
        <v>2.2749443393913231</v>
      </c>
      <c r="O1224" s="132">
        <f t="shared" si="20"/>
        <v>2.2749443393913231</v>
      </c>
      <c r="P1224" s="121">
        <v>6.1508912100435191</v>
      </c>
      <c r="Q1224" s="121">
        <v>6.1508912100435191</v>
      </c>
      <c r="R1224" s="121">
        <v>3371.3831636984692</v>
      </c>
      <c r="S1224" s="121">
        <v>325.63316369846916</v>
      </c>
      <c r="T1224" s="121">
        <v>325.63316369846916</v>
      </c>
      <c r="U1224" s="121">
        <v>2.5140602774001817</v>
      </c>
      <c r="V1224" s="121">
        <v>10.691395015955647</v>
      </c>
      <c r="W1224" s="103">
        <v>10.691395015955647</v>
      </c>
    </row>
    <row r="1225" spans="1:23" x14ac:dyDescent="0.15">
      <c r="A1225" s="103" t="s">
        <v>77</v>
      </c>
      <c r="B1225" s="103" t="s">
        <v>84</v>
      </c>
      <c r="C1225" s="103" t="s">
        <v>975</v>
      </c>
      <c r="D1225" s="103" t="s">
        <v>403</v>
      </c>
      <c r="E1225" s="103" t="s">
        <v>83</v>
      </c>
      <c r="F1225" s="103" t="s">
        <v>967</v>
      </c>
      <c r="G1225" s="103">
        <v>1</v>
      </c>
      <c r="H1225" s="120" t="s">
        <v>203</v>
      </c>
      <c r="I1225" s="120" t="s">
        <v>581</v>
      </c>
      <c r="J1225" s="121">
        <v>4572</v>
      </c>
      <c r="K1225" s="121">
        <v>4761.1970000000001</v>
      </c>
      <c r="L1225" s="121">
        <v>189.19700000000012</v>
      </c>
      <c r="M1225" s="121">
        <v>189.19700000000012</v>
      </c>
      <c r="N1225" s="121">
        <v>2.2792036624766796</v>
      </c>
      <c r="O1225" s="132">
        <f t="shared" si="20"/>
        <v>2.2792036624766796</v>
      </c>
      <c r="P1225" s="121">
        <v>4.1381671041119885</v>
      </c>
      <c r="Q1225" s="121">
        <v>4.1381671041119885</v>
      </c>
      <c r="R1225" s="121">
        <v>4698.8545000000004</v>
      </c>
      <c r="S1225" s="121">
        <v>126.85450000000037</v>
      </c>
      <c r="T1225" s="121">
        <v>126.85450000000037</v>
      </c>
      <c r="U1225" s="121">
        <v>2.106716018172099</v>
      </c>
      <c r="V1225" s="121">
        <v>2.774595363079623</v>
      </c>
      <c r="W1225" s="103">
        <v>2.774595363079623</v>
      </c>
    </row>
    <row r="1226" spans="1:23" x14ac:dyDescent="0.15">
      <c r="A1226" s="103" t="s">
        <v>77</v>
      </c>
      <c r="B1226" s="103" t="s">
        <v>139</v>
      </c>
      <c r="C1226" s="103" t="s">
        <v>979</v>
      </c>
      <c r="D1226" s="103" t="s">
        <v>403</v>
      </c>
      <c r="E1226" s="103" t="s">
        <v>82</v>
      </c>
      <c r="F1226" s="103" t="s">
        <v>967</v>
      </c>
      <c r="G1226" s="103">
        <v>1</v>
      </c>
      <c r="H1226" s="120" t="s">
        <v>203</v>
      </c>
      <c r="I1226" s="120" t="s">
        <v>581</v>
      </c>
      <c r="J1226" s="121">
        <v>4870</v>
      </c>
      <c r="K1226" s="121">
        <v>4676.666666666667</v>
      </c>
      <c r="L1226" s="121">
        <v>-193.33333333333303</v>
      </c>
      <c r="M1226" s="121">
        <v>193.33333333333303</v>
      </c>
      <c r="N1226" s="121">
        <v>2.288547300039351</v>
      </c>
      <c r="O1226" s="132">
        <f t="shared" si="20"/>
        <v>-2.288547300039351</v>
      </c>
      <c r="P1226" s="121">
        <v>-3.9698836413415406</v>
      </c>
      <c r="Q1226" s="121">
        <v>3.9698836413415406</v>
      </c>
      <c r="R1226" s="121">
        <v>4605.9259259259252</v>
      </c>
      <c r="S1226" s="121">
        <v>-264.07407407407482</v>
      </c>
      <c r="T1226" s="121">
        <v>264.07407407407482</v>
      </c>
      <c r="U1226" s="121">
        <v>2.4233672530549559</v>
      </c>
      <c r="V1226" s="121">
        <v>-5.4224655867366494</v>
      </c>
      <c r="W1226" s="103">
        <v>5.4224655867366494</v>
      </c>
    </row>
    <row r="1227" spans="1:23" x14ac:dyDescent="0.15">
      <c r="A1227" s="103" t="s">
        <v>77</v>
      </c>
      <c r="B1227" s="103" t="s">
        <v>368</v>
      </c>
      <c r="C1227" s="103" t="s">
        <v>972</v>
      </c>
      <c r="D1227" s="103" t="s">
        <v>403</v>
      </c>
      <c r="E1227" s="103" t="s">
        <v>148</v>
      </c>
      <c r="F1227" s="103" t="s">
        <v>968</v>
      </c>
      <c r="G1227" s="103">
        <v>0</v>
      </c>
      <c r="H1227" s="120" t="s">
        <v>374</v>
      </c>
      <c r="I1227" s="120" t="s">
        <v>580</v>
      </c>
      <c r="J1227" s="121">
        <v>1933.19</v>
      </c>
      <c r="K1227" s="121">
        <v>2130.2285649587429</v>
      </c>
      <c r="L1227" s="121">
        <v>197.03856495874288</v>
      </c>
      <c r="M1227" s="121">
        <v>197.03856495874288</v>
      </c>
      <c r="N1227" s="121">
        <v>2.2967497706550164</v>
      </c>
      <c r="O1227" s="132">
        <f t="shared" si="20"/>
        <v>2.2967497706550164</v>
      </c>
      <c r="P1227" s="121">
        <v>10.192405555519263</v>
      </c>
      <c r="Q1227" s="121">
        <v>10.192405555519263</v>
      </c>
      <c r="R1227" s="121">
        <v>2143.8767306188001</v>
      </c>
      <c r="S1227" s="121">
        <v>210.68673061880008</v>
      </c>
      <c r="T1227" s="121">
        <v>210.68673061880008</v>
      </c>
      <c r="U1227" s="121">
        <v>2.3256936355364264</v>
      </c>
      <c r="V1227" s="121">
        <v>10.898397499407718</v>
      </c>
      <c r="W1227" s="103">
        <v>10.898397499407718</v>
      </c>
    </row>
    <row r="1228" spans="1:23" x14ac:dyDescent="0.15">
      <c r="A1228" s="103" t="s">
        <v>77</v>
      </c>
      <c r="B1228" s="103" t="s">
        <v>88</v>
      </c>
      <c r="C1228" s="103" t="s">
        <v>971</v>
      </c>
      <c r="D1228" s="103" t="s">
        <v>403</v>
      </c>
      <c r="E1228" s="103" t="s">
        <v>82</v>
      </c>
      <c r="F1228" s="103" t="s">
        <v>968</v>
      </c>
      <c r="G1228" s="103">
        <v>0</v>
      </c>
      <c r="H1228" s="120" t="s">
        <v>293</v>
      </c>
      <c r="I1228" s="120" t="s">
        <v>580</v>
      </c>
      <c r="J1228" s="121">
        <v>3045.75</v>
      </c>
      <c r="K1228" s="121">
        <v>3244.4721233756086</v>
      </c>
      <c r="L1228" s="121">
        <v>198.72212337560859</v>
      </c>
      <c r="M1228" s="121">
        <v>198.72212337560859</v>
      </c>
      <c r="N1228" s="121">
        <v>2.3004261746743184</v>
      </c>
      <c r="O1228" s="132">
        <f t="shared" si="20"/>
        <v>2.3004261746743184</v>
      </c>
      <c r="P1228" s="121">
        <v>6.524571070363903</v>
      </c>
      <c r="Q1228" s="121">
        <v>6.524571070363903</v>
      </c>
      <c r="R1228" s="121">
        <v>3161.7985491100699</v>
      </c>
      <c r="S1228" s="121">
        <v>116.04854911006987</v>
      </c>
      <c r="T1228" s="121">
        <v>116.04854911006987</v>
      </c>
      <c r="U1228" s="121">
        <v>2.068366034714439</v>
      </c>
      <c r="V1228" s="121">
        <v>3.8101797294613764</v>
      </c>
      <c r="W1228" s="103">
        <v>3.8101797294613764</v>
      </c>
    </row>
    <row r="1229" spans="1:23" x14ac:dyDescent="0.15">
      <c r="A1229" s="103" t="s">
        <v>77</v>
      </c>
      <c r="B1229" s="103" t="s">
        <v>84</v>
      </c>
      <c r="C1229" s="103" t="s">
        <v>970</v>
      </c>
      <c r="D1229" s="103" t="s">
        <v>403</v>
      </c>
      <c r="E1229" s="103" t="s">
        <v>83</v>
      </c>
      <c r="F1229" s="103" t="s">
        <v>967</v>
      </c>
      <c r="G1229" s="103">
        <v>1</v>
      </c>
      <c r="H1229" s="120" t="s">
        <v>203</v>
      </c>
      <c r="I1229" s="120" t="s">
        <v>581</v>
      </c>
      <c r="J1229" s="121">
        <v>4572</v>
      </c>
      <c r="K1229" s="121">
        <v>4777.2217199999996</v>
      </c>
      <c r="L1229" s="121">
        <v>205.22171999999955</v>
      </c>
      <c r="M1229" s="121">
        <v>205.22171999999955</v>
      </c>
      <c r="N1229" s="121">
        <v>2.3143344047854093</v>
      </c>
      <c r="O1229" s="132">
        <f t="shared" si="20"/>
        <v>2.3143344047854093</v>
      </c>
      <c r="P1229" s="121">
        <v>4.488664041994741</v>
      </c>
      <c r="Q1229" s="121">
        <v>4.488664041994741</v>
      </c>
      <c r="R1229" s="121">
        <v>4619.7139999999999</v>
      </c>
      <c r="S1229" s="121">
        <v>47.713999999999942</v>
      </c>
      <c r="T1229" s="121">
        <v>47.713999999999942</v>
      </c>
      <c r="U1229" s="121">
        <v>1.6876537917890586</v>
      </c>
      <c r="V1229" s="121">
        <v>1.0436132983377064</v>
      </c>
      <c r="W1229" s="103">
        <v>1.0436132983377064</v>
      </c>
    </row>
    <row r="1230" spans="1:23" x14ac:dyDescent="0.15">
      <c r="A1230" s="103" t="s">
        <v>77</v>
      </c>
      <c r="B1230" s="103" t="s">
        <v>382</v>
      </c>
      <c r="C1230" s="24" t="s">
        <v>980</v>
      </c>
      <c r="D1230" s="103" t="s">
        <v>403</v>
      </c>
      <c r="E1230" s="103" t="s">
        <v>148</v>
      </c>
      <c r="F1230" s="103" t="s">
        <v>968</v>
      </c>
      <c r="G1230" s="103">
        <v>0</v>
      </c>
      <c r="H1230" s="120" t="s">
        <v>494</v>
      </c>
      <c r="I1230" s="120" t="s">
        <v>580</v>
      </c>
      <c r="J1230" s="121">
        <v>965.43</v>
      </c>
      <c r="K1230" s="121">
        <v>1172.55311488344</v>
      </c>
      <c r="L1230" s="121">
        <v>207.12311488344005</v>
      </c>
      <c r="M1230" s="121">
        <v>207.12311488344005</v>
      </c>
      <c r="N1230" s="121">
        <v>2.3183203171594524</v>
      </c>
      <c r="O1230" s="132">
        <f t="shared" si="20"/>
        <v>2.3183203171594524</v>
      </c>
      <c r="P1230" s="121">
        <v>21.453975418563758</v>
      </c>
      <c r="Q1230" s="121">
        <v>21.453975418563758</v>
      </c>
      <c r="R1230" s="121">
        <v>1157.7783317457022</v>
      </c>
      <c r="S1230" s="121">
        <v>192.34833174570224</v>
      </c>
      <c r="T1230" s="121">
        <v>192.34833174570224</v>
      </c>
      <c r="U1230" s="121">
        <v>2.2863404292316258</v>
      </c>
      <c r="V1230" s="121">
        <v>19.923591741058623</v>
      </c>
      <c r="W1230" s="103">
        <v>19.923591741058623</v>
      </c>
    </row>
    <row r="1231" spans="1:23" x14ac:dyDescent="0.15">
      <c r="A1231" s="103" t="s">
        <v>77</v>
      </c>
      <c r="B1231" s="103" t="s">
        <v>368</v>
      </c>
      <c r="C1231" s="103" t="s">
        <v>975</v>
      </c>
      <c r="D1231" s="103" t="s">
        <v>403</v>
      </c>
      <c r="E1231" s="103" t="s">
        <v>148</v>
      </c>
      <c r="F1231" s="103" t="s">
        <v>967</v>
      </c>
      <c r="G1231" s="103">
        <v>1</v>
      </c>
      <c r="H1231" s="120" t="s">
        <v>374</v>
      </c>
      <c r="I1231" s="120" t="s">
        <v>580</v>
      </c>
      <c r="J1231" s="121">
        <v>1933.19</v>
      </c>
      <c r="K1231" s="121">
        <v>2142.8735000000001</v>
      </c>
      <c r="L1231" s="121">
        <v>209.68350000000009</v>
      </c>
      <c r="M1231" s="121">
        <v>209.68350000000009</v>
      </c>
      <c r="N1231" s="121">
        <v>2.3236305245044142</v>
      </c>
      <c r="O1231" s="132">
        <f t="shared" si="20"/>
        <v>2.3236305245044142</v>
      </c>
      <c r="P1231" s="121">
        <v>10.846502413109942</v>
      </c>
      <c r="Q1231" s="121">
        <v>10.846502413109942</v>
      </c>
      <c r="R1231" s="121">
        <v>2109.1657899999996</v>
      </c>
      <c r="S1231" s="121">
        <v>175.97578999999951</v>
      </c>
      <c r="T1231" s="121">
        <v>175.97578999999951</v>
      </c>
      <c r="U1231" s="121">
        <v>2.2479138596468813</v>
      </c>
      <c r="V1231" s="121">
        <v>9.1028709024979175</v>
      </c>
      <c r="W1231" s="103">
        <v>9.1028709024979175</v>
      </c>
    </row>
    <row r="1232" spans="1:23" x14ac:dyDescent="0.15">
      <c r="A1232" s="103" t="s">
        <v>77</v>
      </c>
      <c r="B1232" s="103" t="s">
        <v>382</v>
      </c>
      <c r="C1232" s="103" t="s">
        <v>979</v>
      </c>
      <c r="D1232" s="103" t="s">
        <v>403</v>
      </c>
      <c r="E1232" s="103" t="s">
        <v>148</v>
      </c>
      <c r="F1232" s="103" t="s">
        <v>967</v>
      </c>
      <c r="G1232" s="103">
        <v>1</v>
      </c>
      <c r="H1232" s="120" t="s">
        <v>494</v>
      </c>
      <c r="I1232" s="120" t="s">
        <v>580</v>
      </c>
      <c r="J1232" s="121">
        <v>965.43</v>
      </c>
      <c r="K1232" s="121">
        <v>1176.9166666666665</v>
      </c>
      <c r="L1232" s="121">
        <v>211.48666666666657</v>
      </c>
      <c r="M1232" s="121">
        <v>211.48666666666657</v>
      </c>
      <c r="N1232" s="121">
        <v>2.3273316836815523</v>
      </c>
      <c r="O1232" s="132">
        <f t="shared" si="20"/>
        <v>2.3273316836815523</v>
      </c>
      <c r="P1232" s="121">
        <v>21.905955550031237</v>
      </c>
      <c r="Q1232" s="121">
        <v>21.905955550031237</v>
      </c>
      <c r="R1232" s="121">
        <v>1132.7037037037035</v>
      </c>
      <c r="S1232" s="121">
        <v>167.27370370370352</v>
      </c>
      <c r="T1232" s="121">
        <v>167.27370370370352</v>
      </c>
      <c r="U1232" s="121">
        <v>2.2260162536545929</v>
      </c>
      <c r="V1232" s="121">
        <v>17.326342013786967</v>
      </c>
      <c r="W1232" s="103">
        <v>17.326342013786967</v>
      </c>
    </row>
    <row r="1233" spans="1:23" x14ac:dyDescent="0.15">
      <c r="A1233" s="103" t="s">
        <v>77</v>
      </c>
      <c r="B1233" s="103" t="s">
        <v>668</v>
      </c>
      <c r="C1233" s="103" t="s">
        <v>970</v>
      </c>
      <c r="D1233" s="103" t="s">
        <v>403</v>
      </c>
      <c r="E1233" s="103" t="s">
        <v>82</v>
      </c>
      <c r="F1233" s="103" t="s">
        <v>967</v>
      </c>
      <c r="G1233" s="103">
        <v>1</v>
      </c>
      <c r="H1233" s="120" t="s">
        <v>203</v>
      </c>
      <c r="I1233" s="120" t="s">
        <v>581</v>
      </c>
      <c r="J1233" s="121">
        <v>5410</v>
      </c>
      <c r="K1233" s="121">
        <v>5622.0700999999999</v>
      </c>
      <c r="L1233" s="121">
        <v>212.07009999999991</v>
      </c>
      <c r="M1233" s="121">
        <v>212.07009999999991</v>
      </c>
      <c r="N1233" s="121">
        <v>2.3285225097044253</v>
      </c>
      <c r="O1233" s="132">
        <f t="shared" si="20"/>
        <v>2.3285225097044253</v>
      </c>
      <c r="P1233" s="121">
        <v>3.9199648798521243</v>
      </c>
      <c r="Q1233" s="121">
        <v>3.9199648798521243</v>
      </c>
      <c r="R1233" s="121">
        <v>5497.5927599999995</v>
      </c>
      <c r="S1233" s="121">
        <v>87.592759999999544</v>
      </c>
      <c r="T1233" s="121">
        <v>87.592759999999544</v>
      </c>
      <c r="U1233" s="121">
        <v>1.9473982318134053</v>
      </c>
      <c r="V1233" s="121">
        <v>1.6190898336413964</v>
      </c>
      <c r="W1233" s="103">
        <v>1.6190898336413964</v>
      </c>
    </row>
    <row r="1234" spans="1:23" x14ac:dyDescent="0.15">
      <c r="A1234" s="103" t="s">
        <v>77</v>
      </c>
      <c r="B1234" s="103" t="s">
        <v>88</v>
      </c>
      <c r="C1234" s="103" t="s">
        <v>972</v>
      </c>
      <c r="D1234" s="103" t="s">
        <v>403</v>
      </c>
      <c r="E1234" s="103" t="s">
        <v>82</v>
      </c>
      <c r="F1234" s="103" t="s">
        <v>968</v>
      </c>
      <c r="G1234" s="103">
        <v>0</v>
      </c>
      <c r="H1234" s="120" t="s">
        <v>293</v>
      </c>
      <c r="I1234" s="120" t="s">
        <v>580</v>
      </c>
      <c r="J1234" s="121">
        <v>3045.75</v>
      </c>
      <c r="K1234" s="121">
        <v>3265.4719549499155</v>
      </c>
      <c r="L1234" s="121">
        <v>219.72195494991547</v>
      </c>
      <c r="M1234" s="121">
        <v>219.72195494991547</v>
      </c>
      <c r="N1234" s="121">
        <v>2.3438455340650068</v>
      </c>
      <c r="O1234" s="132">
        <f t="shared" si="20"/>
        <v>2.3438455340650068</v>
      </c>
      <c r="P1234" s="121">
        <v>7.2140508889408341</v>
      </c>
      <c r="Q1234" s="121">
        <v>7.2140508889408341</v>
      </c>
      <c r="R1234" s="121">
        <v>3337.8373631764671</v>
      </c>
      <c r="S1234" s="121">
        <v>292.08736317646708</v>
      </c>
      <c r="T1234" s="121">
        <v>292.08736317646708</v>
      </c>
      <c r="U1234" s="121">
        <v>2.4669970936993</v>
      </c>
      <c r="V1234" s="121">
        <v>9.5899979701704705</v>
      </c>
      <c r="W1234" s="103">
        <v>9.5899979701704705</v>
      </c>
    </row>
    <row r="1235" spans="1:23" x14ac:dyDescent="0.15">
      <c r="A1235" s="103" t="s">
        <v>77</v>
      </c>
      <c r="B1235" s="103" t="s">
        <v>368</v>
      </c>
      <c r="C1235" s="103" t="s">
        <v>979</v>
      </c>
      <c r="D1235" s="103" t="s">
        <v>403</v>
      </c>
      <c r="E1235" s="103" t="s">
        <v>148</v>
      </c>
      <c r="F1235" s="103" t="s">
        <v>967</v>
      </c>
      <c r="G1235" s="103">
        <v>1</v>
      </c>
      <c r="H1235" s="120" t="s">
        <v>374</v>
      </c>
      <c r="I1235" s="120" t="s">
        <v>580</v>
      </c>
      <c r="J1235" s="121">
        <v>1933.19</v>
      </c>
      <c r="K1235" s="121">
        <v>2156.25</v>
      </c>
      <c r="L1235" s="121">
        <v>223.05999999999995</v>
      </c>
      <c r="M1235" s="121">
        <v>223.05999999999995</v>
      </c>
      <c r="N1235" s="121">
        <v>2.350364331636265</v>
      </c>
      <c r="O1235" s="132">
        <f t="shared" si="20"/>
        <v>2.350364331636265</v>
      </c>
      <c r="P1235" s="121">
        <v>11.538441643087328</v>
      </c>
      <c r="Q1235" s="121">
        <v>11.538441643087328</v>
      </c>
      <c r="R1235" s="121">
        <v>2019.6296296296293</v>
      </c>
      <c r="S1235" s="121">
        <v>86.43962962962928</v>
      </c>
      <c r="T1235" s="121">
        <v>86.43962962962928</v>
      </c>
      <c r="U1235" s="121">
        <v>1.9417083093928251</v>
      </c>
      <c r="V1235" s="121">
        <v>4.4713468220728059</v>
      </c>
      <c r="W1235" s="103">
        <v>4.4713468220728059</v>
      </c>
    </row>
    <row r="1236" spans="1:23" x14ac:dyDescent="0.15">
      <c r="A1236" s="103" t="s">
        <v>77</v>
      </c>
      <c r="B1236" s="103" t="s">
        <v>368</v>
      </c>
      <c r="C1236" s="103" t="s">
        <v>971</v>
      </c>
      <c r="D1236" s="103" t="s">
        <v>403</v>
      </c>
      <c r="E1236" s="103" t="s">
        <v>148</v>
      </c>
      <c r="F1236" s="103" t="s">
        <v>968</v>
      </c>
      <c r="G1236" s="103">
        <v>0</v>
      </c>
      <c r="H1236" s="120" t="s">
        <v>374</v>
      </c>
      <c r="I1236" s="120" t="s">
        <v>580</v>
      </c>
      <c r="J1236" s="121">
        <v>1933.19</v>
      </c>
      <c r="K1236" s="121">
        <v>2160.9540230082639</v>
      </c>
      <c r="L1236" s="121">
        <v>227.76402300826385</v>
      </c>
      <c r="M1236" s="121">
        <v>227.76402300826385</v>
      </c>
      <c r="N1236" s="121">
        <v>2.3593877253765005</v>
      </c>
      <c r="O1236" s="132">
        <f t="shared" si="20"/>
        <v>2.3593877253765005</v>
      </c>
      <c r="P1236" s="121">
        <v>11.781771217948769</v>
      </c>
      <c r="Q1236" s="121">
        <v>11.781771217948769</v>
      </c>
      <c r="R1236" s="121">
        <v>2096.257459212924</v>
      </c>
      <c r="S1236" s="121">
        <v>163.06745921292395</v>
      </c>
      <c r="T1236" s="121">
        <v>163.06745921292395</v>
      </c>
      <c r="U1236" s="121">
        <v>2.215022452560377</v>
      </c>
      <c r="V1236" s="121">
        <v>8.4351491168961115</v>
      </c>
      <c r="W1236" s="103">
        <v>8.4351491168961115</v>
      </c>
    </row>
    <row r="1237" spans="1:23" x14ac:dyDescent="0.15">
      <c r="A1237" s="103" t="s">
        <v>77</v>
      </c>
      <c r="B1237" s="103" t="s">
        <v>88</v>
      </c>
      <c r="C1237" s="24" t="s">
        <v>980</v>
      </c>
      <c r="D1237" s="103" t="s">
        <v>403</v>
      </c>
      <c r="E1237" s="103" t="s">
        <v>82</v>
      </c>
      <c r="F1237" s="103" t="s">
        <v>968</v>
      </c>
      <c r="G1237" s="103">
        <v>0</v>
      </c>
      <c r="H1237" s="120" t="s">
        <v>293</v>
      </c>
      <c r="I1237" s="120" t="s">
        <v>580</v>
      </c>
      <c r="J1237" s="121">
        <v>3045.75</v>
      </c>
      <c r="K1237" s="121">
        <v>2817.5221801969574</v>
      </c>
      <c r="L1237" s="121">
        <v>-228.22781980304262</v>
      </c>
      <c r="M1237" s="121">
        <v>228.22781980304262</v>
      </c>
      <c r="N1237" s="121">
        <v>2.3602673238266156</v>
      </c>
      <c r="O1237" s="132">
        <f t="shared" si="20"/>
        <v>-2.3602673238266156</v>
      </c>
      <c r="P1237" s="121">
        <v>-7.4933208504651603</v>
      </c>
      <c r="Q1237" s="121">
        <v>7.4933208504651603</v>
      </c>
      <c r="R1237" s="121">
        <v>2743.8246789370523</v>
      </c>
      <c r="S1237" s="121">
        <v>-301.92532106294766</v>
      </c>
      <c r="T1237" s="121">
        <v>301.92532106294766</v>
      </c>
      <c r="U1237" s="121">
        <v>2.4813355768597574</v>
      </c>
      <c r="V1237" s="121">
        <v>-9.9130040568972397</v>
      </c>
      <c r="W1237" s="103">
        <v>9.9130040568972397</v>
      </c>
    </row>
    <row r="1238" spans="1:23" x14ac:dyDescent="0.15">
      <c r="A1238" s="103" t="s">
        <v>77</v>
      </c>
      <c r="B1238" s="103" t="s">
        <v>120</v>
      </c>
      <c r="C1238" s="103" t="s">
        <v>979</v>
      </c>
      <c r="D1238" s="103" t="s">
        <v>403</v>
      </c>
      <c r="E1238" s="103" t="s">
        <v>82</v>
      </c>
      <c r="F1238" s="103" t="s">
        <v>967</v>
      </c>
      <c r="G1238" s="103">
        <v>1</v>
      </c>
      <c r="H1238" s="120" t="s">
        <v>203</v>
      </c>
      <c r="I1238" s="120" t="s">
        <v>581</v>
      </c>
      <c r="J1238" s="121">
        <v>4978</v>
      </c>
      <c r="K1238" s="121">
        <v>5208.3333333333339</v>
      </c>
      <c r="L1238" s="121">
        <v>230.33333333333394</v>
      </c>
      <c r="M1238" s="121">
        <v>230.33333333333394</v>
      </c>
      <c r="N1238" s="121">
        <v>2.3642382157351935</v>
      </c>
      <c r="O1238" s="132">
        <f t="shared" si="20"/>
        <v>2.3642382157351935</v>
      </c>
      <c r="P1238" s="121">
        <v>4.6270255792152257</v>
      </c>
      <c r="Q1238" s="121">
        <v>4.6270255792152257</v>
      </c>
      <c r="R1238" s="121">
        <v>4870.3703703703704</v>
      </c>
      <c r="S1238" s="121">
        <v>-107.62962962962956</v>
      </c>
      <c r="T1238" s="121">
        <v>107.62962962962956</v>
      </c>
      <c r="U1238" s="121">
        <v>2.0359482988215647</v>
      </c>
      <c r="V1238" s="121">
        <v>-2.1621058583694168</v>
      </c>
      <c r="W1238" s="103">
        <v>2.1621058583694168</v>
      </c>
    </row>
    <row r="1239" spans="1:23" x14ac:dyDescent="0.15">
      <c r="A1239" s="103" t="s">
        <v>77</v>
      </c>
      <c r="B1239" s="103" t="s">
        <v>121</v>
      </c>
      <c r="C1239" s="103" t="s">
        <v>971</v>
      </c>
      <c r="D1239" s="103" t="s">
        <v>403</v>
      </c>
      <c r="E1239" s="103" t="s">
        <v>82</v>
      </c>
      <c r="F1239" s="103" t="s">
        <v>968</v>
      </c>
      <c r="G1239" s="103">
        <v>0</v>
      </c>
      <c r="H1239" s="120" t="s">
        <v>203</v>
      </c>
      <c r="I1239" s="120" t="s">
        <v>581</v>
      </c>
      <c r="J1239" s="121">
        <v>4470</v>
      </c>
      <c r="K1239" s="121">
        <v>4238.1080600643281</v>
      </c>
      <c r="L1239" s="121">
        <v>-231.89193993567187</v>
      </c>
      <c r="M1239" s="121">
        <v>231.89193993567187</v>
      </c>
      <c r="N1239" s="121">
        <v>2.3671544584701314</v>
      </c>
      <c r="O1239" s="132">
        <f t="shared" si="20"/>
        <v>-2.3671544584701314</v>
      </c>
      <c r="P1239" s="121">
        <v>-5.1877391484490349</v>
      </c>
      <c r="Q1239" s="121">
        <v>5.1877391484490349</v>
      </c>
      <c r="R1239" s="121">
        <v>4086.3975008278112</v>
      </c>
      <c r="S1239" s="121">
        <v>-383.6024991721888</v>
      </c>
      <c r="T1239" s="121">
        <v>383.6024991721888</v>
      </c>
      <c r="U1239" s="121">
        <v>2.5850121019855719</v>
      </c>
      <c r="V1239" s="121">
        <v>-8.5817113908767073</v>
      </c>
      <c r="W1239" s="103">
        <v>8.5817113908767073</v>
      </c>
    </row>
    <row r="1240" spans="1:23" x14ac:dyDescent="0.15">
      <c r="A1240" s="103" t="s">
        <v>77</v>
      </c>
      <c r="B1240" s="103" t="s">
        <v>88</v>
      </c>
      <c r="C1240" s="103" t="s">
        <v>979</v>
      </c>
      <c r="D1240" s="103" t="s">
        <v>403</v>
      </c>
      <c r="E1240" s="103" t="s">
        <v>82</v>
      </c>
      <c r="F1240" s="103" t="s">
        <v>967</v>
      </c>
      <c r="G1240" s="103">
        <v>1</v>
      </c>
      <c r="H1240" s="120" t="s">
        <v>293</v>
      </c>
      <c r="I1240" s="120" t="s">
        <v>580</v>
      </c>
      <c r="J1240" s="121">
        <v>3045.75</v>
      </c>
      <c r="K1240" s="121">
        <v>3277.7916666666665</v>
      </c>
      <c r="L1240" s="121">
        <v>232.04166666666652</v>
      </c>
      <c r="M1240" s="121">
        <v>232.04166666666652</v>
      </c>
      <c r="N1240" s="121">
        <v>2.3674335776166417</v>
      </c>
      <c r="O1240" s="132">
        <f t="shared" si="20"/>
        <v>2.3674335776166417</v>
      </c>
      <c r="P1240" s="121">
        <v>7.6185394949246161</v>
      </c>
      <c r="Q1240" s="121">
        <v>7.6185394949246161</v>
      </c>
      <c r="R1240" s="121">
        <v>3104.1111111111109</v>
      </c>
      <c r="S1240" s="121">
        <v>58.361111111110858</v>
      </c>
      <c r="T1240" s="121">
        <v>58.361111111110858</v>
      </c>
      <c r="U1240" s="121">
        <v>1.7735020213967803</v>
      </c>
      <c r="V1240" s="121">
        <v>1.9161490966465027</v>
      </c>
      <c r="W1240" s="103">
        <v>1.9161490966465027</v>
      </c>
    </row>
    <row r="1241" spans="1:23" x14ac:dyDescent="0.15">
      <c r="A1241" s="103" t="s">
        <v>77</v>
      </c>
      <c r="B1241" s="103" t="s">
        <v>90</v>
      </c>
      <c r="C1241" s="103" t="s">
        <v>979</v>
      </c>
      <c r="D1241" s="103" t="s">
        <v>403</v>
      </c>
      <c r="E1241" s="103" t="s">
        <v>82</v>
      </c>
      <c r="F1241" s="103" t="s">
        <v>967</v>
      </c>
      <c r="G1241" s="103">
        <v>1</v>
      </c>
      <c r="H1241" s="120" t="s">
        <v>203</v>
      </c>
      <c r="I1241" s="120" t="s">
        <v>581</v>
      </c>
      <c r="J1241" s="121">
        <v>5080</v>
      </c>
      <c r="K1241" s="121">
        <v>5314.5833333333339</v>
      </c>
      <c r="L1241" s="121">
        <v>234.58333333333394</v>
      </c>
      <c r="M1241" s="121">
        <v>234.58333333333394</v>
      </c>
      <c r="N1241" s="121">
        <v>2.3721445624418958</v>
      </c>
      <c r="O1241" s="132">
        <f t="shared" si="20"/>
        <v>2.3721445624418958</v>
      </c>
      <c r="P1241" s="121">
        <v>4.6177821522309834</v>
      </c>
      <c r="Q1241" s="121">
        <v>4.6177821522309834</v>
      </c>
      <c r="R1241" s="121">
        <v>5110.2962962962956</v>
      </c>
      <c r="S1241" s="121">
        <v>30.296296296295623</v>
      </c>
      <c r="T1241" s="121">
        <v>30.296296296295623</v>
      </c>
      <c r="U1241" s="121">
        <v>1.4954929447906957</v>
      </c>
      <c r="V1241" s="121">
        <v>0.59638378536015002</v>
      </c>
      <c r="W1241" s="103">
        <v>0.59638378536015002</v>
      </c>
    </row>
    <row r="1242" spans="1:23" x14ac:dyDescent="0.15">
      <c r="A1242" s="103" t="s">
        <v>77</v>
      </c>
      <c r="B1242" s="103" t="s">
        <v>382</v>
      </c>
      <c r="C1242" s="103" t="s">
        <v>971</v>
      </c>
      <c r="D1242" s="103" t="s">
        <v>403</v>
      </c>
      <c r="E1242" s="103" t="s">
        <v>148</v>
      </c>
      <c r="F1242" s="103" t="s">
        <v>968</v>
      </c>
      <c r="G1242" s="103">
        <v>0</v>
      </c>
      <c r="H1242" s="120" t="s">
        <v>494</v>
      </c>
      <c r="I1242" s="120" t="s">
        <v>580</v>
      </c>
      <c r="J1242" s="121">
        <v>965.43</v>
      </c>
      <c r="K1242" s="121">
        <v>1200.8134621989154</v>
      </c>
      <c r="L1242" s="121">
        <v>235.38346219891548</v>
      </c>
      <c r="M1242" s="121">
        <v>235.38346219891548</v>
      </c>
      <c r="N1242" s="121">
        <v>2.3736170892693265</v>
      </c>
      <c r="O1242" s="132">
        <f t="shared" si="20"/>
        <v>2.3736170892693265</v>
      </c>
      <c r="P1242" s="121">
        <v>24.381204458004774</v>
      </c>
      <c r="Q1242" s="121">
        <v>24.381204458004774</v>
      </c>
      <c r="R1242" s="121">
        <v>1205.8403580983947</v>
      </c>
      <c r="S1242" s="121">
        <v>240.41035809839479</v>
      </c>
      <c r="T1242" s="121">
        <v>240.41035809839479</v>
      </c>
      <c r="U1242" s="121">
        <v>2.3827559002620244</v>
      </c>
      <c r="V1242" s="121">
        <v>24.901894295639746</v>
      </c>
      <c r="W1242" s="103">
        <v>24.901894295639746</v>
      </c>
    </row>
    <row r="1243" spans="1:23" x14ac:dyDescent="0.15">
      <c r="A1243" s="103" t="s">
        <v>77</v>
      </c>
      <c r="B1243" s="103" t="s">
        <v>588</v>
      </c>
      <c r="C1243" s="103" t="s">
        <v>973</v>
      </c>
      <c r="D1243" s="103" t="s">
        <v>403</v>
      </c>
      <c r="E1243" s="103" t="s">
        <v>148</v>
      </c>
      <c r="F1243" s="103" t="s">
        <v>968</v>
      </c>
      <c r="G1243" s="103">
        <v>0</v>
      </c>
      <c r="H1243" s="120" t="s">
        <v>374</v>
      </c>
      <c r="I1243" s="120" t="s">
        <v>580</v>
      </c>
      <c r="J1243" s="121">
        <v>2740.86</v>
      </c>
      <c r="K1243" s="121">
        <v>2981.9413334991</v>
      </c>
      <c r="L1243" s="121">
        <v>241.08133349909986</v>
      </c>
      <c r="M1243" s="121">
        <v>241.08133349909986</v>
      </c>
      <c r="N1243" s="121">
        <v>2.3839613029862234</v>
      </c>
      <c r="O1243" s="132">
        <f t="shared" si="20"/>
        <v>2.3839613029862234</v>
      </c>
      <c r="P1243" s="121">
        <v>8.795828079475049</v>
      </c>
      <c r="Q1243" s="121">
        <v>8.795828079475049</v>
      </c>
      <c r="R1243" s="121">
        <v>3163.4571602855708</v>
      </c>
      <c r="S1243" s="121">
        <v>422.59716028557068</v>
      </c>
      <c r="T1243" s="121">
        <v>422.59716028557068</v>
      </c>
      <c r="U1243" s="121">
        <v>2.6269530400179764</v>
      </c>
      <c r="V1243" s="121">
        <v>15.418414668592</v>
      </c>
      <c r="W1243" s="103">
        <v>15.418414668592</v>
      </c>
    </row>
    <row r="1244" spans="1:23" x14ac:dyDescent="0.15">
      <c r="A1244" s="103" t="s">
        <v>77</v>
      </c>
      <c r="B1244" s="103" t="s">
        <v>115</v>
      </c>
      <c r="C1244" s="103" t="s">
        <v>970</v>
      </c>
      <c r="D1244" s="103" t="s">
        <v>403</v>
      </c>
      <c r="E1244" s="103" t="s">
        <v>83</v>
      </c>
      <c r="F1244" s="103" t="s">
        <v>967</v>
      </c>
      <c r="G1244" s="103">
        <v>1</v>
      </c>
      <c r="H1244" s="120" t="s">
        <v>203</v>
      </c>
      <c r="I1244" s="120" t="s">
        <v>581</v>
      </c>
      <c r="J1244" s="121">
        <v>4938.3100000000004</v>
      </c>
      <c r="K1244" s="121">
        <v>4686.8233199999995</v>
      </c>
      <c r="L1244" s="121">
        <v>-251.48668000000089</v>
      </c>
      <c r="M1244" s="121">
        <v>251.48668000000089</v>
      </c>
      <c r="N1244" s="121">
        <v>2.4022384717414713</v>
      </c>
      <c r="O1244" s="132">
        <f t="shared" ref="O1244:O1302" si="21">SIGN(L1244)*N1244</f>
        <v>-2.4022384717414713</v>
      </c>
      <c r="P1244" s="121">
        <v>-5.0925656753018922</v>
      </c>
      <c r="Q1244" s="121">
        <v>5.0925656753018922</v>
      </c>
      <c r="R1244" s="121">
        <v>4643.0053599999992</v>
      </c>
      <c r="S1244" s="121">
        <v>-295.3046400000012</v>
      </c>
      <c r="T1244" s="121">
        <v>295.3046400000012</v>
      </c>
      <c r="U1244" s="121">
        <v>2.4717384523933772</v>
      </c>
      <c r="V1244" s="121">
        <v>-5.9798724664915968</v>
      </c>
      <c r="W1244" s="103">
        <v>5.9798724664915968</v>
      </c>
    </row>
    <row r="1245" spans="1:23" x14ac:dyDescent="0.15">
      <c r="A1245" s="103" t="s">
        <v>77</v>
      </c>
      <c r="B1245" s="103" t="s">
        <v>127</v>
      </c>
      <c r="C1245" s="103" t="s">
        <v>971</v>
      </c>
      <c r="D1245" s="103" t="s">
        <v>403</v>
      </c>
      <c r="E1245" s="103" t="s">
        <v>82</v>
      </c>
      <c r="F1245" s="103" t="s">
        <v>968</v>
      </c>
      <c r="G1245" s="103">
        <v>0</v>
      </c>
      <c r="H1245" s="120" t="s">
        <v>203</v>
      </c>
      <c r="I1245" s="120" t="s">
        <v>581</v>
      </c>
      <c r="J1245" s="121">
        <v>4745.58</v>
      </c>
      <c r="K1245" s="121">
        <v>5003.7421851479448</v>
      </c>
      <c r="L1245" s="121">
        <v>258.16218514794491</v>
      </c>
      <c r="M1245" s="121">
        <v>258.16218514794491</v>
      </c>
      <c r="N1245" s="121">
        <v>2.4135716330794854</v>
      </c>
      <c r="O1245" s="132">
        <f t="shared" si="21"/>
        <v>2.4135716330794854</v>
      </c>
      <c r="P1245" s="121">
        <v>5.440055486325063</v>
      </c>
      <c r="Q1245" s="121">
        <v>5.440055486325063</v>
      </c>
      <c r="R1245" s="121">
        <v>4918.6670044527127</v>
      </c>
      <c r="S1245" s="121">
        <v>173.08700445271279</v>
      </c>
      <c r="T1245" s="121">
        <v>173.08700445271279</v>
      </c>
      <c r="U1245" s="121">
        <v>2.240766352363003</v>
      </c>
      <c r="V1245" s="121">
        <v>3.6473308732064953</v>
      </c>
      <c r="W1245" s="103">
        <v>3.6473308732064953</v>
      </c>
    </row>
    <row r="1246" spans="1:23" x14ac:dyDescent="0.15">
      <c r="A1246" s="103" t="s">
        <v>77</v>
      </c>
      <c r="B1246" s="103" t="s">
        <v>120</v>
      </c>
      <c r="C1246" s="103" t="s">
        <v>972</v>
      </c>
      <c r="D1246" s="103" t="s">
        <v>403</v>
      </c>
      <c r="E1246" s="103" t="s">
        <v>82</v>
      </c>
      <c r="F1246" s="103" t="s">
        <v>968</v>
      </c>
      <c r="G1246" s="103">
        <v>0</v>
      </c>
      <c r="H1246" s="120" t="s">
        <v>203</v>
      </c>
      <c r="I1246" s="120" t="s">
        <v>581</v>
      </c>
      <c r="J1246" s="121">
        <v>4978</v>
      </c>
      <c r="K1246" s="121">
        <v>5237.0364095831546</v>
      </c>
      <c r="L1246" s="121">
        <v>259.03640958315464</v>
      </c>
      <c r="M1246" s="121">
        <v>259.03640958315464</v>
      </c>
      <c r="N1246" s="121">
        <v>2.4150341609477053</v>
      </c>
      <c r="O1246" s="132">
        <f t="shared" si="21"/>
        <v>2.4150341609477053</v>
      </c>
      <c r="P1246" s="121">
        <v>5.2036241378697197</v>
      </c>
      <c r="Q1246" s="121">
        <v>5.2036241378697197</v>
      </c>
      <c r="R1246" s="121">
        <v>5308.3372711037018</v>
      </c>
      <c r="S1246" s="121">
        <v>330.33727110370182</v>
      </c>
      <c r="T1246" s="121">
        <v>330.33727110370182</v>
      </c>
      <c r="U1246" s="121">
        <v>2.5202702910713528</v>
      </c>
      <c r="V1246" s="121">
        <v>6.63594357379875</v>
      </c>
      <c r="W1246" s="103">
        <v>6.63594357379875</v>
      </c>
    </row>
    <row r="1247" spans="1:23" x14ac:dyDescent="0.15">
      <c r="A1247" s="103" t="s">
        <v>77</v>
      </c>
      <c r="B1247" s="103" t="s">
        <v>369</v>
      </c>
      <c r="C1247" s="24" t="s">
        <v>980</v>
      </c>
      <c r="D1247" s="103" t="s">
        <v>403</v>
      </c>
      <c r="E1247" s="103" t="s">
        <v>148</v>
      </c>
      <c r="F1247" s="103" t="s">
        <v>968</v>
      </c>
      <c r="G1247" s="103">
        <v>0</v>
      </c>
      <c r="H1247" s="120" t="s">
        <v>374</v>
      </c>
      <c r="I1247" s="120" t="s">
        <v>580</v>
      </c>
      <c r="J1247" s="121">
        <v>2524.9700000000003</v>
      </c>
      <c r="K1247" s="121">
        <v>2265.2442206058704</v>
      </c>
      <c r="L1247" s="121">
        <v>-259.72577939412986</v>
      </c>
      <c r="M1247" s="121">
        <v>259.72577939412986</v>
      </c>
      <c r="N1247" s="121">
        <v>2.4161839743793054</v>
      </c>
      <c r="O1247" s="132">
        <f t="shared" si="21"/>
        <v>-2.4161839743793054</v>
      </c>
      <c r="P1247" s="121">
        <v>-10.286291694322301</v>
      </c>
      <c r="Q1247" s="121">
        <v>10.286291694322301</v>
      </c>
      <c r="R1247" s="121">
        <v>2247.1905122476574</v>
      </c>
      <c r="S1247" s="121">
        <v>-277.7794877523429</v>
      </c>
      <c r="T1247" s="121">
        <v>277.7794877523429</v>
      </c>
      <c r="U1247" s="121">
        <v>2.4452608157541866</v>
      </c>
      <c r="V1247" s="121">
        <v>-11.001298540273464</v>
      </c>
      <c r="W1247" s="103">
        <v>11.001298540273464</v>
      </c>
    </row>
    <row r="1248" spans="1:23" x14ac:dyDescent="0.15">
      <c r="A1248" s="103" t="s">
        <v>77</v>
      </c>
      <c r="B1248" s="103" t="s">
        <v>431</v>
      </c>
      <c r="C1248" s="24" t="s">
        <v>980</v>
      </c>
      <c r="D1248" s="103" t="s">
        <v>458</v>
      </c>
      <c r="E1248" s="103" t="s">
        <v>82</v>
      </c>
      <c r="F1248" s="103" t="s">
        <v>968</v>
      </c>
      <c r="G1248" s="103">
        <v>0</v>
      </c>
      <c r="H1248" s="120" t="s">
        <v>203</v>
      </c>
      <c r="I1248" s="120" t="s">
        <v>581</v>
      </c>
      <c r="J1248" s="121">
        <v>4710</v>
      </c>
      <c r="K1248" s="121">
        <v>4447.5901331014165</v>
      </c>
      <c r="L1248" s="121">
        <v>-262.40986689858346</v>
      </c>
      <c r="M1248" s="121">
        <v>262.40986689858346</v>
      </c>
      <c r="N1248" s="121">
        <v>2.4206320388844977</v>
      </c>
      <c r="O1248" s="132">
        <f t="shared" si="21"/>
        <v>-2.4206320388844977</v>
      </c>
      <c r="P1248" s="121">
        <v>-5.5713347536854236</v>
      </c>
      <c r="Q1248" s="121">
        <v>5.5713347536854236</v>
      </c>
      <c r="R1248" s="121">
        <v>4308.7034729936895</v>
      </c>
      <c r="S1248" s="121">
        <v>-401.2965270063105</v>
      </c>
      <c r="T1248" s="121">
        <v>401.2965270063105</v>
      </c>
      <c r="U1248" s="121">
        <v>2.604546283357974</v>
      </c>
      <c r="V1248" s="121">
        <v>-8.5200961147836622</v>
      </c>
      <c r="W1248" s="103">
        <v>8.5200961147836622</v>
      </c>
    </row>
    <row r="1249" spans="1:23" x14ac:dyDescent="0.15">
      <c r="A1249" s="103" t="s">
        <v>77</v>
      </c>
      <c r="B1249" s="103" t="s">
        <v>382</v>
      </c>
      <c r="C1249" s="103" t="s">
        <v>970</v>
      </c>
      <c r="D1249" s="103" t="s">
        <v>403</v>
      </c>
      <c r="E1249" s="103" t="s">
        <v>148</v>
      </c>
      <c r="F1249" s="103" t="s">
        <v>967</v>
      </c>
      <c r="G1249" s="103">
        <v>1</v>
      </c>
      <c r="H1249" s="120" t="s">
        <v>494</v>
      </c>
      <c r="I1249" s="120" t="s">
        <v>580</v>
      </c>
      <c r="J1249" s="121">
        <v>965.43</v>
      </c>
      <c r="K1249" s="121">
        <v>1230.063836</v>
      </c>
      <c r="L1249" s="121">
        <v>264.63383600000009</v>
      </c>
      <c r="M1249" s="121">
        <v>264.63383600000009</v>
      </c>
      <c r="N1249" s="121">
        <v>2.4242833939345005</v>
      </c>
      <c r="O1249" s="132">
        <f t="shared" si="21"/>
        <v>2.4242833939345005</v>
      </c>
      <c r="P1249" s="121">
        <v>27.410981220803176</v>
      </c>
      <c r="Q1249" s="121">
        <v>27.410981220803176</v>
      </c>
      <c r="R1249" s="121">
        <v>1231.6089159999999</v>
      </c>
      <c r="S1249" s="121">
        <v>266.17891599999996</v>
      </c>
      <c r="T1249" s="121">
        <v>266.17891599999996</v>
      </c>
      <c r="U1249" s="121">
        <v>2.4268021834961022</v>
      </c>
      <c r="V1249" s="121">
        <v>27.571021824471995</v>
      </c>
      <c r="W1249" s="103">
        <v>27.571021824471995</v>
      </c>
    </row>
    <row r="1250" spans="1:23" x14ac:dyDescent="0.15">
      <c r="A1250" s="103" t="s">
        <v>77</v>
      </c>
      <c r="B1250" s="103" t="s">
        <v>90</v>
      </c>
      <c r="C1250" s="103" t="s">
        <v>972</v>
      </c>
      <c r="D1250" s="103" t="s">
        <v>403</v>
      </c>
      <c r="E1250" s="103" t="s">
        <v>82</v>
      </c>
      <c r="F1250" s="103" t="s">
        <v>968</v>
      </c>
      <c r="G1250" s="103">
        <v>0</v>
      </c>
      <c r="H1250" s="120" t="s">
        <v>203</v>
      </c>
      <c r="I1250" s="120" t="s">
        <v>581</v>
      </c>
      <c r="J1250" s="121">
        <v>5080</v>
      </c>
      <c r="K1250" s="121">
        <v>5346.0306727954867</v>
      </c>
      <c r="L1250" s="121">
        <v>266.03067279548668</v>
      </c>
      <c r="M1250" s="121">
        <v>266.03067279548668</v>
      </c>
      <c r="N1250" s="121">
        <v>2.4265611499815316</v>
      </c>
      <c r="O1250" s="132">
        <f t="shared" si="21"/>
        <v>2.4265611499815316</v>
      </c>
      <c r="P1250" s="121">
        <v>5.2368242676276902</v>
      </c>
      <c r="Q1250" s="121">
        <v>5.2368242676276902</v>
      </c>
      <c r="R1250" s="121">
        <v>5577.8792634562806</v>
      </c>
      <c r="S1250" s="121">
        <v>497.87926345628057</v>
      </c>
      <c r="T1250" s="121">
        <v>497.87926345628057</v>
      </c>
      <c r="U1250" s="121">
        <v>2.6979954523182625</v>
      </c>
      <c r="V1250" s="121">
        <v>9.8007729026826897</v>
      </c>
      <c r="W1250" s="103">
        <v>9.8007729026826897</v>
      </c>
    </row>
    <row r="1251" spans="1:23" x14ac:dyDescent="0.15">
      <c r="A1251" s="103" t="s">
        <v>77</v>
      </c>
      <c r="B1251" s="103" t="s">
        <v>115</v>
      </c>
      <c r="C1251" s="103" t="s">
        <v>975</v>
      </c>
      <c r="D1251" s="103" t="s">
        <v>403</v>
      </c>
      <c r="E1251" s="103" t="s">
        <v>83</v>
      </c>
      <c r="F1251" s="103" t="s">
        <v>967</v>
      </c>
      <c r="G1251" s="103">
        <v>1</v>
      </c>
      <c r="H1251" s="120" t="s">
        <v>203</v>
      </c>
      <c r="I1251" s="120" t="s">
        <v>581</v>
      </c>
      <c r="J1251" s="121">
        <v>4938.3100000000004</v>
      </c>
      <c r="K1251" s="121">
        <v>4672.277</v>
      </c>
      <c r="L1251" s="121">
        <v>-266.03300000000036</v>
      </c>
      <c r="M1251" s="121">
        <v>266.03300000000036</v>
      </c>
      <c r="N1251" s="121">
        <v>2.4265649348938187</v>
      </c>
      <c r="O1251" s="132">
        <f t="shared" si="21"/>
        <v>-2.4265649348938187</v>
      </c>
      <c r="P1251" s="121">
        <v>-5.3871263650925183</v>
      </c>
      <c r="Q1251" s="121">
        <v>5.3871263650925183</v>
      </c>
      <c r="R1251" s="121">
        <v>4722.3437400000003</v>
      </c>
      <c r="S1251" s="121">
        <v>-215.96626000000015</v>
      </c>
      <c r="T1251" s="121">
        <v>215.96626000000015</v>
      </c>
      <c r="U1251" s="121">
        <v>2.3363922028112141</v>
      </c>
      <c r="V1251" s="121">
        <v>-4.3732827627265225</v>
      </c>
      <c r="W1251" s="103">
        <v>4.3732827627265225</v>
      </c>
    </row>
    <row r="1252" spans="1:23" x14ac:dyDescent="0.15">
      <c r="A1252" s="103" t="s">
        <v>77</v>
      </c>
      <c r="B1252" s="103" t="s">
        <v>588</v>
      </c>
      <c r="C1252" s="103" t="s">
        <v>971</v>
      </c>
      <c r="D1252" s="103" t="s">
        <v>403</v>
      </c>
      <c r="E1252" s="103" t="s">
        <v>148</v>
      </c>
      <c r="F1252" s="103" t="s">
        <v>968</v>
      </c>
      <c r="G1252" s="103">
        <v>0</v>
      </c>
      <c r="H1252" s="120" t="s">
        <v>374</v>
      </c>
      <c r="I1252" s="120" t="s">
        <v>580</v>
      </c>
      <c r="J1252" s="121">
        <v>2740.86</v>
      </c>
      <c r="K1252" s="121">
        <v>3010.839203348165</v>
      </c>
      <c r="L1252" s="121">
        <v>269.9792033481649</v>
      </c>
      <c r="M1252" s="121">
        <v>269.9792033481649</v>
      </c>
      <c r="N1252" s="121">
        <v>2.4329359616577766</v>
      </c>
      <c r="O1252" s="132">
        <f t="shared" si="21"/>
        <v>2.4329359616577766</v>
      </c>
      <c r="P1252" s="121">
        <v>9.8501639393535196</v>
      </c>
      <c r="Q1252" s="121">
        <v>9.8501639393535196</v>
      </c>
      <c r="R1252" s="121">
        <v>2980.361077317692</v>
      </c>
      <c r="S1252" s="121">
        <v>239.50107731769185</v>
      </c>
      <c r="T1252" s="121">
        <v>239.50107731769185</v>
      </c>
      <c r="U1252" s="121">
        <v>2.3811170261239085</v>
      </c>
      <c r="V1252" s="121">
        <v>8.7381725924597333</v>
      </c>
      <c r="W1252" s="103">
        <v>8.7381725924597333</v>
      </c>
    </row>
    <row r="1253" spans="1:23" x14ac:dyDescent="0.15">
      <c r="A1253" s="103" t="s">
        <v>77</v>
      </c>
      <c r="B1253" s="103" t="s">
        <v>588</v>
      </c>
      <c r="C1253" s="103" t="s">
        <v>972</v>
      </c>
      <c r="D1253" s="103" t="s">
        <v>403</v>
      </c>
      <c r="E1253" s="103" t="s">
        <v>148</v>
      </c>
      <c r="F1253" s="103" t="s">
        <v>968</v>
      </c>
      <c r="G1253" s="103">
        <v>0</v>
      </c>
      <c r="H1253" s="120" t="s">
        <v>374</v>
      </c>
      <c r="I1253" s="120" t="s">
        <v>580</v>
      </c>
      <c r="J1253" s="121">
        <v>2740.86</v>
      </c>
      <c r="K1253" s="121">
        <v>3018.7736459228286</v>
      </c>
      <c r="L1253" s="121">
        <v>277.91364592282844</v>
      </c>
      <c r="M1253" s="121">
        <v>277.91364592282844</v>
      </c>
      <c r="N1253" s="121">
        <v>2.4454697627565785</v>
      </c>
      <c r="O1253" s="132">
        <f t="shared" si="21"/>
        <v>2.4454697627565785</v>
      </c>
      <c r="P1253" s="121">
        <v>10.139651274520713</v>
      </c>
      <c r="Q1253" s="121">
        <v>10.139651274520713</v>
      </c>
      <c r="R1253" s="121">
        <v>3131.9802566806948</v>
      </c>
      <c r="S1253" s="121">
        <v>391.12025668069464</v>
      </c>
      <c r="T1253" s="121">
        <v>391.12025668069464</v>
      </c>
      <c r="U1253" s="121">
        <v>2.5934192782538164</v>
      </c>
      <c r="V1253" s="121">
        <v>14.269983022872188</v>
      </c>
      <c r="W1253" s="103">
        <v>14.269983022872188</v>
      </c>
    </row>
    <row r="1254" spans="1:23" x14ac:dyDescent="0.15">
      <c r="A1254" s="103" t="s">
        <v>77</v>
      </c>
      <c r="B1254" s="103" t="s">
        <v>120</v>
      </c>
      <c r="C1254" s="103" t="s">
        <v>973</v>
      </c>
      <c r="D1254" s="103" t="s">
        <v>403</v>
      </c>
      <c r="E1254" s="103" t="s">
        <v>82</v>
      </c>
      <c r="F1254" s="103" t="s">
        <v>968</v>
      </c>
      <c r="G1254" s="103">
        <v>0</v>
      </c>
      <c r="H1254" s="120" t="s">
        <v>203</v>
      </c>
      <c r="I1254" s="120" t="s">
        <v>581</v>
      </c>
      <c r="J1254" s="121">
        <v>4978</v>
      </c>
      <c r="K1254" s="121">
        <v>5257.6424871205227</v>
      </c>
      <c r="L1254" s="121">
        <v>279.64248712052267</v>
      </c>
      <c r="M1254" s="121">
        <v>279.64248712052267</v>
      </c>
      <c r="N1254" s="121">
        <v>2.4481534205240756</v>
      </c>
      <c r="O1254" s="132">
        <f t="shared" si="21"/>
        <v>2.4481534205240756</v>
      </c>
      <c r="P1254" s="121">
        <v>5.6175670373749034</v>
      </c>
      <c r="Q1254" s="121">
        <v>5.6175670373749034</v>
      </c>
      <c r="R1254" s="121">
        <v>5361.6869115518784</v>
      </c>
      <c r="S1254" s="121">
        <v>383.68691155187844</v>
      </c>
      <c r="T1254" s="121">
        <v>383.68691155187844</v>
      </c>
      <c r="U1254" s="121">
        <v>2.5851074102800569</v>
      </c>
      <c r="V1254" s="121">
        <v>7.7076518993949064</v>
      </c>
      <c r="W1254" s="103">
        <v>7.7076518993949064</v>
      </c>
    </row>
    <row r="1255" spans="1:23" x14ac:dyDescent="0.15">
      <c r="A1255" s="103" t="s">
        <v>77</v>
      </c>
      <c r="B1255" s="103" t="s">
        <v>139</v>
      </c>
      <c r="C1255" s="103" t="s">
        <v>971</v>
      </c>
      <c r="D1255" s="103" t="s">
        <v>403</v>
      </c>
      <c r="E1255" s="103" t="s">
        <v>82</v>
      </c>
      <c r="F1255" s="103" t="s">
        <v>968</v>
      </c>
      <c r="G1255" s="103">
        <v>0</v>
      </c>
      <c r="H1255" s="120" t="s">
        <v>203</v>
      </c>
      <c r="I1255" s="120" t="s">
        <v>581</v>
      </c>
      <c r="J1255" s="121">
        <v>4870</v>
      </c>
      <c r="K1255" s="121">
        <v>4580.682667439437</v>
      </c>
      <c r="L1255" s="121">
        <v>-289.31733256056305</v>
      </c>
      <c r="M1255" s="121">
        <v>289.31733256056305</v>
      </c>
      <c r="N1255" s="121">
        <v>2.462872964907469</v>
      </c>
      <c r="O1255" s="132">
        <f t="shared" si="21"/>
        <v>-2.462872964907469</v>
      </c>
      <c r="P1255" s="121">
        <v>-5.9408076501142313</v>
      </c>
      <c r="Q1255" s="121">
        <v>5.9408076501142313</v>
      </c>
      <c r="R1255" s="121">
        <v>4611.130954708995</v>
      </c>
      <c r="S1255" s="121">
        <v>-258.86904529100502</v>
      </c>
      <c r="T1255" s="121">
        <v>258.86904529100502</v>
      </c>
      <c r="U1255" s="121">
        <v>2.4147545509133135</v>
      </c>
      <c r="V1255" s="121">
        <v>-5.3155861456058524</v>
      </c>
      <c r="W1255" s="103">
        <v>5.3155861456058524</v>
      </c>
    </row>
    <row r="1256" spans="1:23" x14ac:dyDescent="0.15">
      <c r="A1256" s="103" t="s">
        <v>77</v>
      </c>
      <c r="B1256" s="103" t="s">
        <v>90</v>
      </c>
      <c r="C1256" s="103" t="s">
        <v>973</v>
      </c>
      <c r="D1256" s="103" t="s">
        <v>403</v>
      </c>
      <c r="E1256" s="103" t="s">
        <v>82</v>
      </c>
      <c r="F1256" s="103" t="s">
        <v>968</v>
      </c>
      <c r="G1256" s="103">
        <v>0</v>
      </c>
      <c r="H1256" s="120" t="s">
        <v>203</v>
      </c>
      <c r="I1256" s="120" t="s">
        <v>581</v>
      </c>
      <c r="J1256" s="121">
        <v>5080</v>
      </c>
      <c r="K1256" s="121">
        <v>5370.318180747181</v>
      </c>
      <c r="L1256" s="121">
        <v>290.31818074718103</v>
      </c>
      <c r="M1256" s="121">
        <v>290.31818074718103</v>
      </c>
      <c r="N1256" s="121">
        <v>2.4643675891652226</v>
      </c>
      <c r="O1256" s="132">
        <f t="shared" si="21"/>
        <v>2.4643675891652226</v>
      </c>
      <c r="P1256" s="121">
        <v>5.7149248178578942</v>
      </c>
      <c r="Q1256" s="121">
        <v>5.7149248178578942</v>
      </c>
      <c r="R1256" s="121">
        <v>5633.9378441324961</v>
      </c>
      <c r="S1256" s="121">
        <v>553.93784413249614</v>
      </c>
      <c r="T1256" s="121">
        <v>553.93784413249614</v>
      </c>
      <c r="U1256" s="121">
        <v>2.7442443426506973</v>
      </c>
      <c r="V1256" s="121">
        <v>10.904288270324727</v>
      </c>
      <c r="W1256" s="103">
        <v>10.904288270324727</v>
      </c>
    </row>
    <row r="1257" spans="1:23" x14ac:dyDescent="0.15">
      <c r="A1257" s="103" t="s">
        <v>77</v>
      </c>
      <c r="B1257" s="103" t="s">
        <v>588</v>
      </c>
      <c r="C1257" s="103" t="s">
        <v>979</v>
      </c>
      <c r="D1257" s="103" t="s">
        <v>403</v>
      </c>
      <c r="E1257" s="103" t="s">
        <v>148</v>
      </c>
      <c r="F1257" s="103" t="s">
        <v>967</v>
      </c>
      <c r="G1257" s="103">
        <v>1</v>
      </c>
      <c r="H1257" s="120" t="s">
        <v>374</v>
      </c>
      <c r="I1257" s="120" t="s">
        <v>580</v>
      </c>
      <c r="J1257" s="121">
        <v>2740.86</v>
      </c>
      <c r="K1257" s="121">
        <v>3034.8333333333335</v>
      </c>
      <c r="L1257" s="121">
        <v>293.97333333333336</v>
      </c>
      <c r="M1257" s="121">
        <v>293.97333333333336</v>
      </c>
      <c r="N1257" s="121">
        <v>2.4697827559454204</v>
      </c>
      <c r="O1257" s="132">
        <f t="shared" si="21"/>
        <v>2.4697827559454204</v>
      </c>
      <c r="P1257" s="121">
        <v>10.725587346064131</v>
      </c>
      <c r="Q1257" s="121">
        <v>10.725587346064131</v>
      </c>
      <c r="R1257" s="121">
        <v>2918.0740740740739</v>
      </c>
      <c r="S1257" s="121">
        <v>177.21407407407378</v>
      </c>
      <c r="T1257" s="121">
        <v>177.21407407407378</v>
      </c>
      <c r="U1257" s="121">
        <v>2.2509419985299761</v>
      </c>
      <c r="V1257" s="121">
        <v>6.4656375763108578</v>
      </c>
      <c r="W1257" s="103">
        <v>6.4656375763108578</v>
      </c>
    </row>
    <row r="1258" spans="1:23" x14ac:dyDescent="0.15">
      <c r="A1258" s="103" t="s">
        <v>77</v>
      </c>
      <c r="B1258" s="103" t="s">
        <v>382</v>
      </c>
      <c r="C1258" s="103" t="s">
        <v>975</v>
      </c>
      <c r="D1258" s="103" t="s">
        <v>403</v>
      </c>
      <c r="E1258" s="103" t="s">
        <v>148</v>
      </c>
      <c r="F1258" s="103" t="s">
        <v>967</v>
      </c>
      <c r="G1258" s="103">
        <v>1</v>
      </c>
      <c r="H1258" s="120" t="s">
        <v>494</v>
      </c>
      <c r="I1258" s="120" t="s">
        <v>580</v>
      </c>
      <c r="J1258" s="121">
        <v>965.43</v>
      </c>
      <c r="K1258" s="121">
        <v>1272.0503000000001</v>
      </c>
      <c r="L1258" s="121">
        <v>306.62030000000016</v>
      </c>
      <c r="M1258" s="121">
        <v>306.62030000000016</v>
      </c>
      <c r="N1258" s="121">
        <v>2.4880149913604876</v>
      </c>
      <c r="O1258" s="132">
        <f t="shared" si="21"/>
        <v>2.4880149913604876</v>
      </c>
      <c r="P1258" s="121">
        <v>31.75997224034888</v>
      </c>
      <c r="Q1258" s="121">
        <v>31.75997224034888</v>
      </c>
      <c r="R1258" s="121">
        <v>1281.964569</v>
      </c>
      <c r="S1258" s="121">
        <v>316.53456900000003</v>
      </c>
      <c r="T1258" s="121">
        <v>316.53456900000003</v>
      </c>
      <c r="U1258" s="121">
        <v>2.5017910124900391</v>
      </c>
      <c r="V1258" s="121">
        <v>32.786900034181663</v>
      </c>
      <c r="W1258" s="103">
        <v>32.786900034181663</v>
      </c>
    </row>
    <row r="1259" spans="1:23" x14ac:dyDescent="0.15">
      <c r="A1259" s="103" t="s">
        <v>77</v>
      </c>
      <c r="B1259" s="103" t="s">
        <v>486</v>
      </c>
      <c r="C1259" s="103" t="s">
        <v>970</v>
      </c>
      <c r="D1259" s="103" t="s">
        <v>403</v>
      </c>
      <c r="E1259" s="103" t="s">
        <v>82</v>
      </c>
      <c r="F1259" s="103" t="s">
        <v>967</v>
      </c>
      <c r="G1259" s="103">
        <v>1</v>
      </c>
      <c r="H1259" s="120" t="s">
        <v>203</v>
      </c>
      <c r="I1259" s="120" t="s">
        <v>581</v>
      </c>
      <c r="J1259" s="121">
        <v>4927.5</v>
      </c>
      <c r="K1259" s="121">
        <v>4610.7379999999994</v>
      </c>
      <c r="L1259" s="121">
        <v>-316.76200000000063</v>
      </c>
      <c r="M1259" s="121">
        <v>316.76200000000063</v>
      </c>
      <c r="N1259" s="121">
        <v>2.5021019602815215</v>
      </c>
      <c r="O1259" s="132">
        <f t="shared" si="21"/>
        <v>-2.5021019602815215</v>
      </c>
      <c r="P1259" s="121">
        <v>-6.4284525621512048</v>
      </c>
      <c r="Q1259" s="121">
        <v>6.4284525621512048</v>
      </c>
      <c r="R1259" s="121">
        <v>4554.6351999999997</v>
      </c>
      <c r="S1259" s="121">
        <v>-372.86480000000029</v>
      </c>
      <c r="T1259" s="121">
        <v>372.86480000000029</v>
      </c>
      <c r="U1259" s="121">
        <v>2.5727145775227767</v>
      </c>
      <c r="V1259" s="121">
        <v>-7.5670177574835158</v>
      </c>
      <c r="W1259" s="103">
        <v>7.5670177574835158</v>
      </c>
    </row>
    <row r="1260" spans="1:23" x14ac:dyDescent="0.15">
      <c r="A1260" s="103" t="s">
        <v>77</v>
      </c>
      <c r="B1260" s="103" t="s">
        <v>486</v>
      </c>
      <c r="C1260" s="103" t="s">
        <v>975</v>
      </c>
      <c r="D1260" s="103" t="s">
        <v>403</v>
      </c>
      <c r="E1260" s="103" t="s">
        <v>82</v>
      </c>
      <c r="F1260" s="103" t="s">
        <v>967</v>
      </c>
      <c r="G1260" s="103">
        <v>1</v>
      </c>
      <c r="H1260" s="120" t="s">
        <v>203</v>
      </c>
      <c r="I1260" s="120" t="s">
        <v>581</v>
      </c>
      <c r="J1260" s="121">
        <v>4927.5</v>
      </c>
      <c r="K1260" s="121">
        <v>4597.4359999999997</v>
      </c>
      <c r="L1260" s="121">
        <v>-330.06400000000031</v>
      </c>
      <c r="M1260" s="121">
        <v>330.06400000000031</v>
      </c>
      <c r="N1260" s="121">
        <v>2.5199119580055469</v>
      </c>
      <c r="O1260" s="132">
        <f t="shared" si="21"/>
        <v>-2.5199119580055469</v>
      </c>
      <c r="P1260" s="121">
        <v>-6.6984069000507418</v>
      </c>
      <c r="Q1260" s="121">
        <v>6.6984069000507418</v>
      </c>
      <c r="R1260" s="121">
        <v>4633.2227999999996</v>
      </c>
      <c r="S1260" s="121">
        <v>-294.27720000000045</v>
      </c>
      <c r="T1260" s="121">
        <v>294.27720000000045</v>
      </c>
      <c r="U1260" s="121">
        <v>2.4702299139597672</v>
      </c>
      <c r="V1260" s="121">
        <v>-5.9721400304414098</v>
      </c>
      <c r="W1260" s="103">
        <v>5.9721400304414098</v>
      </c>
    </row>
    <row r="1261" spans="1:23" x14ac:dyDescent="0.15">
      <c r="A1261" s="103" t="s">
        <v>77</v>
      </c>
      <c r="B1261" s="103" t="s">
        <v>670</v>
      </c>
      <c r="C1261" s="103" t="s">
        <v>975</v>
      </c>
      <c r="D1261" s="103" t="s">
        <v>403</v>
      </c>
      <c r="E1261" s="103" t="s">
        <v>83</v>
      </c>
      <c r="F1261" s="103" t="s">
        <v>967</v>
      </c>
      <c r="G1261" s="103">
        <v>1</v>
      </c>
      <c r="H1261" s="120" t="s">
        <v>203</v>
      </c>
      <c r="I1261" s="120" t="s">
        <v>581</v>
      </c>
      <c r="J1261" s="121">
        <v>5205.8999999999996</v>
      </c>
      <c r="K1261" s="121">
        <v>5536.6535000000003</v>
      </c>
      <c r="L1261" s="121">
        <v>330.75350000000071</v>
      </c>
      <c r="M1261" s="121">
        <v>330.75350000000071</v>
      </c>
      <c r="N1261" s="121">
        <v>2.5208155133681802</v>
      </c>
      <c r="O1261" s="132">
        <f t="shared" si="21"/>
        <v>2.5208155133681802</v>
      </c>
      <c r="P1261" s="121">
        <v>6.3534355250773302</v>
      </c>
      <c r="Q1261" s="121">
        <v>6.3534355250773302</v>
      </c>
      <c r="R1261" s="121">
        <v>5753.0032310000006</v>
      </c>
      <c r="S1261" s="121">
        <v>547.10323100000096</v>
      </c>
      <c r="T1261" s="121">
        <v>547.10323100000096</v>
      </c>
      <c r="U1261" s="121">
        <v>2.7388623621914041</v>
      </c>
      <c r="V1261" s="121">
        <v>10.509291976411399</v>
      </c>
      <c r="W1261" s="103">
        <v>10.509291976411399</v>
      </c>
    </row>
    <row r="1262" spans="1:23" x14ac:dyDescent="0.15">
      <c r="A1262" s="103" t="s">
        <v>77</v>
      </c>
      <c r="B1262" s="103" t="s">
        <v>670</v>
      </c>
      <c r="C1262" s="103" t="s">
        <v>970</v>
      </c>
      <c r="D1262" s="103" t="s">
        <v>403</v>
      </c>
      <c r="E1262" s="103" t="s">
        <v>83</v>
      </c>
      <c r="F1262" s="103" t="s">
        <v>967</v>
      </c>
      <c r="G1262" s="103">
        <v>1</v>
      </c>
      <c r="H1262" s="120" t="s">
        <v>203</v>
      </c>
      <c r="I1262" s="120" t="s">
        <v>581</v>
      </c>
      <c r="J1262" s="121">
        <v>5205.8999999999996</v>
      </c>
      <c r="K1262" s="121">
        <v>5565.5710999999992</v>
      </c>
      <c r="L1262" s="121">
        <v>359.67109999999957</v>
      </c>
      <c r="M1262" s="121">
        <v>359.67109999999957</v>
      </c>
      <c r="N1262" s="121">
        <v>2.5571113443883271</v>
      </c>
      <c r="O1262" s="132">
        <f t="shared" si="21"/>
        <v>2.5571113443883271</v>
      </c>
      <c r="P1262" s="121">
        <v>6.908912964136837</v>
      </c>
      <c r="Q1262" s="121">
        <v>6.908912964136837</v>
      </c>
      <c r="R1262" s="121">
        <v>5664.9822839999997</v>
      </c>
      <c r="S1262" s="121">
        <v>459.08228400000007</v>
      </c>
      <c r="T1262" s="121">
        <v>459.08228400000007</v>
      </c>
      <c r="U1262" s="121">
        <v>2.6628355105758765</v>
      </c>
      <c r="V1262" s="121">
        <v>8.8184998559326946</v>
      </c>
      <c r="W1262" s="103">
        <v>8.8184998559326946</v>
      </c>
    </row>
    <row r="1263" spans="1:23" x14ac:dyDescent="0.15">
      <c r="A1263" s="103" t="s">
        <v>77</v>
      </c>
      <c r="B1263" s="103" t="s">
        <v>104</v>
      </c>
      <c r="C1263" s="103" t="s">
        <v>970</v>
      </c>
      <c r="D1263" s="103" t="s">
        <v>403</v>
      </c>
      <c r="E1263" s="103" t="s">
        <v>83</v>
      </c>
      <c r="F1263" s="103" t="s">
        <v>967</v>
      </c>
      <c r="G1263" s="103">
        <v>1</v>
      </c>
      <c r="H1263" s="120" t="s">
        <v>203</v>
      </c>
      <c r="I1263" s="120" t="s">
        <v>581</v>
      </c>
      <c r="J1263" s="121">
        <v>4769.5</v>
      </c>
      <c r="K1263" s="121">
        <v>4396.0418</v>
      </c>
      <c r="L1263" s="121">
        <v>-373.45820000000003</v>
      </c>
      <c r="M1263" s="121">
        <v>373.45820000000003</v>
      </c>
      <c r="N1263" s="121">
        <v>2.5734033453398237</v>
      </c>
      <c r="O1263" s="132">
        <f t="shared" si="21"/>
        <v>-2.5734033453398237</v>
      </c>
      <c r="P1263" s="121">
        <v>-7.8301331376454568</v>
      </c>
      <c r="Q1263" s="121">
        <v>7.8301331376454568</v>
      </c>
      <c r="R1263" s="121">
        <v>4242.2569599999997</v>
      </c>
      <c r="S1263" s="121">
        <v>-527.24304000000029</v>
      </c>
      <c r="T1263" s="121">
        <v>527.24304000000029</v>
      </c>
      <c r="U1263" s="121">
        <v>2.722833783605076</v>
      </c>
      <c r="V1263" s="121">
        <v>-11.054471957228229</v>
      </c>
      <c r="W1263" s="103">
        <v>11.054471957228229</v>
      </c>
    </row>
    <row r="1264" spans="1:23" x14ac:dyDescent="0.15">
      <c r="A1264" s="103" t="s">
        <v>77</v>
      </c>
      <c r="B1264" s="103" t="s">
        <v>127</v>
      </c>
      <c r="C1264" s="103" t="s">
        <v>979</v>
      </c>
      <c r="D1264" s="103" t="s">
        <v>403</v>
      </c>
      <c r="E1264" s="103" t="s">
        <v>82</v>
      </c>
      <c r="F1264" s="103" t="s">
        <v>967</v>
      </c>
      <c r="G1264" s="103">
        <v>1</v>
      </c>
      <c r="H1264" s="120" t="s">
        <v>203</v>
      </c>
      <c r="I1264" s="120" t="s">
        <v>581</v>
      </c>
      <c r="J1264" s="121">
        <v>4745.58</v>
      </c>
      <c r="K1264" s="121">
        <v>5122.375</v>
      </c>
      <c r="L1264" s="121">
        <v>376.79500000000007</v>
      </c>
      <c r="M1264" s="121">
        <v>376.79500000000007</v>
      </c>
      <c r="N1264" s="121">
        <v>2.5772562058706776</v>
      </c>
      <c r="O1264" s="132">
        <f t="shared" si="21"/>
        <v>2.5772562058706776</v>
      </c>
      <c r="P1264" s="121">
        <v>7.9399146152841187</v>
      </c>
      <c r="Q1264" s="121">
        <v>7.9399146152841187</v>
      </c>
      <c r="R1264" s="121">
        <v>4927.6666666666661</v>
      </c>
      <c r="S1264" s="121">
        <v>182.08666666666613</v>
      </c>
      <c r="T1264" s="121">
        <v>182.08666666666613</v>
      </c>
      <c r="U1264" s="121">
        <v>2.2626567178465469</v>
      </c>
      <c r="V1264" s="121">
        <v>3.836973913971867</v>
      </c>
      <c r="W1264" s="103">
        <v>3.836973913971867</v>
      </c>
    </row>
    <row r="1265" spans="1:23" x14ac:dyDescent="0.15">
      <c r="A1265" s="103" t="s">
        <v>77</v>
      </c>
      <c r="B1265" s="103" t="s">
        <v>104</v>
      </c>
      <c r="C1265" s="103" t="s">
        <v>975</v>
      </c>
      <c r="D1265" s="103" t="s">
        <v>403</v>
      </c>
      <c r="E1265" s="103" t="s">
        <v>83</v>
      </c>
      <c r="F1265" s="103" t="s">
        <v>967</v>
      </c>
      <c r="G1265" s="103">
        <v>1</v>
      </c>
      <c r="H1265" s="120" t="s">
        <v>203</v>
      </c>
      <c r="I1265" s="120" t="s">
        <v>581</v>
      </c>
      <c r="J1265" s="121">
        <v>4769.5</v>
      </c>
      <c r="K1265" s="121">
        <v>4386.2510000000002</v>
      </c>
      <c r="L1265" s="121">
        <v>-383.2489999999998</v>
      </c>
      <c r="M1265" s="121">
        <v>383.2489999999998</v>
      </c>
      <c r="N1265" s="121">
        <v>2.5846127459309316</v>
      </c>
      <c r="O1265" s="132">
        <f t="shared" si="21"/>
        <v>-2.5846127459309316</v>
      </c>
      <c r="P1265" s="121">
        <v>-8.0354125170353239</v>
      </c>
      <c r="Q1265" s="121">
        <v>8.0354125170353239</v>
      </c>
      <c r="R1265" s="121">
        <v>4318.1906399999998</v>
      </c>
      <c r="S1265" s="121">
        <v>-451.3093600000002</v>
      </c>
      <c r="T1265" s="121">
        <v>451.3093600000002</v>
      </c>
      <c r="U1265" s="121">
        <v>2.6554355750426031</v>
      </c>
      <c r="V1265" s="121">
        <v>-9.4624040255792039</v>
      </c>
      <c r="W1265" s="103">
        <v>9.4624040255792039</v>
      </c>
    </row>
    <row r="1266" spans="1:23" x14ac:dyDescent="0.15">
      <c r="A1266" s="103" t="s">
        <v>77</v>
      </c>
      <c r="B1266" s="103" t="s">
        <v>121</v>
      </c>
      <c r="C1266" s="103" t="s">
        <v>970</v>
      </c>
      <c r="D1266" s="103" t="s">
        <v>403</v>
      </c>
      <c r="E1266" s="103" t="s">
        <v>82</v>
      </c>
      <c r="F1266" s="103" t="s">
        <v>967</v>
      </c>
      <c r="G1266" s="103">
        <v>1</v>
      </c>
      <c r="H1266" s="120" t="s">
        <v>203</v>
      </c>
      <c r="I1266" s="120" t="s">
        <v>581</v>
      </c>
      <c r="J1266" s="121">
        <v>4470</v>
      </c>
      <c r="K1266" s="121">
        <v>4068.3476000000001</v>
      </c>
      <c r="L1266" s="121">
        <v>-401.65239999999994</v>
      </c>
      <c r="M1266" s="121">
        <v>401.65239999999994</v>
      </c>
      <c r="N1266" s="121">
        <v>2.6049302920380328</v>
      </c>
      <c r="O1266" s="132">
        <f t="shared" si="21"/>
        <v>-2.6049302920380328</v>
      </c>
      <c r="P1266" s="121">
        <v>-8.9855123042505571</v>
      </c>
      <c r="Q1266" s="121">
        <v>8.9855123042505571</v>
      </c>
      <c r="R1266" s="121">
        <v>3938.0991999999997</v>
      </c>
      <c r="S1266" s="121">
        <v>-531.90080000000034</v>
      </c>
      <c r="T1266" s="121">
        <v>531.90080000000034</v>
      </c>
      <c r="U1266" s="121">
        <v>2.7266463722118726</v>
      </c>
      <c r="V1266" s="121">
        <v>-11.899346756152132</v>
      </c>
      <c r="W1266" s="103">
        <v>11.899346756152132</v>
      </c>
    </row>
    <row r="1267" spans="1:23" x14ac:dyDescent="0.15">
      <c r="A1267" s="103" t="s">
        <v>77</v>
      </c>
      <c r="B1267" s="103" t="s">
        <v>127</v>
      </c>
      <c r="C1267" s="103" t="s">
        <v>972</v>
      </c>
      <c r="D1267" s="103" t="s">
        <v>403</v>
      </c>
      <c r="E1267" s="103" t="s">
        <v>82</v>
      </c>
      <c r="F1267" s="103" t="s">
        <v>968</v>
      </c>
      <c r="G1267" s="103">
        <v>0</v>
      </c>
      <c r="H1267" s="120" t="s">
        <v>203</v>
      </c>
      <c r="I1267" s="120" t="s">
        <v>581</v>
      </c>
      <c r="J1267" s="121">
        <v>4745.58</v>
      </c>
      <c r="K1267" s="121">
        <v>5148.8904076224107</v>
      </c>
      <c r="L1267" s="121">
        <v>403.31040762241082</v>
      </c>
      <c r="M1267" s="121">
        <v>403.31040762241082</v>
      </c>
      <c r="N1267" s="121">
        <v>2.6067149209399232</v>
      </c>
      <c r="O1267" s="132">
        <f t="shared" si="21"/>
        <v>2.6067149209399232</v>
      </c>
      <c r="P1267" s="121">
        <v>8.4986536444946843</v>
      </c>
      <c r="Q1267" s="121">
        <v>8.4986536444946843</v>
      </c>
      <c r="R1267" s="121">
        <v>5372.6706468910697</v>
      </c>
      <c r="S1267" s="121">
        <v>627.09064689106981</v>
      </c>
      <c r="T1267" s="121">
        <v>627.09064689106981</v>
      </c>
      <c r="U1267" s="121">
        <v>2.7980223262271249</v>
      </c>
      <c r="V1267" s="121">
        <v>13.214204520650158</v>
      </c>
      <c r="W1267" s="103">
        <v>13.214204520650158</v>
      </c>
    </row>
    <row r="1268" spans="1:23" x14ac:dyDescent="0.15">
      <c r="A1268" s="103" t="s">
        <v>77</v>
      </c>
      <c r="B1268" s="103" t="s">
        <v>121</v>
      </c>
      <c r="C1268" s="103" t="s">
        <v>975</v>
      </c>
      <c r="D1268" s="103" t="s">
        <v>403</v>
      </c>
      <c r="E1268" s="103" t="s">
        <v>82</v>
      </c>
      <c r="F1268" s="103" t="s">
        <v>967</v>
      </c>
      <c r="G1268" s="103">
        <v>1</v>
      </c>
      <c r="H1268" s="120" t="s">
        <v>203</v>
      </c>
      <c r="I1268" s="120" t="s">
        <v>581</v>
      </c>
      <c r="J1268" s="121">
        <v>4470</v>
      </c>
      <c r="K1268" s="121">
        <v>4063.9160000000002</v>
      </c>
      <c r="L1268" s="121">
        <v>-406.08399999999983</v>
      </c>
      <c r="M1268" s="121">
        <v>406.08399999999983</v>
      </c>
      <c r="N1268" s="121">
        <v>2.6096840332360327</v>
      </c>
      <c r="O1268" s="132">
        <f t="shared" si="21"/>
        <v>-2.6096840332360327</v>
      </c>
      <c r="P1268" s="121">
        <v>-9.0846532438478693</v>
      </c>
      <c r="Q1268" s="121">
        <v>9.0846532438478693</v>
      </c>
      <c r="R1268" s="121">
        <v>4011.4488000000001</v>
      </c>
      <c r="S1268" s="121">
        <v>-458.55119999999988</v>
      </c>
      <c r="T1268" s="121">
        <v>458.55119999999988</v>
      </c>
      <c r="U1268" s="121">
        <v>2.6623339044897993</v>
      </c>
      <c r="V1268" s="121">
        <v>-10.258416107382548</v>
      </c>
      <c r="W1268" s="103">
        <v>10.258416107382548</v>
      </c>
    </row>
    <row r="1269" spans="1:23" x14ac:dyDescent="0.15">
      <c r="A1269" s="103" t="s">
        <v>77</v>
      </c>
      <c r="B1269" s="103" t="s">
        <v>902</v>
      </c>
      <c r="C1269" s="24" t="s">
        <v>980</v>
      </c>
      <c r="D1269" s="103" t="s">
        <v>401</v>
      </c>
      <c r="E1269" s="103" t="s">
        <v>82</v>
      </c>
      <c r="F1269" s="103" t="s">
        <v>968</v>
      </c>
      <c r="G1269" s="103">
        <v>0</v>
      </c>
      <c r="H1269" s="120" t="s">
        <v>374</v>
      </c>
      <c r="I1269" s="120" t="s">
        <v>580</v>
      </c>
      <c r="J1269" s="121">
        <v>2870</v>
      </c>
      <c r="K1269" s="121">
        <v>2458.9532510838803</v>
      </c>
      <c r="L1269" s="121">
        <v>-411.04674891611967</v>
      </c>
      <c r="M1269" s="121">
        <v>411.04674891611967</v>
      </c>
      <c r="N1269" s="121">
        <v>2.6149464918693761</v>
      </c>
      <c r="O1269" s="132">
        <f t="shared" si="21"/>
        <v>-2.6149464918693761</v>
      </c>
      <c r="P1269" s="121">
        <v>-14.322186373383961</v>
      </c>
      <c r="Q1269" s="121">
        <v>14.322186373383961</v>
      </c>
      <c r="R1269" s="121">
        <v>2440.7870799396123</v>
      </c>
      <c r="S1269" s="121">
        <v>-429.21292006038766</v>
      </c>
      <c r="T1269" s="121">
        <v>429.21292006038766</v>
      </c>
      <c r="U1269" s="121">
        <v>2.6336834488842555</v>
      </c>
      <c r="V1269" s="121">
        <v>-14.955154009072743</v>
      </c>
      <c r="W1269" s="103">
        <v>14.955154009072743</v>
      </c>
    </row>
    <row r="1270" spans="1:23" x14ac:dyDescent="0.15">
      <c r="A1270" s="103" t="s">
        <v>77</v>
      </c>
      <c r="B1270" s="103" t="s">
        <v>84</v>
      </c>
      <c r="C1270" s="103" t="s">
        <v>971</v>
      </c>
      <c r="D1270" s="103" t="s">
        <v>403</v>
      </c>
      <c r="E1270" s="103" t="s">
        <v>83</v>
      </c>
      <c r="F1270" s="103" t="s">
        <v>968</v>
      </c>
      <c r="G1270" s="103">
        <v>0</v>
      </c>
      <c r="H1270" s="120" t="s">
        <v>203</v>
      </c>
      <c r="I1270" s="120" t="s">
        <v>581</v>
      </c>
      <c r="J1270" s="121">
        <v>4572</v>
      </c>
      <c r="K1270" s="121">
        <v>4983.3210107803998</v>
      </c>
      <c r="L1270" s="121">
        <v>411.32101078039977</v>
      </c>
      <c r="M1270" s="121">
        <v>411.32101078039977</v>
      </c>
      <c r="N1270" s="121">
        <v>2.6152354658551902</v>
      </c>
      <c r="O1270" s="132">
        <f t="shared" si="21"/>
        <v>2.6152354658551902</v>
      </c>
      <c r="P1270" s="121">
        <v>8.9965225455030584</v>
      </c>
      <c r="Q1270" s="121">
        <v>8.9965225455030584</v>
      </c>
      <c r="R1270" s="121">
        <v>4793.2061807504788</v>
      </c>
      <c r="S1270" s="121">
        <v>221.20618075047878</v>
      </c>
      <c r="T1270" s="121">
        <v>221.20618075047878</v>
      </c>
      <c r="U1270" s="121">
        <v>2.3467561348410984</v>
      </c>
      <c r="V1270" s="121">
        <v>4.8382804188643656</v>
      </c>
      <c r="W1270" s="103">
        <v>4.8382804188643656</v>
      </c>
    </row>
    <row r="1271" spans="1:23" x14ac:dyDescent="0.15">
      <c r="A1271" s="103" t="s">
        <v>77</v>
      </c>
      <c r="B1271" s="103" t="s">
        <v>127</v>
      </c>
      <c r="C1271" s="103" t="s">
        <v>973</v>
      </c>
      <c r="D1271" s="103" t="s">
        <v>403</v>
      </c>
      <c r="E1271" s="103" t="s">
        <v>82</v>
      </c>
      <c r="F1271" s="103" t="s">
        <v>968</v>
      </c>
      <c r="G1271" s="103">
        <v>0</v>
      </c>
      <c r="H1271" s="120" t="s">
        <v>203</v>
      </c>
      <c r="I1271" s="120" t="s">
        <v>581</v>
      </c>
      <c r="J1271" s="121">
        <v>4745.58</v>
      </c>
      <c r="K1271" s="121">
        <v>5166.5696000137104</v>
      </c>
      <c r="L1271" s="121">
        <v>420.98960001371051</v>
      </c>
      <c r="M1271" s="121">
        <v>420.98960001371051</v>
      </c>
      <c r="N1271" s="121">
        <v>2.6253017478519256</v>
      </c>
      <c r="O1271" s="132">
        <f t="shared" si="21"/>
        <v>2.6253017478519256</v>
      </c>
      <c r="P1271" s="121">
        <v>8.8711938269655235</v>
      </c>
      <c r="Q1271" s="121">
        <v>8.8711938269655235</v>
      </c>
      <c r="R1271" s="121">
        <v>5426.6668480779081</v>
      </c>
      <c r="S1271" s="121">
        <v>681.08684807790814</v>
      </c>
      <c r="T1271" s="121">
        <v>681.08684807790814</v>
      </c>
      <c r="U1271" s="121">
        <v>2.8338396755943971</v>
      </c>
      <c r="V1271" s="121">
        <v>14.35202542319186</v>
      </c>
      <c r="W1271" s="103">
        <v>14.35202542319186</v>
      </c>
    </row>
    <row r="1272" spans="1:23" x14ac:dyDescent="0.15">
      <c r="A1272" s="103" t="s">
        <v>77</v>
      </c>
      <c r="B1272" s="103" t="s">
        <v>668</v>
      </c>
      <c r="C1272" s="103" t="s">
        <v>971</v>
      </c>
      <c r="D1272" s="103" t="s">
        <v>403</v>
      </c>
      <c r="E1272" s="103" t="s">
        <v>82</v>
      </c>
      <c r="F1272" s="103" t="s">
        <v>968</v>
      </c>
      <c r="G1272" s="103">
        <v>0</v>
      </c>
      <c r="H1272" s="120" t="s">
        <v>203</v>
      </c>
      <c r="I1272" s="120" t="s">
        <v>581</v>
      </c>
      <c r="J1272" s="121">
        <v>5410</v>
      </c>
      <c r="K1272" s="121">
        <v>5867.082986866445</v>
      </c>
      <c r="L1272" s="121">
        <v>457.08298686644503</v>
      </c>
      <c r="M1272" s="121">
        <v>457.08298686644503</v>
      </c>
      <c r="N1272" s="121">
        <v>2.6609441624435606</v>
      </c>
      <c r="O1272" s="132">
        <f t="shared" si="21"/>
        <v>2.6609441624435606</v>
      </c>
      <c r="P1272" s="121">
        <v>8.4488537313575787</v>
      </c>
      <c r="Q1272" s="121">
        <v>8.4488537313575787</v>
      </c>
      <c r="R1272" s="121">
        <v>5696.6176993065455</v>
      </c>
      <c r="S1272" s="121">
        <v>286.61769930654555</v>
      </c>
      <c r="T1272" s="121">
        <v>286.61769930654555</v>
      </c>
      <c r="U1272" s="121">
        <v>2.4588156079787535</v>
      </c>
      <c r="V1272" s="121">
        <v>5.2979242015997325</v>
      </c>
      <c r="W1272" s="103">
        <v>5.2979242015997325</v>
      </c>
    </row>
    <row r="1273" spans="1:23" x14ac:dyDescent="0.15">
      <c r="A1273" s="103" t="s">
        <v>77</v>
      </c>
      <c r="B1273" s="103" t="s">
        <v>84</v>
      </c>
      <c r="C1273" s="24" t="s">
        <v>980</v>
      </c>
      <c r="D1273" s="103" t="s">
        <v>403</v>
      </c>
      <c r="E1273" s="103" t="s">
        <v>83</v>
      </c>
      <c r="F1273" s="103" t="s">
        <v>968</v>
      </c>
      <c r="G1273" s="103">
        <v>0</v>
      </c>
      <c r="H1273" s="120" t="s">
        <v>203</v>
      </c>
      <c r="I1273" s="120" t="s">
        <v>581</v>
      </c>
      <c r="J1273" s="121">
        <v>4572</v>
      </c>
      <c r="K1273" s="121">
        <v>4113.8771170500522</v>
      </c>
      <c r="L1273" s="121">
        <v>-458.12288294994778</v>
      </c>
      <c r="M1273" s="121">
        <v>458.12288294994778</v>
      </c>
      <c r="N1273" s="121">
        <v>2.6619289387935345</v>
      </c>
      <c r="O1273" s="132">
        <f t="shared" si="21"/>
        <v>-2.6619289387935345</v>
      </c>
      <c r="P1273" s="121">
        <v>-10.020185541337442</v>
      </c>
      <c r="Q1273" s="121">
        <v>10.020185541337442</v>
      </c>
      <c r="R1273" s="121">
        <v>3981.9399616655141</v>
      </c>
      <c r="S1273" s="121">
        <v>-590.06003833448585</v>
      </c>
      <c r="T1273" s="121">
        <v>590.06003833448585</v>
      </c>
      <c r="U1273" s="121">
        <v>2.7716315976207553</v>
      </c>
      <c r="V1273" s="121">
        <v>-12.905950094805029</v>
      </c>
      <c r="W1273" s="103">
        <v>12.905950094805029</v>
      </c>
    </row>
    <row r="1274" spans="1:23" x14ac:dyDescent="0.15">
      <c r="A1274" s="103" t="s">
        <v>77</v>
      </c>
      <c r="B1274" s="103" t="s">
        <v>139</v>
      </c>
      <c r="C1274" s="103" t="s">
        <v>970</v>
      </c>
      <c r="D1274" s="103" t="s">
        <v>403</v>
      </c>
      <c r="E1274" s="103" t="s">
        <v>82</v>
      </c>
      <c r="F1274" s="103" t="s">
        <v>967</v>
      </c>
      <c r="G1274" s="103">
        <v>1</v>
      </c>
      <c r="H1274" s="120" t="s">
        <v>203</v>
      </c>
      <c r="I1274" s="120" t="s">
        <v>581</v>
      </c>
      <c r="J1274" s="121">
        <v>4870</v>
      </c>
      <c r="K1274" s="121">
        <v>4393.7818399999996</v>
      </c>
      <c r="L1274" s="121">
        <v>-476.21816000000035</v>
      </c>
      <c r="M1274" s="121">
        <v>476.21816000000035</v>
      </c>
      <c r="N1274" s="121">
        <v>2.6787169619005007</v>
      </c>
      <c r="O1274" s="132">
        <f t="shared" si="21"/>
        <v>-2.6787169619005007</v>
      </c>
      <c r="P1274" s="121">
        <v>-9.7786069815195145</v>
      </c>
      <c r="Q1274" s="121">
        <v>9.7786069815195145</v>
      </c>
      <c r="R1274" s="121">
        <v>4443.6587199999994</v>
      </c>
      <c r="S1274" s="121">
        <v>-426.34128000000055</v>
      </c>
      <c r="T1274" s="121">
        <v>426.34128000000055</v>
      </c>
      <c r="U1274" s="121">
        <v>2.6307748465038405</v>
      </c>
      <c r="V1274" s="121">
        <v>-8.7544410677618192</v>
      </c>
      <c r="W1274" s="103">
        <v>8.7544410677618192</v>
      </c>
    </row>
    <row r="1275" spans="1:23" x14ac:dyDescent="0.15">
      <c r="A1275" s="103" t="s">
        <v>77</v>
      </c>
      <c r="B1275" s="103" t="s">
        <v>431</v>
      </c>
      <c r="C1275" s="103" t="s">
        <v>975</v>
      </c>
      <c r="D1275" s="103" t="s">
        <v>458</v>
      </c>
      <c r="E1275" s="103" t="s">
        <v>82</v>
      </c>
      <c r="F1275" s="103" t="s">
        <v>967</v>
      </c>
      <c r="G1275" s="103">
        <v>1</v>
      </c>
      <c r="H1275" s="120" t="s">
        <v>203</v>
      </c>
      <c r="I1275" s="120" t="s">
        <v>581</v>
      </c>
      <c r="J1275" s="121">
        <v>4710</v>
      </c>
      <c r="K1275" s="121">
        <v>5193.9409999999998</v>
      </c>
      <c r="L1275" s="121">
        <v>483.9409999999998</v>
      </c>
      <c r="M1275" s="121">
        <v>483.9409999999998</v>
      </c>
      <c r="N1275" s="121">
        <v>2.6856889036886678</v>
      </c>
      <c r="O1275" s="132">
        <f t="shared" si="21"/>
        <v>2.6856889036886678</v>
      </c>
      <c r="P1275" s="121">
        <v>10.274755838641184</v>
      </c>
      <c r="Q1275" s="121">
        <v>10.274755838641184</v>
      </c>
      <c r="R1275" s="121">
        <v>5130.6419999999998</v>
      </c>
      <c r="S1275" s="121">
        <v>420.64199999999983</v>
      </c>
      <c r="T1275" s="121">
        <v>420.64199999999983</v>
      </c>
      <c r="U1275" s="121">
        <v>2.6249438646801613</v>
      </c>
      <c r="V1275" s="121">
        <v>8.9308280254777035</v>
      </c>
      <c r="W1275" s="103">
        <v>8.9308280254777035</v>
      </c>
    </row>
    <row r="1276" spans="1:23" x14ac:dyDescent="0.15">
      <c r="A1276" s="103" t="s">
        <v>77</v>
      </c>
      <c r="B1276" s="103" t="s">
        <v>139</v>
      </c>
      <c r="C1276" s="103" t="s">
        <v>975</v>
      </c>
      <c r="D1276" s="103" t="s">
        <v>403</v>
      </c>
      <c r="E1276" s="103" t="s">
        <v>82</v>
      </c>
      <c r="F1276" s="103" t="s">
        <v>967</v>
      </c>
      <c r="G1276" s="103">
        <v>1</v>
      </c>
      <c r="H1276" s="120" t="s">
        <v>203</v>
      </c>
      <c r="I1276" s="120" t="s">
        <v>581</v>
      </c>
      <c r="J1276" s="121">
        <v>4870</v>
      </c>
      <c r="K1276" s="121">
        <v>4384.0280000000002</v>
      </c>
      <c r="L1276" s="121">
        <v>-485.97199999999975</v>
      </c>
      <c r="M1276" s="121">
        <v>485.97199999999975</v>
      </c>
      <c r="N1276" s="121">
        <v>2.6875039907935201</v>
      </c>
      <c r="O1276" s="132">
        <f t="shared" si="21"/>
        <v>-2.6875039907935201</v>
      </c>
      <c r="P1276" s="121">
        <v>-9.978891170431206</v>
      </c>
      <c r="Q1276" s="121">
        <v>9.978891170431206</v>
      </c>
      <c r="R1276" s="121">
        <v>4521.3034799999996</v>
      </c>
      <c r="S1276" s="121">
        <v>-348.69652000000042</v>
      </c>
      <c r="T1276" s="121">
        <v>348.69652000000042</v>
      </c>
      <c r="U1276" s="121">
        <v>2.5436913104553218</v>
      </c>
      <c r="V1276" s="121">
        <v>-7.1600928131416932</v>
      </c>
      <c r="W1276" s="103">
        <v>7.1600928131416932</v>
      </c>
    </row>
    <row r="1277" spans="1:23" x14ac:dyDescent="0.15">
      <c r="A1277" s="103" t="s">
        <v>77</v>
      </c>
      <c r="B1277" s="103" t="s">
        <v>670</v>
      </c>
      <c r="C1277" s="24" t="s">
        <v>980</v>
      </c>
      <c r="D1277" s="103" t="s">
        <v>403</v>
      </c>
      <c r="E1277" s="103" t="s">
        <v>83</v>
      </c>
      <c r="F1277" s="103" t="s">
        <v>968</v>
      </c>
      <c r="G1277" s="103">
        <v>0</v>
      </c>
      <c r="H1277" s="120" t="s">
        <v>203</v>
      </c>
      <c r="I1277" s="120" t="s">
        <v>581</v>
      </c>
      <c r="J1277" s="121">
        <v>5205.8999999999996</v>
      </c>
      <c r="K1277" s="121">
        <v>4708.8977070969549</v>
      </c>
      <c r="L1277" s="121">
        <v>-497.00229290304469</v>
      </c>
      <c r="M1277" s="121">
        <v>497.00229290304469</v>
      </c>
      <c r="N1277" s="121">
        <v>2.6972313423437484</v>
      </c>
      <c r="O1277" s="132">
        <f t="shared" si="21"/>
        <v>-2.6972313423437484</v>
      </c>
      <c r="P1277" s="121">
        <v>-9.5469043374449143</v>
      </c>
      <c r="Q1277" s="121">
        <v>9.5469043374449143</v>
      </c>
      <c r="R1277" s="121">
        <v>4772.531442831908</v>
      </c>
      <c r="S1277" s="121">
        <v>-433.36855716809168</v>
      </c>
      <c r="T1277" s="121">
        <v>433.36855716809168</v>
      </c>
      <c r="U1277" s="121">
        <v>2.6378583802487858</v>
      </c>
      <c r="V1277" s="121">
        <v>-8.3245655346451457</v>
      </c>
      <c r="W1277" s="103">
        <v>8.3245655346451457</v>
      </c>
    </row>
    <row r="1278" spans="1:23" x14ac:dyDescent="0.15">
      <c r="A1278" s="103" t="s">
        <v>77</v>
      </c>
      <c r="B1278" s="103" t="s">
        <v>431</v>
      </c>
      <c r="C1278" s="103" t="s">
        <v>970</v>
      </c>
      <c r="D1278" s="103" t="s">
        <v>458</v>
      </c>
      <c r="E1278" s="103" t="s">
        <v>82</v>
      </c>
      <c r="F1278" s="103" t="s">
        <v>967</v>
      </c>
      <c r="G1278" s="103">
        <v>1</v>
      </c>
      <c r="H1278" s="120" t="s">
        <v>203</v>
      </c>
      <c r="I1278" s="120" t="s">
        <v>581</v>
      </c>
      <c r="J1278" s="121">
        <v>4710</v>
      </c>
      <c r="K1278" s="121">
        <v>5217.1605999999992</v>
      </c>
      <c r="L1278" s="121">
        <v>507.16059999999925</v>
      </c>
      <c r="M1278" s="121">
        <v>507.16059999999925</v>
      </c>
      <c r="N1278" s="121">
        <v>2.7060009891954113</v>
      </c>
      <c r="O1278" s="132">
        <f t="shared" si="21"/>
        <v>2.7060009891954113</v>
      </c>
      <c r="P1278" s="121">
        <v>10.767740976645419</v>
      </c>
      <c r="Q1278" s="121">
        <v>10.767740976645419</v>
      </c>
      <c r="R1278" s="121">
        <v>5047.8639999999996</v>
      </c>
      <c r="S1278" s="121">
        <v>337.86399999999958</v>
      </c>
      <c r="T1278" s="121">
        <v>337.86399999999958</v>
      </c>
      <c r="U1278" s="121">
        <v>2.5300254330102661</v>
      </c>
      <c r="V1278" s="121">
        <v>7.173333333333324</v>
      </c>
      <c r="W1278" s="103">
        <v>7.173333333333324</v>
      </c>
    </row>
    <row r="1279" spans="1:23" x14ac:dyDescent="0.15">
      <c r="A1279" s="103" t="s">
        <v>77</v>
      </c>
      <c r="B1279" s="103" t="s">
        <v>84</v>
      </c>
      <c r="C1279" s="103" t="s">
        <v>979</v>
      </c>
      <c r="D1279" s="103" t="s">
        <v>403</v>
      </c>
      <c r="E1279" s="103" t="s">
        <v>83</v>
      </c>
      <c r="F1279" s="103" t="s">
        <v>967</v>
      </c>
      <c r="G1279" s="103">
        <v>1</v>
      </c>
      <c r="H1279" s="120" t="s">
        <v>203</v>
      </c>
      <c r="I1279" s="120" t="s">
        <v>581</v>
      </c>
      <c r="J1279" s="121">
        <v>4572</v>
      </c>
      <c r="K1279" s="121">
        <v>5100.8333333333339</v>
      </c>
      <c r="L1279" s="121">
        <v>528.83333333333394</v>
      </c>
      <c r="M1279" s="121">
        <v>528.83333333333394</v>
      </c>
      <c r="N1279" s="121">
        <v>2.7241392775311297</v>
      </c>
      <c r="O1279" s="132">
        <f t="shared" si="21"/>
        <v>2.7241392775311297</v>
      </c>
      <c r="P1279" s="121">
        <v>11.566783318751837</v>
      </c>
      <c r="Q1279" s="121">
        <v>11.566783318751837</v>
      </c>
      <c r="R1279" s="121">
        <v>4796.2962962962956</v>
      </c>
      <c r="S1279" s="121">
        <v>224.29629629629562</v>
      </c>
      <c r="T1279" s="121">
        <v>224.29629629629562</v>
      </c>
      <c r="U1279" s="121">
        <v>2.3527540523039345</v>
      </c>
      <c r="V1279" s="121">
        <v>4.9058682479504725</v>
      </c>
      <c r="W1279" s="103">
        <v>4.9058682479504725</v>
      </c>
    </row>
    <row r="1280" spans="1:23" x14ac:dyDescent="0.15">
      <c r="A1280" s="103" t="s">
        <v>77</v>
      </c>
      <c r="B1280" s="103" t="s">
        <v>84</v>
      </c>
      <c r="C1280" s="103" t="s">
        <v>972</v>
      </c>
      <c r="D1280" s="103" t="s">
        <v>403</v>
      </c>
      <c r="E1280" s="103" t="s">
        <v>83</v>
      </c>
      <c r="F1280" s="103" t="s">
        <v>968</v>
      </c>
      <c r="G1280" s="103">
        <v>0</v>
      </c>
      <c r="H1280" s="120" t="s">
        <v>203</v>
      </c>
      <c r="I1280" s="120" t="s">
        <v>581</v>
      </c>
      <c r="J1280" s="121">
        <v>4572</v>
      </c>
      <c r="K1280" s="121">
        <v>5126.8051143249231</v>
      </c>
      <c r="L1280" s="121">
        <v>554.80511432492312</v>
      </c>
      <c r="M1280" s="121">
        <v>554.80511432492312</v>
      </c>
      <c r="N1280" s="121">
        <v>2.7449225386861782</v>
      </c>
      <c r="O1280" s="132">
        <f t="shared" si="21"/>
        <v>2.7449225386861782</v>
      </c>
      <c r="P1280" s="121">
        <v>12.134845020230165</v>
      </c>
      <c r="Q1280" s="121">
        <v>12.134845020230165</v>
      </c>
      <c r="R1280" s="121">
        <v>5225.1991691645235</v>
      </c>
      <c r="S1280" s="121">
        <v>653.19916916452348</v>
      </c>
      <c r="T1280" s="121">
        <v>653.19916916452348</v>
      </c>
      <c r="U1280" s="121">
        <v>2.8157099882336403</v>
      </c>
      <c r="V1280" s="121">
        <v>14.286945957229298</v>
      </c>
      <c r="W1280" s="103">
        <v>14.286945957229298</v>
      </c>
    </row>
    <row r="1281" spans="1:23" x14ac:dyDescent="0.15">
      <c r="A1281" s="103" t="s">
        <v>77</v>
      </c>
      <c r="B1281" s="103" t="s">
        <v>733</v>
      </c>
      <c r="C1281" s="24" t="s">
        <v>980</v>
      </c>
      <c r="D1281" s="103" t="s">
        <v>403</v>
      </c>
      <c r="E1281" s="103" t="s">
        <v>82</v>
      </c>
      <c r="F1281" s="103" t="s">
        <v>968</v>
      </c>
      <c r="G1281" s="103">
        <v>0</v>
      </c>
      <c r="H1281" s="120" t="s">
        <v>293</v>
      </c>
      <c r="I1281" s="120" t="s">
        <v>580</v>
      </c>
      <c r="J1281" s="121">
        <v>3740</v>
      </c>
      <c r="K1281" s="121">
        <v>3182.544933941665</v>
      </c>
      <c r="L1281" s="121">
        <v>-557.45506605833498</v>
      </c>
      <c r="M1281" s="121">
        <v>557.45506605833498</v>
      </c>
      <c r="N1281" s="121">
        <v>2.7469882350201571</v>
      </c>
      <c r="O1281" s="132">
        <f t="shared" si="21"/>
        <v>-2.7469882350201571</v>
      </c>
      <c r="P1281" s="121">
        <v>-14.905215670008957</v>
      </c>
      <c r="Q1281" s="121">
        <v>14.905215670008957</v>
      </c>
      <c r="R1281" s="121">
        <v>3235.2164148477891</v>
      </c>
      <c r="S1281" s="121">
        <v>-504.78358515221089</v>
      </c>
      <c r="T1281" s="121">
        <v>504.78358515221089</v>
      </c>
      <c r="U1281" s="121">
        <v>2.7039647305174879</v>
      </c>
      <c r="V1281" s="121">
        <v>-13.496887303535051</v>
      </c>
      <c r="W1281" s="103">
        <v>13.496887303535051</v>
      </c>
    </row>
    <row r="1282" spans="1:23" x14ac:dyDescent="0.15">
      <c r="A1282" s="103" t="s">
        <v>77</v>
      </c>
      <c r="B1282" s="103" t="s">
        <v>84</v>
      </c>
      <c r="C1282" s="103" t="s">
        <v>973</v>
      </c>
      <c r="D1282" s="103" t="s">
        <v>403</v>
      </c>
      <c r="E1282" s="103" t="s">
        <v>83</v>
      </c>
      <c r="F1282" s="103" t="s">
        <v>968</v>
      </c>
      <c r="G1282" s="103">
        <v>0</v>
      </c>
      <c r="H1282" s="120" t="s">
        <v>203</v>
      </c>
      <c r="I1282" s="120" t="s">
        <v>581</v>
      </c>
      <c r="J1282" s="121">
        <v>4572</v>
      </c>
      <c r="K1282" s="121">
        <v>5143.758118018608</v>
      </c>
      <c r="L1282" s="121">
        <v>571.758118018608</v>
      </c>
      <c r="M1282" s="121">
        <v>571.758118018608</v>
      </c>
      <c r="N1282" s="121">
        <v>2.7579712534017236</v>
      </c>
      <c r="O1282" s="132">
        <f t="shared" si="21"/>
        <v>2.7579712534017236</v>
      </c>
      <c r="P1282" s="121">
        <v>12.505645625953806</v>
      </c>
      <c r="Q1282" s="121">
        <v>12.505645625953806</v>
      </c>
      <c r="R1282" s="121">
        <v>5277.7132583619923</v>
      </c>
      <c r="S1282" s="121">
        <v>705.7132583619923</v>
      </c>
      <c r="T1282" s="121">
        <v>705.7132583619923</v>
      </c>
      <c r="U1282" s="121">
        <v>2.8492432390145104</v>
      </c>
      <c r="V1282" s="121">
        <v>15.435548083158187</v>
      </c>
      <c r="W1282" s="103">
        <v>15.435548083158187</v>
      </c>
    </row>
    <row r="1283" spans="1:23" x14ac:dyDescent="0.15">
      <c r="A1283" s="103" t="s">
        <v>77</v>
      </c>
      <c r="B1283" s="103" t="s">
        <v>670</v>
      </c>
      <c r="C1283" s="103" t="s">
        <v>971</v>
      </c>
      <c r="D1283" s="103" t="s">
        <v>403</v>
      </c>
      <c r="E1283" s="103" t="s">
        <v>83</v>
      </c>
      <c r="F1283" s="103" t="s">
        <v>968</v>
      </c>
      <c r="G1283" s="103">
        <v>0</v>
      </c>
      <c r="H1283" s="120" t="s">
        <v>203</v>
      </c>
      <c r="I1283" s="120" t="s">
        <v>581</v>
      </c>
      <c r="J1283" s="121">
        <v>5205.8999999999996</v>
      </c>
      <c r="K1283" s="121">
        <v>5808.1155063776323</v>
      </c>
      <c r="L1283" s="121">
        <v>602.21550637763266</v>
      </c>
      <c r="M1283" s="121">
        <v>602.21550637763266</v>
      </c>
      <c r="N1283" s="121">
        <v>2.7804724970654351</v>
      </c>
      <c r="O1283" s="132">
        <f t="shared" si="21"/>
        <v>2.7804724970654351</v>
      </c>
      <c r="P1283" s="121">
        <v>11.567942265076793</v>
      </c>
      <c r="Q1283" s="121">
        <v>11.567942265076793</v>
      </c>
      <c r="R1283" s="121">
        <v>5868.0986446187635</v>
      </c>
      <c r="S1283" s="121">
        <v>662.19864461876386</v>
      </c>
      <c r="T1283" s="121">
        <v>662.19864461876386</v>
      </c>
      <c r="U1283" s="121">
        <v>2.8216436299740728</v>
      </c>
      <c r="V1283" s="121">
        <v>12.720156833953091</v>
      </c>
      <c r="W1283" s="103">
        <v>12.720156833953091</v>
      </c>
    </row>
    <row r="1284" spans="1:23" x14ac:dyDescent="0.15">
      <c r="A1284" s="103" t="s">
        <v>77</v>
      </c>
      <c r="B1284" s="103" t="s">
        <v>127</v>
      </c>
      <c r="C1284" s="24" t="s">
        <v>980</v>
      </c>
      <c r="D1284" s="103" t="s">
        <v>403</v>
      </c>
      <c r="E1284" s="103" t="s">
        <v>82</v>
      </c>
      <c r="F1284" s="103" t="s">
        <v>968</v>
      </c>
      <c r="G1284" s="103">
        <v>0</v>
      </c>
      <c r="H1284" s="120" t="s">
        <v>203</v>
      </c>
      <c r="I1284" s="120" t="s">
        <v>581</v>
      </c>
      <c r="J1284" s="121">
        <v>4745.58</v>
      </c>
      <c r="K1284" s="121">
        <v>4128.742652430853</v>
      </c>
      <c r="L1284" s="121">
        <v>-616.83734756914691</v>
      </c>
      <c r="M1284" s="121">
        <v>616.83734756914691</v>
      </c>
      <c r="N1284" s="121">
        <v>2.7908741573693612</v>
      </c>
      <c r="O1284" s="132">
        <f t="shared" si="21"/>
        <v>-2.7908741573693612</v>
      </c>
      <c r="P1284" s="121">
        <v>-12.998144538057455</v>
      </c>
      <c r="Q1284" s="121">
        <v>12.998144538057455</v>
      </c>
      <c r="R1284" s="121">
        <v>4075.1065282232057</v>
      </c>
      <c r="S1284" s="121">
        <v>-670.47347177679421</v>
      </c>
      <c r="T1284" s="121">
        <v>670.47347177679421</v>
      </c>
      <c r="U1284" s="121">
        <v>2.8270288594641029</v>
      </c>
      <c r="V1284" s="121">
        <v>-14.128377812128216</v>
      </c>
      <c r="W1284" s="103">
        <v>14.128377812128216</v>
      </c>
    </row>
    <row r="1285" spans="1:23" x14ac:dyDescent="0.15">
      <c r="A1285" s="103" t="s">
        <v>77</v>
      </c>
      <c r="B1285" s="103" t="s">
        <v>668</v>
      </c>
      <c r="C1285" s="103" t="s">
        <v>979</v>
      </c>
      <c r="D1285" s="103" t="s">
        <v>403</v>
      </c>
      <c r="E1285" s="103" t="s">
        <v>82</v>
      </c>
      <c r="F1285" s="103" t="s">
        <v>967</v>
      </c>
      <c r="G1285" s="103">
        <v>1</v>
      </c>
      <c r="H1285" s="120" t="s">
        <v>203</v>
      </c>
      <c r="I1285" s="120" t="s">
        <v>581</v>
      </c>
      <c r="J1285" s="121">
        <v>5410</v>
      </c>
      <c r="K1285" s="121">
        <v>6035.416666666667</v>
      </c>
      <c r="L1285" s="121">
        <v>625.41666666666697</v>
      </c>
      <c r="M1285" s="121">
        <v>625.41666666666697</v>
      </c>
      <c r="N1285" s="121">
        <v>2.7968633041984705</v>
      </c>
      <c r="O1285" s="132">
        <f t="shared" si="21"/>
        <v>2.7968633041984705</v>
      </c>
      <c r="P1285" s="121">
        <v>11.560382008626007</v>
      </c>
      <c r="Q1285" s="121">
        <v>11.560382008626007</v>
      </c>
      <c r="R1285" s="121">
        <v>5745.5555555555547</v>
      </c>
      <c r="S1285" s="121">
        <v>335.55555555555475</v>
      </c>
      <c r="T1285" s="121">
        <v>335.55555555555475</v>
      </c>
      <c r="U1285" s="121">
        <v>2.5270567638935297</v>
      </c>
      <c r="V1285" s="121">
        <v>6.2025056479769827</v>
      </c>
      <c r="W1285" s="103">
        <v>6.2025056479769827</v>
      </c>
    </row>
    <row r="1286" spans="1:23" x14ac:dyDescent="0.15">
      <c r="A1286" s="103" t="s">
        <v>77</v>
      </c>
      <c r="B1286" s="103" t="s">
        <v>668</v>
      </c>
      <c r="C1286" s="24" t="s">
        <v>980</v>
      </c>
      <c r="D1286" s="103" t="s">
        <v>403</v>
      </c>
      <c r="E1286" s="103" t="s">
        <v>82</v>
      </c>
      <c r="F1286" s="103" t="s">
        <v>968</v>
      </c>
      <c r="G1286" s="103">
        <v>0</v>
      </c>
      <c r="H1286" s="120" t="s">
        <v>203</v>
      </c>
      <c r="I1286" s="120" t="s">
        <v>581</v>
      </c>
      <c r="J1286" s="121">
        <v>5410</v>
      </c>
      <c r="K1286" s="121">
        <v>4751.0391688848704</v>
      </c>
      <c r="L1286" s="121">
        <v>-658.96083111512962</v>
      </c>
      <c r="M1286" s="121">
        <v>658.96083111512962</v>
      </c>
      <c r="N1286" s="121">
        <v>2.8195181607913375</v>
      </c>
      <c r="O1286" s="132">
        <f t="shared" si="21"/>
        <v>-2.8195181607913375</v>
      </c>
      <c r="P1286" s="121">
        <v>-12.180422016915522</v>
      </c>
      <c r="Q1286" s="121">
        <v>12.180422016915522</v>
      </c>
      <c r="R1286" s="121">
        <v>4647.501531970488</v>
      </c>
      <c r="S1286" s="121">
        <v>-762.49846802951197</v>
      </c>
      <c r="T1286" s="121">
        <v>762.49846802951197</v>
      </c>
      <c r="U1286" s="121">
        <v>2.8828081699752861</v>
      </c>
      <c r="V1286" s="121">
        <v>-14.09424155322573</v>
      </c>
      <c r="W1286" s="103">
        <v>14.09424155322573</v>
      </c>
    </row>
    <row r="1287" spans="1:23" x14ac:dyDescent="0.15">
      <c r="A1287" s="103" t="s">
        <v>77</v>
      </c>
      <c r="B1287" s="103" t="s">
        <v>668</v>
      </c>
      <c r="C1287" s="103" t="s">
        <v>972</v>
      </c>
      <c r="D1287" s="103" t="s">
        <v>403</v>
      </c>
      <c r="E1287" s="103" t="s">
        <v>82</v>
      </c>
      <c r="F1287" s="103" t="s">
        <v>968</v>
      </c>
      <c r="G1287" s="103">
        <v>0</v>
      </c>
      <c r="H1287" s="120" t="s">
        <v>203</v>
      </c>
      <c r="I1287" s="120" t="s">
        <v>581</v>
      </c>
      <c r="J1287" s="121">
        <v>5410</v>
      </c>
      <c r="K1287" s="121">
        <v>6086.5922069700655</v>
      </c>
      <c r="L1287" s="121">
        <v>676.59220697006549</v>
      </c>
      <c r="M1287" s="121">
        <v>676.59220697006549</v>
      </c>
      <c r="N1287" s="121">
        <v>2.8309684025036419</v>
      </c>
      <c r="O1287" s="132">
        <f t="shared" si="21"/>
        <v>2.8309684025036419</v>
      </c>
      <c r="P1287" s="121">
        <v>12.506325452311746</v>
      </c>
      <c r="Q1287" s="121">
        <v>12.506325452311746</v>
      </c>
      <c r="R1287" s="121">
        <v>6293.3458584436366</v>
      </c>
      <c r="S1287" s="121">
        <v>883.34585844363664</v>
      </c>
      <c r="T1287" s="121">
        <v>883.34585844363664</v>
      </c>
      <c r="U1287" s="121">
        <v>2.9466221462778597</v>
      </c>
      <c r="V1287" s="121">
        <v>16.328019564577389</v>
      </c>
      <c r="W1287" s="103">
        <v>16.328019564577389</v>
      </c>
    </row>
    <row r="1288" spans="1:23" x14ac:dyDescent="0.15">
      <c r="A1288" s="103" t="s">
        <v>77</v>
      </c>
      <c r="B1288" s="103" t="s">
        <v>668</v>
      </c>
      <c r="C1288" s="103" t="s">
        <v>973</v>
      </c>
      <c r="D1288" s="103" t="s">
        <v>403</v>
      </c>
      <c r="E1288" s="103" t="s">
        <v>82</v>
      </c>
      <c r="F1288" s="103" t="s">
        <v>968</v>
      </c>
      <c r="G1288" s="103">
        <v>0</v>
      </c>
      <c r="H1288" s="120" t="s">
        <v>203</v>
      </c>
      <c r="I1288" s="120" t="s">
        <v>581</v>
      </c>
      <c r="J1288" s="121">
        <v>5410</v>
      </c>
      <c r="K1288" s="121">
        <v>6137.6188781242627</v>
      </c>
      <c r="L1288" s="121">
        <v>727.61887812426266</v>
      </c>
      <c r="M1288" s="121">
        <v>727.61887812426266</v>
      </c>
      <c r="N1288" s="121">
        <v>2.8625004193887182</v>
      </c>
      <c r="O1288" s="132">
        <f t="shared" si="21"/>
        <v>2.8625004193887182</v>
      </c>
      <c r="P1288" s="121">
        <v>13.449517155716501</v>
      </c>
      <c r="Q1288" s="121">
        <v>13.449517155716501</v>
      </c>
      <c r="R1288" s="121">
        <v>6356.5949930816323</v>
      </c>
      <c r="S1288" s="121">
        <v>946.59499308163231</v>
      </c>
      <c r="T1288" s="121">
        <v>946.59499308163231</v>
      </c>
      <c r="U1288" s="121">
        <v>2.9766227573242996</v>
      </c>
      <c r="V1288" s="121">
        <v>17.497134807423887</v>
      </c>
      <c r="W1288" s="103">
        <v>17.497134807423887</v>
      </c>
    </row>
    <row r="1289" spans="1:23" x14ac:dyDescent="0.15">
      <c r="A1289" s="103" t="s">
        <v>77</v>
      </c>
      <c r="B1289" s="103" t="s">
        <v>431</v>
      </c>
      <c r="C1289" s="103" t="s">
        <v>971</v>
      </c>
      <c r="D1289" s="103" t="s">
        <v>458</v>
      </c>
      <c r="E1289" s="103" t="s">
        <v>82</v>
      </c>
      <c r="F1289" s="103" t="s">
        <v>968</v>
      </c>
      <c r="G1289" s="103">
        <v>0</v>
      </c>
      <c r="H1289" s="120" t="s">
        <v>203</v>
      </c>
      <c r="I1289" s="120" t="s">
        <v>581</v>
      </c>
      <c r="J1289" s="121">
        <v>4710</v>
      </c>
      <c r="K1289" s="121">
        <v>5444.071309549885</v>
      </c>
      <c r="L1289" s="121">
        <v>734.07130954988497</v>
      </c>
      <c r="M1289" s="121">
        <v>734.07130954988497</v>
      </c>
      <c r="N1289" s="121">
        <v>2.8663294722022896</v>
      </c>
      <c r="O1289" s="132">
        <f t="shared" si="21"/>
        <v>2.8663294722022896</v>
      </c>
      <c r="P1289" s="121">
        <v>15.585378122078239</v>
      </c>
      <c r="Q1289" s="121">
        <v>15.585378122078239</v>
      </c>
      <c r="R1289" s="121">
        <v>5234.7009116283289</v>
      </c>
      <c r="S1289" s="121">
        <v>524.70091162832887</v>
      </c>
      <c r="T1289" s="121">
        <v>524.70091162832887</v>
      </c>
      <c r="U1289" s="121">
        <v>2.7207387301377128</v>
      </c>
      <c r="V1289" s="121">
        <v>11.140146743701251</v>
      </c>
      <c r="W1289" s="103">
        <v>11.140146743701251</v>
      </c>
    </row>
    <row r="1290" spans="1:23" x14ac:dyDescent="0.15">
      <c r="A1290" s="103" t="s">
        <v>77</v>
      </c>
      <c r="B1290" s="103" t="s">
        <v>670</v>
      </c>
      <c r="C1290" s="103" t="s">
        <v>979</v>
      </c>
      <c r="D1290" s="103" t="s">
        <v>403</v>
      </c>
      <c r="E1290" s="103" t="s">
        <v>83</v>
      </c>
      <c r="F1290" s="103" t="s">
        <v>967</v>
      </c>
      <c r="G1290" s="103">
        <v>1</v>
      </c>
      <c r="H1290" s="120" t="s">
        <v>203</v>
      </c>
      <c r="I1290" s="120" t="s">
        <v>581</v>
      </c>
      <c r="J1290" s="121">
        <v>5205.8999999999996</v>
      </c>
      <c r="K1290" s="121">
        <v>5972.916666666667</v>
      </c>
      <c r="L1290" s="121">
        <v>767.01666666666733</v>
      </c>
      <c r="M1290" s="121">
        <v>767.01666666666733</v>
      </c>
      <c r="N1290" s="121">
        <v>2.8853706447226926</v>
      </c>
      <c r="O1290" s="132">
        <f t="shared" si="21"/>
        <v>2.8853706447226926</v>
      </c>
      <c r="P1290" s="121">
        <v>14.733603539573702</v>
      </c>
      <c r="Q1290" s="121">
        <v>14.733603539573702</v>
      </c>
      <c r="R1290" s="121">
        <v>5926.5555555555557</v>
      </c>
      <c r="S1290" s="121">
        <v>720.65555555555602</v>
      </c>
      <c r="T1290" s="121">
        <v>720.65555555555602</v>
      </c>
      <c r="U1290" s="121">
        <v>2.8583299593211424</v>
      </c>
      <c r="V1290" s="121">
        <v>13.843054141561614</v>
      </c>
      <c r="W1290" s="103">
        <v>13.843054141561614</v>
      </c>
    </row>
    <row r="1291" spans="1:23" x14ac:dyDescent="0.15">
      <c r="A1291" s="103" t="s">
        <v>77</v>
      </c>
      <c r="B1291" s="103" t="s">
        <v>120</v>
      </c>
      <c r="C1291" s="24" t="s">
        <v>980</v>
      </c>
      <c r="D1291" s="103" t="s">
        <v>403</v>
      </c>
      <c r="E1291" s="103" t="s">
        <v>82</v>
      </c>
      <c r="F1291" s="103" t="s">
        <v>968</v>
      </c>
      <c r="G1291" s="103">
        <v>0</v>
      </c>
      <c r="H1291" s="120" t="s">
        <v>203</v>
      </c>
      <c r="I1291" s="120" t="s">
        <v>581</v>
      </c>
      <c r="J1291" s="121">
        <v>4978</v>
      </c>
      <c r="K1291" s="121">
        <v>4187.971786414314</v>
      </c>
      <c r="L1291" s="121">
        <v>-790.02821358568599</v>
      </c>
      <c r="M1291" s="121">
        <v>790.02821358568599</v>
      </c>
      <c r="N1291" s="121">
        <v>2.8981919737455422</v>
      </c>
      <c r="O1291" s="132">
        <f t="shared" si="21"/>
        <v>-2.8981919737455422</v>
      </c>
      <c r="P1291" s="121">
        <v>-15.870394005337204</v>
      </c>
      <c r="Q1291" s="121">
        <v>15.870394005337204</v>
      </c>
      <c r="R1291" s="121">
        <v>4034.5171382783651</v>
      </c>
      <c r="S1291" s="121">
        <v>-943.48286172163489</v>
      </c>
      <c r="T1291" s="121">
        <v>943.48286172163489</v>
      </c>
      <c r="U1291" s="121">
        <v>2.9751940817631435</v>
      </c>
      <c r="V1291" s="121">
        <v>-18.953050657324926</v>
      </c>
      <c r="W1291" s="103">
        <v>18.953050657324926</v>
      </c>
    </row>
    <row r="1292" spans="1:23" x14ac:dyDescent="0.15">
      <c r="A1292" s="103" t="s">
        <v>77</v>
      </c>
      <c r="B1292" s="103" t="s">
        <v>670</v>
      </c>
      <c r="C1292" s="103" t="s">
        <v>972</v>
      </c>
      <c r="D1292" s="103" t="s">
        <v>403</v>
      </c>
      <c r="E1292" s="103" t="s">
        <v>83</v>
      </c>
      <c r="F1292" s="103" t="s">
        <v>968</v>
      </c>
      <c r="G1292" s="103">
        <v>0</v>
      </c>
      <c r="H1292" s="120" t="s">
        <v>203</v>
      </c>
      <c r="I1292" s="120" t="s">
        <v>581</v>
      </c>
      <c r="J1292" s="121">
        <v>5205.8999999999996</v>
      </c>
      <c r="K1292" s="121">
        <v>6022.3083808801039</v>
      </c>
      <c r="L1292" s="121">
        <v>816.40838088010423</v>
      </c>
      <c r="M1292" s="121">
        <v>816.40838088010423</v>
      </c>
      <c r="N1292" s="121">
        <v>2.9124390862154614</v>
      </c>
      <c r="O1292" s="132">
        <f t="shared" si="21"/>
        <v>2.9124390862154614</v>
      </c>
      <c r="P1292" s="121">
        <v>15.682367715094495</v>
      </c>
      <c r="Q1292" s="121">
        <v>15.682367715094495</v>
      </c>
      <c r="R1292" s="121">
        <v>6497.645774945815</v>
      </c>
      <c r="S1292" s="121">
        <v>1291.7457749458154</v>
      </c>
      <c r="T1292" s="121">
        <v>1291.7457749458154</v>
      </c>
      <c r="U1292" s="121">
        <v>3.1115131270507859</v>
      </c>
      <c r="V1292" s="121">
        <v>24.813111564682675</v>
      </c>
      <c r="W1292" s="103">
        <v>24.813111564682675</v>
      </c>
    </row>
    <row r="1293" spans="1:23" x14ac:dyDescent="0.15">
      <c r="A1293" s="103" t="s">
        <v>77</v>
      </c>
      <c r="B1293" s="103" t="s">
        <v>90</v>
      </c>
      <c r="C1293" s="24" t="s">
        <v>980</v>
      </c>
      <c r="D1293" s="103" t="s">
        <v>403</v>
      </c>
      <c r="E1293" s="103" t="s">
        <v>82</v>
      </c>
      <c r="F1293" s="103" t="s">
        <v>968</v>
      </c>
      <c r="G1293" s="103">
        <v>0</v>
      </c>
      <c r="H1293" s="120" t="s">
        <v>203</v>
      </c>
      <c r="I1293" s="120" t="s">
        <v>581</v>
      </c>
      <c r="J1293" s="121">
        <v>5080</v>
      </c>
      <c r="K1293" s="121">
        <v>4260.9886302405375</v>
      </c>
      <c r="L1293" s="121">
        <v>-819.01136975946247</v>
      </c>
      <c r="M1293" s="121">
        <v>819.01136975946247</v>
      </c>
      <c r="N1293" s="121">
        <v>2.913819874078305</v>
      </c>
      <c r="O1293" s="132">
        <f t="shared" si="21"/>
        <v>-2.913819874078305</v>
      </c>
      <c r="P1293" s="121">
        <v>-16.122271058257137</v>
      </c>
      <c r="Q1293" s="121">
        <v>16.122271058257137</v>
      </c>
      <c r="R1293" s="121">
        <v>4204.0343860722151</v>
      </c>
      <c r="S1293" s="121">
        <v>-875.96561392778494</v>
      </c>
      <c r="T1293" s="121">
        <v>875.96561392778494</v>
      </c>
      <c r="U1293" s="121">
        <v>2.9429825648891983</v>
      </c>
      <c r="V1293" s="121">
        <v>-17.243417597003642</v>
      </c>
      <c r="W1293" s="103">
        <v>17.243417597003642</v>
      </c>
    </row>
    <row r="1294" spans="1:23" x14ac:dyDescent="0.15">
      <c r="A1294" s="103" t="s">
        <v>77</v>
      </c>
      <c r="B1294" s="103" t="s">
        <v>670</v>
      </c>
      <c r="C1294" s="103" t="s">
        <v>973</v>
      </c>
      <c r="D1294" s="103" t="s">
        <v>403</v>
      </c>
      <c r="E1294" s="103" t="s">
        <v>83</v>
      </c>
      <c r="F1294" s="103" t="s">
        <v>968</v>
      </c>
      <c r="G1294" s="103">
        <v>0</v>
      </c>
      <c r="H1294" s="120" t="s">
        <v>203</v>
      </c>
      <c r="I1294" s="120" t="s">
        <v>581</v>
      </c>
      <c r="J1294" s="121">
        <v>5205.8999999999996</v>
      </c>
      <c r="K1294" s="121">
        <v>6070.8999798911927</v>
      </c>
      <c r="L1294" s="121">
        <v>864.99997989119311</v>
      </c>
      <c r="M1294" s="121">
        <v>864.99997989119311</v>
      </c>
      <c r="N1294" s="121">
        <v>2.9375178819328847</v>
      </c>
      <c r="O1294" s="132">
        <f t="shared" si="21"/>
        <v>2.9375178819328847</v>
      </c>
      <c r="P1294" s="121">
        <v>16.615762498150044</v>
      </c>
      <c r="Q1294" s="121">
        <v>16.615762498150044</v>
      </c>
      <c r="R1294" s="121">
        <v>6562.9481564919106</v>
      </c>
      <c r="S1294" s="121">
        <v>1357.048156491911</v>
      </c>
      <c r="T1294" s="121">
        <v>1357.048156491911</v>
      </c>
      <c r="U1294" s="121">
        <v>3.1329151703332108</v>
      </c>
      <c r="V1294" s="121">
        <v>26.067503342206169</v>
      </c>
      <c r="W1294" s="103">
        <v>26.067503342206169</v>
      </c>
    </row>
    <row r="1295" spans="1:23" x14ac:dyDescent="0.15">
      <c r="A1295" s="103" t="s">
        <v>77</v>
      </c>
      <c r="B1295" s="103" t="s">
        <v>431</v>
      </c>
      <c r="C1295" s="103" t="s">
        <v>979</v>
      </c>
      <c r="D1295" s="103" t="s">
        <v>458</v>
      </c>
      <c r="E1295" s="103" t="s">
        <v>82</v>
      </c>
      <c r="F1295" s="103" t="s">
        <v>967</v>
      </c>
      <c r="G1295" s="103">
        <v>1</v>
      </c>
      <c r="H1295" s="120" t="s">
        <v>203</v>
      </c>
      <c r="I1295" s="120" t="s">
        <v>581</v>
      </c>
      <c r="J1295" s="121">
        <v>4710</v>
      </c>
      <c r="K1295" s="121">
        <v>5587.5</v>
      </c>
      <c r="L1295" s="121">
        <v>877.5</v>
      </c>
      <c r="M1295" s="121">
        <v>877.5</v>
      </c>
      <c r="N1295" s="121">
        <v>2.9437417658313136</v>
      </c>
      <c r="O1295" s="132">
        <f t="shared" si="21"/>
        <v>2.9437417658313136</v>
      </c>
      <c r="P1295" s="121">
        <v>18.630573248407643</v>
      </c>
      <c r="Q1295" s="121">
        <v>18.630573248407643</v>
      </c>
      <c r="R1295" s="121">
        <v>5259.2592592592591</v>
      </c>
      <c r="S1295" s="121">
        <v>549.25925925925912</v>
      </c>
      <c r="T1295" s="121">
        <v>549.25925925925912</v>
      </c>
      <c r="U1295" s="121">
        <v>2.7405673591969797</v>
      </c>
      <c r="V1295" s="121">
        <v>11.661555398285756</v>
      </c>
      <c r="W1295" s="103">
        <v>11.661555398285756</v>
      </c>
    </row>
    <row r="1296" spans="1:23" x14ac:dyDescent="0.15">
      <c r="A1296" s="103" t="s">
        <v>77</v>
      </c>
      <c r="B1296" s="103" t="s">
        <v>115</v>
      </c>
      <c r="C1296" s="24" t="s">
        <v>980</v>
      </c>
      <c r="D1296" s="103" t="s">
        <v>403</v>
      </c>
      <c r="E1296" s="103" t="s">
        <v>83</v>
      </c>
      <c r="F1296" s="103" t="s">
        <v>968</v>
      </c>
      <c r="G1296" s="103">
        <v>0</v>
      </c>
      <c r="H1296" s="120" t="s">
        <v>203</v>
      </c>
      <c r="I1296" s="120" t="s">
        <v>581</v>
      </c>
      <c r="J1296" s="121">
        <v>4938.3100000000004</v>
      </c>
      <c r="K1296" s="121">
        <v>4044.7496170346449</v>
      </c>
      <c r="L1296" s="121">
        <v>-893.56038296535553</v>
      </c>
      <c r="M1296" s="121">
        <v>893.56038296535553</v>
      </c>
      <c r="N1296" s="121">
        <v>2.951609660838074</v>
      </c>
      <c r="O1296" s="132">
        <f t="shared" si="21"/>
        <v>-2.951609660838074</v>
      </c>
      <c r="P1296" s="121">
        <v>-18.094457070644722</v>
      </c>
      <c r="Q1296" s="121">
        <v>18.094457070644722</v>
      </c>
      <c r="R1296" s="121">
        <v>3999.8292419235368</v>
      </c>
      <c r="S1296" s="121">
        <v>-938.48075807646364</v>
      </c>
      <c r="T1296" s="121">
        <v>938.48075807646364</v>
      </c>
      <c r="U1296" s="121">
        <v>2.9728878895490611</v>
      </c>
      <c r="V1296" s="121">
        <v>-19.004087594267343</v>
      </c>
      <c r="W1296" s="103">
        <v>19.004087594267343</v>
      </c>
    </row>
    <row r="1297" spans="1:23" x14ac:dyDescent="0.15">
      <c r="A1297" s="103" t="s">
        <v>77</v>
      </c>
      <c r="B1297" s="103" t="s">
        <v>121</v>
      </c>
      <c r="C1297" s="24" t="s">
        <v>980</v>
      </c>
      <c r="D1297" s="103" t="s">
        <v>403</v>
      </c>
      <c r="E1297" s="103" t="s">
        <v>82</v>
      </c>
      <c r="F1297" s="103" t="s">
        <v>968</v>
      </c>
      <c r="G1297" s="103">
        <v>0</v>
      </c>
      <c r="H1297" s="120" t="s">
        <v>203</v>
      </c>
      <c r="I1297" s="120" t="s">
        <v>581</v>
      </c>
      <c r="J1297" s="121">
        <v>4470</v>
      </c>
      <c r="K1297" s="121">
        <v>3566.1933167334319</v>
      </c>
      <c r="L1297" s="121">
        <v>-903.80668326656814</v>
      </c>
      <c r="M1297" s="121">
        <v>903.80668326656814</v>
      </c>
      <c r="N1297" s="121">
        <v>2.956555799803199</v>
      </c>
      <c r="O1297" s="132">
        <f t="shared" si="21"/>
        <v>-2.956555799803199</v>
      </c>
      <c r="P1297" s="121">
        <v>-20.219388887395262</v>
      </c>
      <c r="Q1297" s="121">
        <v>20.219388887395262</v>
      </c>
      <c r="R1297" s="121">
        <v>3452.0483198951865</v>
      </c>
      <c r="S1297" s="121">
        <v>-1017.9516801048135</v>
      </c>
      <c r="T1297" s="121">
        <v>1017.9516801048135</v>
      </c>
      <c r="U1297" s="121">
        <v>3.0081535897361555</v>
      </c>
      <c r="V1297" s="121">
        <v>-22.77296823500701</v>
      </c>
      <c r="W1297" s="103">
        <v>22.77296823500701</v>
      </c>
    </row>
    <row r="1298" spans="1:23" x14ac:dyDescent="0.15">
      <c r="A1298" s="103" t="s">
        <v>77</v>
      </c>
      <c r="B1298" s="103" t="s">
        <v>431</v>
      </c>
      <c r="C1298" s="103" t="s">
        <v>972</v>
      </c>
      <c r="D1298" s="103" t="s">
        <v>458</v>
      </c>
      <c r="E1298" s="103" t="s">
        <v>82</v>
      </c>
      <c r="F1298" s="103" t="s">
        <v>968</v>
      </c>
      <c r="G1298" s="103">
        <v>0</v>
      </c>
      <c r="H1298" s="120" t="s">
        <v>203</v>
      </c>
      <c r="I1298" s="120" t="s">
        <v>581</v>
      </c>
      <c r="J1298" s="121">
        <v>4710</v>
      </c>
      <c r="K1298" s="121">
        <v>5626.1941195368718</v>
      </c>
      <c r="L1298" s="121">
        <v>916.19411953687177</v>
      </c>
      <c r="M1298" s="121">
        <v>916.19411953687177</v>
      </c>
      <c r="N1298" s="121">
        <v>2.9624612616478769</v>
      </c>
      <c r="O1298" s="132">
        <f t="shared" si="21"/>
        <v>2.9624612616478769</v>
      </c>
      <c r="P1298" s="121">
        <v>19.452104448765855</v>
      </c>
      <c r="Q1298" s="121">
        <v>19.452104448765855</v>
      </c>
      <c r="R1298" s="121">
        <v>5745.4222858750072</v>
      </c>
      <c r="S1298" s="121">
        <v>1035.4222858750072</v>
      </c>
      <c r="T1298" s="121">
        <v>1035.4222858750072</v>
      </c>
      <c r="U1298" s="121">
        <v>3.0155367429171074</v>
      </c>
      <c r="V1298" s="121">
        <v>21.983488022823934</v>
      </c>
      <c r="W1298" s="103">
        <v>21.983488022823934</v>
      </c>
    </row>
    <row r="1299" spans="1:23" x14ac:dyDescent="0.15">
      <c r="A1299" s="103" t="s">
        <v>77</v>
      </c>
      <c r="B1299" s="103" t="s">
        <v>486</v>
      </c>
      <c r="C1299" s="24" t="s">
        <v>980</v>
      </c>
      <c r="D1299" s="103" t="s">
        <v>403</v>
      </c>
      <c r="E1299" s="103" t="s">
        <v>82</v>
      </c>
      <c r="F1299" s="103" t="s">
        <v>968</v>
      </c>
      <c r="G1299" s="103">
        <v>0</v>
      </c>
      <c r="H1299" s="120" t="s">
        <v>203</v>
      </c>
      <c r="I1299" s="120" t="s">
        <v>581</v>
      </c>
      <c r="J1299" s="121">
        <v>4927.5</v>
      </c>
      <c r="K1299" s="121">
        <v>3986.4128783066558</v>
      </c>
      <c r="L1299" s="121">
        <v>-941.08712169334422</v>
      </c>
      <c r="M1299" s="121">
        <v>941.08712169334422</v>
      </c>
      <c r="N1299" s="121">
        <v>2.9740910670403422</v>
      </c>
      <c r="O1299" s="132">
        <f t="shared" si="21"/>
        <v>-2.9740910670403422</v>
      </c>
      <c r="P1299" s="121">
        <v>-19.098673195197243</v>
      </c>
      <c r="Q1299" s="121">
        <v>19.098673195197243</v>
      </c>
      <c r="R1299" s="121">
        <v>3931.8831706381766</v>
      </c>
      <c r="S1299" s="121">
        <v>-995.61682936182342</v>
      </c>
      <c r="T1299" s="121">
        <v>995.61682936182342</v>
      </c>
      <c r="U1299" s="121">
        <v>2.9985282166071259</v>
      </c>
      <c r="V1299" s="121">
        <v>-20.205313634943145</v>
      </c>
      <c r="W1299" s="103">
        <v>20.205313634943145</v>
      </c>
    </row>
    <row r="1300" spans="1:23" x14ac:dyDescent="0.15">
      <c r="A1300" s="103" t="s">
        <v>77</v>
      </c>
      <c r="B1300" s="103" t="s">
        <v>104</v>
      </c>
      <c r="C1300" s="24" t="s">
        <v>980</v>
      </c>
      <c r="D1300" s="103" t="s">
        <v>403</v>
      </c>
      <c r="E1300" s="103" t="s">
        <v>83</v>
      </c>
      <c r="F1300" s="103" t="s">
        <v>968</v>
      </c>
      <c r="G1300" s="103">
        <v>0</v>
      </c>
      <c r="H1300" s="120" t="s">
        <v>203</v>
      </c>
      <c r="I1300" s="120" t="s">
        <v>581</v>
      </c>
      <c r="J1300" s="121">
        <v>4769.5</v>
      </c>
      <c r="K1300" s="121">
        <v>3821.0128701527428</v>
      </c>
      <c r="L1300" s="121">
        <v>-948.48712984725717</v>
      </c>
      <c r="M1300" s="121">
        <v>948.48712984725717</v>
      </c>
      <c r="N1300" s="121">
        <v>2.977489082317692</v>
      </c>
      <c r="O1300" s="132">
        <f t="shared" si="21"/>
        <v>-2.977489082317692</v>
      </c>
      <c r="P1300" s="121">
        <v>-19.886510742158656</v>
      </c>
      <c r="Q1300" s="121">
        <v>19.886510742158656</v>
      </c>
      <c r="R1300" s="121">
        <v>3690.0802175783492</v>
      </c>
      <c r="S1300" s="121">
        <v>-1079.4197824216508</v>
      </c>
      <c r="T1300" s="121">
        <v>1079.4197824216508</v>
      </c>
      <c r="U1300" s="121">
        <v>3.0335925274942239</v>
      </c>
      <c r="V1300" s="121">
        <v>-22.631717840898432</v>
      </c>
      <c r="W1300" s="103">
        <v>22.631717840898432</v>
      </c>
    </row>
    <row r="1301" spans="1:23" x14ac:dyDescent="0.15">
      <c r="A1301" s="103" t="s">
        <v>77</v>
      </c>
      <c r="B1301" s="103" t="s">
        <v>431</v>
      </c>
      <c r="C1301" s="103" t="s">
        <v>973</v>
      </c>
      <c r="D1301" s="103" t="s">
        <v>458</v>
      </c>
      <c r="E1301" s="103" t="s">
        <v>82</v>
      </c>
      <c r="F1301" s="103" t="s">
        <v>968</v>
      </c>
      <c r="G1301" s="103">
        <v>0</v>
      </c>
      <c r="H1301" s="120" t="s">
        <v>203</v>
      </c>
      <c r="I1301" s="120" t="s">
        <v>581</v>
      </c>
      <c r="J1301" s="121">
        <v>4710</v>
      </c>
      <c r="K1301" s="121">
        <v>5660.251556943751</v>
      </c>
      <c r="L1301" s="121">
        <v>950.25155694375098</v>
      </c>
      <c r="M1301" s="121">
        <v>950.25155694375098</v>
      </c>
      <c r="N1301" s="121">
        <v>2.9782953806028356</v>
      </c>
      <c r="O1301" s="132">
        <f t="shared" si="21"/>
        <v>2.9782953806028356</v>
      </c>
      <c r="P1301" s="121">
        <v>20.175192291799384</v>
      </c>
      <c r="Q1301" s="121">
        <v>20.175192291799384</v>
      </c>
      <c r="R1301" s="121">
        <v>5803.1647007819984</v>
      </c>
      <c r="S1301" s="121">
        <v>1093.1647007819984</v>
      </c>
      <c r="T1301" s="121">
        <v>1093.1647007819984</v>
      </c>
      <c r="U1301" s="121">
        <v>3.0390826997460763</v>
      </c>
      <c r="V1301" s="121">
        <v>23.209441630191048</v>
      </c>
      <c r="W1301" s="103">
        <v>23.209441630191048</v>
      </c>
    </row>
    <row r="1302" spans="1:23" x14ac:dyDescent="0.15">
      <c r="A1302" s="103" t="s">
        <v>77</v>
      </c>
      <c r="B1302" s="103" t="s">
        <v>139</v>
      </c>
      <c r="C1302" s="24" t="s">
        <v>980</v>
      </c>
      <c r="D1302" s="103" t="s">
        <v>403</v>
      </c>
      <c r="E1302" s="103" t="s">
        <v>82</v>
      </c>
      <c r="F1302" s="103" t="s">
        <v>968</v>
      </c>
      <c r="G1302" s="103">
        <v>0</v>
      </c>
      <c r="H1302" s="120" t="s">
        <v>203</v>
      </c>
      <c r="I1302" s="120" t="s">
        <v>581</v>
      </c>
      <c r="J1302" s="121">
        <v>4870</v>
      </c>
      <c r="K1302" s="121">
        <v>3819.2654805699549</v>
      </c>
      <c r="L1302" s="121">
        <v>-1050.7345194300451</v>
      </c>
      <c r="M1302" s="121">
        <v>1050.7345194300451</v>
      </c>
      <c r="N1302" s="121">
        <v>3.0219061283186162</v>
      </c>
      <c r="O1302" s="132">
        <f t="shared" si="21"/>
        <v>-3.0219061283186162</v>
      </c>
      <c r="P1302" s="121">
        <v>-21.575657483163141</v>
      </c>
      <c r="Q1302" s="121">
        <v>21.575657483163141</v>
      </c>
      <c r="R1302" s="121">
        <v>3846.2741435230969</v>
      </c>
      <c r="S1302" s="121">
        <v>-1023.7258564769031</v>
      </c>
      <c r="T1302" s="121">
        <v>1023.7258564769031</v>
      </c>
      <c r="U1302" s="121">
        <v>3.0106076947149343</v>
      </c>
      <c r="V1302" s="121">
        <v>-21.021064814720802</v>
      </c>
      <c r="W1302" s="103">
        <v>21.021064814720802</v>
      </c>
    </row>
  </sheetData>
  <sortState xmlns:xlrd2="http://schemas.microsoft.com/office/spreadsheetml/2017/richdata2" ref="A2:W1303">
    <sortCondition ref="A1:A130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6EF8-6E56-6B49-8AF5-BE3626F563AB}">
  <dimension ref="A1:O27"/>
  <sheetViews>
    <sheetView zoomScale="90" workbookViewId="0">
      <selection activeCell="R43" sqref="R43"/>
    </sheetView>
  </sheetViews>
  <sheetFormatPr baseColWidth="10" defaultRowHeight="13" x14ac:dyDescent="0.15"/>
  <cols>
    <col min="1" max="1" width="11.83203125" bestFit="1" customWidth="1"/>
    <col min="4" max="4" width="13.1640625" bestFit="1" customWidth="1"/>
  </cols>
  <sheetData>
    <row r="1" spans="1:13" x14ac:dyDescent="0.15">
      <c r="A1" s="24" t="s">
        <v>0</v>
      </c>
      <c r="B1" s="24" t="s">
        <v>413</v>
      </c>
      <c r="C1" s="24" t="s">
        <v>30</v>
      </c>
      <c r="D1" s="24" t="s">
        <v>51</v>
      </c>
      <c r="E1" s="24" t="s">
        <v>3</v>
      </c>
      <c r="F1" s="24" t="s">
        <v>428</v>
      </c>
      <c r="G1" s="24" t="s">
        <v>28</v>
      </c>
      <c r="H1" s="24" t="s">
        <v>437</v>
      </c>
      <c r="I1" s="24" t="s">
        <v>6</v>
      </c>
      <c r="J1" s="24" t="s">
        <v>438</v>
      </c>
      <c r="K1" s="24" t="s">
        <v>5</v>
      </c>
      <c r="L1" s="24" t="s">
        <v>4</v>
      </c>
    </row>
    <row r="2" spans="1:13" ht="15" x14ac:dyDescent="0.2">
      <c r="A2" s="24" t="s">
        <v>19</v>
      </c>
      <c r="B2" t="s">
        <v>423</v>
      </c>
      <c r="C2" s="28">
        <v>2018</v>
      </c>
      <c r="D2" s="28" t="s">
        <v>430</v>
      </c>
      <c r="E2" s="28">
        <v>115</v>
      </c>
      <c r="F2">
        <f t="shared" ref="F2:F10" si="0">E2*10</f>
        <v>1150</v>
      </c>
      <c r="G2" s="28">
        <v>27.5</v>
      </c>
      <c r="H2">
        <f t="shared" ref="H2:H10" si="1">G2*10</f>
        <v>275</v>
      </c>
      <c r="I2">
        <v>26.8</v>
      </c>
      <c r="J2">
        <f t="shared" ref="J2:J10" si="2">I2*10</f>
        <v>268</v>
      </c>
      <c r="K2" s="24" t="s">
        <v>17</v>
      </c>
      <c r="L2" s="24" t="s">
        <v>17</v>
      </c>
    </row>
    <row r="3" spans="1:13" ht="15" x14ac:dyDescent="0.2">
      <c r="A3" s="24" t="s">
        <v>19</v>
      </c>
      <c r="B3" t="s">
        <v>424</v>
      </c>
      <c r="C3" s="28">
        <v>2018</v>
      </c>
      <c r="D3" s="28" t="s">
        <v>430</v>
      </c>
      <c r="E3" s="28">
        <v>180</v>
      </c>
      <c r="F3">
        <f t="shared" si="0"/>
        <v>1800</v>
      </c>
      <c r="G3" s="28">
        <v>42.5</v>
      </c>
      <c r="H3">
        <f t="shared" si="1"/>
        <v>425</v>
      </c>
      <c r="I3">
        <v>39.799999999999997</v>
      </c>
      <c r="J3">
        <f t="shared" si="2"/>
        <v>398</v>
      </c>
      <c r="K3">
        <v>63.5</v>
      </c>
      <c r="L3">
        <f>K3*10</f>
        <v>635</v>
      </c>
    </row>
    <row r="4" spans="1:13" ht="15" x14ac:dyDescent="0.2">
      <c r="A4" s="24" t="s">
        <v>19</v>
      </c>
      <c r="B4" t="s">
        <v>426</v>
      </c>
      <c r="C4" s="28">
        <v>2019</v>
      </c>
      <c r="D4" s="28" t="s">
        <v>429</v>
      </c>
      <c r="E4" s="28">
        <v>162</v>
      </c>
      <c r="F4">
        <f t="shared" si="0"/>
        <v>1620</v>
      </c>
      <c r="G4" s="28">
        <v>39</v>
      </c>
      <c r="H4">
        <f t="shared" si="1"/>
        <v>390</v>
      </c>
      <c r="I4" s="28">
        <v>37.5</v>
      </c>
      <c r="J4">
        <f t="shared" si="2"/>
        <v>375</v>
      </c>
      <c r="K4">
        <v>50.4</v>
      </c>
      <c r="L4">
        <f>K4*10</f>
        <v>504</v>
      </c>
    </row>
    <row r="5" spans="1:13" ht="15" x14ac:dyDescent="0.2">
      <c r="A5" s="24" t="s">
        <v>19</v>
      </c>
      <c r="B5" t="s">
        <v>427</v>
      </c>
      <c r="C5" s="28">
        <v>2019</v>
      </c>
      <c r="D5" s="28" t="s">
        <v>429</v>
      </c>
      <c r="E5" s="28">
        <v>165</v>
      </c>
      <c r="F5">
        <f t="shared" si="0"/>
        <v>1650</v>
      </c>
      <c r="G5" s="28">
        <v>39.5</v>
      </c>
      <c r="H5">
        <f t="shared" si="1"/>
        <v>395</v>
      </c>
      <c r="I5">
        <v>37.5</v>
      </c>
      <c r="J5">
        <f t="shared" si="2"/>
        <v>375</v>
      </c>
      <c r="K5">
        <v>50</v>
      </c>
      <c r="L5">
        <f>K5*10</f>
        <v>500</v>
      </c>
    </row>
    <row r="6" spans="1:13" ht="15" x14ac:dyDescent="0.2">
      <c r="A6" s="24" t="s">
        <v>19</v>
      </c>
      <c r="B6" s="24" t="s">
        <v>459</v>
      </c>
      <c r="C6" s="28">
        <v>2019</v>
      </c>
      <c r="D6" s="28" t="s">
        <v>429</v>
      </c>
      <c r="E6" s="28">
        <v>164</v>
      </c>
      <c r="F6">
        <f t="shared" si="0"/>
        <v>1640</v>
      </c>
      <c r="G6" s="28">
        <v>37.5</v>
      </c>
      <c r="H6">
        <f t="shared" si="1"/>
        <v>375</v>
      </c>
      <c r="I6" s="28">
        <v>35.799999999999997</v>
      </c>
      <c r="J6">
        <f t="shared" si="2"/>
        <v>358</v>
      </c>
      <c r="K6">
        <v>48.1</v>
      </c>
      <c r="L6">
        <f>K6*10</f>
        <v>481</v>
      </c>
    </row>
    <row r="7" spans="1:13" ht="15" x14ac:dyDescent="0.2">
      <c r="A7" s="24" t="s">
        <v>19</v>
      </c>
      <c r="B7" t="s">
        <v>425</v>
      </c>
      <c r="C7" s="28">
        <v>2019</v>
      </c>
      <c r="D7" s="28" t="s">
        <v>432</v>
      </c>
      <c r="E7" s="28">
        <v>269</v>
      </c>
      <c r="F7">
        <f t="shared" si="0"/>
        <v>2690</v>
      </c>
      <c r="G7" s="28">
        <v>62</v>
      </c>
      <c r="H7">
        <f t="shared" si="1"/>
        <v>620</v>
      </c>
      <c r="I7">
        <v>60.3</v>
      </c>
      <c r="J7">
        <f t="shared" si="2"/>
        <v>603</v>
      </c>
      <c r="K7">
        <v>76.7</v>
      </c>
      <c r="L7">
        <f>K7*10</f>
        <v>767</v>
      </c>
    </row>
    <row r="8" spans="1:13" ht="15" x14ac:dyDescent="0.2">
      <c r="A8" s="24" t="s">
        <v>19</v>
      </c>
      <c r="B8" s="28" t="s">
        <v>433</v>
      </c>
      <c r="C8" s="28">
        <v>2020</v>
      </c>
      <c r="D8" s="28" t="s">
        <v>436</v>
      </c>
      <c r="E8" s="28">
        <v>152</v>
      </c>
      <c r="F8">
        <f t="shared" si="0"/>
        <v>1520</v>
      </c>
      <c r="G8">
        <v>33.5</v>
      </c>
      <c r="H8">
        <f t="shared" si="1"/>
        <v>335</v>
      </c>
      <c r="I8">
        <v>32.299999999999997</v>
      </c>
      <c r="J8">
        <f t="shared" si="2"/>
        <v>323</v>
      </c>
      <c r="K8" s="24"/>
      <c r="L8" s="24"/>
    </row>
    <row r="9" spans="1:13" ht="15" x14ac:dyDescent="0.2">
      <c r="A9" s="24" t="s">
        <v>19</v>
      </c>
      <c r="B9" s="28" t="s">
        <v>434</v>
      </c>
      <c r="C9" s="28">
        <v>2021</v>
      </c>
      <c r="D9" s="28" t="s">
        <v>429</v>
      </c>
      <c r="E9" s="28">
        <v>237</v>
      </c>
      <c r="F9">
        <f t="shared" si="0"/>
        <v>2370</v>
      </c>
      <c r="G9">
        <v>55</v>
      </c>
      <c r="H9">
        <f t="shared" si="1"/>
        <v>550</v>
      </c>
      <c r="I9">
        <v>52.5</v>
      </c>
      <c r="J9">
        <f t="shared" si="2"/>
        <v>525</v>
      </c>
      <c r="K9" s="24"/>
      <c r="L9" s="24"/>
    </row>
    <row r="10" spans="1:13" ht="15" x14ac:dyDescent="0.2">
      <c r="A10" s="24" t="s">
        <v>19</v>
      </c>
      <c r="B10" s="28" t="s">
        <v>435</v>
      </c>
      <c r="C10" s="28">
        <v>2021</v>
      </c>
      <c r="D10" s="28" t="s">
        <v>436</v>
      </c>
      <c r="E10" s="28">
        <v>115</v>
      </c>
      <c r="F10">
        <f t="shared" si="0"/>
        <v>1150</v>
      </c>
      <c r="G10">
        <v>27</v>
      </c>
      <c r="H10">
        <f t="shared" si="1"/>
        <v>270</v>
      </c>
      <c r="I10">
        <v>25.8</v>
      </c>
      <c r="J10">
        <f t="shared" si="2"/>
        <v>258</v>
      </c>
      <c r="K10">
        <v>34</v>
      </c>
      <c r="L10">
        <f>K10*10</f>
        <v>340</v>
      </c>
    </row>
    <row r="11" spans="1:13" ht="15" x14ac:dyDescent="0.2">
      <c r="A11" s="36" t="s">
        <v>46</v>
      </c>
      <c r="B11" s="25" t="s">
        <v>466</v>
      </c>
      <c r="C11" s="28">
        <v>2017</v>
      </c>
      <c r="D11" s="28" t="s">
        <v>432</v>
      </c>
      <c r="E11" s="35"/>
      <c r="F11" s="28">
        <v>1020</v>
      </c>
      <c r="G11" s="28"/>
      <c r="H11" s="28">
        <v>270</v>
      </c>
      <c r="J11" s="1">
        <v>217</v>
      </c>
      <c r="K11" s="6">
        <v>316</v>
      </c>
      <c r="L11" s="28"/>
      <c r="M11" s="28" t="s">
        <v>37</v>
      </c>
    </row>
    <row r="12" spans="1:13" ht="15" x14ac:dyDescent="0.2">
      <c r="A12" s="37" t="s">
        <v>46</v>
      </c>
      <c r="B12" s="25" t="s">
        <v>471</v>
      </c>
      <c r="C12" s="28">
        <v>2017</v>
      </c>
      <c r="D12" s="28" t="s">
        <v>432</v>
      </c>
      <c r="E12" s="35"/>
      <c r="F12">
        <v>1065</v>
      </c>
      <c r="H12">
        <v>289</v>
      </c>
      <c r="I12" s="24" t="s">
        <v>519</v>
      </c>
      <c r="J12">
        <v>210.96999999999997</v>
      </c>
      <c r="K12" s="34"/>
      <c r="L12" s="28"/>
      <c r="M12" s="24" t="s">
        <v>488</v>
      </c>
    </row>
    <row r="13" spans="1:13" ht="15" x14ac:dyDescent="0.2">
      <c r="A13" s="24" t="s">
        <v>46</v>
      </c>
      <c r="B13" s="24" t="s">
        <v>472</v>
      </c>
      <c r="C13" s="28">
        <v>2017</v>
      </c>
      <c r="D13" s="28" t="s">
        <v>432</v>
      </c>
      <c r="E13" s="28">
        <v>100</v>
      </c>
      <c r="F13" s="28">
        <f t="shared" ref="F13" si="3">E13*10</f>
        <v>1000</v>
      </c>
      <c r="G13" s="28">
        <v>23</v>
      </c>
      <c r="H13" s="28">
        <f t="shared" ref="H13" si="4">G13*10</f>
        <v>230</v>
      </c>
      <c r="I13" s="24" t="s">
        <v>519</v>
      </c>
      <c r="J13">
        <v>167.89999999999998</v>
      </c>
      <c r="K13" s="28"/>
      <c r="L13" s="1"/>
      <c r="M13" s="28" t="s">
        <v>488</v>
      </c>
    </row>
    <row r="14" spans="1:13" ht="15" x14ac:dyDescent="0.2">
      <c r="A14" s="37" t="s">
        <v>46</v>
      </c>
      <c r="B14" s="25" t="s">
        <v>473</v>
      </c>
      <c r="C14" s="28">
        <v>2017</v>
      </c>
      <c r="D14" s="28" t="s">
        <v>432</v>
      </c>
      <c r="E14" s="35"/>
      <c r="F14">
        <v>1100</v>
      </c>
      <c r="H14">
        <v>270</v>
      </c>
      <c r="J14">
        <v>207</v>
      </c>
      <c r="K14" s="34">
        <v>324</v>
      </c>
      <c r="L14" s="28"/>
      <c r="M14" s="24" t="s">
        <v>37</v>
      </c>
    </row>
    <row r="15" spans="1:13" ht="15" x14ac:dyDescent="0.2">
      <c r="A15" s="37" t="s">
        <v>46</v>
      </c>
      <c r="B15" s="25" t="s">
        <v>467</v>
      </c>
      <c r="C15" s="28">
        <v>2017</v>
      </c>
      <c r="D15" s="28" t="s">
        <v>432</v>
      </c>
      <c r="E15" s="35"/>
      <c r="F15">
        <v>1000</v>
      </c>
      <c r="H15">
        <v>283</v>
      </c>
      <c r="J15">
        <v>229</v>
      </c>
      <c r="K15" s="34">
        <v>355</v>
      </c>
      <c r="L15" s="28"/>
      <c r="M15" t="s">
        <v>37</v>
      </c>
    </row>
    <row r="16" spans="1:13" ht="15" x14ac:dyDescent="0.2">
      <c r="A16" s="37" t="s">
        <v>46</v>
      </c>
      <c r="B16" s="25" t="s">
        <v>468</v>
      </c>
      <c r="C16" s="28">
        <v>2017</v>
      </c>
      <c r="D16" s="28" t="s">
        <v>432</v>
      </c>
      <c r="E16" s="35"/>
      <c r="F16">
        <v>1050</v>
      </c>
      <c r="H16">
        <v>280</v>
      </c>
      <c r="I16" s="24" t="s">
        <v>519</v>
      </c>
      <c r="J16">
        <v>204.39999999999998</v>
      </c>
      <c r="K16" s="34"/>
      <c r="L16" s="28"/>
      <c r="M16" s="24" t="s">
        <v>37</v>
      </c>
    </row>
    <row r="17" spans="1:15" ht="15" x14ac:dyDescent="0.2">
      <c r="A17" s="37" t="s">
        <v>46</v>
      </c>
      <c r="B17" s="25" t="s">
        <v>470</v>
      </c>
      <c r="C17" s="28">
        <v>2019</v>
      </c>
      <c r="D17" s="28" t="s">
        <v>432</v>
      </c>
      <c r="E17" s="35"/>
      <c r="F17">
        <v>960</v>
      </c>
      <c r="H17">
        <v>250</v>
      </c>
      <c r="J17">
        <v>193</v>
      </c>
      <c r="K17" s="34">
        <v>299</v>
      </c>
      <c r="L17" s="28"/>
      <c r="M17" s="24" t="s">
        <v>37</v>
      </c>
    </row>
    <row r="18" spans="1:15" ht="15" x14ac:dyDescent="0.2">
      <c r="A18" s="37" t="s">
        <v>46</v>
      </c>
      <c r="B18" s="25" t="s">
        <v>474</v>
      </c>
      <c r="C18" s="28">
        <v>2019</v>
      </c>
      <c r="D18" s="28" t="s">
        <v>432</v>
      </c>
      <c r="E18" s="35"/>
      <c r="F18">
        <v>970</v>
      </c>
      <c r="H18">
        <v>267</v>
      </c>
      <c r="J18">
        <v>200</v>
      </c>
      <c r="K18" s="34">
        <v>336</v>
      </c>
      <c r="L18" s="28"/>
      <c r="M18" s="24" t="s">
        <v>37</v>
      </c>
    </row>
    <row r="19" spans="1:15" ht="15" x14ac:dyDescent="0.2">
      <c r="A19" t="s">
        <v>77</v>
      </c>
      <c r="B19" t="s">
        <v>431</v>
      </c>
      <c r="C19" s="28">
        <v>2019</v>
      </c>
      <c r="D19" s="28" t="s">
        <v>432</v>
      </c>
      <c r="F19">
        <v>4710</v>
      </c>
      <c r="H19">
        <v>1420</v>
      </c>
      <c r="J19">
        <v>1378</v>
      </c>
      <c r="K19">
        <v>1707</v>
      </c>
      <c r="M19" t="s">
        <v>37</v>
      </c>
    </row>
    <row r="20" spans="1:15" x14ac:dyDescent="0.15">
      <c r="A20" s="24" t="s">
        <v>16</v>
      </c>
      <c r="B20" s="24" t="s">
        <v>415</v>
      </c>
      <c r="C20">
        <v>2019</v>
      </c>
      <c r="D20" s="24" t="s">
        <v>414</v>
      </c>
      <c r="E20">
        <v>279</v>
      </c>
      <c r="F20">
        <f>E20*10</f>
        <v>2790</v>
      </c>
      <c r="G20">
        <v>48</v>
      </c>
      <c r="H20">
        <f>G20*10</f>
        <v>480</v>
      </c>
      <c r="I20">
        <v>44.6</v>
      </c>
      <c r="J20">
        <f>I20*10</f>
        <v>446</v>
      </c>
      <c r="K20">
        <v>65.599999999999994</v>
      </c>
      <c r="L20">
        <f>K20*10</f>
        <v>656</v>
      </c>
      <c r="M20" s="24" t="s">
        <v>37</v>
      </c>
    </row>
    <row r="21" spans="1:15" ht="15" x14ac:dyDescent="0.2">
      <c r="A21" s="24" t="s">
        <v>19</v>
      </c>
      <c r="B21" t="s">
        <v>416</v>
      </c>
      <c r="C21" s="28"/>
      <c r="D21" s="23"/>
      <c r="E21" s="22"/>
      <c r="F21">
        <v>1250</v>
      </c>
      <c r="G21" s="22"/>
      <c r="H21">
        <v>305</v>
      </c>
      <c r="J21">
        <v>297</v>
      </c>
      <c r="K21" s="1">
        <v>384</v>
      </c>
      <c r="L21">
        <f>F21-K21</f>
        <v>866</v>
      </c>
      <c r="M21" s="24" t="s">
        <v>37</v>
      </c>
      <c r="O21" s="21"/>
    </row>
    <row r="22" spans="1:15" ht="15" x14ac:dyDescent="0.2">
      <c r="A22" s="24" t="s">
        <v>19</v>
      </c>
      <c r="B22" t="s">
        <v>417</v>
      </c>
      <c r="C22" s="28"/>
      <c r="D22" s="23"/>
      <c r="E22" s="22"/>
      <c r="F22">
        <v>1180</v>
      </c>
      <c r="G22" s="22"/>
      <c r="H22">
        <v>270</v>
      </c>
      <c r="J22">
        <v>256.5</v>
      </c>
      <c r="M22" s="24" t="s">
        <v>488</v>
      </c>
      <c r="O22" s="21"/>
    </row>
    <row r="23" spans="1:15" ht="15" x14ac:dyDescent="0.2">
      <c r="A23" s="24" t="s">
        <v>19</v>
      </c>
      <c r="B23" t="s">
        <v>418</v>
      </c>
      <c r="C23" s="28"/>
      <c r="D23" s="23"/>
      <c r="E23" s="22"/>
      <c r="F23">
        <v>1680</v>
      </c>
      <c r="G23" s="22"/>
      <c r="H23">
        <v>385</v>
      </c>
      <c r="J23">
        <v>365.74999999999994</v>
      </c>
      <c r="M23" s="24" t="s">
        <v>488</v>
      </c>
      <c r="O23" s="21"/>
    </row>
    <row r="24" spans="1:15" ht="15" x14ac:dyDescent="0.2">
      <c r="A24" s="24" t="s">
        <v>19</v>
      </c>
      <c r="B24" t="s">
        <v>419</v>
      </c>
      <c r="C24" s="28"/>
      <c r="D24" s="23"/>
      <c r="E24" s="22"/>
      <c r="F24">
        <v>1690</v>
      </c>
      <c r="G24" s="22"/>
      <c r="H24">
        <v>375</v>
      </c>
      <c r="J24">
        <v>356.25</v>
      </c>
      <c r="M24" s="24" t="s">
        <v>488</v>
      </c>
      <c r="O24" s="21"/>
    </row>
    <row r="25" spans="1:15" ht="15" x14ac:dyDescent="0.2">
      <c r="A25" s="24" t="s">
        <v>19</v>
      </c>
      <c r="B25" t="s">
        <v>420</v>
      </c>
      <c r="C25" s="28"/>
      <c r="D25" s="23"/>
      <c r="E25" s="22"/>
      <c r="F25">
        <v>1090</v>
      </c>
      <c r="G25" s="22"/>
      <c r="H25">
        <v>260</v>
      </c>
      <c r="J25">
        <v>247</v>
      </c>
      <c r="M25" s="24" t="s">
        <v>488</v>
      </c>
      <c r="O25" s="21"/>
    </row>
    <row r="26" spans="1:15" ht="15" x14ac:dyDescent="0.2">
      <c r="A26" s="24" t="s">
        <v>19</v>
      </c>
      <c r="B26" t="s">
        <v>421</v>
      </c>
      <c r="C26" s="28"/>
      <c r="D26" s="23"/>
      <c r="E26" s="35"/>
      <c r="F26">
        <v>825</v>
      </c>
      <c r="G26" s="22"/>
      <c r="H26">
        <v>205</v>
      </c>
      <c r="J26" s="1">
        <v>193</v>
      </c>
      <c r="K26" s="1">
        <v>255</v>
      </c>
      <c r="L26">
        <f>F26-K26</f>
        <v>570</v>
      </c>
      <c r="M26" s="24" t="s">
        <v>37</v>
      </c>
      <c r="O26" s="21"/>
    </row>
    <row r="27" spans="1:15" ht="15" x14ac:dyDescent="0.2">
      <c r="A27" s="24" t="s">
        <v>19</v>
      </c>
      <c r="B27" t="s">
        <v>422</v>
      </c>
      <c r="C27" s="28"/>
      <c r="D27" s="23"/>
      <c r="E27" s="22"/>
      <c r="F27">
        <v>1070</v>
      </c>
      <c r="G27" s="22"/>
      <c r="H27">
        <v>265</v>
      </c>
      <c r="J27" s="1">
        <v>257</v>
      </c>
      <c r="K27" s="1">
        <v>344</v>
      </c>
      <c r="L27">
        <f>F27-K27</f>
        <v>726</v>
      </c>
      <c r="M27" s="24" t="s">
        <v>37</v>
      </c>
      <c r="O27" s="21"/>
    </row>
  </sheetData>
  <sortState xmlns:xlrd2="http://schemas.microsoft.com/office/spreadsheetml/2017/richdata2" ref="A2:L20">
    <sortCondition ref="A1:A20"/>
  </sortState>
  <phoneticPr fontId="5" type="noConversion"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workbookViewId="0">
      <pane xSplit="4" topLeftCell="E1" activePane="topRight" state="frozen"/>
      <selection pane="topRight" activeCell="H21" sqref="H21"/>
    </sheetView>
  </sheetViews>
  <sheetFormatPr baseColWidth="10" defaultColWidth="14.5" defaultRowHeight="15" customHeight="1" x14ac:dyDescent="0.15"/>
  <cols>
    <col min="1" max="2" width="14.5" style="24" customWidth="1"/>
    <col min="3" max="4" width="14.5" style="24" hidden="1" customWidth="1"/>
    <col min="5" max="9" width="14.5" style="24" customWidth="1"/>
    <col min="10" max="10" width="14.5" style="24" hidden="1" customWidth="1"/>
    <col min="11" max="14" width="17.33203125" style="24" customWidth="1"/>
    <col min="15" max="15" width="7" style="24" customWidth="1"/>
    <col min="16" max="16384" width="14.5" style="24"/>
  </cols>
  <sheetData>
    <row r="1" spans="1:34" ht="15.75" customHeight="1" thickBot="1" x14ac:dyDescent="0.2">
      <c r="A1" s="156" t="s">
        <v>0</v>
      </c>
      <c r="B1" s="157" t="s">
        <v>1</v>
      </c>
      <c r="C1" s="158" t="s">
        <v>30</v>
      </c>
      <c r="D1" s="158" t="s">
        <v>51</v>
      </c>
      <c r="E1" s="159" t="s">
        <v>2</v>
      </c>
      <c r="F1" s="160" t="s">
        <v>3</v>
      </c>
      <c r="G1" s="156" t="s">
        <v>4</v>
      </c>
      <c r="H1" s="160" t="s">
        <v>793</v>
      </c>
      <c r="I1" s="156" t="s">
        <v>794</v>
      </c>
      <c r="J1" s="156" t="s">
        <v>805</v>
      </c>
      <c r="K1" s="161" t="s">
        <v>802</v>
      </c>
      <c r="L1" s="160" t="s">
        <v>798</v>
      </c>
      <c r="M1" s="156" t="s">
        <v>799</v>
      </c>
      <c r="N1" s="161" t="s">
        <v>800</v>
      </c>
      <c r="O1" s="162" t="s">
        <v>801</v>
      </c>
      <c r="P1" s="1" t="s">
        <v>7</v>
      </c>
      <c r="Q1" s="1" t="s">
        <v>8</v>
      </c>
      <c r="R1" s="1" t="s">
        <v>795</v>
      </c>
      <c r="S1" s="1" t="s">
        <v>797</v>
      </c>
      <c r="T1" s="1" t="s">
        <v>796</v>
      </c>
    </row>
    <row r="2" spans="1:34" ht="15.75" customHeight="1" x14ac:dyDescent="0.15">
      <c r="A2" s="186" t="s">
        <v>46</v>
      </c>
      <c r="B2" s="2">
        <v>1269</v>
      </c>
      <c r="C2" s="2"/>
      <c r="D2" s="2"/>
      <c r="E2" s="3"/>
      <c r="F2" s="177">
        <v>670</v>
      </c>
      <c r="H2" s="168"/>
      <c r="I2" s="1">
        <v>156</v>
      </c>
      <c r="J2" s="1">
        <v>224</v>
      </c>
      <c r="K2" s="169"/>
      <c r="L2" s="168"/>
      <c r="N2" s="169"/>
      <c r="O2" s="170"/>
    </row>
    <row r="3" spans="1:34" ht="15.75" customHeight="1" x14ac:dyDescent="0.15">
      <c r="A3" s="186" t="s">
        <v>46</v>
      </c>
      <c r="B3" s="2" t="s">
        <v>11</v>
      </c>
      <c r="E3" s="171">
        <v>4237</v>
      </c>
      <c r="F3" s="174">
        <v>735</v>
      </c>
      <c r="G3" s="1">
        <f>F3-L3</f>
        <v>484</v>
      </c>
      <c r="H3" s="152"/>
      <c r="I3" s="1">
        <v>163</v>
      </c>
      <c r="J3" s="1">
        <v>215</v>
      </c>
      <c r="K3" s="153">
        <v>19</v>
      </c>
      <c r="L3" s="152">
        <v>251</v>
      </c>
      <c r="M3" s="1">
        <v>163</v>
      </c>
      <c r="N3" s="153">
        <v>195</v>
      </c>
      <c r="O3" s="162"/>
      <c r="P3" s="1">
        <v>87</v>
      </c>
      <c r="Q3" s="1">
        <v>57</v>
      </c>
      <c r="S3" s="1">
        <v>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75" customHeight="1" x14ac:dyDescent="0.15">
      <c r="A4" s="186" t="s">
        <v>46</v>
      </c>
      <c r="B4" s="2">
        <v>1289</v>
      </c>
      <c r="C4" s="2"/>
      <c r="D4" s="2"/>
      <c r="E4" s="3"/>
      <c r="F4" s="177">
        <v>746</v>
      </c>
      <c r="H4" s="168"/>
      <c r="I4" s="1">
        <v>162</v>
      </c>
      <c r="J4" s="24">
        <v>226</v>
      </c>
      <c r="K4" s="169">
        <v>20</v>
      </c>
      <c r="L4" s="168"/>
      <c r="N4" s="169"/>
      <c r="O4" s="170"/>
    </row>
    <row r="5" spans="1:34" ht="15.75" customHeight="1" x14ac:dyDescent="0.15">
      <c r="A5" s="186" t="s">
        <v>46</v>
      </c>
      <c r="B5" s="2" t="s">
        <v>13</v>
      </c>
      <c r="C5" s="2"/>
      <c r="D5" s="2"/>
      <c r="E5" s="171">
        <v>4239</v>
      </c>
      <c r="F5" s="174">
        <v>776</v>
      </c>
      <c r="G5" s="1">
        <f>F5-L5</f>
        <v>518</v>
      </c>
      <c r="H5" s="152"/>
      <c r="I5" s="1">
        <v>152</v>
      </c>
      <c r="J5" s="1">
        <v>222</v>
      </c>
      <c r="K5" s="153">
        <v>19</v>
      </c>
      <c r="L5" s="152">
        <v>258</v>
      </c>
      <c r="M5" s="1">
        <v>151</v>
      </c>
      <c r="N5" s="153">
        <v>204</v>
      </c>
      <c r="O5" s="162"/>
      <c r="P5" s="1">
        <v>105</v>
      </c>
      <c r="Q5" s="1">
        <v>55</v>
      </c>
      <c r="S5" s="1">
        <v>10</v>
      </c>
    </row>
    <row r="6" spans="1:34" ht="15.75" customHeight="1" x14ac:dyDescent="0.15">
      <c r="A6" s="186" t="s">
        <v>46</v>
      </c>
      <c r="B6" s="2" t="s">
        <v>15</v>
      </c>
      <c r="C6" s="5"/>
      <c r="D6" s="5"/>
      <c r="E6" s="171">
        <v>4247</v>
      </c>
      <c r="F6" s="176">
        <v>796</v>
      </c>
      <c r="G6" s="1">
        <f>F6-L6</f>
        <v>540</v>
      </c>
      <c r="H6" s="152"/>
      <c r="I6" s="1">
        <v>165</v>
      </c>
      <c r="J6" s="1">
        <v>225</v>
      </c>
      <c r="K6" s="153">
        <v>19</v>
      </c>
      <c r="L6" s="152">
        <v>256</v>
      </c>
      <c r="M6" s="1">
        <v>165</v>
      </c>
      <c r="N6" s="153">
        <v>197</v>
      </c>
      <c r="O6" s="162"/>
      <c r="P6" s="1">
        <v>91</v>
      </c>
      <c r="Q6" s="1">
        <v>59</v>
      </c>
      <c r="S6" s="1">
        <v>0</v>
      </c>
    </row>
    <row r="7" spans="1:34" ht="15.75" customHeight="1" x14ac:dyDescent="0.15">
      <c r="A7" s="186" t="s">
        <v>46</v>
      </c>
      <c r="B7" s="2" t="s">
        <v>12</v>
      </c>
      <c r="C7" s="2"/>
      <c r="D7" s="2"/>
      <c r="E7" s="171">
        <v>4238</v>
      </c>
      <c r="F7" s="174">
        <v>804</v>
      </c>
      <c r="G7" s="1">
        <f>F7-L7</f>
        <v>538</v>
      </c>
      <c r="H7" s="152"/>
      <c r="I7" s="1">
        <v>184</v>
      </c>
      <c r="J7" s="1">
        <v>235</v>
      </c>
      <c r="K7" s="153">
        <v>20</v>
      </c>
      <c r="L7" s="152">
        <v>266</v>
      </c>
      <c r="M7" s="1">
        <v>183</v>
      </c>
      <c r="N7" s="153">
        <v>208</v>
      </c>
      <c r="O7" s="162"/>
      <c r="P7" s="1">
        <v>84</v>
      </c>
      <c r="Q7" s="1">
        <v>57</v>
      </c>
      <c r="S7" s="1">
        <v>0</v>
      </c>
    </row>
    <row r="8" spans="1:34" ht="15.75" customHeight="1" x14ac:dyDescent="0.2">
      <c r="A8" s="186" t="s">
        <v>46</v>
      </c>
      <c r="B8" s="2">
        <v>150626</v>
      </c>
      <c r="C8" s="87">
        <v>2007</v>
      </c>
      <c r="D8" s="87" t="s">
        <v>480</v>
      </c>
      <c r="E8" s="172">
        <v>4240</v>
      </c>
      <c r="F8" s="175">
        <v>1270</v>
      </c>
      <c r="H8" s="168"/>
      <c r="I8" s="1">
        <v>224</v>
      </c>
      <c r="J8" s="1">
        <v>335</v>
      </c>
      <c r="K8" s="169">
        <v>34</v>
      </c>
      <c r="L8" s="168"/>
      <c r="N8" s="169"/>
      <c r="O8" s="170"/>
      <c r="P8" s="1" t="s">
        <v>10</v>
      </c>
      <c r="T8" s="1">
        <v>75</v>
      </c>
      <c r="U8" s="1" t="s">
        <v>14</v>
      </c>
    </row>
    <row r="9" spans="1:34" ht="15.75" customHeight="1" x14ac:dyDescent="0.2">
      <c r="A9" s="186" t="s">
        <v>46</v>
      </c>
      <c r="B9" s="2">
        <v>1154</v>
      </c>
      <c r="C9" s="87">
        <v>2008</v>
      </c>
      <c r="D9" s="87" t="s">
        <v>479</v>
      </c>
      <c r="E9" s="164">
        <v>4236</v>
      </c>
      <c r="F9" s="166">
        <v>1312</v>
      </c>
      <c r="G9" s="165">
        <v>975</v>
      </c>
      <c r="H9" s="166">
        <f>F9-G9</f>
        <v>337</v>
      </c>
      <c r="I9" s="167">
        <v>269</v>
      </c>
      <c r="J9" s="45">
        <v>370</v>
      </c>
      <c r="K9" s="163">
        <v>29</v>
      </c>
      <c r="L9" s="168"/>
      <c r="M9" s="24">
        <v>269</v>
      </c>
      <c r="N9" s="169"/>
      <c r="O9" s="170"/>
      <c r="P9" s="1" t="s">
        <v>10</v>
      </c>
      <c r="T9" s="1">
        <v>63</v>
      </c>
    </row>
    <row r="10" spans="1:34" ht="15.75" customHeight="1" x14ac:dyDescent="0.15">
      <c r="A10" s="186" t="s">
        <v>46</v>
      </c>
      <c r="B10" s="2">
        <v>316105</v>
      </c>
      <c r="C10" s="2"/>
      <c r="D10" s="2"/>
      <c r="E10" s="171">
        <v>4231</v>
      </c>
      <c r="F10" s="174">
        <v>1430</v>
      </c>
      <c r="G10" s="1">
        <f>F10-L10</f>
        <v>991</v>
      </c>
      <c r="H10" s="152"/>
      <c r="I10" s="1">
        <v>282</v>
      </c>
      <c r="J10" s="1">
        <v>375</v>
      </c>
      <c r="K10" s="153">
        <v>30</v>
      </c>
      <c r="L10" s="152">
        <v>439</v>
      </c>
      <c r="M10" s="1">
        <v>280</v>
      </c>
      <c r="N10" s="153">
        <v>337</v>
      </c>
      <c r="O10" s="162"/>
      <c r="P10" s="1">
        <v>159</v>
      </c>
      <c r="Q10" s="1">
        <v>193</v>
      </c>
      <c r="S10" s="1">
        <v>9</v>
      </c>
    </row>
    <row r="11" spans="1:34" ht="15.75" customHeight="1" x14ac:dyDescent="0.15">
      <c r="A11" s="186" t="s">
        <v>46</v>
      </c>
      <c r="B11" s="2">
        <v>1162</v>
      </c>
      <c r="C11" s="2"/>
      <c r="D11" s="2"/>
      <c r="E11" s="171">
        <v>4234</v>
      </c>
      <c r="F11" s="174">
        <f>G11+H11</f>
        <v>2590</v>
      </c>
      <c r="G11" s="1">
        <v>1770</v>
      </c>
      <c r="H11" s="152">
        <v>820</v>
      </c>
      <c r="I11" s="1">
        <v>518</v>
      </c>
      <c r="J11" s="1">
        <v>704</v>
      </c>
      <c r="K11" s="153">
        <v>48</v>
      </c>
      <c r="L11" s="152"/>
      <c r="M11" s="1">
        <v>518</v>
      </c>
      <c r="N11" s="153">
        <v>601</v>
      </c>
      <c r="O11" s="162"/>
      <c r="P11" s="4"/>
      <c r="Q11" s="4"/>
      <c r="R11" s="1" t="s">
        <v>9</v>
      </c>
      <c r="S11" s="1">
        <v>68</v>
      </c>
      <c r="T11" s="4"/>
    </row>
    <row r="12" spans="1:34" ht="15.75" customHeight="1" x14ac:dyDescent="0.15">
      <c r="A12" s="186" t="s">
        <v>16</v>
      </c>
      <c r="B12" s="2">
        <v>2</v>
      </c>
      <c r="C12" s="2"/>
      <c r="D12" s="2"/>
      <c r="E12" s="171">
        <v>4257</v>
      </c>
      <c r="F12" s="176">
        <v>716</v>
      </c>
      <c r="G12" s="1">
        <f>F12-L12</f>
        <v>505</v>
      </c>
      <c r="H12" s="152"/>
      <c r="I12" s="1">
        <v>146</v>
      </c>
      <c r="J12" s="1">
        <v>174</v>
      </c>
      <c r="K12" s="153">
        <v>23</v>
      </c>
      <c r="L12" s="152">
        <v>211</v>
      </c>
      <c r="M12" s="1">
        <v>150</v>
      </c>
      <c r="N12" s="153">
        <v>156</v>
      </c>
      <c r="O12" s="162"/>
      <c r="P12" s="1">
        <v>61</v>
      </c>
      <c r="Q12" s="1">
        <v>56</v>
      </c>
      <c r="S12" s="1">
        <v>4</v>
      </c>
    </row>
    <row r="13" spans="1:34" ht="15.75" customHeight="1" x14ac:dyDescent="0.15">
      <c r="A13" s="186" t="s">
        <v>16</v>
      </c>
      <c r="B13" s="2">
        <v>1</v>
      </c>
      <c r="C13" s="2"/>
      <c r="D13" s="2"/>
      <c r="E13" s="171">
        <v>4256</v>
      </c>
      <c r="F13" s="176">
        <v>770</v>
      </c>
      <c r="G13" s="1">
        <f>F13-L13</f>
        <v>566</v>
      </c>
      <c r="H13" s="152"/>
      <c r="I13" s="1">
        <v>148</v>
      </c>
      <c r="J13" s="1">
        <v>169</v>
      </c>
      <c r="K13" s="153">
        <v>29</v>
      </c>
      <c r="L13" s="152">
        <v>204</v>
      </c>
      <c r="M13" s="1">
        <v>148</v>
      </c>
      <c r="N13" s="153">
        <v>153</v>
      </c>
      <c r="O13" s="162"/>
      <c r="P13" s="1">
        <v>54</v>
      </c>
      <c r="Q13" s="1">
        <v>51</v>
      </c>
      <c r="S13" s="1">
        <v>2</v>
      </c>
    </row>
    <row r="14" spans="1:34" ht="15.75" customHeight="1" x14ac:dyDescent="0.15">
      <c r="A14" s="186" t="s">
        <v>16</v>
      </c>
      <c r="B14" s="2">
        <v>4</v>
      </c>
      <c r="C14" s="24">
        <v>2009</v>
      </c>
      <c r="D14" s="24" t="s">
        <v>432</v>
      </c>
      <c r="E14" s="172">
        <v>4232</v>
      </c>
      <c r="F14" s="177">
        <v>1500</v>
      </c>
      <c r="H14" s="168"/>
      <c r="I14" s="1">
        <v>269</v>
      </c>
      <c r="J14" s="1">
        <v>309</v>
      </c>
      <c r="K14" s="169">
        <v>54</v>
      </c>
      <c r="L14" s="168"/>
      <c r="M14" s="1">
        <v>259</v>
      </c>
      <c r="N14" s="169"/>
      <c r="O14" s="170"/>
      <c r="R14" s="1">
        <v>265</v>
      </c>
    </row>
    <row r="15" spans="1:34" ht="15.75" customHeight="1" x14ac:dyDescent="0.15">
      <c r="A15" s="186" t="s">
        <v>16</v>
      </c>
      <c r="B15" s="2" t="s">
        <v>18</v>
      </c>
      <c r="C15" s="2"/>
      <c r="D15" s="2"/>
      <c r="E15" s="172"/>
      <c r="F15" s="177">
        <v>1780</v>
      </c>
      <c r="H15" s="168"/>
      <c r="I15" s="1">
        <v>274</v>
      </c>
      <c r="J15" s="1">
        <v>337</v>
      </c>
      <c r="K15" s="153">
        <v>55</v>
      </c>
      <c r="L15" s="168"/>
      <c r="M15" s="154">
        <v>290</v>
      </c>
      <c r="N15" s="169"/>
      <c r="O15" s="170"/>
      <c r="R15" s="1">
        <v>204</v>
      </c>
    </row>
    <row r="16" spans="1:34" ht="15.75" customHeight="1" x14ac:dyDescent="0.15">
      <c r="A16" s="186" t="s">
        <v>16</v>
      </c>
      <c r="B16" s="2">
        <v>5</v>
      </c>
      <c r="C16" s="2"/>
      <c r="D16" s="2"/>
      <c r="E16" s="173"/>
      <c r="F16" s="178">
        <v>2120</v>
      </c>
      <c r="H16" s="168"/>
      <c r="I16" s="1">
        <v>357</v>
      </c>
      <c r="J16" s="1">
        <v>398</v>
      </c>
      <c r="K16" s="24">
        <v>62</v>
      </c>
      <c r="L16" s="168"/>
      <c r="N16" s="169"/>
      <c r="O16" s="170"/>
      <c r="T16" s="1"/>
    </row>
    <row r="17" spans="1:20" ht="15.75" customHeight="1" x14ac:dyDescent="0.15">
      <c r="A17" s="186" t="s">
        <v>19</v>
      </c>
      <c r="B17" s="2" t="s">
        <v>24</v>
      </c>
      <c r="C17" s="2"/>
      <c r="D17" s="2"/>
      <c r="E17" s="171">
        <v>4246</v>
      </c>
      <c r="F17" s="176">
        <v>899</v>
      </c>
      <c r="G17" s="1">
        <f>F17-L17</f>
        <v>572</v>
      </c>
      <c r="H17" s="168"/>
      <c r="I17" s="1">
        <v>238</v>
      </c>
      <c r="J17" s="1"/>
      <c r="K17" s="1">
        <v>41</v>
      </c>
      <c r="L17" s="152">
        <f>M17+P17</f>
        <v>327</v>
      </c>
      <c r="M17" s="1">
        <v>238</v>
      </c>
      <c r="N17" s="153">
        <v>241</v>
      </c>
      <c r="O17" s="162"/>
      <c r="P17" s="24">
        <v>89</v>
      </c>
      <c r="Q17" s="1">
        <v>87</v>
      </c>
      <c r="S17" s="1">
        <v>9</v>
      </c>
    </row>
    <row r="18" spans="1:20" ht="15.75" customHeight="1" x14ac:dyDescent="0.15">
      <c r="A18" s="186" t="s">
        <v>19</v>
      </c>
      <c r="B18" s="2" t="s">
        <v>23</v>
      </c>
      <c r="C18" s="2"/>
      <c r="D18" s="2"/>
      <c r="E18" s="171">
        <v>4245</v>
      </c>
      <c r="F18" s="176">
        <v>990</v>
      </c>
      <c r="G18" s="1">
        <v>689</v>
      </c>
      <c r="H18" s="152">
        <f>F18-G18</f>
        <v>301</v>
      </c>
      <c r="I18" s="1">
        <v>229</v>
      </c>
      <c r="J18" s="1">
        <v>262</v>
      </c>
      <c r="K18" s="1">
        <v>45</v>
      </c>
      <c r="L18" s="152">
        <f>M18+P18</f>
        <v>320</v>
      </c>
      <c r="M18" s="1">
        <v>229</v>
      </c>
      <c r="N18" s="153">
        <v>238</v>
      </c>
      <c r="O18" s="162"/>
      <c r="P18" s="1">
        <v>91</v>
      </c>
      <c r="Q18" s="1">
        <v>80</v>
      </c>
      <c r="S18" s="1">
        <v>3</v>
      </c>
    </row>
    <row r="19" spans="1:20" ht="15.75" customHeight="1" x14ac:dyDescent="0.15">
      <c r="A19" s="186" t="s">
        <v>19</v>
      </c>
      <c r="B19" s="2" t="s">
        <v>803</v>
      </c>
      <c r="C19" s="2"/>
      <c r="D19" s="2"/>
      <c r="E19" s="172">
        <v>4235</v>
      </c>
      <c r="F19" s="177">
        <v>1160</v>
      </c>
      <c r="H19" s="168"/>
      <c r="I19" s="1">
        <v>275</v>
      </c>
      <c r="J19" s="1">
        <v>314</v>
      </c>
      <c r="L19" s="168"/>
      <c r="M19" s="1">
        <v>275</v>
      </c>
      <c r="N19" s="169"/>
      <c r="O19" s="170"/>
      <c r="R19" s="1">
        <v>290</v>
      </c>
      <c r="T19" s="1">
        <v>109</v>
      </c>
    </row>
    <row r="20" spans="1:20" ht="15.75" customHeight="1" x14ac:dyDescent="0.15">
      <c r="A20" s="186" t="s">
        <v>19</v>
      </c>
      <c r="B20" s="2" t="s">
        <v>22</v>
      </c>
      <c r="C20" s="2"/>
      <c r="D20" s="2"/>
      <c r="E20" s="172">
        <v>4244</v>
      </c>
      <c r="F20" s="177">
        <v>1420</v>
      </c>
      <c r="H20" s="168"/>
      <c r="I20" s="1">
        <v>313</v>
      </c>
      <c r="J20" s="1">
        <v>354</v>
      </c>
      <c r="L20" s="168"/>
      <c r="M20" s="1">
        <v>313</v>
      </c>
      <c r="N20" s="169"/>
      <c r="O20" s="170"/>
      <c r="R20" s="1">
        <v>324</v>
      </c>
    </row>
    <row r="21" spans="1:20" ht="15.75" customHeight="1" x14ac:dyDescent="0.15">
      <c r="A21" s="186" t="s">
        <v>19</v>
      </c>
      <c r="B21" s="2" t="s">
        <v>26</v>
      </c>
      <c r="C21" s="2"/>
      <c r="D21" s="2"/>
      <c r="E21" s="172">
        <v>4250</v>
      </c>
      <c r="F21" s="177">
        <v>1465</v>
      </c>
      <c r="H21" s="168"/>
      <c r="I21" s="1">
        <v>338</v>
      </c>
      <c r="J21" s="1">
        <v>375</v>
      </c>
      <c r="L21" s="168"/>
      <c r="M21" s="1">
        <v>335</v>
      </c>
      <c r="N21" s="169"/>
      <c r="O21" s="170"/>
      <c r="R21" s="1">
        <v>346</v>
      </c>
    </row>
    <row r="22" spans="1:20" ht="15.75" customHeight="1" x14ac:dyDescent="0.15">
      <c r="A22" s="186" t="s">
        <v>19</v>
      </c>
      <c r="B22" s="2" t="s">
        <v>20</v>
      </c>
      <c r="C22" s="2"/>
      <c r="D22" s="2"/>
      <c r="E22" s="172">
        <v>4223</v>
      </c>
      <c r="F22" s="177">
        <v>1495</v>
      </c>
      <c r="H22" s="168"/>
      <c r="I22" s="1">
        <v>323</v>
      </c>
      <c r="J22" s="1">
        <v>374</v>
      </c>
      <c r="L22" s="168"/>
      <c r="M22" s="1">
        <v>308</v>
      </c>
      <c r="N22" s="169"/>
      <c r="O22" s="170"/>
    </row>
    <row r="23" spans="1:20" ht="15.75" customHeight="1" x14ac:dyDescent="0.15">
      <c r="A23" s="186" t="s">
        <v>19</v>
      </c>
      <c r="B23" s="2" t="s">
        <v>21</v>
      </c>
      <c r="C23" s="2"/>
      <c r="D23" s="2"/>
      <c r="E23" s="171">
        <v>4248</v>
      </c>
      <c r="F23" s="176">
        <v>1553</v>
      </c>
      <c r="G23" s="1">
        <f>F23-L23</f>
        <v>1075</v>
      </c>
      <c r="H23" s="155"/>
      <c r="I23" s="1">
        <v>349</v>
      </c>
      <c r="J23" s="1">
        <v>399</v>
      </c>
      <c r="K23" s="1"/>
      <c r="L23" s="152">
        <f>M23+P23</f>
        <v>478</v>
      </c>
      <c r="M23" s="1">
        <v>349</v>
      </c>
      <c r="N23" s="1">
        <v>362</v>
      </c>
      <c r="O23" s="181"/>
      <c r="P23" s="1">
        <v>129</v>
      </c>
      <c r="Q23" s="1">
        <v>116</v>
      </c>
      <c r="S23" s="1">
        <v>-45</v>
      </c>
    </row>
    <row r="24" spans="1:20" ht="15.75" customHeight="1" x14ac:dyDescent="0.15">
      <c r="A24" s="186" t="s">
        <v>19</v>
      </c>
      <c r="B24" s="2" t="s">
        <v>25</v>
      </c>
      <c r="C24" s="2"/>
      <c r="D24" s="2"/>
      <c r="E24" s="172">
        <v>4249</v>
      </c>
      <c r="F24" s="177">
        <v>1708</v>
      </c>
      <c r="H24" s="168"/>
      <c r="I24" s="1">
        <v>367</v>
      </c>
      <c r="J24" s="1">
        <v>415</v>
      </c>
      <c r="K24" s="1">
        <v>70</v>
      </c>
      <c r="L24" s="152"/>
      <c r="M24" s="1">
        <v>367</v>
      </c>
      <c r="N24" s="1">
        <v>378</v>
      </c>
      <c r="O24" s="181"/>
      <c r="R24" s="1">
        <v>381</v>
      </c>
      <c r="S24" s="1">
        <v>5</v>
      </c>
    </row>
    <row r="25" spans="1:20" ht="15.75" customHeight="1" x14ac:dyDescent="0.15">
      <c r="A25" s="186" t="s">
        <v>19</v>
      </c>
      <c r="B25" s="2" t="s">
        <v>804</v>
      </c>
      <c r="C25" s="2"/>
      <c r="D25" s="2"/>
      <c r="E25" s="173">
        <v>4221</v>
      </c>
      <c r="F25" s="178">
        <v>2000</v>
      </c>
      <c r="H25" s="168"/>
      <c r="I25" s="1">
        <v>430</v>
      </c>
      <c r="J25" s="1">
        <v>490</v>
      </c>
      <c r="K25" s="1">
        <v>80</v>
      </c>
      <c r="L25" s="168"/>
      <c r="O25" s="179"/>
      <c r="T25" s="1">
        <v>113</v>
      </c>
    </row>
    <row r="26" spans="1:20" ht="15.75" customHeight="1" x14ac:dyDescent="0.15">
      <c r="A26" s="180" t="s">
        <v>77</v>
      </c>
      <c r="B26" s="2">
        <v>1</v>
      </c>
      <c r="C26" s="2"/>
      <c r="D26" s="2"/>
      <c r="E26" s="3"/>
      <c r="F26" s="168">
        <v>2870</v>
      </c>
      <c r="H26" s="168"/>
      <c r="I26" s="1">
        <v>617</v>
      </c>
      <c r="J26" s="1">
        <v>731</v>
      </c>
      <c r="K26" s="24">
        <v>78</v>
      </c>
      <c r="L26" s="168"/>
      <c r="O26" s="179"/>
    </row>
    <row r="27" spans="1:20" ht="15.75" customHeight="1" x14ac:dyDescent="0.15">
      <c r="B27" s="2"/>
      <c r="C27" s="2"/>
      <c r="D27" s="2"/>
      <c r="E27" s="3"/>
    </row>
    <row r="28" spans="1:20" ht="15.75" customHeight="1" x14ac:dyDescent="0.15">
      <c r="A28" s="24" t="s">
        <v>826</v>
      </c>
      <c r="B28" s="2"/>
      <c r="C28" s="2"/>
      <c r="D28" s="2"/>
      <c r="E28" s="3"/>
      <c r="G28" s="1" t="s">
        <v>27</v>
      </c>
    </row>
    <row r="29" spans="1:20" ht="15.75" customHeight="1" x14ac:dyDescent="0.15">
      <c r="B29" s="2"/>
      <c r="C29" s="2"/>
      <c r="D29" s="2"/>
      <c r="E29" s="3"/>
    </row>
    <row r="30" spans="1:20" ht="15.75" customHeight="1" x14ac:dyDescent="0.15">
      <c r="B30" s="2"/>
      <c r="C30" s="2"/>
      <c r="D30" s="2"/>
      <c r="E30" s="3"/>
    </row>
    <row r="31" spans="1:20" ht="15.75" customHeight="1" x14ac:dyDescent="0.15">
      <c r="B31" s="2"/>
      <c r="C31" s="2"/>
      <c r="D31" s="2"/>
      <c r="E31" s="3"/>
    </row>
    <row r="32" spans="1:20" ht="15.75" customHeight="1" x14ac:dyDescent="0.15">
      <c r="B32" s="2"/>
      <c r="C32" s="2"/>
      <c r="D32" s="2"/>
      <c r="E32" s="3"/>
      <c r="I32" s="1" t="s">
        <v>27</v>
      </c>
      <c r="J32" s="1"/>
    </row>
    <row r="33" spans="2:5" ht="15.75" customHeight="1" x14ac:dyDescent="0.15">
      <c r="B33" s="2"/>
      <c r="C33" s="2"/>
      <c r="D33" s="2"/>
      <c r="E33" s="3"/>
    </row>
    <row r="34" spans="2:5" ht="15.75" customHeight="1" x14ac:dyDescent="0.15">
      <c r="B34" s="2"/>
      <c r="C34" s="2"/>
      <c r="D34" s="2"/>
      <c r="E34" s="3"/>
    </row>
    <row r="35" spans="2:5" ht="15.75" customHeight="1" x14ac:dyDescent="0.15">
      <c r="B35" s="2"/>
      <c r="C35" s="2"/>
      <c r="D35" s="2"/>
      <c r="E35" s="3"/>
    </row>
    <row r="36" spans="2:5" ht="15.75" customHeight="1" x14ac:dyDescent="0.15">
      <c r="B36" s="2"/>
      <c r="C36" s="2"/>
      <c r="D36" s="2"/>
      <c r="E36" s="3"/>
    </row>
    <row r="37" spans="2:5" ht="15.75" customHeight="1" x14ac:dyDescent="0.15">
      <c r="B37" s="2"/>
      <c r="C37" s="2"/>
      <c r="D37" s="2"/>
      <c r="E37" s="3"/>
    </row>
    <row r="38" spans="2:5" ht="15.75" customHeight="1" x14ac:dyDescent="0.15">
      <c r="B38" s="2"/>
      <c r="C38" s="2"/>
      <c r="D38" s="2"/>
      <c r="E38" s="3"/>
    </row>
    <row r="39" spans="2:5" ht="15.75" customHeight="1" x14ac:dyDescent="0.15">
      <c r="B39" s="2"/>
      <c r="C39" s="2"/>
      <c r="D39" s="2"/>
      <c r="E39" s="3"/>
    </row>
    <row r="40" spans="2:5" ht="15.75" customHeight="1" x14ac:dyDescent="0.15">
      <c r="B40" s="2"/>
      <c r="C40" s="2"/>
      <c r="D40" s="2"/>
      <c r="E40" s="3"/>
    </row>
    <row r="41" spans="2:5" ht="15.75" customHeight="1" x14ac:dyDescent="0.15">
      <c r="B41" s="2"/>
      <c r="C41" s="2"/>
      <c r="D41" s="2"/>
      <c r="E41" s="3"/>
    </row>
    <row r="42" spans="2:5" ht="15.75" customHeight="1" x14ac:dyDescent="0.15">
      <c r="B42" s="2"/>
      <c r="C42" s="2"/>
      <c r="D42" s="2"/>
      <c r="E42" s="3"/>
    </row>
    <row r="43" spans="2:5" ht="15.75" customHeight="1" x14ac:dyDescent="0.15">
      <c r="B43" s="2"/>
      <c r="C43" s="2"/>
      <c r="D43" s="2"/>
      <c r="E43" s="3"/>
    </row>
    <row r="44" spans="2:5" ht="15.75" customHeight="1" x14ac:dyDescent="0.15">
      <c r="B44" s="2"/>
      <c r="C44" s="2"/>
      <c r="D44" s="2"/>
      <c r="E44" s="3"/>
    </row>
    <row r="45" spans="2:5" ht="15.75" customHeight="1" x14ac:dyDescent="0.15">
      <c r="B45" s="2"/>
      <c r="C45" s="2"/>
      <c r="D45" s="2"/>
      <c r="E45" s="3"/>
    </row>
    <row r="46" spans="2:5" ht="15.75" customHeight="1" x14ac:dyDescent="0.15">
      <c r="B46" s="2"/>
      <c r="C46" s="2"/>
      <c r="D46" s="2"/>
      <c r="E46" s="3"/>
    </row>
    <row r="47" spans="2:5" ht="15.75" customHeight="1" x14ac:dyDescent="0.15">
      <c r="B47" s="2"/>
      <c r="C47" s="2"/>
      <c r="D47" s="2"/>
      <c r="E47" s="3"/>
    </row>
    <row r="48" spans="2:5" ht="15.75" customHeight="1" x14ac:dyDescent="0.15">
      <c r="B48" s="2"/>
      <c r="C48" s="2"/>
      <c r="D48" s="2"/>
      <c r="E48" s="3"/>
    </row>
    <row r="49" spans="2:5" ht="15.75" customHeight="1" x14ac:dyDescent="0.15">
      <c r="B49" s="2"/>
      <c r="C49" s="2"/>
      <c r="D49" s="2"/>
      <c r="E49" s="3"/>
    </row>
    <row r="50" spans="2:5" ht="15.75" customHeight="1" x14ac:dyDescent="0.15">
      <c r="B50" s="2"/>
      <c r="C50" s="2"/>
      <c r="D50" s="2"/>
      <c r="E50" s="3"/>
    </row>
    <row r="51" spans="2:5" ht="15.75" customHeight="1" x14ac:dyDescent="0.15">
      <c r="B51" s="2"/>
      <c r="C51" s="2"/>
      <c r="D51" s="2"/>
      <c r="E51" s="3"/>
    </row>
    <row r="52" spans="2:5" ht="15.75" customHeight="1" x14ac:dyDescent="0.15">
      <c r="B52" s="2"/>
      <c r="C52" s="2"/>
      <c r="D52" s="2"/>
      <c r="E52" s="3"/>
    </row>
    <row r="53" spans="2:5" ht="15.75" customHeight="1" x14ac:dyDescent="0.15">
      <c r="B53" s="2"/>
      <c r="C53" s="2"/>
      <c r="D53" s="2"/>
      <c r="E53" s="3"/>
    </row>
    <row r="54" spans="2:5" ht="15.75" customHeight="1" x14ac:dyDescent="0.15">
      <c r="B54" s="2"/>
      <c r="C54" s="2"/>
      <c r="D54" s="2"/>
      <c r="E54" s="3"/>
    </row>
    <row r="55" spans="2:5" ht="15.75" customHeight="1" x14ac:dyDescent="0.15">
      <c r="B55" s="2"/>
      <c r="C55" s="2"/>
      <c r="D55" s="2"/>
      <c r="E55" s="3"/>
    </row>
    <row r="56" spans="2:5" ht="15.75" customHeight="1" x14ac:dyDescent="0.15">
      <c r="B56" s="2"/>
      <c r="C56" s="2"/>
      <c r="D56" s="2"/>
      <c r="E56" s="3"/>
    </row>
    <row r="57" spans="2:5" ht="15.75" customHeight="1" x14ac:dyDescent="0.15">
      <c r="B57" s="2"/>
      <c r="C57" s="2"/>
      <c r="D57" s="2"/>
      <c r="E57" s="3"/>
    </row>
    <row r="58" spans="2:5" ht="15.75" customHeight="1" x14ac:dyDescent="0.15">
      <c r="B58" s="2"/>
      <c r="C58" s="2"/>
      <c r="D58" s="2"/>
      <c r="E58" s="3"/>
    </row>
    <row r="59" spans="2:5" ht="15.75" customHeight="1" x14ac:dyDescent="0.15">
      <c r="B59" s="2"/>
      <c r="C59" s="2"/>
      <c r="D59" s="2"/>
      <c r="E59" s="3"/>
    </row>
    <row r="60" spans="2:5" ht="15.75" customHeight="1" x14ac:dyDescent="0.15">
      <c r="B60" s="2"/>
      <c r="C60" s="2"/>
      <c r="D60" s="2"/>
      <c r="E60" s="3"/>
    </row>
    <row r="61" spans="2:5" ht="15.75" customHeight="1" x14ac:dyDescent="0.15">
      <c r="B61" s="2"/>
      <c r="C61" s="2"/>
      <c r="D61" s="2"/>
      <c r="E61" s="3"/>
    </row>
    <row r="62" spans="2:5" ht="15.75" customHeight="1" x14ac:dyDescent="0.15">
      <c r="B62" s="2"/>
      <c r="C62" s="2"/>
      <c r="D62" s="2"/>
      <c r="E62" s="3"/>
    </row>
    <row r="63" spans="2:5" ht="15.75" customHeight="1" x14ac:dyDescent="0.15">
      <c r="B63" s="2"/>
      <c r="C63" s="2"/>
      <c r="D63" s="2"/>
      <c r="E63" s="3"/>
    </row>
    <row r="64" spans="2:5" ht="15.75" customHeight="1" x14ac:dyDescent="0.15">
      <c r="B64" s="2"/>
      <c r="C64" s="2"/>
      <c r="D64" s="2"/>
      <c r="E64" s="3"/>
    </row>
    <row r="65" spans="2:5" ht="15.75" customHeight="1" x14ac:dyDescent="0.15">
      <c r="B65" s="2"/>
      <c r="C65" s="2"/>
      <c r="D65" s="2"/>
      <c r="E65" s="3"/>
    </row>
    <row r="66" spans="2:5" ht="15.75" customHeight="1" x14ac:dyDescent="0.15">
      <c r="B66" s="2"/>
      <c r="C66" s="2"/>
      <c r="D66" s="2"/>
      <c r="E66" s="3"/>
    </row>
    <row r="67" spans="2:5" ht="15.75" customHeight="1" x14ac:dyDescent="0.15">
      <c r="B67" s="2"/>
      <c r="C67" s="2"/>
      <c r="D67" s="2"/>
      <c r="E67" s="3"/>
    </row>
    <row r="68" spans="2:5" ht="15.75" customHeight="1" x14ac:dyDescent="0.15">
      <c r="B68" s="2"/>
      <c r="C68" s="2"/>
      <c r="D68" s="2"/>
      <c r="E68" s="3"/>
    </row>
    <row r="69" spans="2:5" ht="15.75" customHeight="1" x14ac:dyDescent="0.15">
      <c r="B69" s="2"/>
      <c r="C69" s="2"/>
      <c r="D69" s="2"/>
      <c r="E69" s="3"/>
    </row>
    <row r="70" spans="2:5" ht="15.75" customHeight="1" x14ac:dyDescent="0.15">
      <c r="B70" s="2"/>
      <c r="C70" s="2"/>
      <c r="D70" s="2"/>
      <c r="E70" s="3"/>
    </row>
    <row r="71" spans="2:5" ht="15.75" customHeight="1" x14ac:dyDescent="0.15">
      <c r="B71" s="2"/>
      <c r="C71" s="2"/>
      <c r="D71" s="2"/>
      <c r="E71" s="3"/>
    </row>
    <row r="72" spans="2:5" ht="15.75" customHeight="1" x14ac:dyDescent="0.15">
      <c r="B72" s="2"/>
      <c r="C72" s="2"/>
      <c r="D72" s="2"/>
      <c r="E72" s="3"/>
    </row>
    <row r="73" spans="2:5" ht="15.75" customHeight="1" x14ac:dyDescent="0.15">
      <c r="B73" s="2"/>
      <c r="C73" s="2"/>
      <c r="D73" s="2"/>
      <c r="E73" s="3"/>
    </row>
    <row r="74" spans="2:5" ht="15.75" customHeight="1" x14ac:dyDescent="0.15">
      <c r="B74" s="2"/>
      <c r="C74" s="2"/>
      <c r="D74" s="2"/>
      <c r="E74" s="3"/>
    </row>
    <row r="75" spans="2:5" ht="15.75" customHeight="1" x14ac:dyDescent="0.15">
      <c r="B75" s="2"/>
      <c r="C75" s="2"/>
      <c r="D75" s="2"/>
      <c r="E75" s="3"/>
    </row>
    <row r="76" spans="2:5" ht="15.75" customHeight="1" x14ac:dyDescent="0.15">
      <c r="B76" s="2"/>
      <c r="C76" s="2"/>
      <c r="D76" s="2"/>
      <c r="E76" s="3"/>
    </row>
    <row r="77" spans="2:5" ht="15.75" customHeight="1" x14ac:dyDescent="0.15">
      <c r="B77" s="2"/>
      <c r="C77" s="2"/>
      <c r="D77" s="2"/>
      <c r="E77" s="3"/>
    </row>
    <row r="78" spans="2:5" ht="15.75" customHeight="1" x14ac:dyDescent="0.15">
      <c r="B78" s="2"/>
      <c r="C78" s="2"/>
      <c r="D78" s="2"/>
      <c r="E78" s="3"/>
    </row>
    <row r="79" spans="2:5" ht="15.75" customHeight="1" x14ac:dyDescent="0.15">
      <c r="B79" s="2"/>
      <c r="C79" s="2"/>
      <c r="D79" s="2"/>
      <c r="E79" s="3"/>
    </row>
    <row r="80" spans="2:5" ht="15.75" customHeight="1" x14ac:dyDescent="0.15">
      <c r="B80" s="2"/>
      <c r="C80" s="2"/>
      <c r="D80" s="2"/>
      <c r="E80" s="3"/>
    </row>
    <row r="81" spans="2:5" ht="15.75" customHeight="1" x14ac:dyDescent="0.15">
      <c r="B81" s="2"/>
      <c r="C81" s="2"/>
      <c r="D81" s="2"/>
      <c r="E81" s="3"/>
    </row>
    <row r="82" spans="2:5" ht="15.75" customHeight="1" x14ac:dyDescent="0.15">
      <c r="B82" s="2"/>
      <c r="C82" s="2"/>
      <c r="D82" s="2"/>
      <c r="E82" s="3"/>
    </row>
    <row r="83" spans="2:5" ht="15.75" customHeight="1" x14ac:dyDescent="0.15">
      <c r="B83" s="2"/>
      <c r="C83" s="2"/>
      <c r="D83" s="2"/>
      <c r="E83" s="3"/>
    </row>
    <row r="84" spans="2:5" ht="15.75" customHeight="1" x14ac:dyDescent="0.15">
      <c r="B84" s="2"/>
      <c r="C84" s="2"/>
      <c r="D84" s="2"/>
      <c r="E84" s="3"/>
    </row>
    <row r="85" spans="2:5" ht="15.75" customHeight="1" x14ac:dyDescent="0.15">
      <c r="B85" s="2"/>
      <c r="C85" s="2"/>
      <c r="D85" s="2"/>
      <c r="E85" s="3"/>
    </row>
    <row r="86" spans="2:5" ht="15.75" customHeight="1" x14ac:dyDescent="0.15">
      <c r="B86" s="2"/>
      <c r="C86" s="2"/>
      <c r="D86" s="2"/>
      <c r="E86" s="3"/>
    </row>
    <row r="87" spans="2:5" ht="15.75" customHeight="1" x14ac:dyDescent="0.15">
      <c r="B87" s="2"/>
      <c r="C87" s="2"/>
      <c r="D87" s="2"/>
      <c r="E87" s="3"/>
    </row>
    <row r="88" spans="2:5" ht="15.75" customHeight="1" x14ac:dyDescent="0.15">
      <c r="B88" s="2"/>
      <c r="C88" s="2"/>
      <c r="D88" s="2"/>
      <c r="E88" s="3"/>
    </row>
    <row r="89" spans="2:5" ht="15.75" customHeight="1" x14ac:dyDescent="0.15">
      <c r="B89" s="2"/>
      <c r="C89" s="2"/>
      <c r="D89" s="2"/>
      <c r="E89" s="3"/>
    </row>
    <row r="90" spans="2:5" ht="15.75" customHeight="1" x14ac:dyDescent="0.15">
      <c r="B90" s="2"/>
      <c r="C90" s="2"/>
      <c r="D90" s="2"/>
      <c r="E90" s="3"/>
    </row>
    <row r="91" spans="2:5" ht="15.75" customHeight="1" x14ac:dyDescent="0.15">
      <c r="B91" s="2"/>
      <c r="C91" s="2"/>
      <c r="D91" s="2"/>
      <c r="E91" s="3"/>
    </row>
    <row r="92" spans="2:5" ht="15.75" customHeight="1" x14ac:dyDescent="0.15">
      <c r="B92" s="2"/>
      <c r="C92" s="2"/>
      <c r="D92" s="2"/>
      <c r="E92" s="3"/>
    </row>
    <row r="93" spans="2:5" ht="15.75" customHeight="1" x14ac:dyDescent="0.15">
      <c r="B93" s="2"/>
      <c r="C93" s="2"/>
      <c r="D93" s="2"/>
      <c r="E93" s="3"/>
    </row>
    <row r="94" spans="2:5" ht="15.75" customHeight="1" x14ac:dyDescent="0.15">
      <c r="B94" s="2"/>
      <c r="C94" s="2"/>
      <c r="D94" s="2"/>
      <c r="E94" s="3"/>
    </row>
    <row r="95" spans="2:5" ht="15.75" customHeight="1" x14ac:dyDescent="0.15">
      <c r="B95" s="2"/>
      <c r="C95" s="2"/>
      <c r="D95" s="2"/>
      <c r="E95" s="3"/>
    </row>
    <row r="96" spans="2:5" ht="15.75" customHeight="1" x14ac:dyDescent="0.15">
      <c r="B96" s="2"/>
      <c r="C96" s="2"/>
      <c r="D96" s="2"/>
      <c r="E96" s="3"/>
    </row>
    <row r="97" spans="2:5" ht="15.75" customHeight="1" x14ac:dyDescent="0.15">
      <c r="B97" s="2"/>
      <c r="C97" s="2"/>
      <c r="D97" s="2"/>
      <c r="E97" s="3"/>
    </row>
    <row r="98" spans="2:5" ht="15.75" customHeight="1" x14ac:dyDescent="0.15">
      <c r="B98" s="2"/>
      <c r="C98" s="2"/>
      <c r="D98" s="2"/>
      <c r="E98" s="3"/>
    </row>
    <row r="99" spans="2:5" ht="15.75" customHeight="1" x14ac:dyDescent="0.15">
      <c r="B99" s="2"/>
      <c r="C99" s="2"/>
      <c r="D99" s="2"/>
      <c r="E99" s="3"/>
    </row>
    <row r="100" spans="2:5" ht="15.75" customHeight="1" x14ac:dyDescent="0.15">
      <c r="B100" s="2"/>
      <c r="C100" s="2"/>
      <c r="D100" s="2"/>
      <c r="E100" s="3"/>
    </row>
    <row r="101" spans="2:5" ht="15.75" customHeight="1" x14ac:dyDescent="0.15">
      <c r="B101" s="2"/>
      <c r="C101" s="2"/>
      <c r="D101" s="2"/>
      <c r="E101" s="3"/>
    </row>
    <row r="102" spans="2:5" ht="15.75" customHeight="1" x14ac:dyDescent="0.15">
      <c r="B102" s="2"/>
      <c r="C102" s="2"/>
      <c r="D102" s="2"/>
      <c r="E102" s="3"/>
    </row>
    <row r="103" spans="2:5" ht="15.75" customHeight="1" x14ac:dyDescent="0.15">
      <c r="B103" s="2"/>
      <c r="C103" s="2"/>
      <c r="D103" s="2"/>
      <c r="E103" s="3"/>
    </row>
    <row r="104" spans="2:5" ht="15.75" customHeight="1" x14ac:dyDescent="0.15">
      <c r="B104" s="2"/>
      <c r="C104" s="2"/>
      <c r="D104" s="2"/>
      <c r="E104" s="3"/>
    </row>
    <row r="105" spans="2:5" ht="15.75" customHeight="1" x14ac:dyDescent="0.15">
      <c r="B105" s="2"/>
      <c r="C105" s="2"/>
      <c r="D105" s="2"/>
      <c r="E105" s="3"/>
    </row>
    <row r="106" spans="2:5" ht="15.75" customHeight="1" x14ac:dyDescent="0.15">
      <c r="B106" s="2"/>
      <c r="C106" s="2"/>
      <c r="D106" s="2"/>
      <c r="E106" s="3"/>
    </row>
    <row r="107" spans="2:5" ht="15.75" customHeight="1" x14ac:dyDescent="0.15">
      <c r="B107" s="2"/>
      <c r="C107" s="2"/>
      <c r="D107" s="2"/>
      <c r="E107" s="3"/>
    </row>
    <row r="108" spans="2:5" ht="15.75" customHeight="1" x14ac:dyDescent="0.15">
      <c r="B108" s="2"/>
      <c r="C108" s="2"/>
      <c r="D108" s="2"/>
      <c r="E108" s="3"/>
    </row>
    <row r="109" spans="2:5" ht="15.75" customHeight="1" x14ac:dyDescent="0.15">
      <c r="B109" s="2"/>
      <c r="C109" s="2"/>
      <c r="D109" s="2"/>
      <c r="E109" s="3"/>
    </row>
    <row r="110" spans="2:5" ht="15.75" customHeight="1" x14ac:dyDescent="0.15">
      <c r="B110" s="2"/>
      <c r="C110" s="2"/>
      <c r="D110" s="2"/>
      <c r="E110" s="3"/>
    </row>
    <row r="111" spans="2:5" ht="15.75" customHeight="1" x14ac:dyDescent="0.15">
      <c r="B111" s="2"/>
      <c r="C111" s="2"/>
      <c r="D111" s="2"/>
      <c r="E111" s="3"/>
    </row>
    <row r="112" spans="2:5" ht="15.75" customHeight="1" x14ac:dyDescent="0.15">
      <c r="B112" s="2"/>
      <c r="C112" s="2"/>
      <c r="D112" s="2"/>
      <c r="E112" s="3"/>
    </row>
    <row r="113" spans="2:5" ht="15.75" customHeight="1" x14ac:dyDescent="0.15">
      <c r="B113" s="2"/>
      <c r="C113" s="2"/>
      <c r="D113" s="2"/>
      <c r="E113" s="3"/>
    </row>
    <row r="114" spans="2:5" ht="15.75" customHeight="1" x14ac:dyDescent="0.15">
      <c r="B114" s="2"/>
      <c r="C114" s="2"/>
      <c r="D114" s="2"/>
      <c r="E114" s="3"/>
    </row>
    <row r="115" spans="2:5" ht="15.75" customHeight="1" x14ac:dyDescent="0.15">
      <c r="B115" s="2"/>
      <c r="C115" s="2"/>
      <c r="D115" s="2"/>
      <c r="E115" s="3"/>
    </row>
    <row r="116" spans="2:5" ht="15.75" customHeight="1" x14ac:dyDescent="0.15">
      <c r="B116" s="2"/>
      <c r="C116" s="2"/>
      <c r="D116" s="2"/>
      <c r="E116" s="3"/>
    </row>
    <row r="117" spans="2:5" ht="15.75" customHeight="1" x14ac:dyDescent="0.15">
      <c r="B117" s="2"/>
      <c r="C117" s="2"/>
      <c r="D117" s="2"/>
      <c r="E117" s="3"/>
    </row>
    <row r="118" spans="2:5" ht="15.75" customHeight="1" x14ac:dyDescent="0.15">
      <c r="B118" s="2"/>
      <c r="C118" s="2"/>
      <c r="D118" s="2"/>
      <c r="E118" s="3"/>
    </row>
    <row r="119" spans="2:5" ht="15.75" customHeight="1" x14ac:dyDescent="0.15">
      <c r="B119" s="2"/>
      <c r="C119" s="2"/>
      <c r="D119" s="2"/>
      <c r="E119" s="3"/>
    </row>
    <row r="120" spans="2:5" ht="15.75" customHeight="1" x14ac:dyDescent="0.15">
      <c r="B120" s="2"/>
      <c r="C120" s="2"/>
      <c r="D120" s="2"/>
      <c r="E120" s="3"/>
    </row>
    <row r="121" spans="2:5" ht="15.75" customHeight="1" x14ac:dyDescent="0.15">
      <c r="B121" s="2"/>
      <c r="C121" s="2"/>
      <c r="D121" s="2"/>
      <c r="E121" s="3"/>
    </row>
    <row r="122" spans="2:5" ht="15.75" customHeight="1" x14ac:dyDescent="0.15">
      <c r="B122" s="2"/>
      <c r="C122" s="2"/>
      <c r="D122" s="2"/>
      <c r="E122" s="3"/>
    </row>
    <row r="123" spans="2:5" ht="15.75" customHeight="1" x14ac:dyDescent="0.15">
      <c r="B123" s="2"/>
      <c r="C123" s="2"/>
      <c r="D123" s="2"/>
      <c r="E123" s="3"/>
    </row>
    <row r="124" spans="2:5" ht="15.75" customHeight="1" x14ac:dyDescent="0.15">
      <c r="B124" s="2"/>
      <c r="C124" s="2"/>
      <c r="D124" s="2"/>
      <c r="E124" s="3"/>
    </row>
    <row r="125" spans="2:5" ht="15.75" customHeight="1" x14ac:dyDescent="0.15">
      <c r="B125" s="2"/>
      <c r="C125" s="2"/>
      <c r="D125" s="2"/>
      <c r="E125" s="3"/>
    </row>
    <row r="126" spans="2:5" ht="15.75" customHeight="1" x14ac:dyDescent="0.15">
      <c r="B126" s="2"/>
      <c r="C126" s="2"/>
      <c r="D126" s="2"/>
      <c r="E126" s="3"/>
    </row>
    <row r="127" spans="2:5" ht="15.75" customHeight="1" x14ac:dyDescent="0.15">
      <c r="B127" s="2"/>
      <c r="C127" s="2"/>
      <c r="D127" s="2"/>
      <c r="E127" s="3"/>
    </row>
    <row r="128" spans="2:5" ht="15.75" customHeight="1" x14ac:dyDescent="0.15">
      <c r="B128" s="2"/>
      <c r="C128" s="2"/>
      <c r="D128" s="2"/>
      <c r="E128" s="3"/>
    </row>
    <row r="129" spans="2:5" ht="15.75" customHeight="1" x14ac:dyDescent="0.15">
      <c r="B129" s="2"/>
      <c r="C129" s="2"/>
      <c r="D129" s="2"/>
      <c r="E129" s="3"/>
    </row>
    <row r="130" spans="2:5" ht="15.75" customHeight="1" x14ac:dyDescent="0.15">
      <c r="B130" s="2"/>
      <c r="C130" s="2"/>
      <c r="D130" s="2"/>
      <c r="E130" s="3"/>
    </row>
    <row r="131" spans="2:5" ht="15.75" customHeight="1" x14ac:dyDescent="0.15">
      <c r="B131" s="2"/>
      <c r="C131" s="2"/>
      <c r="D131" s="2"/>
      <c r="E131" s="3"/>
    </row>
    <row r="132" spans="2:5" ht="15.75" customHeight="1" x14ac:dyDescent="0.15">
      <c r="B132" s="2"/>
      <c r="C132" s="2"/>
      <c r="D132" s="2"/>
      <c r="E132" s="3"/>
    </row>
    <row r="133" spans="2:5" ht="15.75" customHeight="1" x14ac:dyDescent="0.15">
      <c r="B133" s="2"/>
      <c r="C133" s="2"/>
      <c r="D133" s="2"/>
      <c r="E133" s="3"/>
    </row>
    <row r="134" spans="2:5" ht="15.75" customHeight="1" x14ac:dyDescent="0.15">
      <c r="B134" s="2"/>
      <c r="C134" s="2"/>
      <c r="D134" s="2"/>
      <c r="E134" s="3"/>
    </row>
    <row r="135" spans="2:5" ht="15.75" customHeight="1" x14ac:dyDescent="0.15">
      <c r="B135" s="2"/>
      <c r="C135" s="2"/>
      <c r="D135" s="2"/>
      <c r="E135" s="3"/>
    </row>
    <row r="136" spans="2:5" ht="15.75" customHeight="1" x14ac:dyDescent="0.15">
      <c r="B136" s="2"/>
      <c r="C136" s="2"/>
      <c r="D136" s="2"/>
      <c r="E136" s="3"/>
    </row>
    <row r="137" spans="2:5" ht="15.75" customHeight="1" x14ac:dyDescent="0.15">
      <c r="B137" s="2"/>
      <c r="C137" s="2"/>
      <c r="D137" s="2"/>
      <c r="E137" s="3"/>
    </row>
    <row r="138" spans="2:5" ht="15.75" customHeight="1" x14ac:dyDescent="0.15">
      <c r="B138" s="2"/>
      <c r="C138" s="2"/>
      <c r="D138" s="2"/>
      <c r="E138" s="3"/>
    </row>
    <row r="139" spans="2:5" ht="15.75" customHeight="1" x14ac:dyDescent="0.15">
      <c r="B139" s="2"/>
      <c r="C139" s="2"/>
      <c r="D139" s="2"/>
      <c r="E139" s="3"/>
    </row>
    <row r="140" spans="2:5" ht="15.75" customHeight="1" x14ac:dyDescent="0.15">
      <c r="B140" s="2"/>
      <c r="C140" s="2"/>
      <c r="D140" s="2"/>
      <c r="E140" s="3"/>
    </row>
    <row r="141" spans="2:5" ht="15.75" customHeight="1" x14ac:dyDescent="0.15">
      <c r="B141" s="2"/>
      <c r="C141" s="2"/>
      <c r="D141" s="2"/>
      <c r="E141" s="3"/>
    </row>
    <row r="142" spans="2:5" ht="15.75" customHeight="1" x14ac:dyDescent="0.15">
      <c r="B142" s="2"/>
      <c r="C142" s="2"/>
      <c r="D142" s="2"/>
      <c r="E142" s="3"/>
    </row>
    <row r="143" spans="2:5" ht="15.75" customHeight="1" x14ac:dyDescent="0.15">
      <c r="B143" s="2"/>
      <c r="C143" s="2"/>
      <c r="D143" s="2"/>
      <c r="E143" s="3"/>
    </row>
    <row r="144" spans="2:5" ht="15.75" customHeight="1" x14ac:dyDescent="0.15">
      <c r="B144" s="2"/>
      <c r="C144" s="2"/>
      <c r="D144" s="2"/>
      <c r="E144" s="3"/>
    </row>
    <row r="145" spans="2:5" ht="15.75" customHeight="1" x14ac:dyDescent="0.15">
      <c r="B145" s="2"/>
      <c r="C145" s="2"/>
      <c r="D145" s="2"/>
      <c r="E145" s="3"/>
    </row>
    <row r="146" spans="2:5" ht="15.75" customHeight="1" x14ac:dyDescent="0.15">
      <c r="B146" s="2"/>
      <c r="C146" s="2"/>
      <c r="D146" s="2"/>
      <c r="E146" s="3"/>
    </row>
    <row r="147" spans="2:5" ht="15.75" customHeight="1" x14ac:dyDescent="0.15">
      <c r="B147" s="2"/>
      <c r="C147" s="2"/>
      <c r="D147" s="2"/>
      <c r="E147" s="3"/>
    </row>
    <row r="148" spans="2:5" ht="15.75" customHeight="1" x14ac:dyDescent="0.15">
      <c r="B148" s="2"/>
      <c r="C148" s="2"/>
      <c r="D148" s="2"/>
      <c r="E148" s="3"/>
    </row>
    <row r="149" spans="2:5" ht="15.75" customHeight="1" x14ac:dyDescent="0.15">
      <c r="B149" s="2"/>
      <c r="C149" s="2"/>
      <c r="D149" s="2"/>
      <c r="E149" s="3"/>
    </row>
    <row r="150" spans="2:5" ht="15.75" customHeight="1" x14ac:dyDescent="0.15">
      <c r="B150" s="2"/>
      <c r="C150" s="2"/>
      <c r="D150" s="2"/>
      <c r="E150" s="3"/>
    </row>
    <row r="151" spans="2:5" ht="15.75" customHeight="1" x14ac:dyDescent="0.15">
      <c r="B151" s="2"/>
      <c r="C151" s="2"/>
      <c r="D151" s="2"/>
      <c r="E151" s="3"/>
    </row>
    <row r="152" spans="2:5" ht="15.75" customHeight="1" x14ac:dyDescent="0.15">
      <c r="B152" s="2"/>
      <c r="C152" s="2"/>
      <c r="D152" s="2"/>
      <c r="E152" s="3"/>
    </row>
    <row r="153" spans="2:5" ht="15.75" customHeight="1" x14ac:dyDescent="0.15">
      <c r="B153" s="2"/>
      <c r="C153" s="2"/>
      <c r="D153" s="2"/>
      <c r="E153" s="3"/>
    </row>
    <row r="154" spans="2:5" ht="15.75" customHeight="1" x14ac:dyDescent="0.15">
      <c r="B154" s="2"/>
      <c r="C154" s="2"/>
      <c r="D154" s="2"/>
      <c r="E154" s="3"/>
    </row>
    <row r="155" spans="2:5" ht="15.75" customHeight="1" x14ac:dyDescent="0.15">
      <c r="B155" s="2"/>
      <c r="C155" s="2"/>
      <c r="D155" s="2"/>
      <c r="E155" s="3"/>
    </row>
    <row r="156" spans="2:5" ht="15.75" customHeight="1" x14ac:dyDescent="0.15">
      <c r="B156" s="2"/>
      <c r="C156" s="2"/>
      <c r="D156" s="2"/>
      <c r="E156" s="3"/>
    </row>
    <row r="157" spans="2:5" ht="15.75" customHeight="1" x14ac:dyDescent="0.15">
      <c r="B157" s="2"/>
      <c r="C157" s="2"/>
      <c r="D157" s="2"/>
      <c r="E157" s="3"/>
    </row>
    <row r="158" spans="2:5" ht="15.75" customHeight="1" x14ac:dyDescent="0.15">
      <c r="B158" s="2"/>
      <c r="C158" s="2"/>
      <c r="D158" s="2"/>
      <c r="E158" s="3"/>
    </row>
    <row r="159" spans="2:5" ht="15.75" customHeight="1" x14ac:dyDescent="0.15">
      <c r="B159" s="2"/>
      <c r="C159" s="2"/>
      <c r="D159" s="2"/>
      <c r="E159" s="3"/>
    </row>
    <row r="160" spans="2:5" ht="15.75" customHeight="1" x14ac:dyDescent="0.15">
      <c r="B160" s="2"/>
      <c r="C160" s="2"/>
      <c r="D160" s="2"/>
      <c r="E160" s="3"/>
    </row>
    <row r="161" spans="2:5" ht="15.75" customHeight="1" x14ac:dyDescent="0.15">
      <c r="B161" s="2"/>
      <c r="C161" s="2"/>
      <c r="D161" s="2"/>
      <c r="E161" s="3"/>
    </row>
    <row r="162" spans="2:5" ht="15.75" customHeight="1" x14ac:dyDescent="0.15">
      <c r="B162" s="2"/>
      <c r="C162" s="2"/>
      <c r="D162" s="2"/>
      <c r="E162" s="3"/>
    </row>
    <row r="163" spans="2:5" ht="15.75" customHeight="1" x14ac:dyDescent="0.15">
      <c r="B163" s="2"/>
      <c r="C163" s="2"/>
      <c r="D163" s="2"/>
      <c r="E163" s="3"/>
    </row>
    <row r="164" spans="2:5" ht="15.75" customHeight="1" x14ac:dyDescent="0.15">
      <c r="B164" s="2"/>
      <c r="C164" s="2"/>
      <c r="D164" s="2"/>
      <c r="E164" s="3"/>
    </row>
    <row r="165" spans="2:5" ht="15.75" customHeight="1" x14ac:dyDescent="0.15">
      <c r="B165" s="2"/>
      <c r="C165" s="2"/>
      <c r="D165" s="2"/>
      <c r="E165" s="3"/>
    </row>
    <row r="166" spans="2:5" ht="15.75" customHeight="1" x14ac:dyDescent="0.15">
      <c r="B166" s="2"/>
      <c r="C166" s="2"/>
      <c r="D166" s="2"/>
      <c r="E166" s="3"/>
    </row>
    <row r="167" spans="2:5" ht="15.75" customHeight="1" x14ac:dyDescent="0.15">
      <c r="B167" s="2"/>
      <c r="C167" s="2"/>
      <c r="D167" s="2"/>
      <c r="E167" s="3"/>
    </row>
    <row r="168" spans="2:5" ht="15.75" customHeight="1" x14ac:dyDescent="0.15">
      <c r="B168" s="2"/>
      <c r="C168" s="2"/>
      <c r="D168" s="2"/>
      <c r="E168" s="3"/>
    </row>
    <row r="169" spans="2:5" ht="15.75" customHeight="1" x14ac:dyDescent="0.15">
      <c r="B169" s="2"/>
      <c r="C169" s="2"/>
      <c r="D169" s="2"/>
      <c r="E169" s="3"/>
    </row>
    <row r="170" spans="2:5" ht="15.75" customHeight="1" x14ac:dyDescent="0.15">
      <c r="B170" s="2"/>
      <c r="C170" s="2"/>
      <c r="D170" s="2"/>
      <c r="E170" s="3"/>
    </row>
    <row r="171" spans="2:5" ht="15.75" customHeight="1" x14ac:dyDescent="0.15">
      <c r="B171" s="2"/>
      <c r="C171" s="2"/>
      <c r="D171" s="2"/>
      <c r="E171" s="3"/>
    </row>
    <row r="172" spans="2:5" ht="15.75" customHeight="1" x14ac:dyDescent="0.15">
      <c r="B172" s="2"/>
      <c r="C172" s="2"/>
      <c r="D172" s="2"/>
      <c r="E172" s="3"/>
    </row>
    <row r="173" spans="2:5" ht="15.75" customHeight="1" x14ac:dyDescent="0.15">
      <c r="B173" s="2"/>
      <c r="C173" s="2"/>
      <c r="D173" s="2"/>
      <c r="E173" s="3"/>
    </row>
    <row r="174" spans="2:5" ht="15.75" customHeight="1" x14ac:dyDescent="0.15">
      <c r="B174" s="2"/>
      <c r="C174" s="2"/>
      <c r="D174" s="2"/>
      <c r="E174" s="3"/>
    </row>
    <row r="175" spans="2:5" ht="15.75" customHeight="1" x14ac:dyDescent="0.15">
      <c r="B175" s="2"/>
      <c r="C175" s="2"/>
      <c r="D175" s="2"/>
      <c r="E175" s="3"/>
    </row>
    <row r="176" spans="2:5" ht="15.75" customHeight="1" x14ac:dyDescent="0.15">
      <c r="B176" s="2"/>
      <c r="C176" s="2"/>
      <c r="D176" s="2"/>
      <c r="E176" s="3"/>
    </row>
    <row r="177" spans="2:5" ht="15.75" customHeight="1" x14ac:dyDescent="0.15">
      <c r="B177" s="2"/>
      <c r="C177" s="2"/>
      <c r="D177" s="2"/>
      <c r="E177" s="3"/>
    </row>
    <row r="178" spans="2:5" ht="15.75" customHeight="1" x14ac:dyDescent="0.15">
      <c r="B178" s="2"/>
      <c r="C178" s="2"/>
      <c r="D178" s="2"/>
      <c r="E178" s="3"/>
    </row>
    <row r="179" spans="2:5" ht="15.75" customHeight="1" x14ac:dyDescent="0.15">
      <c r="B179" s="2"/>
      <c r="C179" s="2"/>
      <c r="D179" s="2"/>
      <c r="E179" s="3"/>
    </row>
    <row r="180" spans="2:5" ht="15.75" customHeight="1" x14ac:dyDescent="0.15">
      <c r="B180" s="2"/>
      <c r="C180" s="2"/>
      <c r="D180" s="2"/>
      <c r="E180" s="3"/>
    </row>
    <row r="181" spans="2:5" ht="15.75" customHeight="1" x14ac:dyDescent="0.15">
      <c r="B181" s="2"/>
      <c r="C181" s="2"/>
      <c r="D181" s="2"/>
      <c r="E181" s="3"/>
    </row>
    <row r="182" spans="2:5" ht="15.75" customHeight="1" x14ac:dyDescent="0.15">
      <c r="B182" s="2"/>
      <c r="C182" s="2"/>
      <c r="D182" s="2"/>
      <c r="E182" s="3"/>
    </row>
    <row r="183" spans="2:5" ht="15.75" customHeight="1" x14ac:dyDescent="0.15">
      <c r="B183" s="2"/>
      <c r="C183" s="2"/>
      <c r="D183" s="2"/>
      <c r="E183" s="3"/>
    </row>
    <row r="184" spans="2:5" ht="15.75" customHeight="1" x14ac:dyDescent="0.15">
      <c r="B184" s="2"/>
      <c r="C184" s="2"/>
      <c r="D184" s="2"/>
      <c r="E184" s="3"/>
    </row>
    <row r="185" spans="2:5" ht="15.75" customHeight="1" x14ac:dyDescent="0.15">
      <c r="B185" s="2"/>
      <c r="C185" s="2"/>
      <c r="D185" s="2"/>
      <c r="E185" s="3"/>
    </row>
    <row r="186" spans="2:5" ht="15.75" customHeight="1" x14ac:dyDescent="0.15">
      <c r="B186" s="2"/>
      <c r="C186" s="2"/>
      <c r="D186" s="2"/>
      <c r="E186" s="3"/>
    </row>
    <row r="187" spans="2:5" ht="15.75" customHeight="1" x14ac:dyDescent="0.15">
      <c r="B187" s="2"/>
      <c r="C187" s="2"/>
      <c r="D187" s="2"/>
      <c r="E187" s="3"/>
    </row>
    <row r="188" spans="2:5" ht="15.75" customHeight="1" x14ac:dyDescent="0.15">
      <c r="B188" s="2"/>
      <c r="C188" s="2"/>
      <c r="D188" s="2"/>
      <c r="E188" s="3"/>
    </row>
    <row r="189" spans="2:5" ht="15.75" customHeight="1" x14ac:dyDescent="0.15">
      <c r="B189" s="2"/>
      <c r="C189" s="2"/>
      <c r="D189" s="2"/>
      <c r="E189" s="3"/>
    </row>
    <row r="190" spans="2:5" ht="15.75" customHeight="1" x14ac:dyDescent="0.15">
      <c r="B190" s="2"/>
      <c r="C190" s="2"/>
      <c r="D190" s="2"/>
      <c r="E190" s="3"/>
    </row>
    <row r="191" spans="2:5" ht="15.75" customHeight="1" x14ac:dyDescent="0.15">
      <c r="B191" s="2"/>
      <c r="C191" s="2"/>
      <c r="D191" s="2"/>
      <c r="E191" s="3"/>
    </row>
    <row r="192" spans="2:5" ht="15.75" customHeight="1" x14ac:dyDescent="0.15">
      <c r="B192" s="2"/>
      <c r="C192" s="2"/>
      <c r="D192" s="2"/>
      <c r="E192" s="3"/>
    </row>
    <row r="193" spans="2:5" ht="15.75" customHeight="1" x14ac:dyDescent="0.15">
      <c r="B193" s="2"/>
      <c r="C193" s="2"/>
      <c r="D193" s="2"/>
      <c r="E193" s="3"/>
    </row>
    <row r="194" spans="2:5" ht="15.75" customHeight="1" x14ac:dyDescent="0.15">
      <c r="B194" s="2"/>
      <c r="C194" s="2"/>
      <c r="D194" s="2"/>
      <c r="E194" s="3"/>
    </row>
    <row r="195" spans="2:5" ht="15.75" customHeight="1" x14ac:dyDescent="0.15">
      <c r="B195" s="2"/>
      <c r="C195" s="2"/>
      <c r="D195" s="2"/>
      <c r="E195" s="3"/>
    </row>
    <row r="196" spans="2:5" ht="15.75" customHeight="1" x14ac:dyDescent="0.15">
      <c r="B196" s="2"/>
      <c r="C196" s="2"/>
      <c r="D196" s="2"/>
      <c r="E196" s="3"/>
    </row>
    <row r="197" spans="2:5" ht="15.75" customHeight="1" x14ac:dyDescent="0.15">
      <c r="B197" s="2"/>
      <c r="C197" s="2"/>
      <c r="D197" s="2"/>
      <c r="E197" s="3"/>
    </row>
    <row r="198" spans="2:5" ht="15.75" customHeight="1" x14ac:dyDescent="0.15">
      <c r="B198" s="2"/>
      <c r="C198" s="2"/>
      <c r="D198" s="2"/>
      <c r="E198" s="3"/>
    </row>
    <row r="199" spans="2:5" ht="15.75" customHeight="1" x14ac:dyDescent="0.15">
      <c r="B199" s="2"/>
      <c r="C199" s="2"/>
      <c r="D199" s="2"/>
      <c r="E199" s="3"/>
    </row>
    <row r="200" spans="2:5" ht="15.75" customHeight="1" x14ac:dyDescent="0.15">
      <c r="B200" s="2"/>
      <c r="C200" s="2"/>
      <c r="D200" s="2"/>
      <c r="E200" s="3"/>
    </row>
    <row r="201" spans="2:5" ht="15.75" customHeight="1" x14ac:dyDescent="0.15">
      <c r="B201" s="2"/>
      <c r="C201" s="2"/>
      <c r="D201" s="2"/>
      <c r="E201" s="3"/>
    </row>
    <row r="202" spans="2:5" ht="15.75" customHeight="1" x14ac:dyDescent="0.15">
      <c r="B202" s="2"/>
      <c r="C202" s="2"/>
      <c r="D202" s="2"/>
      <c r="E202" s="3"/>
    </row>
    <row r="203" spans="2:5" ht="15.75" customHeight="1" x14ac:dyDescent="0.15">
      <c r="B203" s="2"/>
      <c r="C203" s="2"/>
      <c r="D203" s="2"/>
      <c r="E203" s="3"/>
    </row>
    <row r="204" spans="2:5" ht="15.75" customHeight="1" x14ac:dyDescent="0.15">
      <c r="B204" s="2"/>
      <c r="C204" s="2"/>
      <c r="D204" s="2"/>
      <c r="E204" s="3"/>
    </row>
    <row r="205" spans="2:5" ht="15.75" customHeight="1" x14ac:dyDescent="0.15">
      <c r="B205" s="2"/>
      <c r="C205" s="2"/>
      <c r="D205" s="2"/>
      <c r="E205" s="3"/>
    </row>
    <row r="206" spans="2:5" ht="15.75" customHeight="1" x14ac:dyDescent="0.15">
      <c r="B206" s="2"/>
      <c r="C206" s="2"/>
      <c r="D206" s="2"/>
      <c r="E206" s="3"/>
    </row>
    <row r="207" spans="2:5" ht="15.75" customHeight="1" x14ac:dyDescent="0.15">
      <c r="B207" s="2"/>
      <c r="C207" s="2"/>
      <c r="D207" s="2"/>
      <c r="E207" s="3"/>
    </row>
    <row r="208" spans="2:5" ht="15.75" customHeight="1" x14ac:dyDescent="0.15">
      <c r="B208" s="2"/>
      <c r="C208" s="2"/>
      <c r="D208" s="2"/>
      <c r="E208" s="3"/>
    </row>
    <row r="209" spans="2:5" ht="15.75" customHeight="1" x14ac:dyDescent="0.15">
      <c r="B209" s="2"/>
      <c r="C209" s="2"/>
      <c r="D209" s="2"/>
      <c r="E209" s="3"/>
    </row>
    <row r="210" spans="2:5" ht="15.75" customHeight="1" x14ac:dyDescent="0.15">
      <c r="B210" s="2"/>
      <c r="C210" s="2"/>
      <c r="D210" s="2"/>
      <c r="E210" s="3"/>
    </row>
    <row r="211" spans="2:5" ht="15.75" customHeight="1" x14ac:dyDescent="0.15">
      <c r="B211" s="2"/>
      <c r="C211" s="2"/>
      <c r="D211" s="2"/>
      <c r="E211" s="3"/>
    </row>
    <row r="212" spans="2:5" ht="15.75" customHeight="1" x14ac:dyDescent="0.15">
      <c r="B212" s="2"/>
      <c r="C212" s="2"/>
      <c r="D212" s="2"/>
      <c r="E212" s="3"/>
    </row>
    <row r="213" spans="2:5" ht="15.75" customHeight="1" x14ac:dyDescent="0.15">
      <c r="B213" s="2"/>
      <c r="C213" s="2"/>
      <c r="D213" s="2"/>
      <c r="E213" s="3"/>
    </row>
    <row r="214" spans="2:5" ht="15.75" customHeight="1" x14ac:dyDescent="0.15">
      <c r="B214" s="2"/>
      <c r="C214" s="2"/>
      <c r="D214" s="2"/>
      <c r="E214" s="3"/>
    </row>
    <row r="215" spans="2:5" ht="15.75" customHeight="1" x14ac:dyDescent="0.15">
      <c r="B215" s="2"/>
      <c r="C215" s="2"/>
      <c r="D215" s="2"/>
      <c r="E215" s="3"/>
    </row>
    <row r="216" spans="2:5" ht="15.75" customHeight="1" x14ac:dyDescent="0.15">
      <c r="B216" s="2"/>
      <c r="C216" s="2"/>
      <c r="D216" s="2"/>
      <c r="E216" s="3"/>
    </row>
    <row r="217" spans="2:5" ht="15.75" customHeight="1" x14ac:dyDescent="0.15">
      <c r="B217" s="2"/>
      <c r="C217" s="2"/>
      <c r="D217" s="2"/>
      <c r="E217" s="3"/>
    </row>
    <row r="218" spans="2:5" ht="15.75" customHeight="1" x14ac:dyDescent="0.15">
      <c r="B218" s="2"/>
      <c r="C218" s="2"/>
      <c r="D218" s="2"/>
      <c r="E218" s="3"/>
    </row>
    <row r="219" spans="2:5" ht="15.75" customHeight="1" x14ac:dyDescent="0.15">
      <c r="B219" s="2"/>
      <c r="C219" s="2"/>
      <c r="D219" s="2"/>
      <c r="E219" s="3"/>
    </row>
    <row r="220" spans="2:5" ht="15.75" customHeight="1" x14ac:dyDescent="0.15">
      <c r="B220" s="2"/>
      <c r="C220" s="2"/>
      <c r="D220" s="2"/>
      <c r="E220" s="3"/>
    </row>
    <row r="221" spans="2:5" ht="15.75" customHeight="1" x14ac:dyDescent="0.15">
      <c r="B221" s="2"/>
      <c r="C221" s="2"/>
      <c r="D221" s="2"/>
      <c r="E221" s="3"/>
    </row>
    <row r="222" spans="2:5" ht="15.75" customHeight="1" x14ac:dyDescent="0.15">
      <c r="B222" s="2"/>
      <c r="C222" s="2"/>
      <c r="D222" s="2"/>
      <c r="E222" s="3"/>
    </row>
    <row r="223" spans="2:5" ht="15.75" customHeight="1" x14ac:dyDescent="0.15">
      <c r="B223" s="2"/>
      <c r="C223" s="2"/>
      <c r="D223" s="2"/>
      <c r="E223" s="3"/>
    </row>
    <row r="224" spans="2: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sortState xmlns:xlrd2="http://schemas.microsoft.com/office/spreadsheetml/2017/richdata2" ref="A2:U1001">
    <sortCondition ref="A1:A1001"/>
  </sortState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58FA-79CB-D04D-A2E6-D4299EF15E76}">
  <dimension ref="A1:AO125"/>
  <sheetViews>
    <sheetView topLeftCell="A63" zoomScaleNormal="100" workbookViewId="0">
      <pane xSplit="3" topLeftCell="O1" activePane="topRight" state="frozen"/>
      <selection activeCell="D30" sqref="D30"/>
      <selection pane="topRight" activeCell="AC75" sqref="AC75"/>
    </sheetView>
  </sheetViews>
  <sheetFormatPr baseColWidth="10" defaultRowHeight="14" x14ac:dyDescent="0.15"/>
  <cols>
    <col min="1" max="2" width="10.83203125" style="7"/>
    <col min="3" max="5" width="10.83203125" style="8"/>
    <col min="6" max="6" width="27.6640625" style="7" bestFit="1" customWidth="1"/>
    <col min="7" max="7" width="10.83203125" style="9"/>
    <col min="8" max="9" width="10.83203125" style="8"/>
    <col min="10" max="10" width="17.6640625" style="9" bestFit="1" customWidth="1"/>
    <col min="11" max="11" width="12.33203125" style="8" bestFit="1" customWidth="1"/>
    <col min="12" max="14" width="10.83203125" style="8"/>
    <col min="15" max="15" width="10.83203125" customWidth="1"/>
    <col min="16" max="27" width="10.83203125" style="8" customWidth="1"/>
    <col min="28" max="28" width="10.83203125" style="10"/>
    <col min="29" max="29" width="58.1640625" style="8" bestFit="1" customWidth="1"/>
    <col min="30" max="16384" width="10.83203125" style="8"/>
  </cols>
  <sheetData>
    <row r="1" spans="1:41" x14ac:dyDescent="0.15">
      <c r="A1" s="7" t="s">
        <v>310</v>
      </c>
      <c r="B1" s="7" t="s">
        <v>19</v>
      </c>
      <c r="C1" s="8">
        <v>2021</v>
      </c>
      <c r="D1" s="8">
        <v>2</v>
      </c>
      <c r="E1" s="8">
        <v>0</v>
      </c>
      <c r="F1" s="7" t="s">
        <v>309</v>
      </c>
      <c r="G1" s="9" t="s">
        <v>82</v>
      </c>
      <c r="H1" s="8">
        <v>-15.198942000000001</v>
      </c>
      <c r="I1" s="8">
        <v>144.43820299999999</v>
      </c>
      <c r="J1" s="9" t="s">
        <v>109</v>
      </c>
      <c r="K1" s="8" t="s">
        <v>311</v>
      </c>
      <c r="L1" s="8">
        <v>1</v>
      </c>
      <c r="M1" s="8">
        <v>0</v>
      </c>
      <c r="N1" s="8">
        <v>0</v>
      </c>
      <c r="O1">
        <v>-179.6</v>
      </c>
      <c r="P1" s="8" t="s">
        <v>312</v>
      </c>
      <c r="Q1" s="8">
        <v>180</v>
      </c>
      <c r="R1" s="8">
        <f>U1+V1</f>
        <v>1410.9</v>
      </c>
      <c r="S1" s="8">
        <v>407.2</v>
      </c>
      <c r="T1" s="8">
        <v>385.3</v>
      </c>
      <c r="U1" s="8">
        <v>517.79999999999995</v>
      </c>
      <c r="V1" s="8">
        <f>418.1+475</f>
        <v>893.1</v>
      </c>
      <c r="W1" s="8">
        <f>S1/R1</f>
        <v>0.28861010702388545</v>
      </c>
      <c r="X1" s="8">
        <f>T1/R1</f>
        <v>0.27308809979445742</v>
      </c>
      <c r="Y1" s="8">
        <f>U1/R1</f>
        <v>0.36699978736976391</v>
      </c>
      <c r="Z1" s="8">
        <f t="shared" ref="Z1:Z18" si="0">U1/T1</f>
        <v>1.3438878795743574</v>
      </c>
      <c r="AA1" s="8">
        <f t="shared" ref="AA1:AA18" si="1">S1/T1</f>
        <v>1.056838826888139</v>
      </c>
      <c r="AB1" s="10" t="s">
        <v>374</v>
      </c>
      <c r="AD1" s="8">
        <v>1</v>
      </c>
      <c r="AE1" s="8" t="s">
        <v>177</v>
      </c>
    </row>
    <row r="2" spans="1:41" x14ac:dyDescent="0.15">
      <c r="A2" s="7" t="s">
        <v>227</v>
      </c>
      <c r="B2" s="7" t="s">
        <v>16</v>
      </c>
      <c r="C2" s="8">
        <v>2021</v>
      </c>
      <c r="D2" s="8">
        <v>1</v>
      </c>
      <c r="E2" s="8">
        <v>0</v>
      </c>
      <c r="F2" s="7" t="s">
        <v>228</v>
      </c>
      <c r="G2" s="9" t="s">
        <v>82</v>
      </c>
      <c r="H2" s="8" t="s">
        <v>17</v>
      </c>
      <c r="I2" s="8" t="s">
        <v>17</v>
      </c>
      <c r="J2" s="9" t="s">
        <v>229</v>
      </c>
      <c r="K2" s="8" t="s">
        <v>17</v>
      </c>
      <c r="L2" s="8">
        <v>1</v>
      </c>
      <c r="M2" s="8">
        <v>0</v>
      </c>
      <c r="N2" s="8">
        <v>0</v>
      </c>
      <c r="O2">
        <v>-179.3</v>
      </c>
      <c r="P2" s="8" t="s">
        <v>71</v>
      </c>
      <c r="Q2" s="8" t="s">
        <v>17</v>
      </c>
      <c r="R2" s="8" t="s">
        <v>17</v>
      </c>
      <c r="S2" s="8">
        <v>808.1</v>
      </c>
      <c r="T2" s="8">
        <v>776.1</v>
      </c>
      <c r="U2" s="8">
        <v>1039.5</v>
      </c>
      <c r="V2" s="8" t="s">
        <v>17</v>
      </c>
      <c r="W2" s="8" t="s">
        <v>17</v>
      </c>
      <c r="X2" s="8" t="s">
        <v>17</v>
      </c>
      <c r="Y2" s="8" t="s">
        <v>17</v>
      </c>
      <c r="Z2" s="8">
        <f t="shared" si="0"/>
        <v>1.3393892539621182</v>
      </c>
      <c r="AA2" s="8">
        <f t="shared" si="1"/>
        <v>1.0412318000257699</v>
      </c>
      <c r="AB2" s="10" t="s">
        <v>374</v>
      </c>
      <c r="AC2" s="8" t="s">
        <v>230</v>
      </c>
      <c r="AD2" s="8">
        <v>1</v>
      </c>
      <c r="AE2" s="8">
        <v>0</v>
      </c>
    </row>
    <row r="3" spans="1:41" x14ac:dyDescent="0.15">
      <c r="A3" s="7" t="s">
        <v>289</v>
      </c>
      <c r="B3" s="7" t="s">
        <v>19</v>
      </c>
      <c r="C3" s="8">
        <v>2021</v>
      </c>
      <c r="D3" s="8">
        <v>3</v>
      </c>
      <c r="E3" s="8">
        <v>0</v>
      </c>
      <c r="F3" s="7" t="s">
        <v>288</v>
      </c>
      <c r="G3" s="9" t="s">
        <v>148</v>
      </c>
      <c r="H3" s="8" t="s">
        <v>17</v>
      </c>
      <c r="I3" s="8" t="s">
        <v>17</v>
      </c>
      <c r="J3" s="9" t="s">
        <v>229</v>
      </c>
      <c r="K3" s="8" t="s">
        <v>17</v>
      </c>
      <c r="L3" s="8">
        <v>1</v>
      </c>
      <c r="M3" s="8">
        <v>1</v>
      </c>
      <c r="N3" s="8">
        <v>0</v>
      </c>
      <c r="O3">
        <v>-176.8</v>
      </c>
      <c r="P3" s="8" t="s">
        <v>278</v>
      </c>
      <c r="Q3" s="8" t="s">
        <v>279</v>
      </c>
      <c r="R3" s="8">
        <f>U3+V3</f>
        <v>1558.3</v>
      </c>
      <c r="S3" s="8">
        <v>389.4</v>
      </c>
      <c r="T3" s="8">
        <v>375.2</v>
      </c>
      <c r="U3" s="8">
        <v>502.8</v>
      </c>
      <c r="V3" s="8">
        <f>602.2+453.3</f>
        <v>1055.5</v>
      </c>
      <c r="W3" s="8">
        <f>S3/R3</f>
        <v>0.24988769813258038</v>
      </c>
      <c r="X3" s="8">
        <f>T3/R3</f>
        <v>0.24077520374767375</v>
      </c>
      <c r="Y3" s="8">
        <f>U3/R3</f>
        <v>0.32265930822049671</v>
      </c>
      <c r="Z3" s="8">
        <f t="shared" si="0"/>
        <v>1.340085287846482</v>
      </c>
      <c r="AA3" s="8">
        <f t="shared" si="1"/>
        <v>1.0378464818763327</v>
      </c>
      <c r="AB3" s="10" t="s">
        <v>374</v>
      </c>
      <c r="AD3" s="8">
        <v>1</v>
      </c>
      <c r="AE3" s="8">
        <v>1</v>
      </c>
    </row>
    <row r="4" spans="1:41" ht="16" x14ac:dyDescent="0.2">
      <c r="A4" s="63" t="s">
        <v>372</v>
      </c>
      <c r="B4" s="7" t="s">
        <v>77</v>
      </c>
      <c r="C4" s="8">
        <v>2021</v>
      </c>
      <c r="D4" s="8">
        <v>10</v>
      </c>
      <c r="E4" s="8">
        <v>1</v>
      </c>
      <c r="F4" s="7" t="s">
        <v>373</v>
      </c>
      <c r="G4" s="9" t="s">
        <v>148</v>
      </c>
      <c r="H4" s="12">
        <v>-22.207843</v>
      </c>
      <c r="I4" s="12">
        <v>114.09719</v>
      </c>
      <c r="J4" s="9" t="s">
        <v>194</v>
      </c>
      <c r="K4" s="8" t="s">
        <v>17</v>
      </c>
      <c r="L4" s="8">
        <v>1</v>
      </c>
      <c r="M4" s="8">
        <v>1</v>
      </c>
      <c r="N4" s="8">
        <v>0</v>
      </c>
      <c r="O4">
        <v>-175</v>
      </c>
      <c r="P4" s="8" t="s">
        <v>216</v>
      </c>
      <c r="Q4" s="8" t="s">
        <v>297</v>
      </c>
      <c r="R4" s="8" t="s">
        <v>17</v>
      </c>
      <c r="S4" s="8">
        <v>283.3</v>
      </c>
      <c r="T4" s="8">
        <v>264.3</v>
      </c>
      <c r="U4" s="8">
        <v>380.4</v>
      </c>
      <c r="V4" s="8" t="s">
        <v>17</v>
      </c>
      <c r="W4" s="8" t="s">
        <v>17</v>
      </c>
      <c r="X4" s="8" t="s">
        <v>17</v>
      </c>
      <c r="Y4" s="8" t="s">
        <v>17</v>
      </c>
      <c r="Z4" s="8">
        <f t="shared" si="0"/>
        <v>1.4392735527809306</v>
      </c>
      <c r="AA4" s="8">
        <f t="shared" si="1"/>
        <v>1.0718880060537268</v>
      </c>
      <c r="AB4" s="10" t="s">
        <v>374</v>
      </c>
      <c r="AD4" s="8">
        <v>1</v>
      </c>
      <c r="AE4" s="8">
        <v>0</v>
      </c>
    </row>
    <row r="5" spans="1:41" ht="16" x14ac:dyDescent="0.2">
      <c r="A5" s="7" t="s">
        <v>272</v>
      </c>
      <c r="B5" s="7" t="s">
        <v>19</v>
      </c>
      <c r="C5" s="8">
        <v>2021</v>
      </c>
      <c r="D5" s="8">
        <v>3</v>
      </c>
      <c r="E5" s="8">
        <v>2</v>
      </c>
      <c r="F5" s="7" t="s">
        <v>271</v>
      </c>
      <c r="G5" s="9" t="s">
        <v>82</v>
      </c>
      <c r="H5" s="12">
        <v>-11.990661100000001</v>
      </c>
      <c r="I5" s="12">
        <v>142.03908609999999</v>
      </c>
      <c r="J5" s="9" t="s">
        <v>109</v>
      </c>
      <c r="K5" s="8" t="s">
        <v>170</v>
      </c>
      <c r="L5" s="8">
        <v>1</v>
      </c>
      <c r="M5" s="8">
        <v>0</v>
      </c>
      <c r="N5" s="8">
        <v>0</v>
      </c>
      <c r="O5">
        <v>-174.6</v>
      </c>
      <c r="P5" s="8" t="s">
        <v>71</v>
      </c>
      <c r="Q5" s="8" t="s">
        <v>17</v>
      </c>
      <c r="R5" s="8" t="s">
        <v>17</v>
      </c>
      <c r="S5" s="8">
        <v>1233.9000000000001</v>
      </c>
      <c r="T5" s="8">
        <v>1173.4000000000001</v>
      </c>
      <c r="U5" s="8">
        <v>1536</v>
      </c>
      <c r="V5" s="8" t="s">
        <v>17</v>
      </c>
      <c r="W5" s="8" t="s">
        <v>17</v>
      </c>
      <c r="X5" s="8" t="s">
        <v>17</v>
      </c>
      <c r="Y5" s="8" t="s">
        <v>17</v>
      </c>
      <c r="Z5" s="8">
        <f t="shared" si="0"/>
        <v>1.3090165331515253</v>
      </c>
      <c r="AA5" s="8">
        <f t="shared" si="1"/>
        <v>1.05155957047895</v>
      </c>
      <c r="AB5" s="10" t="s">
        <v>374</v>
      </c>
      <c r="AD5" s="8">
        <v>1</v>
      </c>
      <c r="AE5" s="8">
        <v>0</v>
      </c>
    </row>
    <row r="6" spans="1:41" s="9" customFormat="1" x14ac:dyDescent="0.15">
      <c r="A6" s="7" t="s">
        <v>212</v>
      </c>
      <c r="B6" s="7" t="s">
        <v>46</v>
      </c>
      <c r="C6" s="8">
        <v>2019</v>
      </c>
      <c r="D6" s="8">
        <v>1</v>
      </c>
      <c r="E6" s="8">
        <v>0</v>
      </c>
      <c r="F6" s="7" t="s">
        <v>213</v>
      </c>
      <c r="G6" s="9" t="s">
        <v>82</v>
      </c>
      <c r="H6" s="8">
        <v>-12.14283</v>
      </c>
      <c r="I6" s="8">
        <v>141.768889</v>
      </c>
      <c r="J6" s="9" t="s">
        <v>214</v>
      </c>
      <c r="K6" s="8" t="s">
        <v>215</v>
      </c>
      <c r="L6" s="8">
        <v>1</v>
      </c>
      <c r="M6" s="8">
        <v>0</v>
      </c>
      <c r="N6" s="8">
        <v>0</v>
      </c>
      <c r="O6">
        <v>-173.52</v>
      </c>
      <c r="P6" s="8" t="s">
        <v>216</v>
      </c>
      <c r="Q6" s="8" t="s">
        <v>217</v>
      </c>
      <c r="R6" s="8">
        <f>U6+V6</f>
        <v>983.19999999999993</v>
      </c>
      <c r="S6" s="8">
        <v>313.3</v>
      </c>
      <c r="T6" s="8">
        <v>256.85000000000002</v>
      </c>
      <c r="U6" s="8">
        <v>387.4</v>
      </c>
      <c r="V6" s="8">
        <v>595.79999999999995</v>
      </c>
      <c r="W6" s="8">
        <f>S6/R6</f>
        <v>0.31865337672904803</v>
      </c>
      <c r="X6" s="8">
        <f>T6/R6</f>
        <v>0.26123881204231086</v>
      </c>
      <c r="Y6" s="8">
        <f>U6/R6</f>
        <v>0.39401952807160295</v>
      </c>
      <c r="Z6" s="8">
        <f t="shared" si="0"/>
        <v>1.5082733112711697</v>
      </c>
      <c r="AA6" s="9">
        <f t="shared" si="1"/>
        <v>1.2197780805917851</v>
      </c>
      <c r="AB6" s="10" t="s">
        <v>494</v>
      </c>
      <c r="AC6" s="8"/>
      <c r="AD6" s="8">
        <v>1</v>
      </c>
      <c r="AE6" s="8"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</row>
    <row r="7" spans="1:41" s="9" customFormat="1" x14ac:dyDescent="0.15">
      <c r="A7" s="7" t="s">
        <v>244</v>
      </c>
      <c r="B7" s="7" t="s">
        <v>16</v>
      </c>
      <c r="C7" s="8">
        <v>2021</v>
      </c>
      <c r="D7" s="8">
        <v>2</v>
      </c>
      <c r="E7" s="8">
        <v>0</v>
      </c>
      <c r="F7" s="7" t="s">
        <v>248</v>
      </c>
      <c r="G7" s="9" t="s">
        <v>82</v>
      </c>
      <c r="H7" s="8">
        <v>-12.599418999999999</v>
      </c>
      <c r="I7" s="8">
        <v>141.91305399999999</v>
      </c>
      <c r="J7" s="9" t="s">
        <v>109</v>
      </c>
      <c r="K7" s="8" t="s">
        <v>245</v>
      </c>
      <c r="L7" s="8">
        <v>1</v>
      </c>
      <c r="M7" s="8">
        <v>1</v>
      </c>
      <c r="N7" s="8">
        <v>1</v>
      </c>
      <c r="O7">
        <v>-169.2</v>
      </c>
      <c r="P7" s="8" t="s">
        <v>246</v>
      </c>
      <c r="Q7" s="8" t="s">
        <v>208</v>
      </c>
      <c r="R7" s="8">
        <f>U7+V7</f>
        <v>1199.5</v>
      </c>
      <c r="S7" s="8">
        <v>228.3</v>
      </c>
      <c r="T7" s="8">
        <v>216.7</v>
      </c>
      <c r="U7" s="8">
        <v>301.39999999999998</v>
      </c>
      <c r="V7" s="8">
        <f>137.1+220.6+122.7+130.5+287.2</f>
        <v>898.09999999999991</v>
      </c>
      <c r="W7" s="8">
        <f>S7/R7</f>
        <v>0.19032930387661526</v>
      </c>
      <c r="X7" s="8">
        <f>T7/R7</f>
        <v>0.1806586077532305</v>
      </c>
      <c r="Y7" s="8">
        <f>U7/R7</f>
        <v>0.25127136306794495</v>
      </c>
      <c r="Z7" s="8">
        <f t="shared" si="0"/>
        <v>1.3908629441624365</v>
      </c>
      <c r="AA7" s="8">
        <f t="shared" si="1"/>
        <v>1.0535302261190587</v>
      </c>
      <c r="AB7" s="10" t="s">
        <v>374</v>
      </c>
      <c r="AC7" s="8" t="s">
        <v>247</v>
      </c>
      <c r="AD7" s="8">
        <v>1</v>
      </c>
      <c r="AE7" s="8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1" x14ac:dyDescent="0.15">
      <c r="A8" s="7" t="s">
        <v>183</v>
      </c>
      <c r="B8" s="7" t="s">
        <v>46</v>
      </c>
      <c r="C8" s="8">
        <v>2020</v>
      </c>
      <c r="D8" s="8">
        <v>1</v>
      </c>
      <c r="E8" s="8">
        <v>0</v>
      </c>
      <c r="F8" s="7" t="s">
        <v>184</v>
      </c>
      <c r="G8" s="9" t="s">
        <v>82</v>
      </c>
      <c r="H8" s="8">
        <v>-18.856733999999999</v>
      </c>
      <c r="I8" s="8">
        <v>146.25936999999999</v>
      </c>
      <c r="J8" s="9" t="s">
        <v>190</v>
      </c>
      <c r="K8" s="8" t="s">
        <v>17</v>
      </c>
      <c r="L8" s="8">
        <v>1</v>
      </c>
      <c r="M8" s="8">
        <v>0</v>
      </c>
      <c r="N8" s="8">
        <v>1</v>
      </c>
      <c r="O8">
        <v>-168.8</v>
      </c>
      <c r="P8" s="8" t="s">
        <v>185</v>
      </c>
      <c r="Q8" s="8" t="s">
        <v>186</v>
      </c>
      <c r="R8" s="8">
        <f>836.3+539</f>
        <v>1375.3</v>
      </c>
      <c r="S8" s="8">
        <v>323.7</v>
      </c>
      <c r="T8" s="8">
        <v>231.7</v>
      </c>
      <c r="U8" s="8">
        <v>410.3</v>
      </c>
      <c r="V8" s="8">
        <f>R8-U8</f>
        <v>965</v>
      </c>
      <c r="W8" s="8">
        <f>S8/R8</f>
        <v>0.23536682905547882</v>
      </c>
      <c r="X8" s="8">
        <f>T8/R8</f>
        <v>0.16847233330909619</v>
      </c>
      <c r="Y8" s="8">
        <f>U8/R8</f>
        <v>0.29833490874718244</v>
      </c>
      <c r="Z8" s="8">
        <f t="shared" si="0"/>
        <v>1.7708243418213208</v>
      </c>
      <c r="AA8" s="9">
        <f t="shared" si="1"/>
        <v>1.3970651704790678</v>
      </c>
      <c r="AB8" s="10" t="s">
        <v>374</v>
      </c>
      <c r="AC8" s="8" t="s">
        <v>411</v>
      </c>
      <c r="AD8" s="8">
        <v>1</v>
      </c>
      <c r="AE8" s="8">
        <v>0</v>
      </c>
    </row>
    <row r="9" spans="1:41" x14ac:dyDescent="0.15">
      <c r="A9" s="7" t="s">
        <v>209</v>
      </c>
      <c r="B9" s="7" t="s">
        <v>46</v>
      </c>
      <c r="C9" s="8">
        <v>2019</v>
      </c>
      <c r="D9" s="8">
        <v>2</v>
      </c>
      <c r="E9" s="8">
        <v>0</v>
      </c>
      <c r="F9" s="7" t="s">
        <v>213</v>
      </c>
      <c r="G9" s="9" t="s">
        <v>82</v>
      </c>
      <c r="H9" s="8">
        <v>-12.14283</v>
      </c>
      <c r="I9" s="8">
        <v>141.768889</v>
      </c>
      <c r="J9" s="9" t="s">
        <v>214</v>
      </c>
      <c r="K9" s="8" t="s">
        <v>215</v>
      </c>
      <c r="L9" s="8">
        <v>1</v>
      </c>
      <c r="M9" s="8">
        <v>0</v>
      </c>
      <c r="N9" s="8">
        <v>0</v>
      </c>
      <c r="O9">
        <v>-165</v>
      </c>
      <c r="P9" s="8" t="s">
        <v>71</v>
      </c>
      <c r="Q9" s="8" t="s">
        <v>17</v>
      </c>
      <c r="R9" s="8">
        <v>1000</v>
      </c>
      <c r="S9" s="8">
        <v>242.4</v>
      </c>
      <c r="T9" s="8">
        <v>208.4</v>
      </c>
      <c r="U9" s="8">
        <v>303.39999999999998</v>
      </c>
      <c r="V9" s="8">
        <f>R9-U9</f>
        <v>696.6</v>
      </c>
      <c r="W9" s="8">
        <f>S9/R9</f>
        <v>0.2424</v>
      </c>
      <c r="X9" s="8">
        <f>T9/R9</f>
        <v>0.2084</v>
      </c>
      <c r="Y9" s="8">
        <f>U9/R9</f>
        <v>0.3034</v>
      </c>
      <c r="Z9" s="8">
        <f t="shared" si="0"/>
        <v>1.4558541266794625</v>
      </c>
      <c r="AA9" s="9">
        <f t="shared" si="1"/>
        <v>1.1631477927063341</v>
      </c>
      <c r="AB9" s="10" t="s">
        <v>494</v>
      </c>
      <c r="AD9" s="8">
        <v>1</v>
      </c>
      <c r="AE9" s="8">
        <v>1</v>
      </c>
    </row>
    <row r="10" spans="1:41" x14ac:dyDescent="0.15">
      <c r="A10" s="7" t="s">
        <v>282</v>
      </c>
      <c r="B10" s="7" t="s">
        <v>19</v>
      </c>
      <c r="C10" s="8">
        <v>2021</v>
      </c>
      <c r="D10" s="8">
        <v>1</v>
      </c>
      <c r="E10" s="8">
        <v>0</v>
      </c>
      <c r="F10" s="7" t="s">
        <v>283</v>
      </c>
      <c r="G10" s="9" t="s">
        <v>96</v>
      </c>
      <c r="H10" s="8">
        <v>-16.076326999999999</v>
      </c>
      <c r="I10" s="8">
        <v>136.315179</v>
      </c>
      <c r="J10" s="9" t="s">
        <v>109</v>
      </c>
      <c r="K10" s="8" t="s">
        <v>180</v>
      </c>
      <c r="L10" s="8">
        <v>1</v>
      </c>
      <c r="M10" s="8">
        <v>1</v>
      </c>
      <c r="N10" s="8">
        <v>0</v>
      </c>
      <c r="O10">
        <v>-158.80000000000001</v>
      </c>
      <c r="P10" s="8" t="s">
        <v>284</v>
      </c>
      <c r="Q10" s="8" t="s">
        <v>208</v>
      </c>
      <c r="R10" s="8">
        <f>U10+V10</f>
        <v>872.2</v>
      </c>
      <c r="S10" s="8">
        <v>213.9</v>
      </c>
      <c r="T10" s="8">
        <v>205</v>
      </c>
      <c r="U10" s="8">
        <v>272.2</v>
      </c>
      <c r="V10" s="8">
        <v>600</v>
      </c>
      <c r="W10" s="8">
        <f>S10/R10</f>
        <v>0.24524191699151571</v>
      </c>
      <c r="X10" s="8">
        <f>T10/R10</f>
        <v>0.23503783535886263</v>
      </c>
      <c r="Y10" s="8">
        <f>U10/R10</f>
        <v>0.31208438431552393</v>
      </c>
      <c r="Z10" s="8">
        <f t="shared" si="0"/>
        <v>1.3278048780487803</v>
      </c>
      <c r="AA10" s="8">
        <f t="shared" si="1"/>
        <v>1.0434146341463415</v>
      </c>
      <c r="AB10" s="10" t="s">
        <v>494</v>
      </c>
      <c r="AD10" s="8">
        <v>1</v>
      </c>
      <c r="AE10" s="8">
        <v>1</v>
      </c>
    </row>
    <row r="11" spans="1:41" x14ac:dyDescent="0.15">
      <c r="A11" s="7" t="s">
        <v>250</v>
      </c>
      <c r="B11" s="7" t="s">
        <v>16</v>
      </c>
      <c r="C11" s="8">
        <v>2018</v>
      </c>
      <c r="D11" s="8">
        <v>2</v>
      </c>
      <c r="E11" s="8">
        <v>0</v>
      </c>
      <c r="F11" s="7" t="s">
        <v>251</v>
      </c>
      <c r="G11" s="9" t="s">
        <v>82</v>
      </c>
      <c r="H11" s="8">
        <v>-12.708588000000001</v>
      </c>
      <c r="I11" s="8">
        <v>141.912408</v>
      </c>
      <c r="J11" s="9" t="s">
        <v>109</v>
      </c>
      <c r="K11" s="8" t="s">
        <v>215</v>
      </c>
      <c r="L11" s="8">
        <v>1</v>
      </c>
      <c r="M11" s="8">
        <v>1</v>
      </c>
      <c r="N11" s="8">
        <v>0</v>
      </c>
      <c r="O11">
        <v>-158.19999999999999</v>
      </c>
      <c r="P11" s="8" t="s">
        <v>71</v>
      </c>
      <c r="Q11" s="8" t="s">
        <v>17</v>
      </c>
      <c r="R11" s="8" t="s">
        <v>17</v>
      </c>
      <c r="S11" s="8">
        <v>1056.5999999999999</v>
      </c>
      <c r="T11" s="8">
        <v>1003.5</v>
      </c>
      <c r="U11" s="8">
        <v>1355.2</v>
      </c>
      <c r="V11" s="8" t="s">
        <v>17</v>
      </c>
      <c r="W11" s="8" t="s">
        <v>17</v>
      </c>
      <c r="X11" s="8" t="s">
        <v>17</v>
      </c>
      <c r="Y11" s="8" t="s">
        <v>17</v>
      </c>
      <c r="Z11" s="8">
        <f t="shared" si="0"/>
        <v>1.3504733432984555</v>
      </c>
      <c r="AA11" s="8">
        <f t="shared" si="1"/>
        <v>1.0529147982062779</v>
      </c>
      <c r="AB11" s="10" t="s">
        <v>494</v>
      </c>
      <c r="AC11" s="8" t="s">
        <v>249</v>
      </c>
      <c r="AD11" s="8">
        <v>1</v>
      </c>
      <c r="AE11" s="8">
        <v>0</v>
      </c>
    </row>
    <row r="12" spans="1:41" x14ac:dyDescent="0.15">
      <c r="A12" s="7" t="s">
        <v>322</v>
      </c>
      <c r="B12" s="7" t="s">
        <v>19</v>
      </c>
      <c r="C12" s="8">
        <v>2018</v>
      </c>
      <c r="D12" s="8">
        <v>2</v>
      </c>
      <c r="E12" s="8">
        <v>0</v>
      </c>
      <c r="F12" s="7" t="s">
        <v>323</v>
      </c>
      <c r="G12" s="9" t="s">
        <v>96</v>
      </c>
      <c r="H12" s="8">
        <v>-14.957884</v>
      </c>
      <c r="I12" s="8">
        <v>133.33606399999999</v>
      </c>
      <c r="J12" s="9" t="s">
        <v>109</v>
      </c>
      <c r="K12" s="8" t="s">
        <v>324</v>
      </c>
      <c r="L12" s="8">
        <v>1</v>
      </c>
      <c r="M12" s="8">
        <v>1</v>
      </c>
      <c r="N12" s="8">
        <v>0</v>
      </c>
      <c r="O12">
        <v>-156.80000000000001</v>
      </c>
      <c r="P12" s="8" t="s">
        <v>325</v>
      </c>
      <c r="Q12" s="8" t="s">
        <v>326</v>
      </c>
      <c r="R12" s="8">
        <v>1800</v>
      </c>
      <c r="S12" s="8">
        <v>503.65</v>
      </c>
      <c r="T12" s="8">
        <v>466.34</v>
      </c>
      <c r="U12" s="8">
        <v>602.04999999999995</v>
      </c>
      <c r="V12" s="8">
        <f>R12-U12</f>
        <v>1197.95</v>
      </c>
      <c r="W12" s="8">
        <f>S12/R12</f>
        <v>0.27980555555555553</v>
      </c>
      <c r="X12" s="8">
        <f>T12/R12</f>
        <v>0.25907777777777774</v>
      </c>
      <c r="Y12" s="8">
        <f>U12/R12</f>
        <v>0.33447222222222217</v>
      </c>
      <c r="Z12" s="8">
        <f t="shared" si="0"/>
        <v>1.2910108504524596</v>
      </c>
      <c r="AA12" s="8">
        <f t="shared" si="1"/>
        <v>1.080006004202942</v>
      </c>
      <c r="AB12" s="10" t="s">
        <v>293</v>
      </c>
      <c r="AD12" s="8">
        <v>1</v>
      </c>
      <c r="AE12" s="8">
        <v>1</v>
      </c>
    </row>
    <row r="13" spans="1:41" x14ac:dyDescent="0.15">
      <c r="A13" s="7" t="s">
        <v>333</v>
      </c>
      <c r="B13" s="7" t="s">
        <v>19</v>
      </c>
      <c r="C13" s="8">
        <v>2021</v>
      </c>
      <c r="D13" s="8">
        <v>12</v>
      </c>
      <c r="E13" s="8">
        <v>3</v>
      </c>
      <c r="F13" s="7" t="s">
        <v>331</v>
      </c>
      <c r="G13" s="9" t="s">
        <v>82</v>
      </c>
      <c r="H13" s="8">
        <v>-15.286208</v>
      </c>
      <c r="I13" s="8">
        <v>144.45672099999999</v>
      </c>
      <c r="J13" s="9" t="s">
        <v>214</v>
      </c>
      <c r="K13" s="8" t="s">
        <v>220</v>
      </c>
      <c r="L13" s="8">
        <v>1</v>
      </c>
      <c r="M13" s="8">
        <v>0</v>
      </c>
      <c r="N13" s="8">
        <v>0</v>
      </c>
      <c r="O13">
        <v>-145.1</v>
      </c>
      <c r="P13" s="8" t="s">
        <v>334</v>
      </c>
      <c r="Q13" s="8" t="s">
        <v>335</v>
      </c>
      <c r="R13" s="8" t="s">
        <v>17</v>
      </c>
      <c r="S13" s="8">
        <v>813.9</v>
      </c>
      <c r="T13" s="8">
        <v>777.4</v>
      </c>
      <c r="U13" s="8">
        <v>1024.0999999999999</v>
      </c>
      <c r="V13" s="8" t="s">
        <v>17</v>
      </c>
      <c r="W13" s="8" t="s">
        <v>17</v>
      </c>
      <c r="X13" s="8" t="s">
        <v>17</v>
      </c>
      <c r="Y13" s="8" t="s">
        <v>17</v>
      </c>
      <c r="Z13" s="8">
        <f t="shared" si="0"/>
        <v>1.3173398507846668</v>
      </c>
      <c r="AA13" s="8">
        <f t="shared" si="1"/>
        <v>1.0469513763828144</v>
      </c>
      <c r="AB13" s="10" t="s">
        <v>374</v>
      </c>
      <c r="AD13" s="8">
        <v>1</v>
      </c>
      <c r="AE13" s="8">
        <v>0</v>
      </c>
    </row>
    <row r="14" spans="1:41" x14ac:dyDescent="0.15">
      <c r="A14" s="7" t="s">
        <v>192</v>
      </c>
      <c r="B14" s="7" t="s">
        <v>46</v>
      </c>
      <c r="C14" s="8">
        <v>2015</v>
      </c>
      <c r="D14" s="8">
        <v>1</v>
      </c>
      <c r="E14" s="8">
        <v>0</v>
      </c>
      <c r="F14" s="7" t="s">
        <v>193</v>
      </c>
      <c r="G14" s="9" t="s">
        <v>82</v>
      </c>
      <c r="H14" s="8">
        <v>-19.265221</v>
      </c>
      <c r="I14" s="8">
        <v>147.25</v>
      </c>
      <c r="J14" s="9" t="s">
        <v>194</v>
      </c>
      <c r="K14" s="8" t="s">
        <v>17</v>
      </c>
      <c r="L14" s="8">
        <v>1</v>
      </c>
      <c r="M14" s="8">
        <v>1</v>
      </c>
      <c r="N14" s="8">
        <v>0</v>
      </c>
      <c r="O14">
        <v>-129.5</v>
      </c>
      <c r="P14" s="8" t="s">
        <v>71</v>
      </c>
      <c r="Q14" s="8" t="s">
        <v>17</v>
      </c>
      <c r="R14" s="8" t="s">
        <v>17</v>
      </c>
      <c r="S14" s="8">
        <v>107.3</v>
      </c>
      <c r="T14" s="8">
        <v>82.78</v>
      </c>
      <c r="U14" s="8">
        <v>133.58699999999999</v>
      </c>
      <c r="V14" s="8" t="s">
        <v>17</v>
      </c>
      <c r="W14" s="8" t="s">
        <v>17</v>
      </c>
      <c r="X14" s="8" t="s">
        <v>17</v>
      </c>
      <c r="Y14" s="8" t="s">
        <v>17</v>
      </c>
      <c r="Z14" s="8">
        <f t="shared" si="0"/>
        <v>1.6137593621647739</v>
      </c>
      <c r="AA14" s="9">
        <f t="shared" si="1"/>
        <v>1.2962068132399129</v>
      </c>
      <c r="AB14" s="10" t="s">
        <v>374</v>
      </c>
      <c r="AD14" s="8">
        <v>1</v>
      </c>
      <c r="AE14" s="8">
        <v>0</v>
      </c>
    </row>
    <row r="15" spans="1:41" x14ac:dyDescent="0.15">
      <c r="A15" s="7" t="s">
        <v>296</v>
      </c>
      <c r="B15" s="7" t="s">
        <v>19</v>
      </c>
      <c r="C15" s="8">
        <v>2020</v>
      </c>
      <c r="D15" s="8">
        <v>1</v>
      </c>
      <c r="E15" s="8">
        <v>0</v>
      </c>
      <c r="F15" s="7" t="s">
        <v>298</v>
      </c>
      <c r="G15" s="9" t="s">
        <v>82</v>
      </c>
      <c r="H15" s="8">
        <v>16.628831999999999</v>
      </c>
      <c r="I15" s="8">
        <v>141.63296299999999</v>
      </c>
      <c r="J15" s="9" t="s">
        <v>109</v>
      </c>
      <c r="K15" s="8" t="s">
        <v>171</v>
      </c>
      <c r="L15" s="8">
        <v>1</v>
      </c>
      <c r="M15" s="8">
        <v>1</v>
      </c>
      <c r="N15" s="8">
        <v>0</v>
      </c>
      <c r="O15">
        <v>-128.80000000000001</v>
      </c>
      <c r="P15" s="8" t="s">
        <v>216</v>
      </c>
      <c r="Q15" s="8" t="s">
        <v>297</v>
      </c>
      <c r="R15" s="8">
        <f>U15+V15</f>
        <v>1043.33</v>
      </c>
      <c r="S15" s="8">
        <v>242.15</v>
      </c>
      <c r="T15" s="8">
        <v>232.31</v>
      </c>
      <c r="U15" s="8">
        <v>315.87</v>
      </c>
      <c r="V15" s="8">
        <f>127.14+144.59+144.4+311.33</f>
        <v>727.46</v>
      </c>
      <c r="W15" s="8">
        <f t="shared" ref="W15:W22" si="2">S15/R15</f>
        <v>0.23209339326962708</v>
      </c>
      <c r="X15" s="8">
        <f>T15/R15</f>
        <v>0.22266205323339694</v>
      </c>
      <c r="Y15" s="8">
        <f t="shared" ref="Y15:Y22" si="3">U15/R15</f>
        <v>0.30275176598008302</v>
      </c>
      <c r="Z15" s="8">
        <f t="shared" si="0"/>
        <v>1.3596917911411477</v>
      </c>
      <c r="AA15" s="8">
        <f t="shared" si="1"/>
        <v>1.0423571951272008</v>
      </c>
      <c r="AB15" s="10" t="s">
        <v>494</v>
      </c>
      <c r="AC15" s="8" t="s">
        <v>529</v>
      </c>
      <c r="AD15" s="8">
        <v>1</v>
      </c>
      <c r="AE15" s="8">
        <v>1</v>
      </c>
    </row>
    <row r="16" spans="1:41" ht="16" x14ac:dyDescent="0.2">
      <c r="A16" s="62" t="s">
        <v>382</v>
      </c>
      <c r="B16" s="7" t="s">
        <v>77</v>
      </c>
      <c r="C16" s="8">
        <v>2021</v>
      </c>
      <c r="D16" s="8">
        <v>1</v>
      </c>
      <c r="E16" s="8">
        <v>0</v>
      </c>
      <c r="F16" s="7" t="s">
        <v>383</v>
      </c>
      <c r="G16" s="9" t="s">
        <v>148</v>
      </c>
      <c r="H16" s="12">
        <v>-20.325545000000002</v>
      </c>
      <c r="I16" s="12">
        <v>118.670141</v>
      </c>
      <c r="J16" s="9" t="s">
        <v>194</v>
      </c>
      <c r="K16" s="8" t="s">
        <v>215</v>
      </c>
      <c r="L16" s="8">
        <v>1</v>
      </c>
      <c r="M16" s="8">
        <v>1</v>
      </c>
      <c r="N16" s="8">
        <v>0</v>
      </c>
      <c r="O16">
        <v>-116</v>
      </c>
      <c r="P16" s="8" t="s">
        <v>74</v>
      </c>
      <c r="Q16" s="8">
        <v>17.5</v>
      </c>
      <c r="R16" s="8">
        <v>1276</v>
      </c>
      <c r="S16" s="8">
        <v>422.2</v>
      </c>
      <c r="T16" s="8">
        <v>393</v>
      </c>
      <c r="U16" s="8">
        <v>513.6</v>
      </c>
      <c r="V16" s="8">
        <f>R16-U16</f>
        <v>762.4</v>
      </c>
      <c r="W16" s="8">
        <f t="shared" si="2"/>
        <v>0.33087774294670846</v>
      </c>
      <c r="X16" s="8">
        <f>T16/R16</f>
        <v>0.30799373040752354</v>
      </c>
      <c r="Y16" s="8">
        <f t="shared" si="3"/>
        <v>0.40250783699059561</v>
      </c>
      <c r="Z16" s="8">
        <f t="shared" si="0"/>
        <v>1.3068702290076337</v>
      </c>
      <c r="AA16" s="8">
        <f t="shared" si="1"/>
        <v>1.0743002544529261</v>
      </c>
      <c r="AB16" s="10" t="s">
        <v>494</v>
      </c>
      <c r="AD16" s="8">
        <v>1</v>
      </c>
      <c r="AE16" s="8">
        <v>1</v>
      </c>
    </row>
    <row r="17" spans="1:31" x14ac:dyDescent="0.15">
      <c r="A17" s="7" t="s">
        <v>460</v>
      </c>
      <c r="B17" s="7" t="s">
        <v>19</v>
      </c>
      <c r="C17" s="8">
        <v>1950</v>
      </c>
      <c r="D17" s="8">
        <v>1</v>
      </c>
      <c r="E17" s="8">
        <v>0</v>
      </c>
      <c r="F17" s="7" t="s">
        <v>461</v>
      </c>
      <c r="G17" s="9" t="s">
        <v>82</v>
      </c>
      <c r="J17" s="9" t="s">
        <v>154</v>
      </c>
      <c r="K17" s="8" t="s">
        <v>462</v>
      </c>
      <c r="L17" s="8">
        <v>1</v>
      </c>
      <c r="M17" s="8">
        <v>1</v>
      </c>
      <c r="N17" s="8">
        <v>0</v>
      </c>
      <c r="O17" s="8">
        <v>-100</v>
      </c>
      <c r="P17" s="8" t="s">
        <v>463</v>
      </c>
      <c r="Q17" s="8" t="s">
        <v>464</v>
      </c>
      <c r="R17" s="8">
        <v>4340</v>
      </c>
      <c r="S17" s="8">
        <v>892.6</v>
      </c>
      <c r="T17" s="8">
        <v>860</v>
      </c>
      <c r="U17" s="8">
        <v>1146</v>
      </c>
      <c r="V17" s="8">
        <f>R17-U17</f>
        <v>3194</v>
      </c>
      <c r="W17" s="9">
        <f t="shared" si="2"/>
        <v>0.20566820276497697</v>
      </c>
      <c r="X17" s="9">
        <f>T17/R17</f>
        <v>0.19815668202764977</v>
      </c>
      <c r="Y17" s="8">
        <f t="shared" si="3"/>
        <v>0.26405529953917051</v>
      </c>
      <c r="Z17" s="8">
        <f t="shared" si="0"/>
        <v>1.3325581395348838</v>
      </c>
      <c r="AA17" s="9">
        <f t="shared" si="1"/>
        <v>1.037906976744186</v>
      </c>
      <c r="AB17" s="10" t="s">
        <v>203</v>
      </c>
      <c r="AD17" s="8">
        <v>1</v>
      </c>
      <c r="AE17" s="8">
        <v>1</v>
      </c>
    </row>
    <row r="18" spans="1:31" ht="16" x14ac:dyDescent="0.2">
      <c r="A18" s="7" t="s">
        <v>157</v>
      </c>
      <c r="B18" s="7" t="s">
        <v>19</v>
      </c>
      <c r="C18" s="8">
        <v>1938</v>
      </c>
      <c r="D18" s="8">
        <v>2</v>
      </c>
      <c r="E18" s="8">
        <v>0</v>
      </c>
      <c r="F18" s="7" t="s">
        <v>158</v>
      </c>
      <c r="G18" s="9" t="s">
        <v>82</v>
      </c>
      <c r="H18" s="12">
        <v>-17.228148000000001</v>
      </c>
      <c r="I18" s="12">
        <v>145.957885</v>
      </c>
      <c r="J18" s="9" t="s">
        <v>159</v>
      </c>
      <c r="K18" s="8" t="s">
        <v>17</v>
      </c>
      <c r="L18" s="8">
        <v>1</v>
      </c>
      <c r="M18" s="8">
        <v>0</v>
      </c>
      <c r="N18" s="8">
        <v>1</v>
      </c>
      <c r="O18">
        <v>-98.424999999999997</v>
      </c>
      <c r="P18" s="8" t="s">
        <v>409</v>
      </c>
      <c r="Q18" s="8" t="s">
        <v>410</v>
      </c>
      <c r="R18" s="8">
        <f>U18+V18</f>
        <v>553.76199999999994</v>
      </c>
      <c r="S18" s="8">
        <v>110.2</v>
      </c>
      <c r="T18" s="8">
        <v>106.6</v>
      </c>
      <c r="U18" s="8">
        <v>143.13200000000001</v>
      </c>
      <c r="V18" s="8">
        <f>84+152.4+174.23</f>
        <v>410.63</v>
      </c>
      <c r="W18" s="8">
        <f t="shared" si="2"/>
        <v>0.19900245954038018</v>
      </c>
      <c r="X18" s="8">
        <f>T18/R18</f>
        <v>0.19250147175140223</v>
      </c>
      <c r="Y18" s="8">
        <f t="shared" si="3"/>
        <v>0.25847205116999727</v>
      </c>
      <c r="Z18" s="8">
        <f t="shared" si="0"/>
        <v>1.3427016885553471</v>
      </c>
      <c r="AA18" s="9">
        <f t="shared" si="1"/>
        <v>1.0337711069418387</v>
      </c>
      <c r="AB18" s="10" t="s">
        <v>203</v>
      </c>
      <c r="AC18" s="8" t="s">
        <v>408</v>
      </c>
      <c r="AD18" s="8">
        <v>1</v>
      </c>
      <c r="AE18" s="8">
        <v>0</v>
      </c>
    </row>
    <row r="19" spans="1:31" x14ac:dyDescent="0.15">
      <c r="A19" s="7" t="s">
        <v>294</v>
      </c>
      <c r="B19" s="7" t="s">
        <v>19</v>
      </c>
      <c r="C19" s="8">
        <v>2022</v>
      </c>
      <c r="D19" s="8">
        <v>1</v>
      </c>
      <c r="E19" s="8">
        <v>0</v>
      </c>
      <c r="F19" s="7" t="s">
        <v>295</v>
      </c>
      <c r="G19" s="9" t="s">
        <v>148</v>
      </c>
      <c r="H19" s="8">
        <v>-18.286218000000002</v>
      </c>
      <c r="I19" s="8">
        <v>125.580307</v>
      </c>
      <c r="J19" s="9" t="s">
        <v>194</v>
      </c>
      <c r="K19" s="8" t="s">
        <v>17</v>
      </c>
      <c r="L19" s="8">
        <v>0</v>
      </c>
      <c r="M19" s="8">
        <v>1</v>
      </c>
      <c r="N19" s="8">
        <v>0</v>
      </c>
      <c r="O19">
        <v>-95.4</v>
      </c>
      <c r="P19" s="8" t="s">
        <v>74</v>
      </c>
      <c r="Q19" s="8">
        <v>17.507058529999998</v>
      </c>
      <c r="R19" s="8">
        <f>S19+1302.6+256</f>
        <v>2023.8</v>
      </c>
      <c r="S19" s="8">
        <v>465.2</v>
      </c>
      <c r="T19" s="8" t="s">
        <v>17</v>
      </c>
      <c r="U19" s="8">
        <v>572.1</v>
      </c>
      <c r="V19" s="8">
        <f>R19-U19</f>
        <v>1451.6999999999998</v>
      </c>
      <c r="W19" s="8">
        <f t="shared" si="2"/>
        <v>0.22986461112758177</v>
      </c>
      <c r="X19" s="8" t="s">
        <v>17</v>
      </c>
      <c r="Y19" s="8">
        <f t="shared" si="3"/>
        <v>0.28268603616958199</v>
      </c>
      <c r="Z19" s="8" t="s">
        <v>17</v>
      </c>
      <c r="AA19" s="8" t="s">
        <v>17</v>
      </c>
      <c r="AB19" s="10" t="s">
        <v>293</v>
      </c>
      <c r="AD19" s="8">
        <v>1</v>
      </c>
      <c r="AE19" s="8">
        <v>1</v>
      </c>
    </row>
    <row r="20" spans="1:31" x14ac:dyDescent="0.15">
      <c r="A20" s="7" t="s">
        <v>136</v>
      </c>
      <c r="B20" s="7" t="s">
        <v>19</v>
      </c>
      <c r="C20" s="8">
        <v>1975</v>
      </c>
      <c r="D20" s="8">
        <v>1</v>
      </c>
      <c r="E20" s="8">
        <v>0</v>
      </c>
      <c r="F20" s="7" t="s">
        <v>137</v>
      </c>
      <c r="G20" s="9" t="s">
        <v>96</v>
      </c>
      <c r="H20" s="8">
        <v>-12.411472</v>
      </c>
      <c r="I20" s="8">
        <v>132.96733900000001</v>
      </c>
      <c r="J20" s="9" t="s">
        <v>109</v>
      </c>
      <c r="K20" s="8" t="s">
        <v>138</v>
      </c>
      <c r="L20" s="8">
        <v>0</v>
      </c>
      <c r="M20" s="8">
        <v>1</v>
      </c>
      <c r="N20" s="8">
        <v>0</v>
      </c>
      <c r="O20">
        <v>-94.5</v>
      </c>
      <c r="P20" s="8" t="s">
        <v>74</v>
      </c>
      <c r="Q20" s="8" t="s">
        <v>101</v>
      </c>
      <c r="R20" s="8">
        <v>2255</v>
      </c>
      <c r="S20" s="8">
        <v>483.8</v>
      </c>
      <c r="T20" s="8">
        <v>462</v>
      </c>
      <c r="U20" s="8">
        <v>643</v>
      </c>
      <c r="V20" s="8">
        <f>R20-U20</f>
        <v>1612</v>
      </c>
      <c r="W20" s="8">
        <f t="shared" si="2"/>
        <v>0.21454545454545454</v>
      </c>
      <c r="X20" s="8">
        <f>T20/R20</f>
        <v>0.20487804878048779</v>
      </c>
      <c r="Y20" s="8">
        <f t="shared" si="3"/>
        <v>0.28514412416851442</v>
      </c>
      <c r="Z20" s="8">
        <f t="shared" ref="Z20:Z51" si="4">U20/T20</f>
        <v>1.3917748917748918</v>
      </c>
      <c r="AA20" s="9">
        <f t="shared" ref="AA20:AA51" si="5">S20/T20</f>
        <v>1.0471861471861472</v>
      </c>
      <c r="AB20" s="10" t="s">
        <v>293</v>
      </c>
      <c r="AD20" s="8">
        <v>1</v>
      </c>
      <c r="AE20" s="8">
        <v>1</v>
      </c>
    </row>
    <row r="21" spans="1:31" x14ac:dyDescent="0.15">
      <c r="A21" s="62" t="s">
        <v>90</v>
      </c>
      <c r="B21" s="7" t="s">
        <v>77</v>
      </c>
      <c r="C21" s="8">
        <v>1951</v>
      </c>
      <c r="D21" s="8">
        <v>1</v>
      </c>
      <c r="E21" s="8">
        <v>0</v>
      </c>
      <c r="F21" s="7" t="s">
        <v>91</v>
      </c>
      <c r="G21" s="9" t="s">
        <v>82</v>
      </c>
      <c r="H21" s="8">
        <v>-27.067025000000001</v>
      </c>
      <c r="I21" s="8">
        <v>153.13537099999999</v>
      </c>
      <c r="J21" s="9" t="s">
        <v>108</v>
      </c>
      <c r="K21" s="8" t="s">
        <v>92</v>
      </c>
      <c r="L21" s="8">
        <v>0</v>
      </c>
      <c r="M21" s="8">
        <v>1</v>
      </c>
      <c r="N21" s="8">
        <v>0</v>
      </c>
      <c r="O21">
        <v>-93.09</v>
      </c>
      <c r="P21" s="8" t="s">
        <v>93</v>
      </c>
      <c r="Q21" s="8" t="s">
        <v>94</v>
      </c>
      <c r="R21" s="8">
        <v>5080</v>
      </c>
      <c r="S21" s="8">
        <v>1460.5</v>
      </c>
      <c r="T21" s="8">
        <v>1381.3</v>
      </c>
      <c r="U21" s="8">
        <f>R21-V21</f>
        <v>1707</v>
      </c>
      <c r="V21" s="8">
        <v>3373</v>
      </c>
      <c r="W21" s="9">
        <f t="shared" si="2"/>
        <v>0.28749999999999998</v>
      </c>
      <c r="X21" s="9">
        <f>T21/R21</f>
        <v>0.27190944881889761</v>
      </c>
      <c r="Y21" s="8">
        <f t="shared" si="3"/>
        <v>0.33602362204724412</v>
      </c>
      <c r="Z21" s="9">
        <f t="shared" si="4"/>
        <v>1.2357923695069861</v>
      </c>
      <c r="AA21" s="9">
        <f t="shared" si="5"/>
        <v>1.0573372909577934</v>
      </c>
      <c r="AB21" s="10" t="s">
        <v>203</v>
      </c>
      <c r="AD21" s="8">
        <v>1</v>
      </c>
      <c r="AE21" s="8">
        <v>1</v>
      </c>
    </row>
    <row r="22" spans="1:31" x14ac:dyDescent="0.15">
      <c r="A22" s="7" t="s">
        <v>152</v>
      </c>
      <c r="B22" s="7" t="s">
        <v>19</v>
      </c>
      <c r="C22" s="8">
        <v>1966</v>
      </c>
      <c r="D22" s="8">
        <v>1</v>
      </c>
      <c r="E22" s="8">
        <v>0</v>
      </c>
      <c r="F22" s="7" t="s">
        <v>153</v>
      </c>
      <c r="G22" s="9" t="s">
        <v>82</v>
      </c>
      <c r="H22" s="8">
        <v>-19.322619</v>
      </c>
      <c r="I22" s="8">
        <v>147.43370400000001</v>
      </c>
      <c r="J22" s="9" t="s">
        <v>154</v>
      </c>
      <c r="K22" s="8" t="s">
        <v>155</v>
      </c>
      <c r="L22" s="8">
        <v>0</v>
      </c>
      <c r="M22" s="8">
        <v>1</v>
      </c>
      <c r="N22" s="8">
        <v>0</v>
      </c>
      <c r="O22">
        <v>-92.1</v>
      </c>
      <c r="P22" s="8" t="s">
        <v>156</v>
      </c>
      <c r="Q22" s="8">
        <v>5810</v>
      </c>
      <c r="R22" s="8">
        <v>5810</v>
      </c>
      <c r="S22" s="8">
        <v>1518.6</v>
      </c>
      <c r="T22" s="8">
        <v>1421.1</v>
      </c>
      <c r="U22" s="8">
        <v>1829</v>
      </c>
      <c r="V22" s="8">
        <f>Q22-U22</f>
        <v>3981</v>
      </c>
      <c r="W22" s="8">
        <f t="shared" si="2"/>
        <v>0.26137693631669534</v>
      </c>
      <c r="X22" s="8">
        <f>T22/R22</f>
        <v>0.24459552495697073</v>
      </c>
      <c r="Y22" s="8">
        <f t="shared" si="3"/>
        <v>0.31480206540447503</v>
      </c>
      <c r="Z22" s="8">
        <f t="shared" si="4"/>
        <v>1.2870311730349731</v>
      </c>
      <c r="AA22" s="9">
        <f t="shared" si="5"/>
        <v>1.068608824150306</v>
      </c>
      <c r="AB22" s="10" t="s">
        <v>203</v>
      </c>
      <c r="AD22" s="8">
        <v>1</v>
      </c>
      <c r="AE22" s="8">
        <v>1</v>
      </c>
    </row>
    <row r="23" spans="1:31" x14ac:dyDescent="0.15">
      <c r="A23" s="7" t="s">
        <v>285</v>
      </c>
      <c r="B23" s="7" t="s">
        <v>19</v>
      </c>
      <c r="C23" s="8">
        <v>2015</v>
      </c>
      <c r="D23" s="8">
        <v>3</v>
      </c>
      <c r="E23" s="8">
        <v>0</v>
      </c>
      <c r="F23" s="7" t="s">
        <v>286</v>
      </c>
      <c r="G23" s="9" t="s">
        <v>148</v>
      </c>
      <c r="H23" s="8">
        <v>-17.729006999999999</v>
      </c>
      <c r="I23" s="8">
        <v>123.643001</v>
      </c>
      <c r="J23" s="9" t="s">
        <v>109</v>
      </c>
      <c r="K23" s="8" t="s">
        <v>287</v>
      </c>
      <c r="L23" s="8">
        <v>0</v>
      </c>
      <c r="M23" s="8">
        <v>1</v>
      </c>
      <c r="N23" s="8">
        <v>0</v>
      </c>
      <c r="O23">
        <v>-91.9</v>
      </c>
      <c r="P23" s="8" t="s">
        <v>71</v>
      </c>
      <c r="Q23" s="8" t="s">
        <v>17</v>
      </c>
      <c r="R23" s="8" t="s">
        <v>17</v>
      </c>
      <c r="S23" s="8">
        <v>977.2</v>
      </c>
      <c r="T23" s="8">
        <v>936.9</v>
      </c>
      <c r="U23" s="8">
        <v>1260.8</v>
      </c>
      <c r="V23" s="8" t="s">
        <v>17</v>
      </c>
      <c r="W23" s="8" t="s">
        <v>17</v>
      </c>
      <c r="X23" s="8" t="s">
        <v>17</v>
      </c>
      <c r="Y23" s="8" t="s">
        <v>17</v>
      </c>
      <c r="Z23" s="8">
        <f t="shared" si="4"/>
        <v>1.345714590671363</v>
      </c>
      <c r="AA23" s="8">
        <f t="shared" si="5"/>
        <v>1.0430141957519481</v>
      </c>
      <c r="AB23" s="10" t="s">
        <v>494</v>
      </c>
      <c r="AC23" s="8" t="s">
        <v>396</v>
      </c>
      <c r="AD23" s="8">
        <v>1</v>
      </c>
      <c r="AE23" s="8">
        <v>0</v>
      </c>
    </row>
    <row r="24" spans="1:31" ht="16" x14ac:dyDescent="0.2">
      <c r="A24" s="7" t="s">
        <v>243</v>
      </c>
      <c r="B24" s="7" t="s">
        <v>16</v>
      </c>
      <c r="C24" s="8">
        <v>2021</v>
      </c>
      <c r="D24" s="8">
        <v>2</v>
      </c>
      <c r="E24" s="8">
        <v>0</v>
      </c>
      <c r="F24" s="7" t="s">
        <v>240</v>
      </c>
      <c r="G24" s="9" t="s">
        <v>82</v>
      </c>
      <c r="H24" s="12">
        <v>-12.5592158</v>
      </c>
      <c r="I24" s="12">
        <v>142.02100830000001</v>
      </c>
      <c r="J24" s="9" t="s">
        <v>109</v>
      </c>
      <c r="K24" s="8" t="s">
        <v>241</v>
      </c>
      <c r="L24" s="8">
        <v>0</v>
      </c>
      <c r="M24" s="8">
        <v>1</v>
      </c>
      <c r="N24" s="8">
        <v>0</v>
      </c>
      <c r="O24">
        <v>-91.2</v>
      </c>
      <c r="P24" s="8" t="s">
        <v>71</v>
      </c>
      <c r="Q24" s="8" t="s">
        <v>17</v>
      </c>
      <c r="R24" s="8" t="s">
        <v>17</v>
      </c>
      <c r="S24" s="8">
        <v>831.7</v>
      </c>
      <c r="T24" s="8">
        <v>804.6</v>
      </c>
      <c r="U24" s="8">
        <v>1068.3</v>
      </c>
      <c r="V24" s="8" t="s">
        <v>17</v>
      </c>
      <c r="W24" s="8" t="s">
        <v>17</v>
      </c>
      <c r="X24" s="8" t="s">
        <v>17</v>
      </c>
      <c r="Y24" s="8" t="s">
        <v>17</v>
      </c>
      <c r="Z24" s="8">
        <f t="shared" si="4"/>
        <v>1.3277404921700222</v>
      </c>
      <c r="AA24" s="8">
        <f t="shared" si="5"/>
        <v>1.0336813323390506</v>
      </c>
      <c r="AB24" s="10" t="s">
        <v>374</v>
      </c>
      <c r="AC24" s="8" t="s">
        <v>242</v>
      </c>
      <c r="AD24" s="8">
        <v>1</v>
      </c>
      <c r="AE24" s="8">
        <v>0</v>
      </c>
    </row>
    <row r="25" spans="1:31" x14ac:dyDescent="0.15">
      <c r="A25" s="7" t="s">
        <v>75</v>
      </c>
      <c r="B25" s="7" t="s">
        <v>19</v>
      </c>
      <c r="C25" s="8">
        <v>1945</v>
      </c>
      <c r="D25" s="8">
        <v>1</v>
      </c>
      <c r="E25" s="8">
        <v>0</v>
      </c>
      <c r="F25" s="7" t="s">
        <v>72</v>
      </c>
      <c r="G25" s="9" t="s">
        <v>82</v>
      </c>
      <c r="H25" s="8">
        <v>-15.997201</v>
      </c>
      <c r="I25" s="8">
        <v>144.07638299999999</v>
      </c>
      <c r="J25" s="9" t="s">
        <v>109</v>
      </c>
      <c r="K25" s="8" t="s">
        <v>17</v>
      </c>
      <c r="L25" s="8">
        <v>0</v>
      </c>
      <c r="M25" s="8">
        <v>1</v>
      </c>
      <c r="N25" s="8">
        <v>0</v>
      </c>
      <c r="O25">
        <v>-89.6</v>
      </c>
      <c r="P25" s="8" t="s">
        <v>74</v>
      </c>
      <c r="Q25" s="8" t="s">
        <v>73</v>
      </c>
      <c r="R25" s="8">
        <v>2327</v>
      </c>
      <c r="S25" s="8">
        <v>472.7</v>
      </c>
      <c r="T25" s="8">
        <v>458.4</v>
      </c>
      <c r="U25" s="8">
        <v>609.9</v>
      </c>
      <c r="V25" s="8">
        <f>R25-U25</f>
        <v>1717.1</v>
      </c>
      <c r="W25" s="9">
        <f>S25/R25</f>
        <v>0.20313708637730984</v>
      </c>
      <c r="X25" s="9">
        <f>T25/R25</f>
        <v>0.19699183498066178</v>
      </c>
      <c r="Y25" s="8">
        <f>U25/R25</f>
        <v>0.26209712075633862</v>
      </c>
      <c r="Z25" s="9">
        <f t="shared" si="4"/>
        <v>1.330497382198953</v>
      </c>
      <c r="AA25" s="9">
        <f t="shared" si="5"/>
        <v>1.0311954624781849</v>
      </c>
      <c r="AB25" s="10" t="s">
        <v>293</v>
      </c>
      <c r="AD25" s="8">
        <v>1</v>
      </c>
      <c r="AE25" s="8">
        <v>1</v>
      </c>
    </row>
    <row r="26" spans="1:31" ht="16" x14ac:dyDescent="0.2">
      <c r="A26" s="7" t="s">
        <v>263</v>
      </c>
      <c r="B26" s="7" t="s">
        <v>19</v>
      </c>
      <c r="C26" s="8">
        <v>2021</v>
      </c>
      <c r="D26" s="8">
        <v>1</v>
      </c>
      <c r="E26" s="8">
        <v>0</v>
      </c>
      <c r="F26" s="7" t="s">
        <v>264</v>
      </c>
      <c r="G26" s="9" t="s">
        <v>148</v>
      </c>
      <c r="H26" s="12">
        <v>-17.6866667</v>
      </c>
      <c r="I26" s="12">
        <v>123.5652778</v>
      </c>
      <c r="J26" s="9" t="s">
        <v>194</v>
      </c>
      <c r="K26" s="8" t="s">
        <v>265</v>
      </c>
      <c r="L26" s="8">
        <v>0</v>
      </c>
      <c r="M26" s="8">
        <v>1</v>
      </c>
      <c r="N26" s="8">
        <v>0</v>
      </c>
      <c r="O26">
        <v>-88.9</v>
      </c>
      <c r="P26" s="8" t="s">
        <v>266</v>
      </c>
      <c r="Q26" s="8" t="s">
        <v>267</v>
      </c>
      <c r="R26" s="8">
        <v>841.1</v>
      </c>
      <c r="S26" s="8">
        <v>265.39999999999998</v>
      </c>
      <c r="T26" s="8">
        <v>256.2</v>
      </c>
      <c r="U26" s="8">
        <v>339.5</v>
      </c>
      <c r="V26" s="8">
        <f>R26-U26</f>
        <v>501.6</v>
      </c>
      <c r="W26" s="8">
        <f>S26/R26</f>
        <v>0.31553917489002492</v>
      </c>
      <c r="X26" s="8">
        <f>T26/R26</f>
        <v>0.30460111758411601</v>
      </c>
      <c r="Y26" s="8">
        <f>U26/R26</f>
        <v>0.40363809297348707</v>
      </c>
      <c r="Z26" s="8">
        <f t="shared" si="4"/>
        <v>1.325136612021858</v>
      </c>
      <c r="AA26" s="8">
        <f t="shared" si="5"/>
        <v>1.0359094457455114</v>
      </c>
      <c r="AB26" s="10" t="s">
        <v>494</v>
      </c>
      <c r="AD26" s="8">
        <v>1</v>
      </c>
      <c r="AE26" s="8">
        <v>0</v>
      </c>
    </row>
    <row r="27" spans="1:31" x14ac:dyDescent="0.15">
      <c r="A27" s="62" t="s">
        <v>102</v>
      </c>
      <c r="B27" s="7" t="s">
        <v>77</v>
      </c>
      <c r="C27" s="8">
        <v>1945</v>
      </c>
      <c r="D27" s="8">
        <v>1</v>
      </c>
      <c r="E27" s="8">
        <v>0</v>
      </c>
      <c r="F27" s="7" t="s">
        <v>103</v>
      </c>
      <c r="G27" s="9" t="s">
        <v>82</v>
      </c>
      <c r="H27" s="8">
        <v>-22.892341999999999</v>
      </c>
      <c r="I27" s="8">
        <v>150.72671600000001</v>
      </c>
      <c r="J27" s="9" t="s">
        <v>108</v>
      </c>
      <c r="K27" s="8" t="s">
        <v>17</v>
      </c>
      <c r="L27" s="8">
        <v>0</v>
      </c>
      <c r="M27" s="8">
        <v>1</v>
      </c>
      <c r="N27" s="8">
        <v>0</v>
      </c>
      <c r="O27">
        <v>-88.85</v>
      </c>
      <c r="P27" s="8" t="s">
        <v>74</v>
      </c>
      <c r="Q27" s="8" t="s">
        <v>73</v>
      </c>
      <c r="R27" s="8">
        <f>U27+V27</f>
        <v>3806.6</v>
      </c>
      <c r="S27" s="8">
        <v>811.9</v>
      </c>
      <c r="T27" s="8">
        <v>767.5</v>
      </c>
      <c r="U27" s="8">
        <v>1028.0999999999999</v>
      </c>
      <c r="V27" s="8">
        <v>2778.5</v>
      </c>
      <c r="W27" s="8">
        <f>S27/R27</f>
        <v>0.21328744811642936</v>
      </c>
      <c r="X27" s="8">
        <f>T27/R27</f>
        <v>0.20162349603320548</v>
      </c>
      <c r="Y27" s="8">
        <f>U27/R27</f>
        <v>0.2700835391162717</v>
      </c>
      <c r="Z27" s="8">
        <f t="shared" si="4"/>
        <v>1.3395439739413679</v>
      </c>
      <c r="AA27" s="9">
        <f t="shared" si="5"/>
        <v>1.0578501628664494</v>
      </c>
      <c r="AB27" s="10" t="s">
        <v>203</v>
      </c>
      <c r="AD27" s="8">
        <v>1</v>
      </c>
      <c r="AE27" s="8">
        <v>1</v>
      </c>
    </row>
    <row r="28" spans="1:31" x14ac:dyDescent="0.15">
      <c r="A28" s="7" t="s">
        <v>163</v>
      </c>
      <c r="B28" s="7" t="s">
        <v>46</v>
      </c>
      <c r="C28" s="8">
        <v>2021</v>
      </c>
      <c r="D28" s="8">
        <v>1</v>
      </c>
      <c r="E28" s="8">
        <v>0</v>
      </c>
      <c r="F28" s="7" t="s">
        <v>165</v>
      </c>
      <c r="G28" s="9" t="s">
        <v>82</v>
      </c>
      <c r="H28" s="9">
        <v>-17.380549999999999</v>
      </c>
      <c r="I28" s="9">
        <v>140.8850444</v>
      </c>
      <c r="J28" s="9" t="s">
        <v>189</v>
      </c>
      <c r="K28" s="8" t="s">
        <v>166</v>
      </c>
      <c r="L28" s="8">
        <v>0</v>
      </c>
      <c r="M28" s="8">
        <v>1</v>
      </c>
      <c r="N28" s="8">
        <v>0</v>
      </c>
      <c r="O28">
        <v>-87.775000000000006</v>
      </c>
      <c r="P28" s="8" t="s">
        <v>71</v>
      </c>
      <c r="Q28" s="8" t="s">
        <v>17</v>
      </c>
      <c r="R28" s="8" t="s">
        <v>17</v>
      </c>
      <c r="S28" s="8">
        <v>210.3</v>
      </c>
      <c r="T28" s="8">
        <v>178.1</v>
      </c>
      <c r="U28" s="8">
        <v>269.91000000000003</v>
      </c>
      <c r="V28" s="8" t="s">
        <v>17</v>
      </c>
      <c r="W28" s="8" t="s">
        <v>17</v>
      </c>
      <c r="X28" s="8" t="s">
        <v>17</v>
      </c>
      <c r="Y28" s="8" t="s">
        <v>17</v>
      </c>
      <c r="Z28" s="8">
        <f t="shared" si="4"/>
        <v>1.515496911847277</v>
      </c>
      <c r="AA28" s="9">
        <f t="shared" si="5"/>
        <v>1.1807973048848963</v>
      </c>
      <c r="AB28" s="10" t="s">
        <v>494</v>
      </c>
      <c r="AD28" s="8">
        <v>1</v>
      </c>
      <c r="AE28" s="8">
        <v>0</v>
      </c>
    </row>
    <row r="29" spans="1:31" x14ac:dyDescent="0.15">
      <c r="A29" s="7" t="s">
        <v>301</v>
      </c>
      <c r="B29" s="7" t="s">
        <v>19</v>
      </c>
      <c r="C29" s="8">
        <v>2020</v>
      </c>
      <c r="D29" s="8">
        <v>1</v>
      </c>
      <c r="E29" s="8">
        <v>0</v>
      </c>
      <c r="F29" s="7" t="s">
        <v>302</v>
      </c>
      <c r="G29" s="9" t="s">
        <v>82</v>
      </c>
      <c r="H29" s="8">
        <v>-15.271274999999999</v>
      </c>
      <c r="I29" s="8">
        <v>144.449251</v>
      </c>
      <c r="J29" s="9" t="s">
        <v>214</v>
      </c>
      <c r="K29" s="8" t="s">
        <v>303</v>
      </c>
      <c r="L29" s="8">
        <v>0</v>
      </c>
      <c r="M29" s="8">
        <v>1</v>
      </c>
      <c r="N29" s="8">
        <v>0</v>
      </c>
      <c r="O29">
        <v>-86.7</v>
      </c>
      <c r="P29" s="8" t="s">
        <v>304</v>
      </c>
      <c r="Q29" s="8" t="s">
        <v>305</v>
      </c>
      <c r="R29" s="8">
        <v>1300</v>
      </c>
      <c r="S29" s="8">
        <v>300</v>
      </c>
      <c r="T29" s="8">
        <v>285</v>
      </c>
      <c r="U29" s="8">
        <v>363.4</v>
      </c>
      <c r="V29" s="8">
        <f>R29-U29</f>
        <v>936.6</v>
      </c>
      <c r="W29" s="8">
        <f>S29/R29</f>
        <v>0.23076923076923078</v>
      </c>
      <c r="X29" s="8">
        <f>T29/R29</f>
        <v>0.21923076923076923</v>
      </c>
      <c r="Y29" s="8">
        <f>U29/R29</f>
        <v>0.27953846153846151</v>
      </c>
      <c r="Z29" s="8">
        <f t="shared" si="4"/>
        <v>1.2750877192982455</v>
      </c>
      <c r="AA29" s="8">
        <f t="shared" si="5"/>
        <v>1.0526315789473684</v>
      </c>
      <c r="AB29" s="10" t="s">
        <v>374</v>
      </c>
      <c r="AD29" s="8">
        <v>1</v>
      </c>
      <c r="AE29" s="8">
        <v>1</v>
      </c>
    </row>
    <row r="30" spans="1:31" x14ac:dyDescent="0.15">
      <c r="A30" s="62" t="s">
        <v>115</v>
      </c>
      <c r="B30" s="7" t="s">
        <v>77</v>
      </c>
      <c r="C30" s="8">
        <v>1945</v>
      </c>
      <c r="D30" s="8">
        <v>1</v>
      </c>
      <c r="E30" s="8">
        <v>0</v>
      </c>
      <c r="F30" s="7" t="s">
        <v>114</v>
      </c>
      <c r="G30" s="9" t="s">
        <v>83</v>
      </c>
      <c r="H30" s="8">
        <v>-28.196010999999999</v>
      </c>
      <c r="I30" s="8">
        <v>153.55726899999999</v>
      </c>
      <c r="J30" s="9" t="s">
        <v>116</v>
      </c>
      <c r="K30" s="8" t="s">
        <v>17</v>
      </c>
      <c r="L30" s="8">
        <v>0</v>
      </c>
      <c r="M30" s="8">
        <v>1</v>
      </c>
      <c r="N30" s="8">
        <v>0</v>
      </c>
      <c r="O30">
        <v>-86.7</v>
      </c>
      <c r="P30" s="8" t="s">
        <v>117</v>
      </c>
      <c r="Q30" s="8" t="s">
        <v>118</v>
      </c>
      <c r="R30" s="8">
        <f>U30+V30</f>
        <v>4707.8999999999996</v>
      </c>
      <c r="S30" s="8">
        <v>1257</v>
      </c>
      <c r="T30" s="8">
        <v>1154.5</v>
      </c>
      <c r="U30" s="8">
        <v>1501.5</v>
      </c>
      <c r="V30" s="8">
        <v>3206.4</v>
      </c>
      <c r="W30" s="8">
        <f>S30/R30</f>
        <v>0.2669980245969541</v>
      </c>
      <c r="X30" s="8">
        <f>T30/R30</f>
        <v>0.24522610930563524</v>
      </c>
      <c r="Y30" s="8">
        <f>U30/R30</f>
        <v>0.31893200790161219</v>
      </c>
      <c r="Z30" s="8">
        <f t="shared" si="4"/>
        <v>1.3005630142919014</v>
      </c>
      <c r="AA30" s="9">
        <f t="shared" si="5"/>
        <v>1.0887830229536597</v>
      </c>
      <c r="AB30" s="10" t="s">
        <v>203</v>
      </c>
      <c r="AC30" s="7" t="s">
        <v>399</v>
      </c>
      <c r="AD30" s="8">
        <v>1</v>
      </c>
      <c r="AE30" s="8">
        <v>1</v>
      </c>
    </row>
    <row r="31" spans="1:31" x14ac:dyDescent="0.15">
      <c r="A31" s="7" t="s">
        <v>201</v>
      </c>
      <c r="B31" s="7" t="s">
        <v>46</v>
      </c>
      <c r="C31" s="8">
        <v>2021</v>
      </c>
      <c r="D31" s="8">
        <v>2</v>
      </c>
      <c r="E31" s="8">
        <v>6</v>
      </c>
      <c r="F31" s="7" t="s">
        <v>200</v>
      </c>
      <c r="G31" s="9" t="s">
        <v>82</v>
      </c>
      <c r="H31" s="8">
        <v>-12.0481833</v>
      </c>
      <c r="I31" s="8">
        <v>141.82304999999999</v>
      </c>
      <c r="J31" s="9" t="s">
        <v>109</v>
      </c>
      <c r="K31" s="8" t="s">
        <v>202</v>
      </c>
      <c r="L31" s="8">
        <v>0</v>
      </c>
      <c r="M31" s="8">
        <v>1</v>
      </c>
      <c r="N31" s="8">
        <v>0</v>
      </c>
      <c r="O31">
        <v>-86.4</v>
      </c>
      <c r="P31" s="8" t="s">
        <v>71</v>
      </c>
      <c r="Q31" s="8" t="s">
        <v>17</v>
      </c>
      <c r="R31" s="8" t="s">
        <v>17</v>
      </c>
      <c r="S31" s="8">
        <v>905.4</v>
      </c>
      <c r="T31" s="8">
        <v>819.2</v>
      </c>
      <c r="U31" s="8">
        <v>1103.99</v>
      </c>
      <c r="V31" s="8" t="s">
        <v>17</v>
      </c>
      <c r="W31" s="8" t="s">
        <v>17</v>
      </c>
      <c r="X31" s="8" t="s">
        <v>17</v>
      </c>
      <c r="Y31" s="8" t="s">
        <v>17</v>
      </c>
      <c r="Z31" s="8">
        <f t="shared" si="4"/>
        <v>1.34764404296875</v>
      </c>
      <c r="AA31" s="9">
        <f t="shared" si="5"/>
        <v>1.105224609375</v>
      </c>
      <c r="AB31" s="10" t="s">
        <v>203</v>
      </c>
      <c r="AD31" s="8">
        <v>1</v>
      </c>
      <c r="AE31" s="8">
        <v>0</v>
      </c>
    </row>
    <row r="32" spans="1:31" x14ac:dyDescent="0.15">
      <c r="A32" s="7" t="s">
        <v>164</v>
      </c>
      <c r="B32" s="7" t="s">
        <v>46</v>
      </c>
      <c r="C32" s="8">
        <v>2021</v>
      </c>
      <c r="D32" s="8">
        <v>1</v>
      </c>
      <c r="E32" s="8">
        <v>0</v>
      </c>
      <c r="F32" s="7" t="s">
        <v>165</v>
      </c>
      <c r="G32" s="9" t="s">
        <v>82</v>
      </c>
      <c r="H32" s="9">
        <v>-17.387902799999999</v>
      </c>
      <c r="I32" s="9">
        <v>140.90565000000001</v>
      </c>
      <c r="J32" s="9" t="s">
        <v>189</v>
      </c>
      <c r="K32" s="8" t="s">
        <v>166</v>
      </c>
      <c r="L32" s="8">
        <v>0</v>
      </c>
      <c r="M32" s="8">
        <v>1</v>
      </c>
      <c r="N32" s="8">
        <v>0</v>
      </c>
      <c r="O32">
        <v>-80.149000000000001</v>
      </c>
      <c r="P32" s="8" t="s">
        <v>167</v>
      </c>
      <c r="Q32" s="8" t="s">
        <v>166</v>
      </c>
      <c r="R32" s="8">
        <v>700</v>
      </c>
      <c r="S32" s="8">
        <v>159.15</v>
      </c>
      <c r="T32" s="8">
        <v>128</v>
      </c>
      <c r="U32" s="8">
        <v>199.6</v>
      </c>
      <c r="V32" s="8">
        <f>R32-U32</f>
        <v>500.4</v>
      </c>
      <c r="W32" s="8">
        <f>S32/R32</f>
        <v>0.22735714285714287</v>
      </c>
      <c r="X32" s="8">
        <f>T32/R32</f>
        <v>0.18285714285714286</v>
      </c>
      <c r="Y32" s="8">
        <f>U32/R32</f>
        <v>0.28514285714285714</v>
      </c>
      <c r="Z32" s="8">
        <f t="shared" si="4"/>
        <v>1.559375</v>
      </c>
      <c r="AA32" s="9">
        <f t="shared" si="5"/>
        <v>1.243359375</v>
      </c>
      <c r="AB32" s="10" t="s">
        <v>494</v>
      </c>
      <c r="AD32" s="8">
        <v>1</v>
      </c>
      <c r="AE32" s="8">
        <v>1</v>
      </c>
    </row>
    <row r="33" spans="1:31" x14ac:dyDescent="0.15">
      <c r="A33" s="7" t="s">
        <v>313</v>
      </c>
      <c r="B33" s="7" t="s">
        <v>19</v>
      </c>
      <c r="C33" s="8">
        <v>2018</v>
      </c>
      <c r="D33" s="8">
        <v>2</v>
      </c>
      <c r="E33" s="8">
        <v>0</v>
      </c>
      <c r="F33" s="7" t="s">
        <v>314</v>
      </c>
      <c r="G33" s="9" t="s">
        <v>96</v>
      </c>
      <c r="H33" s="8">
        <v>-15.479467</v>
      </c>
      <c r="I33" s="8">
        <v>128.815066</v>
      </c>
      <c r="J33" s="9" t="s">
        <v>109</v>
      </c>
      <c r="K33" s="8" t="s">
        <v>315</v>
      </c>
      <c r="L33" s="8">
        <v>0</v>
      </c>
      <c r="M33" s="8">
        <v>1</v>
      </c>
      <c r="N33" s="8">
        <v>0</v>
      </c>
      <c r="O33">
        <v>-80.099999999999994</v>
      </c>
      <c r="P33" s="8" t="s">
        <v>304</v>
      </c>
      <c r="Q33" s="8">
        <v>65</v>
      </c>
      <c r="R33" s="8" t="s">
        <v>17</v>
      </c>
      <c r="S33" s="8">
        <v>650</v>
      </c>
      <c r="T33" s="8">
        <v>619.79999999999995</v>
      </c>
      <c r="U33" s="8">
        <v>831.45</v>
      </c>
      <c r="V33" s="8" t="s">
        <v>17</v>
      </c>
      <c r="W33" s="8" t="s">
        <v>17</v>
      </c>
      <c r="X33" s="8" t="s">
        <v>17</v>
      </c>
      <c r="Y33" s="8" t="s">
        <v>17</v>
      </c>
      <c r="Z33" s="8">
        <f t="shared" si="4"/>
        <v>1.3414811229428849</v>
      </c>
      <c r="AA33" s="8">
        <f t="shared" si="5"/>
        <v>1.0487253952888029</v>
      </c>
      <c r="AB33" s="10" t="s">
        <v>374</v>
      </c>
      <c r="AD33" s="8">
        <v>1</v>
      </c>
      <c r="AE33" s="8">
        <v>0</v>
      </c>
    </row>
    <row r="34" spans="1:31" x14ac:dyDescent="0.15">
      <c r="A34" s="7" t="s">
        <v>232</v>
      </c>
      <c r="B34" s="7" t="s">
        <v>16</v>
      </c>
      <c r="C34" s="8">
        <v>2018</v>
      </c>
      <c r="D34" s="8">
        <v>3</v>
      </c>
      <c r="E34" s="8">
        <v>0</v>
      </c>
      <c r="F34" s="7" t="s">
        <v>231</v>
      </c>
      <c r="G34" s="9" t="s">
        <v>82</v>
      </c>
      <c r="H34" s="8">
        <v>-12.723155</v>
      </c>
      <c r="I34" s="8">
        <v>141.95924099999999</v>
      </c>
      <c r="J34" s="9" t="s">
        <v>190</v>
      </c>
      <c r="K34" s="8" t="s">
        <v>215</v>
      </c>
      <c r="L34" s="8">
        <v>0</v>
      </c>
      <c r="M34" s="8">
        <v>1</v>
      </c>
      <c r="N34" s="8">
        <v>0</v>
      </c>
      <c r="O34">
        <v>-77.8</v>
      </c>
      <c r="P34" s="8" t="s">
        <v>71</v>
      </c>
      <c r="Q34" s="8" t="s">
        <v>17</v>
      </c>
      <c r="R34" s="8" t="s">
        <v>17</v>
      </c>
      <c r="S34" s="8">
        <v>435.23</v>
      </c>
      <c r="T34" s="8">
        <v>415.43</v>
      </c>
      <c r="U34" s="8">
        <v>558.69000000000005</v>
      </c>
      <c r="V34" s="8" t="s">
        <v>17</v>
      </c>
      <c r="W34" s="8" t="s">
        <v>17</v>
      </c>
      <c r="X34" s="8" t="s">
        <v>17</v>
      </c>
      <c r="Y34" s="8" t="s">
        <v>17</v>
      </c>
      <c r="Z34" s="8">
        <f t="shared" si="4"/>
        <v>1.3448475074019692</v>
      </c>
      <c r="AA34" s="8">
        <f t="shared" si="5"/>
        <v>1.0476614592109381</v>
      </c>
      <c r="AB34" s="10" t="s">
        <v>494</v>
      </c>
      <c r="AD34" s="8">
        <v>1</v>
      </c>
      <c r="AE34" s="8">
        <v>0</v>
      </c>
    </row>
    <row r="35" spans="1:31" x14ac:dyDescent="0.15">
      <c r="A35" s="7" t="s">
        <v>160</v>
      </c>
      <c r="B35" s="7" t="s">
        <v>19</v>
      </c>
      <c r="C35" s="8">
        <v>1938</v>
      </c>
      <c r="D35" s="8">
        <v>1</v>
      </c>
      <c r="E35" s="8">
        <v>0</v>
      </c>
      <c r="F35" s="7" t="s">
        <v>161</v>
      </c>
      <c r="G35" s="9" t="s">
        <v>148</v>
      </c>
      <c r="H35" s="8">
        <v>-24.876059999999999</v>
      </c>
      <c r="I35" s="8">
        <v>113.62672600000001</v>
      </c>
      <c r="J35" s="9" t="s">
        <v>109</v>
      </c>
      <c r="K35" s="8" t="s">
        <v>162</v>
      </c>
      <c r="L35" s="8">
        <v>1</v>
      </c>
      <c r="M35" s="8">
        <v>1</v>
      </c>
      <c r="N35" s="8">
        <v>0</v>
      </c>
      <c r="O35">
        <v>-67.959999999999994</v>
      </c>
      <c r="P35" s="8" t="s">
        <v>74</v>
      </c>
      <c r="Q35" s="8" t="s">
        <v>101</v>
      </c>
      <c r="R35" s="8" t="s">
        <v>17</v>
      </c>
      <c r="S35" s="8">
        <v>1268.8</v>
      </c>
      <c r="T35" s="8">
        <v>1175.7</v>
      </c>
      <c r="U35" s="8">
        <v>1628.3</v>
      </c>
      <c r="V35" s="8" t="s">
        <v>17</v>
      </c>
      <c r="W35" s="8" t="s">
        <v>17</v>
      </c>
      <c r="X35" s="8" t="s">
        <v>17</v>
      </c>
      <c r="Y35" s="8" t="s">
        <v>17</v>
      </c>
      <c r="Z35" s="8">
        <f t="shared" si="4"/>
        <v>1.3849621502083864</v>
      </c>
      <c r="AA35" s="9">
        <f t="shared" si="5"/>
        <v>1.0791868673981457</v>
      </c>
      <c r="AB35" s="10" t="s">
        <v>374</v>
      </c>
      <c r="AD35" s="8">
        <v>1</v>
      </c>
      <c r="AE35" s="8">
        <v>0</v>
      </c>
    </row>
    <row r="36" spans="1:31" x14ac:dyDescent="0.15">
      <c r="A36" s="7" t="s">
        <v>195</v>
      </c>
      <c r="B36" s="7" t="s">
        <v>46</v>
      </c>
      <c r="C36" s="8">
        <v>2016</v>
      </c>
      <c r="D36" s="8">
        <v>1</v>
      </c>
      <c r="E36" s="8">
        <v>0</v>
      </c>
      <c r="F36" s="7" t="s">
        <v>196</v>
      </c>
      <c r="G36" s="9" t="s">
        <v>82</v>
      </c>
      <c r="H36" s="8" t="s">
        <v>17</v>
      </c>
      <c r="I36" s="8" t="s">
        <v>17</v>
      </c>
      <c r="J36" s="9" t="s">
        <v>190</v>
      </c>
      <c r="K36" s="8" t="s">
        <v>17</v>
      </c>
      <c r="L36" s="8">
        <v>1</v>
      </c>
      <c r="M36" s="8">
        <v>1</v>
      </c>
      <c r="N36" s="8">
        <v>1</v>
      </c>
      <c r="O36">
        <v>-67.599999999999994</v>
      </c>
      <c r="P36" s="8" t="s">
        <v>71</v>
      </c>
      <c r="Q36" s="8" t="s">
        <v>17</v>
      </c>
      <c r="R36" s="8" t="s">
        <v>17</v>
      </c>
      <c r="S36" s="8">
        <v>355</v>
      </c>
      <c r="T36" s="8">
        <v>298.12</v>
      </c>
      <c r="U36" s="8">
        <v>450.87</v>
      </c>
      <c r="V36" s="8" t="s">
        <v>17</v>
      </c>
      <c r="W36" s="8" t="s">
        <v>17</v>
      </c>
      <c r="X36" s="8" t="s">
        <v>17</v>
      </c>
      <c r="Y36" s="8" t="s">
        <v>17</v>
      </c>
      <c r="Z36" s="8">
        <f t="shared" si="4"/>
        <v>1.5123775660807728</v>
      </c>
      <c r="AA36" s="9">
        <f t="shared" si="5"/>
        <v>1.1907956527572789</v>
      </c>
      <c r="AB36" s="10" t="s">
        <v>374</v>
      </c>
      <c r="AC36" s="8" t="s">
        <v>197</v>
      </c>
      <c r="AD36" s="8">
        <v>0</v>
      </c>
      <c r="AE36" s="8">
        <v>0</v>
      </c>
    </row>
    <row r="37" spans="1:31" x14ac:dyDescent="0.15">
      <c r="A37" s="7" t="s">
        <v>222</v>
      </c>
      <c r="B37" s="7" t="s">
        <v>46</v>
      </c>
      <c r="C37" s="8">
        <v>2019</v>
      </c>
      <c r="D37" s="8">
        <v>1</v>
      </c>
      <c r="E37" s="8">
        <v>0</v>
      </c>
      <c r="F37" s="7" t="s">
        <v>223</v>
      </c>
      <c r="G37" s="9" t="s">
        <v>82</v>
      </c>
      <c r="H37" s="8">
        <v>-16.805592000000001</v>
      </c>
      <c r="I37" s="8">
        <v>145.737829</v>
      </c>
      <c r="J37" s="9" t="s">
        <v>109</v>
      </c>
      <c r="K37" s="8" t="s">
        <v>191</v>
      </c>
      <c r="L37" s="8">
        <v>1</v>
      </c>
      <c r="M37" s="8">
        <v>1</v>
      </c>
      <c r="N37" s="8">
        <v>0</v>
      </c>
      <c r="O37">
        <v>-67.2</v>
      </c>
      <c r="P37" s="8" t="s">
        <v>71</v>
      </c>
      <c r="Q37" s="8" t="s">
        <v>17</v>
      </c>
      <c r="R37" s="8" t="s">
        <v>17</v>
      </c>
      <c r="S37" s="8">
        <v>221.3</v>
      </c>
      <c r="T37" s="8">
        <v>168.76</v>
      </c>
      <c r="U37" s="8">
        <v>269.89999999999998</v>
      </c>
      <c r="V37" s="8" t="s">
        <v>17</v>
      </c>
      <c r="W37" s="8" t="s">
        <v>17</v>
      </c>
      <c r="X37" s="8" t="s">
        <v>17</v>
      </c>
      <c r="Y37" s="8" t="s">
        <v>17</v>
      </c>
      <c r="Z37" s="8">
        <f t="shared" si="4"/>
        <v>1.5993126333254326</v>
      </c>
      <c r="AA37" s="8">
        <f t="shared" si="5"/>
        <v>1.3113296989808012</v>
      </c>
      <c r="AB37" s="10" t="s">
        <v>374</v>
      </c>
      <c r="AD37" s="8">
        <v>1</v>
      </c>
      <c r="AE37" s="8">
        <v>0</v>
      </c>
    </row>
    <row r="38" spans="1:31" x14ac:dyDescent="0.15">
      <c r="A38" s="7" t="s">
        <v>355</v>
      </c>
      <c r="B38" s="7" t="s">
        <v>19</v>
      </c>
      <c r="C38" s="8">
        <v>2015</v>
      </c>
      <c r="D38" s="8">
        <v>2</v>
      </c>
      <c r="E38" s="8">
        <v>1</v>
      </c>
      <c r="F38" s="7" t="s">
        <v>356</v>
      </c>
      <c r="G38" s="9" t="s">
        <v>148</v>
      </c>
      <c r="H38" s="8">
        <v>-18.103333299999999</v>
      </c>
      <c r="I38" s="8">
        <v>124.17222219999999</v>
      </c>
      <c r="J38" s="9" t="s">
        <v>109</v>
      </c>
      <c r="K38" s="8" t="s">
        <v>357</v>
      </c>
      <c r="L38" s="8">
        <v>1</v>
      </c>
      <c r="M38" s="8">
        <v>1</v>
      </c>
      <c r="N38" s="8">
        <v>0</v>
      </c>
      <c r="O38">
        <v>-49.1</v>
      </c>
      <c r="P38" s="8" t="s">
        <v>358</v>
      </c>
      <c r="Q38" s="8" t="s">
        <v>359</v>
      </c>
      <c r="R38" s="8">
        <f>U38+V38</f>
        <v>1620.8</v>
      </c>
      <c r="S38" s="8">
        <v>500</v>
      </c>
      <c r="T38" s="8">
        <v>478.7</v>
      </c>
      <c r="U38" s="8">
        <v>639.20000000000005</v>
      </c>
      <c r="V38" s="8">
        <f>429.8+551.8</f>
        <v>981.59999999999991</v>
      </c>
      <c r="W38" s="8">
        <f>S38/R38</f>
        <v>0.30848963474827246</v>
      </c>
      <c r="X38" s="8">
        <f>T38/R38</f>
        <v>0.29534797630799603</v>
      </c>
      <c r="Y38" s="8">
        <f>U38/R38</f>
        <v>0.39437314906219156</v>
      </c>
      <c r="Z38" s="8">
        <f t="shared" si="4"/>
        <v>1.3352830582828494</v>
      </c>
      <c r="AA38" s="8">
        <f t="shared" si="5"/>
        <v>1.0444955086693128</v>
      </c>
      <c r="AB38" s="10" t="s">
        <v>374</v>
      </c>
      <c r="AD38" s="8">
        <v>1</v>
      </c>
      <c r="AE38" s="8">
        <v>0</v>
      </c>
    </row>
    <row r="39" spans="1:31" x14ac:dyDescent="0.15">
      <c r="A39" s="7" t="s">
        <v>255</v>
      </c>
      <c r="B39" s="7" t="s">
        <v>16</v>
      </c>
      <c r="C39" s="8">
        <v>2021</v>
      </c>
      <c r="D39" s="8">
        <v>1</v>
      </c>
      <c r="E39" s="8">
        <v>0</v>
      </c>
      <c r="F39" s="7" t="s">
        <v>240</v>
      </c>
      <c r="G39" s="9" t="s">
        <v>82</v>
      </c>
      <c r="H39" s="8" t="s">
        <v>17</v>
      </c>
      <c r="I39" s="8" t="s">
        <v>17</v>
      </c>
      <c r="J39" s="9" t="s">
        <v>229</v>
      </c>
      <c r="K39" s="8" t="s">
        <v>17</v>
      </c>
      <c r="L39" s="8">
        <v>1</v>
      </c>
      <c r="M39" s="8">
        <v>0</v>
      </c>
      <c r="N39" s="8">
        <v>1</v>
      </c>
      <c r="O39">
        <v>-36.1</v>
      </c>
      <c r="P39" s="8" t="s">
        <v>71</v>
      </c>
      <c r="Q39" s="8" t="s">
        <v>17</v>
      </c>
      <c r="R39" s="8" t="s">
        <v>17</v>
      </c>
      <c r="S39" s="8">
        <v>244.3</v>
      </c>
      <c r="T39" s="8">
        <v>234.4</v>
      </c>
      <c r="U39" s="8">
        <v>313.5</v>
      </c>
      <c r="V39" s="8" t="s">
        <v>17</v>
      </c>
      <c r="W39" s="8" t="s">
        <v>17</v>
      </c>
      <c r="X39" s="8" t="s">
        <v>17</v>
      </c>
      <c r="Y39" s="8" t="s">
        <v>17</v>
      </c>
      <c r="Z39" s="8">
        <f t="shared" si="4"/>
        <v>1.3374573378839589</v>
      </c>
      <c r="AA39" s="8">
        <f t="shared" si="5"/>
        <v>1.0422354948805461</v>
      </c>
      <c r="AB39" s="10" t="s">
        <v>374</v>
      </c>
      <c r="AD39" s="8">
        <v>1</v>
      </c>
      <c r="AE39" s="8">
        <v>0</v>
      </c>
    </row>
    <row r="40" spans="1:31" x14ac:dyDescent="0.15">
      <c r="A40" s="7" t="s">
        <v>290</v>
      </c>
      <c r="B40" s="7" t="s">
        <v>19</v>
      </c>
      <c r="C40" s="8">
        <v>2021</v>
      </c>
      <c r="D40" s="8">
        <v>1</v>
      </c>
      <c r="E40" s="8">
        <v>0</v>
      </c>
      <c r="F40" s="7" t="s">
        <v>291</v>
      </c>
      <c r="G40" s="9" t="s">
        <v>82</v>
      </c>
      <c r="H40" s="8">
        <v>-17.749207999999999</v>
      </c>
      <c r="I40" s="8">
        <v>139.576189</v>
      </c>
      <c r="J40" s="9" t="s">
        <v>109</v>
      </c>
      <c r="K40" s="8" t="s">
        <v>292</v>
      </c>
      <c r="L40" s="8">
        <v>1</v>
      </c>
      <c r="M40" s="8">
        <v>1</v>
      </c>
      <c r="N40" s="8">
        <v>0</v>
      </c>
      <c r="O40">
        <v>-27.6</v>
      </c>
      <c r="P40" s="8" t="s">
        <v>74</v>
      </c>
      <c r="Q40" s="8">
        <v>17.507058529999998</v>
      </c>
      <c r="R40" s="8">
        <f>726.9+220.5+280.2+450.9</f>
        <v>1678.5</v>
      </c>
      <c r="S40" s="8">
        <v>414.7</v>
      </c>
      <c r="T40" s="8">
        <v>398.6</v>
      </c>
      <c r="U40" s="8">
        <v>528</v>
      </c>
      <c r="V40" s="8">
        <f>R40-U40</f>
        <v>1150.5</v>
      </c>
      <c r="W40" s="8">
        <f>S40/R40</f>
        <v>0.24706583258862078</v>
      </c>
      <c r="X40" s="8">
        <f>T40/R40</f>
        <v>0.23747393506106645</v>
      </c>
      <c r="Y40" s="8">
        <f>U40/R40</f>
        <v>0.31456657730116178</v>
      </c>
      <c r="Z40" s="8">
        <f t="shared" si="4"/>
        <v>1.3246362267937781</v>
      </c>
      <c r="AA40" s="8">
        <f t="shared" si="5"/>
        <v>1.0403913697942799</v>
      </c>
      <c r="AB40" s="10" t="s">
        <v>374</v>
      </c>
      <c r="AD40" s="8">
        <v>1</v>
      </c>
      <c r="AE40" s="8">
        <v>1</v>
      </c>
    </row>
    <row r="41" spans="1:31" x14ac:dyDescent="0.15">
      <c r="A41" s="7" t="s">
        <v>338</v>
      </c>
      <c r="B41" s="7" t="s">
        <v>19</v>
      </c>
      <c r="C41" s="8">
        <v>2009</v>
      </c>
      <c r="D41" s="8">
        <v>4</v>
      </c>
      <c r="E41" s="8">
        <v>0</v>
      </c>
      <c r="F41" s="7" t="s">
        <v>339</v>
      </c>
      <c r="G41" s="9" t="s">
        <v>82</v>
      </c>
      <c r="H41" s="8">
        <v>-15.837085</v>
      </c>
      <c r="I41" s="8">
        <v>142.25043700000001</v>
      </c>
      <c r="J41" s="9" t="s">
        <v>109</v>
      </c>
      <c r="K41" s="8" t="s">
        <v>340</v>
      </c>
      <c r="L41" s="8">
        <v>1</v>
      </c>
      <c r="M41" s="8">
        <v>0</v>
      </c>
      <c r="N41" s="8">
        <v>1</v>
      </c>
      <c r="O41">
        <v>-22.7</v>
      </c>
      <c r="P41" s="8" t="s">
        <v>341</v>
      </c>
      <c r="Q41" s="8" t="s">
        <v>245</v>
      </c>
      <c r="R41" s="8">
        <f>1429.6+283.2</f>
        <v>1712.8</v>
      </c>
      <c r="S41" s="8">
        <v>557.29999999999995</v>
      </c>
      <c r="T41" s="8">
        <v>545.1</v>
      </c>
      <c r="U41" s="8">
        <v>713.8</v>
      </c>
      <c r="V41" s="8">
        <f>R41-U41</f>
        <v>999</v>
      </c>
      <c r="W41" s="8">
        <f>S41/R41</f>
        <v>0.32537365716954691</v>
      </c>
      <c r="X41" s="8">
        <f>T41/R41</f>
        <v>0.31825081737505839</v>
      </c>
      <c r="Y41" s="8">
        <f>U41/R41</f>
        <v>0.41674451191032225</v>
      </c>
      <c r="Z41" s="8">
        <f t="shared" si="4"/>
        <v>1.3094844982572005</v>
      </c>
      <c r="AA41" s="8">
        <f t="shared" si="5"/>
        <v>1.0223812144560629</v>
      </c>
      <c r="AB41" s="10" t="s">
        <v>374</v>
      </c>
      <c r="AC41" s="8" t="s">
        <v>342</v>
      </c>
      <c r="AD41" s="8">
        <v>0</v>
      </c>
      <c r="AE41" s="8">
        <v>0</v>
      </c>
    </row>
    <row r="42" spans="1:31" x14ac:dyDescent="0.15">
      <c r="A42" s="7" t="s">
        <v>365</v>
      </c>
      <c r="B42" s="7" t="s">
        <v>19</v>
      </c>
      <c r="C42" s="8">
        <v>2021</v>
      </c>
      <c r="D42" s="8">
        <v>4</v>
      </c>
      <c r="E42" s="8">
        <v>1</v>
      </c>
      <c r="F42" s="7" t="s">
        <v>364</v>
      </c>
      <c r="G42" s="9" t="s">
        <v>148</v>
      </c>
      <c r="H42" s="8">
        <v>15.7804</v>
      </c>
      <c r="I42" s="8">
        <v>127.88</v>
      </c>
      <c r="J42" s="9" t="s">
        <v>109</v>
      </c>
      <c r="K42" s="8" t="s">
        <v>215</v>
      </c>
      <c r="L42" s="8">
        <v>1</v>
      </c>
      <c r="M42" s="8">
        <v>0</v>
      </c>
      <c r="N42" s="8">
        <v>0</v>
      </c>
      <c r="O42">
        <v>-22.6</v>
      </c>
      <c r="P42" s="8" t="s">
        <v>74</v>
      </c>
      <c r="Q42" s="8" t="s">
        <v>73</v>
      </c>
      <c r="R42" s="8">
        <v>1351</v>
      </c>
      <c r="S42" s="8">
        <v>326</v>
      </c>
      <c r="T42" s="8">
        <v>311</v>
      </c>
      <c r="U42" s="8">
        <v>399</v>
      </c>
      <c r="V42" s="8">
        <f>R42-U42</f>
        <v>952</v>
      </c>
      <c r="W42" s="8">
        <f>S42/R42</f>
        <v>0.24130273871206515</v>
      </c>
      <c r="X42" s="8">
        <f>T42/R42</f>
        <v>0.23019985196150999</v>
      </c>
      <c r="Y42" s="8">
        <f>U42/R42</f>
        <v>0.29533678756476683</v>
      </c>
      <c r="Z42" s="8">
        <f t="shared" si="4"/>
        <v>1.2829581993569132</v>
      </c>
      <c r="AA42" s="8">
        <f t="shared" si="5"/>
        <v>1.0482315112540193</v>
      </c>
      <c r="AB42" s="10" t="s">
        <v>374</v>
      </c>
      <c r="AD42" s="8">
        <v>1</v>
      </c>
      <c r="AE42" s="8">
        <v>1</v>
      </c>
    </row>
    <row r="43" spans="1:31" x14ac:dyDescent="0.15">
      <c r="A43" s="7" t="s">
        <v>332</v>
      </c>
      <c r="B43" s="7" t="s">
        <v>19</v>
      </c>
      <c r="C43" s="8">
        <v>2020</v>
      </c>
      <c r="D43" s="8">
        <v>1</v>
      </c>
      <c r="E43" s="8">
        <v>0</v>
      </c>
      <c r="F43" s="7" t="s">
        <v>331</v>
      </c>
      <c r="G43" s="9" t="s">
        <v>82</v>
      </c>
      <c r="H43" s="8">
        <v>-15.198342</v>
      </c>
      <c r="I43" s="8">
        <v>144.432492</v>
      </c>
      <c r="J43" s="9" t="s">
        <v>214</v>
      </c>
      <c r="K43" s="8" t="s">
        <v>330</v>
      </c>
      <c r="L43" s="8">
        <v>1</v>
      </c>
      <c r="M43" s="8">
        <v>0</v>
      </c>
      <c r="N43" s="8">
        <v>0</v>
      </c>
      <c r="O43">
        <v>-16.899999999999999</v>
      </c>
      <c r="P43" s="8" t="s">
        <v>71</v>
      </c>
      <c r="Q43" s="8" t="s">
        <v>17</v>
      </c>
      <c r="R43" s="8">
        <f>U43+V43</f>
        <v>863.55</v>
      </c>
      <c r="S43" s="8">
        <v>254.7</v>
      </c>
      <c r="T43" s="8">
        <v>244.8</v>
      </c>
      <c r="U43" s="8">
        <v>310.3</v>
      </c>
      <c r="V43" s="8">
        <f>498.1+55.15</f>
        <v>553.25</v>
      </c>
      <c r="W43" s="8">
        <f>S43/R43</f>
        <v>0.29494528400208442</v>
      </c>
      <c r="X43" s="8">
        <f>T43/R43</f>
        <v>0.2834809796769151</v>
      </c>
      <c r="Y43" s="8">
        <f>U43/R43</f>
        <v>0.35933066990909618</v>
      </c>
      <c r="Z43" s="8">
        <f t="shared" si="4"/>
        <v>1.2675653594771241</v>
      </c>
      <c r="AA43" s="8">
        <f t="shared" si="5"/>
        <v>1.0404411764705881</v>
      </c>
      <c r="AB43" s="10" t="s">
        <v>494</v>
      </c>
      <c r="AD43" s="8">
        <v>1</v>
      </c>
      <c r="AE43" s="8">
        <v>1</v>
      </c>
    </row>
    <row r="44" spans="1:31" ht="16" x14ac:dyDescent="0.2">
      <c r="A44" s="7" t="s">
        <v>273</v>
      </c>
      <c r="B44" s="7" t="s">
        <v>19</v>
      </c>
      <c r="C44" s="8">
        <v>2006</v>
      </c>
      <c r="D44" s="8">
        <v>1</v>
      </c>
      <c r="E44" s="8">
        <v>0</v>
      </c>
      <c r="F44" s="7" t="s">
        <v>274</v>
      </c>
      <c r="G44" s="9" t="s">
        <v>148</v>
      </c>
      <c r="H44" s="12">
        <v>-17.633900000000001</v>
      </c>
      <c r="I44" s="12">
        <v>123.569</v>
      </c>
      <c r="J44" s="9" t="s">
        <v>109</v>
      </c>
      <c r="K44" s="8" t="s">
        <v>170</v>
      </c>
      <c r="L44" s="8">
        <v>1</v>
      </c>
      <c r="M44" s="8">
        <v>0</v>
      </c>
      <c r="N44" s="8">
        <v>0</v>
      </c>
      <c r="O44">
        <v>-8.6999999999999993</v>
      </c>
      <c r="P44" s="8" t="s">
        <v>71</v>
      </c>
      <c r="Q44" s="8" t="s">
        <v>17</v>
      </c>
      <c r="R44" s="8" t="s">
        <v>17</v>
      </c>
      <c r="S44" s="8">
        <v>855.2</v>
      </c>
      <c r="T44" s="8">
        <v>825.1</v>
      </c>
      <c r="U44" s="8">
        <v>1067.9000000000001</v>
      </c>
      <c r="V44" s="8" t="s">
        <v>17</v>
      </c>
      <c r="W44" s="8" t="s">
        <v>17</v>
      </c>
      <c r="X44" s="8" t="s">
        <v>17</v>
      </c>
      <c r="Y44" s="8" t="s">
        <v>17</v>
      </c>
      <c r="Z44" s="8">
        <f t="shared" si="4"/>
        <v>1.2942673615319356</v>
      </c>
      <c r="AA44" s="8">
        <f t="shared" si="5"/>
        <v>1.0364804266149559</v>
      </c>
      <c r="AB44" s="10" t="s">
        <v>275</v>
      </c>
      <c r="AD44" s="8">
        <v>1</v>
      </c>
      <c r="AE44" s="8">
        <v>0</v>
      </c>
    </row>
    <row r="45" spans="1:31" x14ac:dyDescent="0.15">
      <c r="A45" s="7" t="s">
        <v>198</v>
      </c>
      <c r="B45" s="7" t="s">
        <v>46</v>
      </c>
      <c r="C45" s="8">
        <v>2019</v>
      </c>
      <c r="D45" s="8">
        <v>1</v>
      </c>
      <c r="E45" s="8">
        <v>0</v>
      </c>
      <c r="F45" s="7" t="s">
        <v>199</v>
      </c>
      <c r="G45" s="9" t="s">
        <v>82</v>
      </c>
      <c r="H45" s="8">
        <v>-18.255033300000001</v>
      </c>
      <c r="I45" s="8">
        <v>146.0728</v>
      </c>
      <c r="J45" s="9" t="s">
        <v>109</v>
      </c>
      <c r="K45" s="8" t="s">
        <v>17</v>
      </c>
      <c r="L45" s="8">
        <v>1</v>
      </c>
      <c r="M45" s="8">
        <v>1</v>
      </c>
      <c r="N45" s="8">
        <v>0</v>
      </c>
      <c r="O45">
        <v>-5.71</v>
      </c>
      <c r="P45" s="8" t="s">
        <v>71</v>
      </c>
      <c r="Q45" s="8" t="s">
        <v>17</v>
      </c>
      <c r="R45" s="8">
        <f>S45+V45</f>
        <v>808.96999999999991</v>
      </c>
      <c r="S45" s="8">
        <v>244.67</v>
      </c>
      <c r="T45" s="8">
        <v>219.11</v>
      </c>
      <c r="U45" s="8">
        <v>269.51</v>
      </c>
      <c r="V45" s="8">
        <v>564.29999999999995</v>
      </c>
      <c r="W45" s="8">
        <f>S45/R45</f>
        <v>0.30244632062993687</v>
      </c>
      <c r="X45" s="8">
        <f>T45/R45</f>
        <v>0.27085058778446669</v>
      </c>
      <c r="Y45" s="8">
        <f>U45/R45</f>
        <v>0.33315203283187267</v>
      </c>
      <c r="Z45" s="8">
        <f t="shared" si="4"/>
        <v>1.2300214504130345</v>
      </c>
      <c r="AA45" s="9">
        <f t="shared" si="5"/>
        <v>1.1166537355666102</v>
      </c>
      <c r="AB45" s="10" t="s">
        <v>374</v>
      </c>
      <c r="AD45" s="8">
        <v>1</v>
      </c>
      <c r="AE45" s="8">
        <v>1</v>
      </c>
    </row>
    <row r="46" spans="1:31" ht="15" x14ac:dyDescent="0.2">
      <c r="A46" s="63" t="s">
        <v>584</v>
      </c>
      <c r="B46" s="7" t="s">
        <v>77</v>
      </c>
      <c r="C46" s="8">
        <v>2016</v>
      </c>
      <c r="D46" s="8">
        <v>2</v>
      </c>
      <c r="E46" s="8">
        <v>0</v>
      </c>
      <c r="F46" s="7" t="s">
        <v>585</v>
      </c>
      <c r="G46" s="9" t="s">
        <v>148</v>
      </c>
      <c r="H46" s="28">
        <v>-16.947972</v>
      </c>
      <c r="I46" s="28">
        <v>122.51233329999999</v>
      </c>
      <c r="J46" s="9" t="s">
        <v>109</v>
      </c>
      <c r="K46" s="8" t="s">
        <v>586</v>
      </c>
      <c r="L46" s="8">
        <v>1</v>
      </c>
      <c r="M46" s="8">
        <v>0</v>
      </c>
      <c r="N46" s="8">
        <v>0</v>
      </c>
      <c r="O46" s="8">
        <v>-3.5</v>
      </c>
      <c r="P46" s="8" t="s">
        <v>216</v>
      </c>
      <c r="Q46" s="8" t="s">
        <v>297</v>
      </c>
      <c r="R46" s="8">
        <f>295.4+783.7+580.8</f>
        <v>1659.8999999999999</v>
      </c>
      <c r="S46" s="8">
        <v>442</v>
      </c>
      <c r="T46" s="8">
        <v>414.5</v>
      </c>
      <c r="U46" s="8">
        <v>568</v>
      </c>
      <c r="V46" s="8">
        <f>R46-U46</f>
        <v>1091.8999999999999</v>
      </c>
      <c r="Z46" s="8">
        <f t="shared" si="4"/>
        <v>1.3703256936067552</v>
      </c>
      <c r="AA46" s="9">
        <f t="shared" si="5"/>
        <v>1.0663449939686369</v>
      </c>
      <c r="AB46" s="10" t="s">
        <v>374</v>
      </c>
    </row>
    <row r="47" spans="1:31" x14ac:dyDescent="0.15">
      <c r="A47" s="62" t="s">
        <v>104</v>
      </c>
      <c r="B47" s="7" t="s">
        <v>77</v>
      </c>
      <c r="C47" s="8">
        <v>1952</v>
      </c>
      <c r="D47" s="8">
        <v>4</v>
      </c>
      <c r="E47" s="8">
        <v>0</v>
      </c>
      <c r="F47" s="7" t="s">
        <v>105</v>
      </c>
      <c r="G47" s="9" t="s">
        <v>83</v>
      </c>
      <c r="H47" s="8">
        <v>-28.213450999999999</v>
      </c>
      <c r="I47" s="8">
        <v>153.50648000000001</v>
      </c>
      <c r="J47" s="9" t="s">
        <v>110</v>
      </c>
      <c r="K47" s="8" t="s">
        <v>113</v>
      </c>
      <c r="L47" s="8">
        <v>1</v>
      </c>
      <c r="M47" s="8">
        <v>0</v>
      </c>
      <c r="N47" s="8">
        <v>0</v>
      </c>
      <c r="O47">
        <v>-2.69</v>
      </c>
      <c r="P47" s="8" t="s">
        <v>60</v>
      </c>
      <c r="Q47" s="8" t="s">
        <v>59</v>
      </c>
      <c r="R47" s="8">
        <f>U47+V47</f>
        <v>4818.8</v>
      </c>
      <c r="S47" s="8">
        <v>1240.5</v>
      </c>
      <c r="T47" s="8">
        <v>1158.4000000000001</v>
      </c>
      <c r="U47" s="8">
        <v>1548</v>
      </c>
      <c r="V47" s="8">
        <v>3270.8</v>
      </c>
      <c r="W47" s="8">
        <f>S47/R47</f>
        <v>0.2574292354943139</v>
      </c>
      <c r="X47" s="8">
        <f>T47/R47</f>
        <v>0.24039179878808004</v>
      </c>
      <c r="Y47" s="8">
        <f>U47/R47</f>
        <v>0.32124180293849092</v>
      </c>
      <c r="Z47" s="8">
        <f t="shared" si="4"/>
        <v>1.3363259668508287</v>
      </c>
      <c r="AA47" s="9">
        <f t="shared" si="5"/>
        <v>1.0708736187845302</v>
      </c>
      <c r="AB47" s="10" t="s">
        <v>203</v>
      </c>
      <c r="AC47" s="7" t="s">
        <v>398</v>
      </c>
      <c r="AD47" s="8">
        <v>1</v>
      </c>
      <c r="AE47" s="8">
        <v>1</v>
      </c>
    </row>
    <row r="48" spans="1:31" x14ac:dyDescent="0.15">
      <c r="A48" s="7" t="s">
        <v>259</v>
      </c>
      <c r="B48" s="7" t="s">
        <v>19</v>
      </c>
      <c r="C48" s="8">
        <v>2020</v>
      </c>
      <c r="D48" s="8">
        <v>1</v>
      </c>
      <c r="E48" s="8">
        <v>0</v>
      </c>
      <c r="F48" s="7" t="s">
        <v>260</v>
      </c>
      <c r="G48" s="9" t="s">
        <v>148</v>
      </c>
      <c r="H48" s="8">
        <v>-17.40924</v>
      </c>
      <c r="I48" s="8">
        <v>124.943749</v>
      </c>
      <c r="J48" s="9" t="s">
        <v>262</v>
      </c>
      <c r="K48" s="8" t="s">
        <v>170</v>
      </c>
      <c r="L48" s="8">
        <v>1</v>
      </c>
      <c r="M48" s="8">
        <v>1</v>
      </c>
      <c r="N48" s="8">
        <v>0</v>
      </c>
      <c r="O48">
        <v>-2.6</v>
      </c>
      <c r="P48" s="8" t="s">
        <v>74</v>
      </c>
      <c r="Q48" s="8">
        <v>17.507058529999998</v>
      </c>
      <c r="R48" s="8">
        <f>U48+V48</f>
        <v>1616.6</v>
      </c>
      <c r="S48" s="8">
        <v>467.9</v>
      </c>
      <c r="T48" s="8">
        <v>425.6</v>
      </c>
      <c r="U48" s="8">
        <v>570.5</v>
      </c>
      <c r="V48" s="8">
        <f>508.6+125+412.5</f>
        <v>1046.0999999999999</v>
      </c>
      <c r="W48" s="8">
        <f>S48/R48</f>
        <v>0.28943461586044783</v>
      </c>
      <c r="X48" s="8">
        <f>T48/R48</f>
        <v>0.2632685883953978</v>
      </c>
      <c r="Y48" s="8">
        <f>U48/R48</f>
        <v>0.35290115056290983</v>
      </c>
      <c r="Z48" s="8">
        <f t="shared" si="4"/>
        <v>1.3404605263157894</v>
      </c>
      <c r="AA48" s="8">
        <f t="shared" si="5"/>
        <v>1.0993890977443608</v>
      </c>
      <c r="AB48" s="10" t="s">
        <v>374</v>
      </c>
      <c r="AC48" s="8" t="s">
        <v>261</v>
      </c>
      <c r="AD48" s="8">
        <v>1</v>
      </c>
      <c r="AE48" s="8">
        <v>0</v>
      </c>
    </row>
    <row r="49" spans="1:41" x14ac:dyDescent="0.15">
      <c r="A49" s="7" t="s">
        <v>254</v>
      </c>
      <c r="B49" s="7" t="s">
        <v>16</v>
      </c>
      <c r="C49" s="8">
        <v>2008</v>
      </c>
      <c r="D49" s="8">
        <v>1</v>
      </c>
      <c r="E49" s="8">
        <v>0</v>
      </c>
      <c r="F49" s="7" t="s">
        <v>231</v>
      </c>
      <c r="G49" s="9" t="s">
        <v>82</v>
      </c>
      <c r="H49" s="8">
        <v>-12.484467</v>
      </c>
      <c r="I49" s="8">
        <v>141.80278329999999</v>
      </c>
      <c r="J49" s="9" t="s">
        <v>190</v>
      </c>
      <c r="L49" s="8">
        <v>1</v>
      </c>
      <c r="M49" s="8">
        <v>0</v>
      </c>
      <c r="N49" s="8">
        <v>0</v>
      </c>
      <c r="O49">
        <v>-1.6</v>
      </c>
      <c r="P49" s="8" t="s">
        <v>74</v>
      </c>
      <c r="Q49" s="8">
        <v>17.507058529999998</v>
      </c>
      <c r="R49" s="8">
        <f>799+384.7</f>
        <v>1183.7</v>
      </c>
      <c r="S49" s="8">
        <v>276.8</v>
      </c>
      <c r="T49" s="8">
        <v>262.8</v>
      </c>
      <c r="U49" s="8">
        <v>360.2</v>
      </c>
      <c r="V49" s="8">
        <f>R49-U49</f>
        <v>823.5</v>
      </c>
      <c r="W49" s="8">
        <f>S49/R49</f>
        <v>0.23384303455267383</v>
      </c>
      <c r="X49" s="8">
        <f>T49/R49</f>
        <v>0.22201571344090565</v>
      </c>
      <c r="Y49" s="8">
        <f>U49/R49</f>
        <v>0.30430007603277853</v>
      </c>
      <c r="Z49" s="8">
        <f t="shared" si="4"/>
        <v>1.3706240487062404</v>
      </c>
      <c r="AA49" s="8">
        <f t="shared" si="5"/>
        <v>1.0532724505327244</v>
      </c>
      <c r="AB49" s="10" t="s">
        <v>374</v>
      </c>
      <c r="AC49" s="8" t="s">
        <v>239</v>
      </c>
      <c r="AD49" s="8">
        <v>1</v>
      </c>
      <c r="AE49" s="8">
        <v>1</v>
      </c>
    </row>
    <row r="50" spans="1:41" x14ac:dyDescent="0.15">
      <c r="A50" s="7" t="s">
        <v>63</v>
      </c>
      <c r="B50" s="7" t="s">
        <v>16</v>
      </c>
      <c r="C50" s="8">
        <v>1877</v>
      </c>
      <c r="D50" s="8">
        <v>2</v>
      </c>
      <c r="E50" s="8">
        <v>0</v>
      </c>
      <c r="F50" s="7" t="s">
        <v>64</v>
      </c>
      <c r="G50" s="9" t="s">
        <v>82</v>
      </c>
      <c r="H50" s="8">
        <v>-19.203606000000001</v>
      </c>
      <c r="I50" s="8">
        <v>146.94898900000001</v>
      </c>
      <c r="J50" s="9" t="s">
        <v>110</v>
      </c>
      <c r="K50" s="8" t="s">
        <v>66</v>
      </c>
      <c r="L50" s="8">
        <v>1</v>
      </c>
      <c r="M50" s="8">
        <v>0</v>
      </c>
      <c r="N50" s="8">
        <v>1</v>
      </c>
      <c r="O50">
        <v>-0.26100000000000001</v>
      </c>
      <c r="P50" s="8" t="s">
        <v>60</v>
      </c>
      <c r="Q50" s="8" t="s">
        <v>67</v>
      </c>
      <c r="R50" s="8">
        <v>633</v>
      </c>
      <c r="S50" s="8">
        <v>138.19999999999999</v>
      </c>
      <c r="T50" s="8">
        <v>132.80000000000001</v>
      </c>
      <c r="U50" s="8">
        <v>185</v>
      </c>
      <c r="V50" s="8">
        <f>R50-U50</f>
        <v>448</v>
      </c>
      <c r="W50" s="9">
        <f>S50/R50</f>
        <v>0.21832543443917848</v>
      </c>
      <c r="X50" s="9">
        <f>T50/R50</f>
        <v>0.20979462875197474</v>
      </c>
      <c r="Y50" s="8">
        <f>U50/R50</f>
        <v>0.29225908372827802</v>
      </c>
      <c r="Z50" s="9">
        <f t="shared" si="4"/>
        <v>1.3930722891566263</v>
      </c>
      <c r="AA50" s="9">
        <f t="shared" si="5"/>
        <v>1.0406626506024095</v>
      </c>
      <c r="AB50" s="10" t="s">
        <v>494</v>
      </c>
      <c r="AC50" s="7" t="s">
        <v>68</v>
      </c>
      <c r="AD50" s="8">
        <v>1</v>
      </c>
      <c r="AE50" s="8">
        <v>1</v>
      </c>
    </row>
    <row r="51" spans="1:41" x14ac:dyDescent="0.15">
      <c r="A51" s="62" t="s">
        <v>88</v>
      </c>
      <c r="B51" s="7" t="s">
        <v>77</v>
      </c>
      <c r="C51" s="8">
        <v>1890</v>
      </c>
      <c r="D51" s="8">
        <v>1</v>
      </c>
      <c r="E51" s="8">
        <v>0</v>
      </c>
      <c r="F51" s="7" t="s">
        <v>89</v>
      </c>
      <c r="G51" s="9" t="s">
        <v>82</v>
      </c>
      <c r="H51" s="9">
        <v>-25.246537</v>
      </c>
      <c r="I51" s="9">
        <v>152.66764499999999</v>
      </c>
      <c r="J51" s="9" t="s">
        <v>108</v>
      </c>
      <c r="K51" s="8" t="s">
        <v>17</v>
      </c>
      <c r="L51" s="8">
        <v>1</v>
      </c>
      <c r="M51" s="8">
        <v>0</v>
      </c>
      <c r="N51" s="8">
        <v>0</v>
      </c>
      <c r="O51">
        <v>-0.14399999999999999</v>
      </c>
      <c r="P51" s="8" t="s">
        <v>74</v>
      </c>
      <c r="Q51" s="8" t="s">
        <v>73</v>
      </c>
      <c r="R51" s="8">
        <f>U51+V51</f>
        <v>3444.5</v>
      </c>
      <c r="S51" s="8">
        <v>938.3</v>
      </c>
      <c r="T51" s="8">
        <v>858.7</v>
      </c>
      <c r="U51" s="8">
        <v>1129</v>
      </c>
      <c r="V51" s="8">
        <v>2315.5</v>
      </c>
      <c r="W51" s="9">
        <f>S51/R51</f>
        <v>0.27240528378574536</v>
      </c>
      <c r="X51" s="9">
        <f>T51/R51</f>
        <v>0.24929597909711135</v>
      </c>
      <c r="Y51" s="8">
        <f>U51/R51</f>
        <v>0.32776890695311367</v>
      </c>
      <c r="Z51" s="9">
        <f t="shared" si="4"/>
        <v>1.31477815302201</v>
      </c>
      <c r="AA51" s="9">
        <f t="shared" si="5"/>
        <v>1.0926982648189123</v>
      </c>
      <c r="AB51" s="10" t="s">
        <v>293</v>
      </c>
      <c r="AD51" s="8">
        <v>1</v>
      </c>
      <c r="AE51" s="8">
        <v>1</v>
      </c>
    </row>
    <row r="52" spans="1:41" x14ac:dyDescent="0.15">
      <c r="A52" s="7" t="s">
        <v>392</v>
      </c>
      <c r="B52" s="7" t="s">
        <v>77</v>
      </c>
      <c r="C52" s="8">
        <v>1969</v>
      </c>
      <c r="D52" s="8">
        <v>3</v>
      </c>
      <c r="E52" s="8">
        <v>0</v>
      </c>
      <c r="F52" s="7" t="s">
        <v>149</v>
      </c>
      <c r="G52" s="9" t="s">
        <v>83</v>
      </c>
      <c r="H52" s="8">
        <v>-28.169651000000002</v>
      </c>
      <c r="I52" s="8">
        <v>153.55490499999999</v>
      </c>
      <c r="J52" s="9" t="s">
        <v>109</v>
      </c>
      <c r="K52" s="8" t="s">
        <v>393</v>
      </c>
      <c r="L52" s="8">
        <v>1</v>
      </c>
      <c r="M52" s="8">
        <v>0</v>
      </c>
      <c r="N52" s="8">
        <v>0</v>
      </c>
      <c r="O52">
        <v>0.60799999999999998</v>
      </c>
      <c r="P52" s="8" t="s">
        <v>71</v>
      </c>
      <c r="Q52" s="8" t="s">
        <v>17</v>
      </c>
      <c r="R52" s="8" t="s">
        <v>17</v>
      </c>
      <c r="S52" s="8">
        <v>471</v>
      </c>
      <c r="T52" s="8">
        <v>428.1</v>
      </c>
      <c r="U52" s="8">
        <v>558.03</v>
      </c>
      <c r="V52" s="8" t="s">
        <v>17</v>
      </c>
      <c r="W52" s="8" t="s">
        <v>17</v>
      </c>
      <c r="X52" s="8" t="s">
        <v>17</v>
      </c>
      <c r="Y52" s="8" t="s">
        <v>17</v>
      </c>
      <c r="Z52" s="8">
        <f t="shared" ref="Z52:Z83" si="6">U52/T52</f>
        <v>1.3035038542396635</v>
      </c>
      <c r="AA52" s="9">
        <f t="shared" ref="AA52:AA83" si="7">S52/T52</f>
        <v>1.1002102312543798</v>
      </c>
      <c r="AB52" s="10" t="s">
        <v>203</v>
      </c>
      <c r="AD52" s="8">
        <v>1</v>
      </c>
      <c r="AE52" s="8">
        <v>0</v>
      </c>
    </row>
    <row r="53" spans="1:41" ht="16" x14ac:dyDescent="0.2">
      <c r="A53" s="7" t="s">
        <v>238</v>
      </c>
      <c r="B53" s="7" t="s">
        <v>16</v>
      </c>
      <c r="C53" s="8">
        <v>2013</v>
      </c>
      <c r="D53" s="8">
        <v>2</v>
      </c>
      <c r="E53" s="8">
        <v>0</v>
      </c>
      <c r="F53" s="12" t="s">
        <v>236</v>
      </c>
      <c r="G53" s="9" t="s">
        <v>148</v>
      </c>
      <c r="H53" s="8">
        <v>-17.617260999999999</v>
      </c>
      <c r="I53" s="8">
        <v>123.64474</v>
      </c>
      <c r="J53" s="9" t="s">
        <v>237</v>
      </c>
      <c r="K53" s="8" t="s">
        <v>220</v>
      </c>
      <c r="L53" s="8">
        <v>1</v>
      </c>
      <c r="M53" s="8">
        <v>0</v>
      </c>
      <c r="N53" s="8">
        <v>0</v>
      </c>
      <c r="O53">
        <v>0.66200000000000003</v>
      </c>
      <c r="P53" s="8" t="s">
        <v>71</v>
      </c>
      <c r="Q53" s="8" t="s">
        <v>17</v>
      </c>
      <c r="R53" s="8" t="s">
        <v>17</v>
      </c>
      <c r="S53" s="8">
        <v>3404.8</v>
      </c>
      <c r="T53" s="8">
        <v>3288.2</v>
      </c>
      <c r="U53" s="8">
        <v>4420.5</v>
      </c>
      <c r="V53" s="8" t="s">
        <v>17</v>
      </c>
      <c r="W53" s="8" t="s">
        <v>17</v>
      </c>
      <c r="X53" s="8" t="s">
        <v>17</v>
      </c>
      <c r="Y53" s="8" t="s">
        <v>17</v>
      </c>
      <c r="Z53" s="8">
        <f t="shared" si="6"/>
        <v>1.3443525333008941</v>
      </c>
      <c r="AA53" s="8">
        <f t="shared" si="7"/>
        <v>1.0354601301623989</v>
      </c>
      <c r="AB53" s="10" t="s">
        <v>203</v>
      </c>
      <c r="AC53" s="8" t="s">
        <v>239</v>
      </c>
      <c r="AD53" s="8">
        <v>1</v>
      </c>
      <c r="AE53" s="8">
        <v>0</v>
      </c>
    </row>
    <row r="54" spans="1:41" x14ac:dyDescent="0.15">
      <c r="A54" s="7" t="s">
        <v>327</v>
      </c>
      <c r="B54" s="7" t="s">
        <v>19</v>
      </c>
      <c r="C54" s="8">
        <v>2019</v>
      </c>
      <c r="D54" s="8">
        <v>1</v>
      </c>
      <c r="E54" s="8">
        <v>0</v>
      </c>
      <c r="F54" s="8" t="s">
        <v>328</v>
      </c>
      <c r="G54" s="9" t="s">
        <v>82</v>
      </c>
      <c r="H54" s="8">
        <v>-13.409806</v>
      </c>
      <c r="I54" s="8">
        <v>142.31288900000001</v>
      </c>
      <c r="J54" s="9" t="s">
        <v>109</v>
      </c>
      <c r="K54" s="8" t="s">
        <v>17</v>
      </c>
      <c r="L54" s="8">
        <v>1</v>
      </c>
      <c r="M54" s="8">
        <v>0</v>
      </c>
      <c r="N54" s="8">
        <v>0</v>
      </c>
      <c r="O54">
        <v>1.2</v>
      </c>
      <c r="P54" s="8" t="s">
        <v>329</v>
      </c>
      <c r="Q54" s="8" t="s">
        <v>208</v>
      </c>
      <c r="R54" s="8">
        <f>521.1+696.5</f>
        <v>1217.5999999999999</v>
      </c>
      <c r="S54" s="8">
        <v>293.7</v>
      </c>
      <c r="T54" s="8">
        <v>278.2</v>
      </c>
      <c r="U54" s="8">
        <v>410.15</v>
      </c>
      <c r="V54" s="8">
        <f>R54-U54</f>
        <v>807.44999999999993</v>
      </c>
      <c r="W54" s="8">
        <f>S54/R54</f>
        <v>0.24121222076215507</v>
      </c>
      <c r="X54" s="8">
        <f>T54/R54</f>
        <v>0.22848226018396847</v>
      </c>
      <c r="Y54" s="8">
        <f>U54/R54</f>
        <v>0.33685118265440211</v>
      </c>
      <c r="Z54" s="8">
        <f t="shared" si="6"/>
        <v>1.4742990654205608</v>
      </c>
      <c r="AA54" s="8">
        <f t="shared" si="7"/>
        <v>1.0557153127246586</v>
      </c>
      <c r="AB54" s="10" t="s">
        <v>374</v>
      </c>
      <c r="AD54" s="8">
        <v>1</v>
      </c>
      <c r="AE54" s="8">
        <v>1</v>
      </c>
    </row>
    <row r="55" spans="1:41" x14ac:dyDescent="0.15">
      <c r="A55" s="7" t="s">
        <v>306</v>
      </c>
      <c r="B55" s="7" t="s">
        <v>19</v>
      </c>
      <c r="C55" s="8">
        <v>2018</v>
      </c>
      <c r="D55" s="8">
        <v>2</v>
      </c>
      <c r="E55" s="8">
        <v>0</v>
      </c>
      <c r="F55" s="7" t="s">
        <v>307</v>
      </c>
      <c r="G55" s="9" t="s">
        <v>148</v>
      </c>
      <c r="H55" s="8">
        <v>-18.186620000000001</v>
      </c>
      <c r="I55" s="8">
        <v>124.49260099999999</v>
      </c>
      <c r="J55" s="9" t="s">
        <v>109</v>
      </c>
      <c r="K55" s="8" t="s">
        <v>17</v>
      </c>
      <c r="L55" s="8">
        <v>1</v>
      </c>
      <c r="M55" s="8">
        <v>0</v>
      </c>
      <c r="N55" s="8">
        <v>0</v>
      </c>
      <c r="O55">
        <v>2.1</v>
      </c>
      <c r="P55" s="8" t="s">
        <v>74</v>
      </c>
      <c r="Q55" s="8">
        <v>16.100000000000001</v>
      </c>
      <c r="R55" s="8">
        <f>V55+U55</f>
        <v>1173.8</v>
      </c>
      <c r="S55" s="8">
        <v>351.3</v>
      </c>
      <c r="T55" s="8">
        <v>338.9</v>
      </c>
      <c r="U55" s="8">
        <v>440.4</v>
      </c>
      <c r="V55" s="8">
        <f>263.7+300.3+169.4</f>
        <v>733.4</v>
      </c>
      <c r="W55" s="8">
        <f>S55/R55</f>
        <v>0.29928437553245868</v>
      </c>
      <c r="X55" s="8">
        <f>T55/R55</f>
        <v>0.28872039529732491</v>
      </c>
      <c r="Y55" s="8">
        <f>U55/R55</f>
        <v>0.37519168512523426</v>
      </c>
      <c r="Z55" s="8">
        <f t="shared" si="6"/>
        <v>1.29949837710239</v>
      </c>
      <c r="AA55" s="8">
        <f t="shared" si="7"/>
        <v>1.0365889642962527</v>
      </c>
      <c r="AB55" s="10" t="s">
        <v>494</v>
      </c>
      <c r="AC55" s="8" t="s">
        <v>397</v>
      </c>
      <c r="AD55" s="8">
        <v>1</v>
      </c>
      <c r="AE55" s="8" t="s">
        <v>177</v>
      </c>
      <c r="AF55" s="8">
        <v>1110.9000000000001</v>
      </c>
      <c r="AG55" s="8">
        <v>351.2</v>
      </c>
      <c r="AH55" s="8">
        <v>338</v>
      </c>
      <c r="AI55" s="8">
        <v>433.8</v>
      </c>
      <c r="AJ55" s="8">
        <v>677.1</v>
      </c>
      <c r="AK55" s="8">
        <v>0.31614006661265637</v>
      </c>
      <c r="AL55" s="8">
        <v>0.30425780898370686</v>
      </c>
      <c r="AM55" s="8">
        <v>0.39049419389684037</v>
      </c>
      <c r="AN55" s="8">
        <v>1.283431952662722</v>
      </c>
      <c r="AO55" s="8">
        <v>1.0390532544378699</v>
      </c>
    </row>
    <row r="56" spans="1:41" x14ac:dyDescent="0.15">
      <c r="A56" s="7" t="s">
        <v>97</v>
      </c>
      <c r="B56" s="7" t="s">
        <v>77</v>
      </c>
      <c r="C56" s="8">
        <v>1972</v>
      </c>
      <c r="D56" s="8">
        <v>3</v>
      </c>
      <c r="E56" s="8">
        <v>0</v>
      </c>
      <c r="F56" s="7" t="s">
        <v>95</v>
      </c>
      <c r="G56" s="9" t="s">
        <v>96</v>
      </c>
      <c r="H56" s="8">
        <v>-12.028817999999999</v>
      </c>
      <c r="I56" s="8">
        <v>135.56361000000001</v>
      </c>
      <c r="J56" s="9" t="s">
        <v>109</v>
      </c>
      <c r="K56" s="8" t="s">
        <v>17</v>
      </c>
      <c r="L56" s="8">
        <v>1</v>
      </c>
      <c r="M56" s="8">
        <v>0</v>
      </c>
      <c r="N56" s="8">
        <v>1</v>
      </c>
      <c r="O56">
        <v>4.34</v>
      </c>
      <c r="P56" s="8" t="s">
        <v>71</v>
      </c>
      <c r="Q56" s="8" t="s">
        <v>17</v>
      </c>
      <c r="R56" s="8" t="s">
        <v>17</v>
      </c>
      <c r="S56" s="8">
        <v>1280.7</v>
      </c>
      <c r="T56" s="8">
        <v>1200.9000000000001</v>
      </c>
      <c r="U56" s="8">
        <v>1511.8</v>
      </c>
      <c r="V56" s="8" t="s">
        <v>17</v>
      </c>
      <c r="W56" s="8" t="s">
        <v>17</v>
      </c>
      <c r="X56" s="8" t="s">
        <v>17</v>
      </c>
      <c r="Y56" s="8" t="s">
        <v>17</v>
      </c>
      <c r="Z56" s="9">
        <f t="shared" si="6"/>
        <v>1.2588891664584894</v>
      </c>
      <c r="AA56" s="9">
        <f t="shared" si="7"/>
        <v>1.0664501623782163</v>
      </c>
      <c r="AB56" s="10" t="s">
        <v>293</v>
      </c>
      <c r="AD56" s="8">
        <v>1</v>
      </c>
      <c r="AE56" s="8">
        <v>0</v>
      </c>
    </row>
    <row r="57" spans="1:41" x14ac:dyDescent="0.15">
      <c r="A57" s="62" t="s">
        <v>368</v>
      </c>
      <c r="B57" s="7" t="s">
        <v>77</v>
      </c>
      <c r="C57" s="8">
        <v>2016</v>
      </c>
      <c r="D57" s="8">
        <v>1</v>
      </c>
      <c r="E57" s="8">
        <v>0</v>
      </c>
      <c r="F57" s="7" t="s">
        <v>176</v>
      </c>
      <c r="G57" s="9" t="s">
        <v>148</v>
      </c>
      <c r="H57" s="8" t="s">
        <v>17</v>
      </c>
      <c r="I57" s="8" t="s">
        <v>17</v>
      </c>
      <c r="J57" s="9" t="s">
        <v>194</v>
      </c>
      <c r="K57" s="8" t="s">
        <v>17</v>
      </c>
      <c r="L57" s="8">
        <v>1</v>
      </c>
      <c r="M57" s="8">
        <v>0</v>
      </c>
      <c r="N57" s="8">
        <v>0</v>
      </c>
      <c r="O57">
        <v>4.8</v>
      </c>
      <c r="P57" s="8" t="s">
        <v>74</v>
      </c>
      <c r="Q57" s="8" t="s">
        <v>73</v>
      </c>
      <c r="R57" s="8">
        <f>U57+V57</f>
        <v>2523.8000000000002</v>
      </c>
      <c r="S57" s="8">
        <v>743.8</v>
      </c>
      <c r="T57" s="8">
        <v>708.5</v>
      </c>
      <c r="U57" s="8">
        <v>912.9</v>
      </c>
      <c r="V57" s="8">
        <f>904.6+706.3</f>
        <v>1610.9</v>
      </c>
      <c r="W57" s="8">
        <f>S57/R57</f>
        <v>0.29471431967667799</v>
      </c>
      <c r="X57" s="8">
        <f>T57/R57</f>
        <v>0.28072747444329976</v>
      </c>
      <c r="Y57" s="8">
        <f>U57/R57</f>
        <v>0.3617164593073936</v>
      </c>
      <c r="Z57" s="8">
        <f t="shared" si="6"/>
        <v>1.2884968242766408</v>
      </c>
      <c r="AA57" s="8">
        <f t="shared" si="7"/>
        <v>1.0498235709244883</v>
      </c>
      <c r="AB57" s="10" t="s">
        <v>293</v>
      </c>
      <c r="AD57" s="8">
        <v>1</v>
      </c>
      <c r="AE57" s="8">
        <v>1</v>
      </c>
    </row>
    <row r="58" spans="1:41" x14ac:dyDescent="0.15">
      <c r="A58" s="7" t="s">
        <v>126</v>
      </c>
      <c r="B58" s="7" t="s">
        <v>77</v>
      </c>
      <c r="C58" s="8">
        <v>1927</v>
      </c>
      <c r="D58" s="8">
        <v>1</v>
      </c>
      <c r="E58" s="8">
        <v>0</v>
      </c>
      <c r="F58" s="8" t="s">
        <v>129</v>
      </c>
      <c r="G58" s="9" t="s">
        <v>82</v>
      </c>
      <c r="H58" s="8">
        <v>-14.284711</v>
      </c>
      <c r="I58" s="8">
        <v>143.73225400000001</v>
      </c>
      <c r="J58" s="9" t="s">
        <v>109</v>
      </c>
      <c r="K58" s="8" t="s">
        <v>132</v>
      </c>
      <c r="L58" s="8">
        <v>1</v>
      </c>
      <c r="M58" s="8">
        <v>0</v>
      </c>
      <c r="N58" s="8">
        <v>0</v>
      </c>
      <c r="O58">
        <v>5.96</v>
      </c>
      <c r="P58" s="8" t="s">
        <v>71</v>
      </c>
      <c r="Q58" s="8" t="s">
        <v>17</v>
      </c>
      <c r="R58" s="8" t="s">
        <v>17</v>
      </c>
      <c r="S58" s="8">
        <v>755.6</v>
      </c>
      <c r="T58" s="8">
        <v>721.4</v>
      </c>
      <c r="U58" s="8">
        <v>946</v>
      </c>
      <c r="V58" s="8" t="s">
        <v>17</v>
      </c>
      <c r="W58" s="8" t="s">
        <v>17</v>
      </c>
      <c r="X58" s="8" t="s">
        <v>17</v>
      </c>
      <c r="Y58" s="8" t="s">
        <v>17</v>
      </c>
      <c r="Z58" s="8">
        <f t="shared" si="6"/>
        <v>1.3113390629331856</v>
      </c>
      <c r="AA58" s="9">
        <f t="shared" si="7"/>
        <v>1.0474078181314113</v>
      </c>
      <c r="AB58" s="10" t="s">
        <v>293</v>
      </c>
      <c r="AD58" s="8">
        <v>1</v>
      </c>
      <c r="AE58" s="8">
        <v>0</v>
      </c>
    </row>
    <row r="59" spans="1:41" ht="16" x14ac:dyDescent="0.2">
      <c r="A59" s="62" t="s">
        <v>381</v>
      </c>
      <c r="B59" s="7" t="s">
        <v>77</v>
      </c>
      <c r="C59" s="8">
        <v>2021</v>
      </c>
      <c r="D59" s="8">
        <v>1</v>
      </c>
      <c r="E59" s="8">
        <v>1</v>
      </c>
      <c r="F59" s="15" t="s">
        <v>380</v>
      </c>
      <c r="G59" s="9" t="s">
        <v>148</v>
      </c>
      <c r="H59" s="12">
        <v>-20.629133299999999</v>
      </c>
      <c r="I59" s="12">
        <v>116.79721670000001</v>
      </c>
      <c r="J59" s="9" t="s">
        <v>109</v>
      </c>
      <c r="K59" s="8" t="s">
        <v>180</v>
      </c>
      <c r="L59" s="8">
        <v>1</v>
      </c>
      <c r="M59" s="8">
        <v>0</v>
      </c>
      <c r="N59" s="8">
        <v>1</v>
      </c>
      <c r="O59">
        <v>6.4</v>
      </c>
      <c r="P59" s="8" t="s">
        <v>216</v>
      </c>
      <c r="Q59" s="8" t="s">
        <v>297</v>
      </c>
      <c r="R59" s="8">
        <v>909.2</v>
      </c>
      <c r="S59" s="8">
        <v>247.5</v>
      </c>
      <c r="T59" s="8">
        <v>237.2</v>
      </c>
      <c r="U59" s="8">
        <v>308.10000000000002</v>
      </c>
      <c r="V59" s="8">
        <f>207.05+158.4</f>
        <v>365.45000000000005</v>
      </c>
      <c r="W59" s="8">
        <f t="shared" ref="W59:W67" si="8">S59/R59</f>
        <v>0.27221733391992958</v>
      </c>
      <c r="X59" s="8">
        <f t="shared" ref="X59:X67" si="9">T59/R59</f>
        <v>0.26088869335679715</v>
      </c>
      <c r="Y59" s="8">
        <f t="shared" ref="Y59:Y67" si="10">U59/R59</f>
        <v>0.33886933567971844</v>
      </c>
      <c r="Z59" s="8">
        <f t="shared" si="6"/>
        <v>1.2989038785834741</v>
      </c>
      <c r="AA59" s="8">
        <f t="shared" si="7"/>
        <v>1.0434232715008431</v>
      </c>
      <c r="AB59" s="10" t="s">
        <v>494</v>
      </c>
      <c r="AD59" s="8">
        <v>1</v>
      </c>
      <c r="AE59" s="8">
        <v>0</v>
      </c>
    </row>
    <row r="60" spans="1:41" x14ac:dyDescent="0.15">
      <c r="A60" s="7" t="s">
        <v>344</v>
      </c>
      <c r="B60" s="7" t="s">
        <v>19</v>
      </c>
      <c r="C60" s="8">
        <v>2009</v>
      </c>
      <c r="D60" s="8">
        <v>1</v>
      </c>
      <c r="E60" s="8">
        <v>0</v>
      </c>
      <c r="F60" s="8" t="s">
        <v>343</v>
      </c>
      <c r="G60" s="9" t="s">
        <v>82</v>
      </c>
      <c r="H60" s="8">
        <v>-15.707770999999999</v>
      </c>
      <c r="I60" s="8">
        <v>142.16718800000001</v>
      </c>
      <c r="J60" s="9" t="s">
        <v>109</v>
      </c>
      <c r="K60" s="8" t="s">
        <v>340</v>
      </c>
      <c r="L60" s="8">
        <v>1</v>
      </c>
      <c r="M60" s="8">
        <v>0</v>
      </c>
      <c r="N60" s="8">
        <v>0</v>
      </c>
      <c r="O60">
        <v>6.7</v>
      </c>
      <c r="P60" s="8" t="s">
        <v>348</v>
      </c>
      <c r="Q60" s="8" t="s">
        <v>349</v>
      </c>
      <c r="R60" s="8">
        <f>U60+V60</f>
        <v>1627.2</v>
      </c>
      <c r="S60" s="8">
        <v>391</v>
      </c>
      <c r="T60" s="8">
        <v>368.1</v>
      </c>
      <c r="U60" s="8">
        <v>502.2</v>
      </c>
      <c r="V60" s="8">
        <f>368.9+309.9+213.9+232.3</f>
        <v>1125</v>
      </c>
      <c r="W60" s="8">
        <f t="shared" si="8"/>
        <v>0.24029006882989185</v>
      </c>
      <c r="X60" s="8">
        <f t="shared" si="9"/>
        <v>0.22621681415929204</v>
      </c>
      <c r="Y60" s="8">
        <f t="shared" si="10"/>
        <v>0.3086283185840708</v>
      </c>
      <c r="Z60" s="8">
        <f t="shared" si="6"/>
        <v>1.3643031784841075</v>
      </c>
      <c r="AA60" s="8">
        <f t="shared" si="7"/>
        <v>1.0622113556098884</v>
      </c>
      <c r="AB60" s="10" t="s">
        <v>374</v>
      </c>
      <c r="AD60" s="8">
        <v>1</v>
      </c>
      <c r="AE60" s="8">
        <v>1</v>
      </c>
    </row>
    <row r="61" spans="1:41" x14ac:dyDescent="0.15">
      <c r="A61" s="7" t="s">
        <v>187</v>
      </c>
      <c r="B61" s="7" t="s">
        <v>46</v>
      </c>
      <c r="C61" s="8">
        <v>2021</v>
      </c>
      <c r="D61" s="8">
        <v>1</v>
      </c>
      <c r="E61" s="8">
        <v>0</v>
      </c>
      <c r="F61" s="8" t="s">
        <v>188</v>
      </c>
      <c r="G61" s="9" t="s">
        <v>82</v>
      </c>
      <c r="H61" s="8">
        <v>-23.164732999999998</v>
      </c>
      <c r="I61" s="8">
        <v>150.78153499999999</v>
      </c>
      <c r="J61" s="9" t="s">
        <v>229</v>
      </c>
      <c r="K61" s="8" t="s">
        <v>191</v>
      </c>
      <c r="L61" s="8">
        <v>1</v>
      </c>
      <c r="M61" s="8">
        <v>0</v>
      </c>
      <c r="N61" s="8">
        <v>0</v>
      </c>
      <c r="O61">
        <v>6.8819999999999997</v>
      </c>
      <c r="P61" s="8" t="s">
        <v>74</v>
      </c>
      <c r="Q61" s="8">
        <v>18.100000000000001</v>
      </c>
      <c r="R61" s="8">
        <f>1031.4+428.7</f>
        <v>1460.1000000000001</v>
      </c>
      <c r="S61" s="8">
        <v>433.3</v>
      </c>
      <c r="T61" s="8">
        <v>336</v>
      </c>
      <c r="U61" s="8">
        <v>531.9</v>
      </c>
      <c r="V61" s="8">
        <f>R61-U61</f>
        <v>928.20000000000016</v>
      </c>
      <c r="W61" s="8">
        <f t="shared" si="8"/>
        <v>0.29676049585644815</v>
      </c>
      <c r="X61" s="8">
        <f t="shared" si="9"/>
        <v>0.23012122457365933</v>
      </c>
      <c r="Y61" s="8">
        <f t="shared" si="10"/>
        <v>0.36429011711526604</v>
      </c>
      <c r="Z61" s="8">
        <f t="shared" si="6"/>
        <v>1.5830357142857143</v>
      </c>
      <c r="AA61" s="9">
        <f t="shared" si="7"/>
        <v>1.2895833333333333</v>
      </c>
      <c r="AB61" s="10" t="s">
        <v>374</v>
      </c>
      <c r="AD61" s="8">
        <v>1</v>
      </c>
      <c r="AE61" s="8">
        <v>1</v>
      </c>
    </row>
    <row r="62" spans="1:41" ht="16" x14ac:dyDescent="0.2">
      <c r="A62" s="63" t="s">
        <v>369</v>
      </c>
      <c r="B62" s="7" t="s">
        <v>77</v>
      </c>
      <c r="C62" s="8">
        <v>2021</v>
      </c>
      <c r="D62" s="8">
        <v>5</v>
      </c>
      <c r="E62" s="8">
        <v>1</v>
      </c>
      <c r="F62" s="7" t="s">
        <v>370</v>
      </c>
      <c r="G62" s="9" t="s">
        <v>148</v>
      </c>
      <c r="H62" s="12">
        <v>-20.627973000000001</v>
      </c>
      <c r="I62" s="12">
        <v>117.19825400000001</v>
      </c>
      <c r="J62" s="9" t="s">
        <v>109</v>
      </c>
      <c r="K62" s="8" t="s">
        <v>191</v>
      </c>
      <c r="L62" s="8">
        <v>1</v>
      </c>
      <c r="M62" s="8">
        <v>0</v>
      </c>
      <c r="N62" s="8">
        <v>1</v>
      </c>
      <c r="O62">
        <v>7.7</v>
      </c>
      <c r="P62" s="8" t="s">
        <v>74</v>
      </c>
      <c r="Q62" s="8" t="s">
        <v>371</v>
      </c>
      <c r="R62" s="8">
        <f>U62+V62</f>
        <v>2785.6000000000004</v>
      </c>
      <c r="S62" s="8">
        <v>948.6</v>
      </c>
      <c r="T62" s="8">
        <v>880.2</v>
      </c>
      <c r="U62" s="8">
        <v>1138.7</v>
      </c>
      <c r="V62" s="8">
        <v>1646.9</v>
      </c>
      <c r="W62" s="8">
        <f t="shared" si="8"/>
        <v>0.3405370476737507</v>
      </c>
      <c r="X62" s="8">
        <f t="shared" si="9"/>
        <v>0.31598219414129808</v>
      </c>
      <c r="Y62" s="8">
        <f t="shared" si="10"/>
        <v>0.40878087306145888</v>
      </c>
      <c r="Z62" s="8">
        <f t="shared" si="6"/>
        <v>1.2936832538059533</v>
      </c>
      <c r="AA62" s="8">
        <f t="shared" si="7"/>
        <v>1.0777096114519427</v>
      </c>
      <c r="AB62" s="10" t="s">
        <v>293</v>
      </c>
      <c r="AD62" s="8">
        <v>1</v>
      </c>
      <c r="AE62" s="8" t="s">
        <v>177</v>
      </c>
    </row>
    <row r="63" spans="1:41" x14ac:dyDescent="0.15">
      <c r="A63" s="7" t="s">
        <v>76</v>
      </c>
      <c r="B63" s="7" t="s">
        <v>77</v>
      </c>
      <c r="C63" s="8">
        <v>1962</v>
      </c>
      <c r="D63" s="8">
        <v>2</v>
      </c>
      <c r="E63" s="8">
        <v>0</v>
      </c>
      <c r="F63" s="7" t="s">
        <v>78</v>
      </c>
      <c r="G63" s="9" t="s">
        <v>82</v>
      </c>
      <c r="H63" s="8">
        <v>-22.542349000000002</v>
      </c>
      <c r="I63" s="8">
        <v>150.49331000000001</v>
      </c>
      <c r="J63" s="9" t="s">
        <v>108</v>
      </c>
      <c r="K63" s="8" t="s">
        <v>79</v>
      </c>
      <c r="L63" s="8">
        <v>1</v>
      </c>
      <c r="M63" s="8">
        <v>1</v>
      </c>
      <c r="N63" s="8">
        <v>1</v>
      </c>
      <c r="O63">
        <v>8.4</v>
      </c>
      <c r="P63" s="8" t="s">
        <v>74</v>
      </c>
      <c r="Q63" s="8" t="s">
        <v>73</v>
      </c>
      <c r="R63" s="8">
        <f>V63+U63</f>
        <v>3814</v>
      </c>
      <c r="S63" s="8">
        <v>1233</v>
      </c>
      <c r="T63" s="8">
        <v>1155</v>
      </c>
      <c r="U63" s="8">
        <v>1503</v>
      </c>
      <c r="V63" s="8">
        <v>2311</v>
      </c>
      <c r="W63" s="11">
        <f t="shared" si="8"/>
        <v>0.32328264289459885</v>
      </c>
      <c r="X63" s="11">
        <f t="shared" si="9"/>
        <v>0.30283167278447826</v>
      </c>
      <c r="Y63" s="14">
        <f t="shared" si="10"/>
        <v>0.39407446250655481</v>
      </c>
      <c r="Z63" s="11">
        <f t="shared" si="6"/>
        <v>1.3012987012987014</v>
      </c>
      <c r="AA63" s="9">
        <f t="shared" si="7"/>
        <v>1.0675324675324676</v>
      </c>
      <c r="AB63" s="10" t="s">
        <v>203</v>
      </c>
      <c r="AD63" s="8">
        <v>0</v>
      </c>
      <c r="AE63" s="8">
        <v>0</v>
      </c>
    </row>
    <row r="64" spans="1:41" x14ac:dyDescent="0.15">
      <c r="A64" s="7" t="s">
        <v>316</v>
      </c>
      <c r="B64" s="7" t="s">
        <v>19</v>
      </c>
      <c r="C64" s="8">
        <v>2016</v>
      </c>
      <c r="D64" s="8">
        <v>7</v>
      </c>
      <c r="E64" s="8">
        <v>0</v>
      </c>
      <c r="F64" s="8" t="s">
        <v>317</v>
      </c>
      <c r="G64" s="9" t="s">
        <v>82</v>
      </c>
      <c r="H64" s="8">
        <v>-17.727582999999999</v>
      </c>
      <c r="I64" s="8">
        <v>139.62248199999999</v>
      </c>
      <c r="J64" s="9" t="s">
        <v>321</v>
      </c>
      <c r="K64" s="8" t="s">
        <v>220</v>
      </c>
      <c r="L64" s="8">
        <v>1</v>
      </c>
      <c r="M64" s="8">
        <v>0</v>
      </c>
      <c r="N64" s="8">
        <v>1</v>
      </c>
      <c r="O64">
        <v>9.4</v>
      </c>
      <c r="P64" s="8" t="s">
        <v>71</v>
      </c>
      <c r="Q64" s="8" t="s">
        <v>17</v>
      </c>
      <c r="R64" s="8">
        <v>5309.4</v>
      </c>
      <c r="S64" s="8">
        <v>1400.9</v>
      </c>
      <c r="T64" s="8">
        <v>1332.4</v>
      </c>
      <c r="U64" s="8">
        <v>1728.2</v>
      </c>
      <c r="V64" s="8">
        <f>R64-U64</f>
        <v>3581.2</v>
      </c>
      <c r="W64" s="8">
        <f t="shared" si="8"/>
        <v>0.26385278939239842</v>
      </c>
      <c r="X64" s="8">
        <f t="shared" si="9"/>
        <v>0.25095114325535844</v>
      </c>
      <c r="Y64" s="8">
        <f t="shared" si="10"/>
        <v>0.32549817305156897</v>
      </c>
      <c r="Z64" s="8">
        <f t="shared" si="6"/>
        <v>1.2970579405583909</v>
      </c>
      <c r="AA64" s="8">
        <f t="shared" si="7"/>
        <v>1.051410987691384</v>
      </c>
      <c r="AB64" s="10" t="s">
        <v>293</v>
      </c>
      <c r="AD64" s="8">
        <v>1</v>
      </c>
      <c r="AE64" s="8">
        <v>1</v>
      </c>
    </row>
    <row r="65" spans="1:41" x14ac:dyDescent="0.15">
      <c r="A65" s="7" t="s">
        <v>366</v>
      </c>
      <c r="B65" s="7" t="s">
        <v>77</v>
      </c>
      <c r="C65" s="8">
        <v>2020</v>
      </c>
      <c r="D65" s="8">
        <v>1</v>
      </c>
      <c r="E65" s="8">
        <v>0</v>
      </c>
      <c r="F65" s="7" t="s">
        <v>367</v>
      </c>
      <c r="G65" s="9" t="s">
        <v>148</v>
      </c>
      <c r="H65" s="8">
        <v>-24.903465000000001</v>
      </c>
      <c r="I65" s="8">
        <v>113.641841</v>
      </c>
      <c r="J65" s="9" t="s">
        <v>111</v>
      </c>
      <c r="K65" s="8" t="s">
        <v>132</v>
      </c>
      <c r="L65" s="8">
        <v>1</v>
      </c>
      <c r="M65" s="8">
        <v>0</v>
      </c>
      <c r="N65" s="8">
        <v>1</v>
      </c>
      <c r="O65">
        <v>10.6</v>
      </c>
      <c r="P65" s="8" t="s">
        <v>71</v>
      </c>
      <c r="Q65" s="8" t="s">
        <v>17</v>
      </c>
      <c r="R65" s="8">
        <f>U65+V65</f>
        <v>1215.9000000000001</v>
      </c>
      <c r="S65" s="8">
        <v>391.7</v>
      </c>
      <c r="T65" s="8">
        <v>366.2</v>
      </c>
      <c r="U65" s="8">
        <v>482.4</v>
      </c>
      <c r="V65" s="8">
        <f>400.1+333.4</f>
        <v>733.5</v>
      </c>
      <c r="W65" s="8">
        <f t="shared" si="8"/>
        <v>0.32214820297721847</v>
      </c>
      <c r="X65" s="8">
        <f t="shared" si="9"/>
        <v>0.3011760835595032</v>
      </c>
      <c r="Y65" s="8">
        <f t="shared" si="10"/>
        <v>0.39674315321983711</v>
      </c>
      <c r="Z65" s="8">
        <f t="shared" si="6"/>
        <v>1.3173129437465865</v>
      </c>
      <c r="AA65" s="8">
        <f t="shared" si="7"/>
        <v>1.0696340797378481</v>
      </c>
      <c r="AB65" s="10" t="s">
        <v>293</v>
      </c>
      <c r="AD65" s="8">
        <v>1</v>
      </c>
      <c r="AE65" s="8" t="s">
        <v>177</v>
      </c>
    </row>
    <row r="66" spans="1:41" x14ac:dyDescent="0.15">
      <c r="A66" s="7" t="s">
        <v>128</v>
      </c>
      <c r="B66" s="7" t="s">
        <v>77</v>
      </c>
      <c r="C66" s="8">
        <v>1890</v>
      </c>
      <c r="D66" s="8">
        <v>1</v>
      </c>
      <c r="E66" s="8">
        <v>0</v>
      </c>
      <c r="F66" s="8" t="s">
        <v>131</v>
      </c>
      <c r="G66" s="9" t="s">
        <v>82</v>
      </c>
      <c r="H66" s="8">
        <v>-28.185203000000001</v>
      </c>
      <c r="I66" s="8">
        <v>153.539918</v>
      </c>
      <c r="J66" s="9" t="s">
        <v>110</v>
      </c>
      <c r="K66" s="8" t="s">
        <v>134</v>
      </c>
      <c r="L66" s="8">
        <v>1</v>
      </c>
      <c r="M66" s="8">
        <v>0</v>
      </c>
      <c r="N66" s="8">
        <v>1</v>
      </c>
      <c r="O66">
        <v>13.25</v>
      </c>
      <c r="P66" s="8" t="s">
        <v>71</v>
      </c>
      <c r="Q66" s="8" t="s">
        <v>17</v>
      </c>
      <c r="R66" s="8">
        <v>962.8</v>
      </c>
      <c r="S66" s="8">
        <v>281.39999999999998</v>
      </c>
      <c r="T66" s="8">
        <v>262.2</v>
      </c>
      <c r="U66" s="8">
        <v>353.7</v>
      </c>
      <c r="V66" s="8">
        <f>R66-U66</f>
        <v>609.09999999999991</v>
      </c>
      <c r="W66" s="8">
        <f t="shared" si="8"/>
        <v>0.2922725384295804</v>
      </c>
      <c r="X66" s="8">
        <f t="shared" si="9"/>
        <v>0.2723307021188201</v>
      </c>
      <c r="Y66" s="8">
        <f t="shared" si="10"/>
        <v>0.36736601578728706</v>
      </c>
      <c r="Z66" s="8">
        <f t="shared" si="6"/>
        <v>1.3489702517162472</v>
      </c>
      <c r="AA66" s="9">
        <f t="shared" si="7"/>
        <v>1.0732265446224256</v>
      </c>
      <c r="AB66" s="10" t="s">
        <v>203</v>
      </c>
      <c r="AD66" s="8">
        <v>1</v>
      </c>
      <c r="AE66" s="8">
        <v>1</v>
      </c>
    </row>
    <row r="67" spans="1:41" x14ac:dyDescent="0.15">
      <c r="A67" s="7" t="s">
        <v>45</v>
      </c>
      <c r="B67" s="7" t="s">
        <v>46</v>
      </c>
      <c r="C67" s="9">
        <v>2019</v>
      </c>
      <c r="D67" s="9">
        <v>3</v>
      </c>
      <c r="E67" s="9">
        <v>0</v>
      </c>
      <c r="F67" s="7" t="s">
        <v>53</v>
      </c>
      <c r="G67" s="9" t="s">
        <v>82</v>
      </c>
      <c r="H67" s="9">
        <v>-19.808553</v>
      </c>
      <c r="I67" s="9">
        <v>147.66145499999999</v>
      </c>
      <c r="J67" s="9" t="s">
        <v>107</v>
      </c>
      <c r="K67" s="9" t="s">
        <v>17</v>
      </c>
      <c r="L67" s="9">
        <v>1</v>
      </c>
      <c r="M67" s="9">
        <v>0</v>
      </c>
      <c r="N67" s="9">
        <v>1</v>
      </c>
      <c r="O67">
        <v>17.600000000000001</v>
      </c>
      <c r="P67" s="9" t="s">
        <v>48</v>
      </c>
      <c r="Q67" s="9">
        <v>755</v>
      </c>
      <c r="R67" s="9">
        <v>2686</v>
      </c>
      <c r="S67" s="9">
        <v>755</v>
      </c>
      <c r="T67" s="9">
        <v>677</v>
      </c>
      <c r="U67" s="9">
        <v>956.75</v>
      </c>
      <c r="V67" s="9">
        <f>R67-U67</f>
        <v>1729.25</v>
      </c>
      <c r="W67" s="11">
        <f t="shared" si="8"/>
        <v>0.28108711839166045</v>
      </c>
      <c r="X67" s="11">
        <f t="shared" si="9"/>
        <v>0.2520476545048399</v>
      </c>
      <c r="Y67" s="8">
        <f t="shared" si="10"/>
        <v>0.35619880863737902</v>
      </c>
      <c r="Z67" s="9">
        <f t="shared" si="6"/>
        <v>1.4132200886262924</v>
      </c>
      <c r="AA67" s="9">
        <f t="shared" si="7"/>
        <v>1.1152141802067947</v>
      </c>
      <c r="AB67" s="10" t="s">
        <v>203</v>
      </c>
      <c r="AC67" s="7" t="s">
        <v>395</v>
      </c>
      <c r="AD67" s="9">
        <v>1</v>
      </c>
      <c r="AE67" s="9">
        <v>0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x14ac:dyDescent="0.15">
      <c r="A68" s="7" t="s">
        <v>299</v>
      </c>
      <c r="B68" s="7" t="s">
        <v>19</v>
      </c>
      <c r="C68" s="8">
        <v>2022</v>
      </c>
      <c r="D68" s="8">
        <v>3</v>
      </c>
      <c r="E68" s="8">
        <v>0</v>
      </c>
      <c r="F68" s="7" t="s">
        <v>300</v>
      </c>
      <c r="G68" s="9" t="s">
        <v>82</v>
      </c>
      <c r="H68" s="8" t="s">
        <v>17</v>
      </c>
      <c r="I68" s="8" t="s">
        <v>17</v>
      </c>
      <c r="J68" s="9" t="s">
        <v>109</v>
      </c>
      <c r="K68" s="8" t="s">
        <v>206</v>
      </c>
      <c r="L68" s="8">
        <v>1</v>
      </c>
      <c r="M68" s="8">
        <v>0</v>
      </c>
      <c r="N68" s="8">
        <v>1</v>
      </c>
      <c r="O68">
        <v>26.6</v>
      </c>
      <c r="P68" s="8" t="s">
        <v>71</v>
      </c>
      <c r="Q68" s="8" t="s">
        <v>17</v>
      </c>
      <c r="R68" s="8" t="s">
        <v>17</v>
      </c>
      <c r="S68" s="8">
        <v>1309.3</v>
      </c>
      <c r="T68" s="8">
        <v>1238.3</v>
      </c>
      <c r="U68" s="8">
        <v>1623.4</v>
      </c>
      <c r="V68" s="8" t="s">
        <v>17</v>
      </c>
      <c r="W68" s="8" t="s">
        <v>17</v>
      </c>
      <c r="X68" s="8" t="s">
        <v>17</v>
      </c>
      <c r="Y68" s="8" t="s">
        <v>17</v>
      </c>
      <c r="Z68" s="8">
        <f t="shared" si="6"/>
        <v>1.3109908745861263</v>
      </c>
      <c r="AA68" s="8">
        <f t="shared" si="7"/>
        <v>1.0573366712428329</v>
      </c>
      <c r="AB68" s="10" t="s">
        <v>374</v>
      </c>
      <c r="AD68" s="8">
        <v>1</v>
      </c>
      <c r="AE68" s="8">
        <v>0</v>
      </c>
    </row>
    <row r="69" spans="1:41" x14ac:dyDescent="0.15">
      <c r="A69" s="7" t="s">
        <v>353</v>
      </c>
      <c r="B69" s="7" t="s">
        <v>19</v>
      </c>
      <c r="C69" s="8">
        <v>2021</v>
      </c>
      <c r="D69" s="8">
        <v>1</v>
      </c>
      <c r="E69" s="8">
        <v>0</v>
      </c>
      <c r="F69" s="8" t="s">
        <v>351</v>
      </c>
      <c r="G69" s="9" t="s">
        <v>82</v>
      </c>
      <c r="H69" s="8">
        <v>-17.854997000000001</v>
      </c>
      <c r="I69" s="8">
        <v>141.133262</v>
      </c>
      <c r="J69" s="9" t="s">
        <v>321</v>
      </c>
      <c r="K69" s="8" t="s">
        <v>354</v>
      </c>
      <c r="L69" s="8">
        <v>1</v>
      </c>
      <c r="M69" s="8">
        <v>0</v>
      </c>
      <c r="N69" s="8">
        <v>1</v>
      </c>
      <c r="O69">
        <v>43.1</v>
      </c>
      <c r="P69" s="8" t="s">
        <v>71</v>
      </c>
      <c r="Q69" s="8" t="s">
        <v>17</v>
      </c>
      <c r="R69" s="8" t="s">
        <v>17</v>
      </c>
      <c r="S69" s="8">
        <v>376.5</v>
      </c>
      <c r="T69" s="8">
        <v>365.1</v>
      </c>
      <c r="U69" s="8">
        <v>469</v>
      </c>
      <c r="V69" s="8" t="s">
        <v>17</v>
      </c>
      <c r="W69" s="8" t="s">
        <v>17</v>
      </c>
      <c r="X69" s="8" t="s">
        <v>17</v>
      </c>
      <c r="Y69" s="8" t="s">
        <v>17</v>
      </c>
      <c r="Z69" s="8">
        <f t="shared" si="6"/>
        <v>1.2845795672418514</v>
      </c>
      <c r="AA69" s="8">
        <f t="shared" si="7"/>
        <v>1.0312243221035333</v>
      </c>
      <c r="AB69" s="10" t="s">
        <v>374</v>
      </c>
      <c r="AD69" s="8">
        <v>1</v>
      </c>
      <c r="AE69" s="8">
        <v>0</v>
      </c>
    </row>
    <row r="70" spans="1:41" x14ac:dyDescent="0.15">
      <c r="A70" s="7" t="s">
        <v>268</v>
      </c>
      <c r="B70" s="7" t="s">
        <v>19</v>
      </c>
      <c r="C70" s="8">
        <v>2020</v>
      </c>
      <c r="D70" s="8">
        <v>1</v>
      </c>
      <c r="E70" s="8">
        <v>0</v>
      </c>
      <c r="F70" s="7" t="s">
        <v>269</v>
      </c>
      <c r="G70" s="9" t="s">
        <v>96</v>
      </c>
      <c r="H70" s="8" t="s">
        <v>17</v>
      </c>
      <c r="I70" s="8" t="s">
        <v>17</v>
      </c>
      <c r="J70" s="9" t="s">
        <v>194</v>
      </c>
      <c r="K70" s="8" t="s">
        <v>270</v>
      </c>
      <c r="L70" s="8">
        <v>1</v>
      </c>
      <c r="M70" s="8">
        <v>1</v>
      </c>
      <c r="N70" s="8">
        <v>1</v>
      </c>
      <c r="O70">
        <v>63.5</v>
      </c>
      <c r="P70" s="8" t="s">
        <v>74</v>
      </c>
      <c r="Q70" s="8" t="s">
        <v>73</v>
      </c>
      <c r="R70" s="8">
        <f>U70+V70</f>
        <v>1071.9000000000001</v>
      </c>
      <c r="S70" s="8">
        <v>326.60000000000002</v>
      </c>
      <c r="T70" s="8">
        <v>315.8</v>
      </c>
      <c r="U70" s="8">
        <v>410.9</v>
      </c>
      <c r="V70" s="8">
        <f>369.1+291.9</f>
        <v>661</v>
      </c>
      <c r="W70" s="8">
        <f>S70/R70</f>
        <v>0.30469260192182107</v>
      </c>
      <c r="X70" s="8">
        <f>T70/R70</f>
        <v>0.29461703517119131</v>
      </c>
      <c r="Y70" s="8">
        <f>U70/R70</f>
        <v>0.38333799794756968</v>
      </c>
      <c r="Z70" s="8">
        <f t="shared" si="6"/>
        <v>1.3011399620012665</v>
      </c>
      <c r="AA70" s="8">
        <f t="shared" si="7"/>
        <v>1.0341988600379988</v>
      </c>
      <c r="AB70" s="10" t="s">
        <v>494</v>
      </c>
      <c r="AD70" s="8">
        <v>1</v>
      </c>
      <c r="AE70" s="8">
        <v>1</v>
      </c>
    </row>
    <row r="71" spans="1:41" x14ac:dyDescent="0.15">
      <c r="A71" s="7" t="s">
        <v>181</v>
      </c>
      <c r="B71" s="7" t="s">
        <v>46</v>
      </c>
      <c r="C71" s="8">
        <v>2021</v>
      </c>
      <c r="D71" s="8">
        <v>1</v>
      </c>
      <c r="E71" s="8">
        <v>0</v>
      </c>
      <c r="F71" s="7" t="s">
        <v>179</v>
      </c>
      <c r="G71" s="9" t="s">
        <v>82</v>
      </c>
      <c r="H71" s="8">
        <v>-16.846895</v>
      </c>
      <c r="I71" s="8">
        <v>145.74708799999999</v>
      </c>
      <c r="J71" s="9" t="s">
        <v>109</v>
      </c>
      <c r="K71" s="8" t="s">
        <v>180</v>
      </c>
      <c r="L71" s="8">
        <v>0</v>
      </c>
      <c r="M71" s="8">
        <v>1</v>
      </c>
      <c r="N71" s="8">
        <v>1</v>
      </c>
      <c r="O71">
        <v>75.849999999999994</v>
      </c>
      <c r="P71" s="8" t="s">
        <v>74</v>
      </c>
      <c r="Q71" s="8">
        <v>18.8</v>
      </c>
      <c r="R71" s="8">
        <v>1163.4000000000001</v>
      </c>
      <c r="S71" s="8">
        <v>357.1</v>
      </c>
      <c r="T71" s="8">
        <v>311.5</v>
      </c>
      <c r="U71" s="8">
        <v>441.5</v>
      </c>
      <c r="V71" s="8">
        <f>R71-U71</f>
        <v>721.90000000000009</v>
      </c>
      <c r="W71" s="8">
        <f>S71/R71</f>
        <v>0.30694516073577444</v>
      </c>
      <c r="X71" s="8">
        <f>T71/R71</f>
        <v>0.26774969915764135</v>
      </c>
      <c r="Y71" s="8">
        <f>U71/R71</f>
        <v>0.37949114663916106</v>
      </c>
      <c r="Z71" s="8">
        <f t="shared" si="6"/>
        <v>1.4173354735152488</v>
      </c>
      <c r="AA71" s="9">
        <f t="shared" si="7"/>
        <v>1.1463884430176565</v>
      </c>
      <c r="AB71" s="10" t="s">
        <v>494</v>
      </c>
      <c r="AC71" s="8" t="s">
        <v>182</v>
      </c>
      <c r="AD71" s="8">
        <v>1</v>
      </c>
      <c r="AE71" s="8">
        <v>0</v>
      </c>
    </row>
    <row r="72" spans="1:41" x14ac:dyDescent="0.15">
      <c r="A72" s="7" t="s">
        <v>168</v>
      </c>
      <c r="B72" s="7" t="s">
        <v>46</v>
      </c>
      <c r="C72" s="8">
        <v>2020</v>
      </c>
      <c r="D72" s="8">
        <v>1</v>
      </c>
      <c r="E72" s="8">
        <v>0</v>
      </c>
      <c r="F72" s="7" t="s">
        <v>169</v>
      </c>
      <c r="G72" s="9" t="s">
        <v>82</v>
      </c>
      <c r="H72" s="8">
        <v>-19.273140000000001</v>
      </c>
      <c r="I72" s="8">
        <v>146.85207600000001</v>
      </c>
      <c r="J72" s="9" t="s">
        <v>109</v>
      </c>
      <c r="K72" s="8" t="s">
        <v>171</v>
      </c>
      <c r="L72" s="8">
        <v>0</v>
      </c>
      <c r="M72" s="8">
        <v>1</v>
      </c>
      <c r="N72" s="8">
        <v>1</v>
      </c>
      <c r="O72">
        <v>76.655000000000001</v>
      </c>
      <c r="P72" s="8" t="s">
        <v>74</v>
      </c>
      <c r="Q72" s="8" t="s">
        <v>101</v>
      </c>
      <c r="R72" s="8">
        <f>U72+V72</f>
        <v>1906.64</v>
      </c>
      <c r="S72" s="8">
        <v>609.4</v>
      </c>
      <c r="T72" s="8">
        <v>491.4</v>
      </c>
      <c r="U72" s="8">
        <v>767.5</v>
      </c>
      <c r="V72" s="8">
        <f>647.95+491.19</f>
        <v>1139.1400000000001</v>
      </c>
      <c r="W72" s="8">
        <f>S72/R72</f>
        <v>0.31961985482314437</v>
      </c>
      <c r="X72" s="8">
        <f>T72/R72</f>
        <v>0.257730877354928</v>
      </c>
      <c r="Y72" s="8">
        <f>U72/R72</f>
        <v>0.40254059497335626</v>
      </c>
      <c r="Z72" s="8">
        <f t="shared" si="6"/>
        <v>1.561864061864062</v>
      </c>
      <c r="AA72" s="9">
        <f t="shared" si="7"/>
        <v>1.2401302401302401</v>
      </c>
      <c r="AB72" s="10" t="s">
        <v>374</v>
      </c>
      <c r="AC72" s="8" t="s">
        <v>172</v>
      </c>
      <c r="AD72" s="8">
        <v>1</v>
      </c>
      <c r="AE72" s="8">
        <v>1</v>
      </c>
    </row>
    <row r="73" spans="1:41" x14ac:dyDescent="0.15">
      <c r="A73" s="7" t="s">
        <v>252</v>
      </c>
      <c r="B73" s="7" t="s">
        <v>16</v>
      </c>
      <c r="C73" s="8">
        <v>2020</v>
      </c>
      <c r="D73" s="8">
        <v>3</v>
      </c>
      <c r="E73" s="8">
        <v>0</v>
      </c>
      <c r="F73" s="7" t="s">
        <v>240</v>
      </c>
      <c r="G73" s="9" t="s">
        <v>82</v>
      </c>
      <c r="H73" s="8">
        <v>-12.587782000000001</v>
      </c>
      <c r="I73" s="8">
        <v>141.96134599999999</v>
      </c>
      <c r="J73" s="9" t="s">
        <v>190</v>
      </c>
      <c r="K73" s="8" t="s">
        <v>17</v>
      </c>
      <c r="L73" s="8">
        <v>0</v>
      </c>
      <c r="M73" s="8">
        <v>1</v>
      </c>
      <c r="N73" s="8">
        <v>1</v>
      </c>
      <c r="O73">
        <v>77.14</v>
      </c>
      <c r="P73" s="8" t="s">
        <v>74</v>
      </c>
      <c r="Q73" s="8">
        <v>17.507058529999998</v>
      </c>
      <c r="R73" s="8">
        <v>1168.5</v>
      </c>
      <c r="S73" s="8">
        <v>326.8</v>
      </c>
      <c r="T73" s="8">
        <v>307.10000000000002</v>
      </c>
      <c r="U73" s="8">
        <v>414.3</v>
      </c>
      <c r="V73" s="8">
        <f>R73-U73</f>
        <v>754.2</v>
      </c>
      <c r="W73" s="8">
        <f>S73/R73</f>
        <v>0.27967479674796747</v>
      </c>
      <c r="X73" s="8">
        <f>T73/R73</f>
        <v>0.26281557552417634</v>
      </c>
      <c r="Y73" s="8">
        <f>U73/R73</f>
        <v>0.3545571245186136</v>
      </c>
      <c r="Z73" s="8">
        <f t="shared" si="6"/>
        <v>1.3490719635297947</v>
      </c>
      <c r="AA73" s="8">
        <f t="shared" si="7"/>
        <v>1.0641484858352328</v>
      </c>
      <c r="AB73" s="10" t="s">
        <v>374</v>
      </c>
      <c r="AC73" s="8" t="s">
        <v>253</v>
      </c>
      <c r="AD73" s="8">
        <v>1</v>
      </c>
      <c r="AE73" s="8">
        <v>0</v>
      </c>
    </row>
    <row r="74" spans="1:41" x14ac:dyDescent="0.15">
      <c r="A74" s="7" t="s">
        <v>281</v>
      </c>
      <c r="B74" s="7" t="s">
        <v>19</v>
      </c>
      <c r="C74" s="8">
        <v>2019</v>
      </c>
      <c r="D74" s="8">
        <v>1</v>
      </c>
      <c r="E74" s="8">
        <v>0</v>
      </c>
      <c r="F74" s="7" t="s">
        <v>280</v>
      </c>
      <c r="G74" s="9" t="s">
        <v>82</v>
      </c>
      <c r="H74" s="8">
        <v>-16.593910999999999</v>
      </c>
      <c r="I74" s="8">
        <v>141.24666099999999</v>
      </c>
      <c r="J74" s="9" t="s">
        <v>109</v>
      </c>
      <c r="K74" s="8" t="s">
        <v>220</v>
      </c>
      <c r="L74" s="8">
        <v>0</v>
      </c>
      <c r="M74" s="8">
        <v>1</v>
      </c>
      <c r="N74" s="8">
        <v>1</v>
      </c>
      <c r="O74">
        <v>82.2</v>
      </c>
      <c r="P74" s="8" t="s">
        <v>71</v>
      </c>
      <c r="Q74" s="8" t="s">
        <v>17</v>
      </c>
      <c r="R74" s="8" t="s">
        <v>17</v>
      </c>
      <c r="S74" s="8">
        <v>1009.9</v>
      </c>
      <c r="T74" s="8">
        <v>970.1</v>
      </c>
      <c r="U74" s="8">
        <v>1249.7</v>
      </c>
      <c r="V74" s="8" t="s">
        <v>17</v>
      </c>
      <c r="W74" s="8" t="s">
        <v>17</v>
      </c>
      <c r="X74" s="8" t="s">
        <v>17</v>
      </c>
      <c r="Y74" s="8" t="s">
        <v>17</v>
      </c>
      <c r="Z74" s="8">
        <f t="shared" si="6"/>
        <v>1.2882177095144831</v>
      </c>
      <c r="AA74" s="8">
        <f t="shared" si="7"/>
        <v>1.0410266982785279</v>
      </c>
      <c r="AB74" s="10" t="s">
        <v>374</v>
      </c>
      <c r="AD74" s="8">
        <v>1</v>
      </c>
      <c r="AE74" s="8">
        <v>0</v>
      </c>
    </row>
    <row r="75" spans="1:41" x14ac:dyDescent="0.15">
      <c r="A75" s="7" t="s">
        <v>50</v>
      </c>
      <c r="B75" s="7" t="s">
        <v>16</v>
      </c>
      <c r="C75" s="8">
        <v>1939</v>
      </c>
      <c r="D75" s="8">
        <v>3</v>
      </c>
      <c r="E75" s="8">
        <v>0</v>
      </c>
      <c r="F75" s="7" t="s">
        <v>52</v>
      </c>
      <c r="G75" s="9" t="s">
        <v>82</v>
      </c>
      <c r="H75" s="8">
        <v>-16.894386000000001</v>
      </c>
      <c r="I75" s="8">
        <v>145.87735699999999</v>
      </c>
      <c r="J75" s="9" t="s">
        <v>111</v>
      </c>
      <c r="K75" s="8" t="s">
        <v>54</v>
      </c>
      <c r="L75" s="8">
        <v>0</v>
      </c>
      <c r="M75" s="8">
        <v>1</v>
      </c>
      <c r="N75" s="8">
        <v>0</v>
      </c>
      <c r="O75">
        <v>82.35</v>
      </c>
      <c r="P75" s="8" t="s">
        <v>56</v>
      </c>
      <c r="Q75" s="13" t="s">
        <v>55</v>
      </c>
      <c r="R75" s="8">
        <v>2873</v>
      </c>
      <c r="S75" s="8">
        <v>546</v>
      </c>
      <c r="T75" s="8">
        <v>528</v>
      </c>
      <c r="U75" s="8">
        <v>715</v>
      </c>
      <c r="V75" s="8">
        <f>R75-U75</f>
        <v>2158</v>
      </c>
      <c r="W75" s="9">
        <f>S75/R75</f>
        <v>0.19004524886877827</v>
      </c>
      <c r="X75" s="9">
        <f>T75/R75</f>
        <v>0.18378002088409329</v>
      </c>
      <c r="Y75" s="8">
        <f>U75/R75</f>
        <v>0.24886877828054299</v>
      </c>
      <c r="Z75" s="9">
        <f t="shared" si="6"/>
        <v>1.3541666666666667</v>
      </c>
      <c r="AA75" s="9">
        <f t="shared" si="7"/>
        <v>1.0340909090909092</v>
      </c>
      <c r="AB75" s="10" t="s">
        <v>203</v>
      </c>
      <c r="AC75" s="7" t="s">
        <v>57</v>
      </c>
      <c r="AD75" s="8">
        <v>1</v>
      </c>
      <c r="AE75" s="8">
        <v>1</v>
      </c>
    </row>
    <row r="76" spans="1:41" x14ac:dyDescent="0.15">
      <c r="A76" s="7" t="s">
        <v>360</v>
      </c>
      <c r="B76" s="7" t="s">
        <v>19</v>
      </c>
      <c r="C76" s="8">
        <v>2018</v>
      </c>
      <c r="D76" s="8">
        <v>1</v>
      </c>
      <c r="E76" s="8">
        <v>0</v>
      </c>
      <c r="F76" s="7" t="s">
        <v>361</v>
      </c>
      <c r="G76" s="9" t="s">
        <v>82</v>
      </c>
      <c r="H76" s="8">
        <v>-12.551389</v>
      </c>
      <c r="I76" s="8">
        <v>142.7605556</v>
      </c>
      <c r="J76" s="9" t="s">
        <v>109</v>
      </c>
      <c r="K76" s="8" t="s">
        <v>362</v>
      </c>
      <c r="L76" s="8">
        <v>1</v>
      </c>
      <c r="M76" s="8">
        <v>1</v>
      </c>
      <c r="N76" s="8">
        <v>0</v>
      </c>
      <c r="O76">
        <v>85.8</v>
      </c>
      <c r="P76" s="8" t="s">
        <v>185</v>
      </c>
      <c r="Q76" s="8" t="s">
        <v>363</v>
      </c>
      <c r="R76" s="8" t="s">
        <v>17</v>
      </c>
      <c r="S76" s="8">
        <v>186.6</v>
      </c>
      <c r="T76" s="8">
        <v>181.4</v>
      </c>
      <c r="U76" s="8">
        <v>231.5</v>
      </c>
      <c r="V76" s="8" t="s">
        <v>17</v>
      </c>
      <c r="W76" s="8" t="s">
        <v>17</v>
      </c>
      <c r="X76" s="8" t="s">
        <v>17</v>
      </c>
      <c r="Y76" s="8" t="s">
        <v>17</v>
      </c>
      <c r="Z76" s="8">
        <f t="shared" si="6"/>
        <v>1.2761852260198456</v>
      </c>
      <c r="AA76" s="9">
        <f t="shared" si="7"/>
        <v>1.0286659316427784</v>
      </c>
      <c r="AB76" s="10" t="s">
        <v>494</v>
      </c>
      <c r="AC76" s="8" t="s">
        <v>405</v>
      </c>
      <c r="AD76" s="8">
        <v>1</v>
      </c>
      <c r="AE76" s="8">
        <v>0</v>
      </c>
    </row>
    <row r="77" spans="1:41" x14ac:dyDescent="0.15">
      <c r="A77" s="7" t="s">
        <v>224</v>
      </c>
      <c r="B77" s="7" t="s">
        <v>46</v>
      </c>
      <c r="C77" s="8">
        <v>2010</v>
      </c>
      <c r="D77" s="8">
        <v>1</v>
      </c>
      <c r="E77" s="8">
        <v>0</v>
      </c>
      <c r="F77" s="7" t="s">
        <v>196</v>
      </c>
      <c r="G77" s="9" t="s">
        <v>82</v>
      </c>
      <c r="H77" s="8" t="s">
        <v>17</v>
      </c>
      <c r="I77" s="8" t="s">
        <v>17</v>
      </c>
      <c r="J77" s="9" t="s">
        <v>194</v>
      </c>
      <c r="K77" s="8" t="s">
        <v>17</v>
      </c>
      <c r="L77" s="8">
        <v>0</v>
      </c>
      <c r="M77" s="8">
        <v>1</v>
      </c>
      <c r="N77" s="8">
        <v>0</v>
      </c>
      <c r="O77">
        <v>86.4</v>
      </c>
      <c r="P77" s="8" t="s">
        <v>225</v>
      </c>
      <c r="Q77" s="8" t="s">
        <v>226</v>
      </c>
      <c r="R77" s="8">
        <f>132.5+133.44+332.42+310.1</f>
        <v>908.46</v>
      </c>
      <c r="S77" s="8">
        <v>240</v>
      </c>
      <c r="T77" s="8">
        <v>188</v>
      </c>
      <c r="U77" s="8">
        <v>310.10000000000002</v>
      </c>
      <c r="V77" s="8">
        <f>R77-U77</f>
        <v>598.36</v>
      </c>
      <c r="W77" s="8">
        <f>S77/R77</f>
        <v>0.2641833432402087</v>
      </c>
      <c r="X77" s="8">
        <f>T77/R77</f>
        <v>0.20694361887149682</v>
      </c>
      <c r="Y77" s="8">
        <f>U77/R77</f>
        <v>0.341346894744953</v>
      </c>
      <c r="Z77" s="8">
        <f t="shared" si="6"/>
        <v>1.6494680851063832</v>
      </c>
      <c r="AA77" s="8">
        <f t="shared" si="7"/>
        <v>1.2765957446808511</v>
      </c>
      <c r="AB77" s="10" t="s">
        <v>494</v>
      </c>
      <c r="AD77" s="8">
        <v>1</v>
      </c>
      <c r="AE77" s="8">
        <v>1</v>
      </c>
    </row>
    <row r="78" spans="1:41" x14ac:dyDescent="0.15">
      <c r="A78" s="62" t="s">
        <v>386</v>
      </c>
      <c r="B78" s="7" t="s">
        <v>77</v>
      </c>
      <c r="C78" s="8">
        <v>2021</v>
      </c>
      <c r="D78" s="8">
        <v>1</v>
      </c>
      <c r="E78" s="8">
        <v>0</v>
      </c>
      <c r="F78" s="7" t="s">
        <v>387</v>
      </c>
      <c r="G78" s="9" t="s">
        <v>82</v>
      </c>
      <c r="H78" s="8">
        <v>-12.636647999999999</v>
      </c>
      <c r="I78" s="8">
        <v>141.861222</v>
      </c>
      <c r="J78" s="9" t="s">
        <v>109</v>
      </c>
      <c r="K78" s="8" t="s">
        <v>388</v>
      </c>
      <c r="L78" s="8">
        <v>0</v>
      </c>
      <c r="M78" s="8">
        <v>1</v>
      </c>
      <c r="N78" s="8">
        <v>0</v>
      </c>
      <c r="O78">
        <v>88.6</v>
      </c>
      <c r="P78" s="8" t="s">
        <v>74</v>
      </c>
      <c r="Q78" s="8">
        <v>16.5</v>
      </c>
      <c r="R78" s="8">
        <f>U78+V78</f>
        <v>1538.3</v>
      </c>
      <c r="S78" s="8">
        <v>395.5</v>
      </c>
      <c r="T78" s="8">
        <v>372.7</v>
      </c>
      <c r="U78" s="8">
        <v>497</v>
      </c>
      <c r="V78" s="8">
        <v>1041.3</v>
      </c>
      <c r="W78" s="8">
        <f>S78/R78</f>
        <v>0.2571019957095495</v>
      </c>
      <c r="X78" s="8">
        <f>T78/R78</f>
        <v>0.24228043944614183</v>
      </c>
      <c r="Y78" s="8">
        <f>U78/R78</f>
        <v>0.3230839238120003</v>
      </c>
      <c r="Z78" s="8">
        <f t="shared" si="6"/>
        <v>1.333512208210357</v>
      </c>
      <c r="AA78" s="8">
        <f t="shared" si="7"/>
        <v>1.0611752079420447</v>
      </c>
      <c r="AB78" s="10" t="s">
        <v>374</v>
      </c>
      <c r="AD78" s="8">
        <v>1</v>
      </c>
      <c r="AE78" s="8">
        <v>1</v>
      </c>
    </row>
    <row r="79" spans="1:41" x14ac:dyDescent="0.15">
      <c r="A79" s="63" t="s">
        <v>146</v>
      </c>
      <c r="B79" s="7" t="s">
        <v>77</v>
      </c>
      <c r="C79" s="8">
        <v>1985</v>
      </c>
      <c r="D79" s="8">
        <v>1</v>
      </c>
      <c r="E79" s="8">
        <v>0</v>
      </c>
      <c r="F79" s="7" t="s">
        <v>147</v>
      </c>
      <c r="G79" s="9" t="s">
        <v>148</v>
      </c>
      <c r="H79" s="8" t="s">
        <v>17</v>
      </c>
      <c r="I79" s="8" t="s">
        <v>17</v>
      </c>
      <c r="J79" s="9" t="s">
        <v>109</v>
      </c>
      <c r="K79" s="8" t="s">
        <v>134</v>
      </c>
      <c r="L79" s="8">
        <v>0</v>
      </c>
      <c r="M79" s="8">
        <v>1</v>
      </c>
      <c r="N79" s="8">
        <v>1</v>
      </c>
      <c r="O79">
        <f>90-0.47</f>
        <v>89.53</v>
      </c>
      <c r="P79" s="8" t="s">
        <v>74</v>
      </c>
      <c r="Q79" s="8" t="s">
        <v>17</v>
      </c>
      <c r="R79" s="8" t="s">
        <v>17</v>
      </c>
      <c r="S79" s="8">
        <v>844.85699999999997</v>
      </c>
      <c r="T79" s="8">
        <v>791.63</v>
      </c>
      <c r="U79" s="8">
        <v>1040.0550000000001</v>
      </c>
      <c r="V79" s="8" t="s">
        <v>17</v>
      </c>
      <c r="W79" s="8" t="s">
        <v>17</v>
      </c>
      <c r="X79" s="8" t="s">
        <v>17</v>
      </c>
      <c r="Y79" s="8" t="s">
        <v>17</v>
      </c>
      <c r="Z79" s="8">
        <f t="shared" si="6"/>
        <v>1.3138145345679169</v>
      </c>
      <c r="AA79" s="9">
        <f t="shared" si="7"/>
        <v>1.0672372194080568</v>
      </c>
      <c r="AB79" s="10" t="s">
        <v>293</v>
      </c>
      <c r="AD79" s="8">
        <v>1</v>
      </c>
      <c r="AE79" s="8">
        <v>0</v>
      </c>
    </row>
    <row r="80" spans="1:41" x14ac:dyDescent="0.15">
      <c r="A80" s="7" t="s">
        <v>69</v>
      </c>
      <c r="B80" s="7" t="s">
        <v>19</v>
      </c>
      <c r="C80" s="8">
        <v>1960</v>
      </c>
      <c r="D80" s="8">
        <v>2</v>
      </c>
      <c r="E80" s="8">
        <v>0</v>
      </c>
      <c r="F80" s="7" t="s">
        <v>70</v>
      </c>
      <c r="G80" s="9" t="s">
        <v>82</v>
      </c>
      <c r="H80" s="8">
        <v>-24.756081999999999</v>
      </c>
      <c r="I80" s="8">
        <v>152.398833</v>
      </c>
      <c r="J80" s="9" t="s">
        <v>109</v>
      </c>
      <c r="K80" s="8" t="s">
        <v>17</v>
      </c>
      <c r="L80" s="8">
        <v>0</v>
      </c>
      <c r="M80" s="8">
        <v>1</v>
      </c>
      <c r="N80" s="8">
        <v>0</v>
      </c>
      <c r="O80">
        <v>90.45</v>
      </c>
      <c r="P80" s="8" t="s">
        <v>71</v>
      </c>
      <c r="Q80" s="8" t="s">
        <v>17</v>
      </c>
      <c r="R80" s="8">
        <f>U80+V80</f>
        <v>2435</v>
      </c>
      <c r="S80" s="8">
        <v>450.6</v>
      </c>
      <c r="T80" s="8">
        <v>434.5</v>
      </c>
      <c r="U80" s="8">
        <v>569</v>
      </c>
      <c r="V80" s="9">
        <v>1866</v>
      </c>
      <c r="W80" s="9">
        <f>S80/R80</f>
        <v>0.18505133470225874</v>
      </c>
      <c r="X80" s="9">
        <f>T80/R80</f>
        <v>0.1784394250513347</v>
      </c>
      <c r="Y80" s="8">
        <f>U80/R80</f>
        <v>0.23367556468172485</v>
      </c>
      <c r="Z80" s="9">
        <f t="shared" si="6"/>
        <v>1.3095512082853855</v>
      </c>
      <c r="AA80" s="9">
        <f t="shared" si="7"/>
        <v>1.0370540851553511</v>
      </c>
      <c r="AB80" s="10" t="s">
        <v>203</v>
      </c>
      <c r="AC80" s="7" t="s">
        <v>119</v>
      </c>
      <c r="AD80" s="8">
        <v>1</v>
      </c>
      <c r="AE80" s="8">
        <v>1</v>
      </c>
    </row>
    <row r="81" spans="1:41" x14ac:dyDescent="0.15">
      <c r="A81" s="62" t="s">
        <v>389</v>
      </c>
      <c r="B81" s="7" t="s">
        <v>77</v>
      </c>
      <c r="C81" s="8">
        <v>2019</v>
      </c>
      <c r="D81" s="8">
        <v>5</v>
      </c>
      <c r="E81" s="8">
        <v>3</v>
      </c>
      <c r="F81" s="7" t="s">
        <v>390</v>
      </c>
      <c r="G81" s="9" t="s">
        <v>82</v>
      </c>
      <c r="H81" s="8">
        <v>-12.532382999999999</v>
      </c>
      <c r="I81" s="8">
        <v>141.69446669999999</v>
      </c>
      <c r="J81" s="9" t="s">
        <v>190</v>
      </c>
      <c r="K81" s="8" t="s">
        <v>391</v>
      </c>
      <c r="L81" s="8">
        <v>0</v>
      </c>
      <c r="M81" s="8">
        <v>1</v>
      </c>
      <c r="N81" s="8">
        <v>0</v>
      </c>
      <c r="O81">
        <v>91.7</v>
      </c>
      <c r="P81" s="8" t="s">
        <v>216</v>
      </c>
      <c r="Q81" s="8" t="s">
        <v>297</v>
      </c>
      <c r="R81" s="8">
        <f>S81+485.7+148.9</f>
        <v>934.1</v>
      </c>
      <c r="S81" s="8">
        <v>299.5</v>
      </c>
      <c r="T81" s="8">
        <v>282.5</v>
      </c>
      <c r="U81" s="8">
        <v>371.3</v>
      </c>
      <c r="V81" s="8">
        <f>R81-U81</f>
        <v>562.79999999999995</v>
      </c>
      <c r="W81" s="8">
        <f>S81/R81</f>
        <v>0.32062948292474036</v>
      </c>
      <c r="X81" s="8">
        <f>T81/R81</f>
        <v>0.30243014666523926</v>
      </c>
      <c r="Y81" s="8">
        <f>U81/R81</f>
        <v>0.39749491489133926</v>
      </c>
      <c r="Z81" s="8">
        <f t="shared" si="6"/>
        <v>1.3143362831858407</v>
      </c>
      <c r="AA81" s="8">
        <f t="shared" si="7"/>
        <v>1.0601769911504424</v>
      </c>
      <c r="AB81" s="10" t="s">
        <v>494</v>
      </c>
      <c r="AD81" s="8">
        <v>1</v>
      </c>
      <c r="AE81" s="8">
        <v>1</v>
      </c>
    </row>
    <row r="82" spans="1:41" x14ac:dyDescent="0.15">
      <c r="A82" s="7" t="s">
        <v>100</v>
      </c>
      <c r="B82" s="7" t="s">
        <v>77</v>
      </c>
      <c r="C82" s="8">
        <v>1972</v>
      </c>
      <c r="D82" s="8">
        <v>1</v>
      </c>
      <c r="E82" s="8">
        <v>0</v>
      </c>
      <c r="F82" s="7" t="s">
        <v>99</v>
      </c>
      <c r="G82" s="9" t="s">
        <v>82</v>
      </c>
      <c r="H82" s="10">
        <v>-21.033580000000001</v>
      </c>
      <c r="I82" s="10">
        <v>149.177482</v>
      </c>
      <c r="J82" s="9" t="s">
        <v>109</v>
      </c>
      <c r="K82" s="8" t="s">
        <v>17</v>
      </c>
      <c r="L82" s="8">
        <v>0</v>
      </c>
      <c r="M82" s="8">
        <v>1</v>
      </c>
      <c r="N82" s="8">
        <v>0</v>
      </c>
      <c r="O82">
        <v>92.1</v>
      </c>
      <c r="P82" s="8" t="s">
        <v>74</v>
      </c>
      <c r="Q82" s="8" t="s">
        <v>101</v>
      </c>
      <c r="R82" s="8">
        <v>1370</v>
      </c>
      <c r="S82" s="8">
        <v>338.1</v>
      </c>
      <c r="T82" s="8">
        <v>313.60000000000002</v>
      </c>
      <c r="U82" s="8">
        <v>408.5</v>
      </c>
      <c r="V82" s="8">
        <f>R82-U82</f>
        <v>961.5</v>
      </c>
      <c r="W82" s="9">
        <f>S82/R82</f>
        <v>0.24678832116788324</v>
      </c>
      <c r="X82" s="9">
        <f>T82/R82</f>
        <v>0.2289051094890511</v>
      </c>
      <c r="Y82" s="8">
        <f>U82/R82</f>
        <v>0.29817518248175184</v>
      </c>
      <c r="Z82" s="8">
        <f t="shared" si="6"/>
        <v>1.3026147959183672</v>
      </c>
      <c r="AA82" s="9">
        <f t="shared" si="7"/>
        <v>1.078125</v>
      </c>
      <c r="AB82" s="10" t="s">
        <v>374</v>
      </c>
      <c r="AD82" s="8">
        <v>1</v>
      </c>
      <c r="AE82" s="8">
        <v>1</v>
      </c>
    </row>
    <row r="83" spans="1:41" x14ac:dyDescent="0.15">
      <c r="A83" s="7" t="s">
        <v>175</v>
      </c>
      <c r="B83" s="7" t="s">
        <v>46</v>
      </c>
      <c r="C83" s="8">
        <v>2020</v>
      </c>
      <c r="D83" s="8">
        <v>1</v>
      </c>
      <c r="E83" s="8">
        <v>0</v>
      </c>
      <c r="F83" s="7" t="s">
        <v>176</v>
      </c>
      <c r="G83" s="9" t="s">
        <v>148</v>
      </c>
      <c r="H83" s="8" t="s">
        <v>17</v>
      </c>
      <c r="I83" s="8" t="s">
        <v>17</v>
      </c>
      <c r="J83" s="9" t="s">
        <v>194</v>
      </c>
      <c r="K83" s="8" t="s">
        <v>17</v>
      </c>
      <c r="L83" s="8">
        <v>0</v>
      </c>
      <c r="M83" s="8">
        <v>1</v>
      </c>
      <c r="N83" s="8">
        <v>0</v>
      </c>
      <c r="O83">
        <v>96.305000000000007</v>
      </c>
      <c r="P83" s="8" t="s">
        <v>74</v>
      </c>
      <c r="Q83" s="8">
        <v>17.600000000000001</v>
      </c>
      <c r="R83" s="8">
        <f>U83+V83</f>
        <v>1316.8</v>
      </c>
      <c r="S83" s="8">
        <v>315</v>
      </c>
      <c r="T83" s="8">
        <v>263</v>
      </c>
      <c r="U83" s="8">
        <v>409.4</v>
      </c>
      <c r="V83" s="8">
        <v>907.4</v>
      </c>
      <c r="W83" s="8">
        <f>S83/R83</f>
        <v>0.23921628189550426</v>
      </c>
      <c r="X83" s="8">
        <f>T83/R83</f>
        <v>0.19972660996354799</v>
      </c>
      <c r="Y83" s="8">
        <f>U83/R83</f>
        <v>0.31090522478736332</v>
      </c>
      <c r="Z83" s="8">
        <f t="shared" si="6"/>
        <v>1.5566539923954372</v>
      </c>
      <c r="AA83" s="9">
        <f t="shared" si="7"/>
        <v>1.1977186311787071</v>
      </c>
      <c r="AB83" s="10" t="s">
        <v>374</v>
      </c>
      <c r="AC83" s="8" t="s">
        <v>178</v>
      </c>
      <c r="AD83" s="8">
        <v>1</v>
      </c>
      <c r="AE83" s="8">
        <v>1</v>
      </c>
    </row>
    <row r="84" spans="1:41" x14ac:dyDescent="0.15">
      <c r="A84" s="7" t="s">
        <v>318</v>
      </c>
      <c r="B84" s="7" t="s">
        <v>19</v>
      </c>
      <c r="C84" s="8">
        <v>2021</v>
      </c>
      <c r="D84" s="8">
        <v>1</v>
      </c>
      <c r="E84" s="8">
        <v>0</v>
      </c>
      <c r="F84" s="7" t="s">
        <v>319</v>
      </c>
      <c r="G84" s="9" t="s">
        <v>148</v>
      </c>
      <c r="H84" s="8">
        <v>-15.49602</v>
      </c>
      <c r="I84" s="8">
        <v>126.69471</v>
      </c>
      <c r="J84" s="9" t="s">
        <v>320</v>
      </c>
      <c r="K84" s="8" t="s">
        <v>215</v>
      </c>
      <c r="L84" s="8">
        <v>0</v>
      </c>
      <c r="M84" s="8">
        <v>1</v>
      </c>
      <c r="N84" s="8">
        <v>0</v>
      </c>
      <c r="O84">
        <v>96.6</v>
      </c>
      <c r="P84" s="8" t="s">
        <v>71</v>
      </c>
      <c r="Q84" s="8" t="s">
        <v>17</v>
      </c>
      <c r="R84" s="8" t="s">
        <v>17</v>
      </c>
      <c r="S84" s="8">
        <v>447</v>
      </c>
      <c r="T84" s="8">
        <v>427.8</v>
      </c>
      <c r="U84" s="8">
        <v>555.4</v>
      </c>
      <c r="V84" s="8" t="s">
        <v>17</v>
      </c>
      <c r="W84" s="8" t="s">
        <v>17</v>
      </c>
      <c r="X84" s="8" t="s">
        <v>17</v>
      </c>
      <c r="Y84" s="8" t="s">
        <v>17</v>
      </c>
      <c r="Z84" s="8">
        <f t="shared" ref="Z84:Z104" si="11">U84/T84</f>
        <v>1.2982702197288452</v>
      </c>
      <c r="AA84" s="8">
        <f t="shared" ref="AA84:AA104" si="12">S84/T84</f>
        <v>1.0448807854137447</v>
      </c>
      <c r="AB84" s="10" t="s">
        <v>494</v>
      </c>
      <c r="AD84" s="8">
        <v>1</v>
      </c>
      <c r="AE84" s="8">
        <v>0</v>
      </c>
    </row>
    <row r="85" spans="1:41" x14ac:dyDescent="0.15">
      <c r="A85" s="7" t="s">
        <v>256</v>
      </c>
      <c r="B85" s="7" t="s">
        <v>16</v>
      </c>
      <c r="C85" s="8">
        <v>2020</v>
      </c>
      <c r="D85" s="8">
        <v>0</v>
      </c>
      <c r="E85" s="8">
        <v>1</v>
      </c>
      <c r="F85" s="7" t="s">
        <v>257</v>
      </c>
      <c r="G85" s="9" t="s">
        <v>148</v>
      </c>
      <c r="H85" s="8">
        <v>-17.989685999999999</v>
      </c>
      <c r="I85" s="8">
        <v>122.37084</v>
      </c>
      <c r="J85" s="9" t="s">
        <v>109</v>
      </c>
      <c r="K85" s="8" t="s">
        <v>258</v>
      </c>
      <c r="L85" s="8">
        <v>0</v>
      </c>
      <c r="M85" s="8">
        <v>1</v>
      </c>
      <c r="N85" s="8">
        <v>1</v>
      </c>
      <c r="O85">
        <v>97</v>
      </c>
      <c r="P85" s="8" t="s">
        <v>71</v>
      </c>
      <c r="Q85" s="8" t="s">
        <v>17</v>
      </c>
      <c r="R85" s="8" t="s">
        <v>17</v>
      </c>
      <c r="S85" s="8">
        <v>125.6</v>
      </c>
      <c r="T85" s="8">
        <v>119.3</v>
      </c>
      <c r="U85" s="8">
        <v>165.6</v>
      </c>
      <c r="V85" s="8" t="s">
        <v>17</v>
      </c>
      <c r="W85" s="8" t="s">
        <v>17</v>
      </c>
      <c r="X85" s="8" t="s">
        <v>17</v>
      </c>
      <c r="Y85" s="8" t="s">
        <v>17</v>
      </c>
      <c r="Z85" s="8">
        <f t="shared" si="11"/>
        <v>1.3880972338642079</v>
      </c>
      <c r="AA85" s="8">
        <f t="shared" si="12"/>
        <v>1.0528080469404861</v>
      </c>
      <c r="AB85" s="10" t="s">
        <v>494</v>
      </c>
      <c r="AD85" s="8">
        <v>1</v>
      </c>
      <c r="AE85" s="8">
        <v>0</v>
      </c>
    </row>
    <row r="86" spans="1:41" x14ac:dyDescent="0.15">
      <c r="A86" s="7" t="s">
        <v>141</v>
      </c>
      <c r="B86" s="7" t="s">
        <v>77</v>
      </c>
      <c r="C86" s="8">
        <v>1939</v>
      </c>
      <c r="D86" s="8">
        <v>2</v>
      </c>
      <c r="E86" s="8">
        <v>0</v>
      </c>
      <c r="F86" s="7" t="s">
        <v>142</v>
      </c>
      <c r="G86" s="9" t="s">
        <v>83</v>
      </c>
      <c r="H86" s="8">
        <f>--28.903844</f>
        <v>28.903843999999999</v>
      </c>
      <c r="I86" s="8">
        <v>153.51367300000001</v>
      </c>
      <c r="J86" s="9" t="s">
        <v>111</v>
      </c>
      <c r="K86" s="8" t="s">
        <v>143</v>
      </c>
      <c r="L86" s="8">
        <v>0</v>
      </c>
      <c r="M86" s="8">
        <v>1</v>
      </c>
      <c r="N86" s="8">
        <v>1</v>
      </c>
      <c r="O86">
        <v>102.1</v>
      </c>
      <c r="P86" s="8" t="s">
        <v>144</v>
      </c>
      <c r="Q86" s="8" t="s">
        <v>145</v>
      </c>
      <c r="R86" s="8">
        <v>6019.8</v>
      </c>
      <c r="S86" s="8">
        <v>2200.5</v>
      </c>
      <c r="T86" s="8">
        <v>2082</v>
      </c>
      <c r="U86" s="8">
        <v>2614.8000000000002</v>
      </c>
      <c r="V86" s="8">
        <f>R86-U86</f>
        <v>3405</v>
      </c>
      <c r="W86" s="8">
        <f>S86/R86</f>
        <v>0.36554370577095585</v>
      </c>
      <c r="X86" s="8">
        <f>T86/R86</f>
        <v>0.34585866640087709</v>
      </c>
      <c r="Y86" s="8">
        <f>U86/R86</f>
        <v>0.43436659025216784</v>
      </c>
      <c r="Z86" s="8">
        <f t="shared" si="11"/>
        <v>1.2559077809798271</v>
      </c>
      <c r="AA86" s="9">
        <f t="shared" si="12"/>
        <v>1.0569164265129682</v>
      </c>
      <c r="AB86" s="10" t="s">
        <v>203</v>
      </c>
      <c r="AD86" s="8">
        <v>1</v>
      </c>
      <c r="AE86" s="8">
        <v>0</v>
      </c>
    </row>
    <row r="87" spans="1:41" x14ac:dyDescent="0.15">
      <c r="A87" s="7" t="s">
        <v>233</v>
      </c>
      <c r="B87" s="7" t="s">
        <v>16</v>
      </c>
      <c r="C87" s="8">
        <v>2021</v>
      </c>
      <c r="D87" s="8">
        <v>1</v>
      </c>
      <c r="E87" s="8">
        <v>0</v>
      </c>
      <c r="F87" s="7" t="s">
        <v>231</v>
      </c>
      <c r="G87" s="9" t="s">
        <v>82</v>
      </c>
      <c r="H87" s="8">
        <v>-12.734444399999999</v>
      </c>
      <c r="I87" s="8">
        <v>141.93333329999999</v>
      </c>
      <c r="J87" s="9" t="s">
        <v>190</v>
      </c>
      <c r="K87" s="8" t="s">
        <v>234</v>
      </c>
      <c r="L87" s="8">
        <v>1</v>
      </c>
      <c r="M87" s="8">
        <v>0</v>
      </c>
      <c r="N87" s="8">
        <v>1</v>
      </c>
      <c r="O87">
        <v>108</v>
      </c>
      <c r="P87" s="8" t="s">
        <v>74</v>
      </c>
      <c r="Q87" s="8">
        <v>17.82536868</v>
      </c>
      <c r="R87" s="8">
        <f>799.2+496.6</f>
        <v>1295.8000000000002</v>
      </c>
      <c r="S87" s="8">
        <v>478.2</v>
      </c>
      <c r="T87" s="8">
        <v>443</v>
      </c>
      <c r="U87" s="8">
        <v>570.5</v>
      </c>
      <c r="V87" s="8">
        <f>R87-U87</f>
        <v>725.30000000000018</v>
      </c>
      <c r="W87" s="8">
        <f>S87/R87</f>
        <v>0.36903843185676793</v>
      </c>
      <c r="X87" s="8">
        <f>T87/R87</f>
        <v>0.34187374594844877</v>
      </c>
      <c r="Y87" s="8">
        <f>U87/R87</f>
        <v>0.44026855996295716</v>
      </c>
      <c r="Z87" s="8">
        <f t="shared" si="11"/>
        <v>1.2878103837471784</v>
      </c>
      <c r="AA87" s="8">
        <f t="shared" si="12"/>
        <v>1.0794582392776524</v>
      </c>
      <c r="AB87" s="10" t="s">
        <v>374</v>
      </c>
      <c r="AC87" s="8" t="s">
        <v>235</v>
      </c>
      <c r="AD87" s="8">
        <v>1</v>
      </c>
      <c r="AE87" s="8">
        <v>0</v>
      </c>
    </row>
    <row r="88" spans="1:41" x14ac:dyDescent="0.15">
      <c r="A88" s="62" t="s">
        <v>139</v>
      </c>
      <c r="B88" s="7" t="s">
        <v>77</v>
      </c>
      <c r="C88" s="8">
        <v>1928</v>
      </c>
      <c r="D88" s="8">
        <v>1</v>
      </c>
      <c r="E88" s="8">
        <v>0</v>
      </c>
      <c r="F88" s="8" t="s">
        <v>140</v>
      </c>
      <c r="G88" s="9" t="s">
        <v>82</v>
      </c>
      <c r="H88" s="8">
        <v>-27.986695000000001</v>
      </c>
      <c r="I88" s="8">
        <v>153.41852499999999</v>
      </c>
      <c r="J88" s="9" t="s">
        <v>108</v>
      </c>
      <c r="K88" s="8" t="s">
        <v>17</v>
      </c>
      <c r="L88" s="8">
        <v>0</v>
      </c>
      <c r="M88" s="8">
        <v>1</v>
      </c>
      <c r="N88" s="8">
        <v>1</v>
      </c>
      <c r="O88">
        <v>123.05</v>
      </c>
      <c r="P88" s="8" t="s">
        <v>74</v>
      </c>
      <c r="Q88" s="8">
        <v>18.100000000000001</v>
      </c>
      <c r="R88" s="8">
        <f>U88+V88</f>
        <v>5255.2</v>
      </c>
      <c r="S88" s="8">
        <v>1408.6</v>
      </c>
      <c r="T88" s="8">
        <v>1253.0999999999999</v>
      </c>
      <c r="U88" s="8">
        <v>1684.5</v>
      </c>
      <c r="V88" s="8">
        <v>3570.7</v>
      </c>
      <c r="W88" s="8">
        <f>S88/R88</f>
        <v>0.26803927538438116</v>
      </c>
      <c r="X88" s="8">
        <f>T88/R88</f>
        <v>0.23844953569797533</v>
      </c>
      <c r="Y88" s="8">
        <f>U88/R88</f>
        <v>0.32053965595981126</v>
      </c>
      <c r="Z88" s="8">
        <f t="shared" si="11"/>
        <v>1.3442662197749582</v>
      </c>
      <c r="AA88" s="9">
        <f t="shared" si="12"/>
        <v>1.124092251216982</v>
      </c>
      <c r="AB88" s="10" t="s">
        <v>203</v>
      </c>
      <c r="AD88" s="8">
        <v>1</v>
      </c>
      <c r="AE88" s="8">
        <v>0</v>
      </c>
    </row>
    <row r="89" spans="1:41" x14ac:dyDescent="0.15">
      <c r="A89" s="7" t="s">
        <v>352</v>
      </c>
      <c r="B89" s="7" t="s">
        <v>19</v>
      </c>
      <c r="C89" s="8">
        <v>2008</v>
      </c>
      <c r="D89" s="8">
        <v>2</v>
      </c>
      <c r="E89" s="8">
        <v>0</v>
      </c>
      <c r="F89" s="8" t="s">
        <v>350</v>
      </c>
      <c r="G89" s="9" t="s">
        <v>148</v>
      </c>
      <c r="H89" s="8">
        <v>-18.178889000000002</v>
      </c>
      <c r="I89" s="8">
        <v>125.5961111</v>
      </c>
      <c r="J89" s="9" t="s">
        <v>109</v>
      </c>
      <c r="K89" s="8" t="s">
        <v>215</v>
      </c>
      <c r="L89" s="8">
        <v>1</v>
      </c>
      <c r="M89" s="8">
        <v>0</v>
      </c>
      <c r="N89" s="8">
        <v>0</v>
      </c>
      <c r="O89">
        <v>129.19999999999999</v>
      </c>
      <c r="P89" s="8" t="s">
        <v>71</v>
      </c>
      <c r="Q89" s="8" t="s">
        <v>17</v>
      </c>
      <c r="R89" s="8" t="s">
        <v>17</v>
      </c>
      <c r="S89" s="21">
        <v>250.49</v>
      </c>
      <c r="T89" s="21">
        <v>239.7</v>
      </c>
      <c r="U89" s="21">
        <v>316.89999999999998</v>
      </c>
      <c r="V89" s="8" t="s">
        <v>17</v>
      </c>
      <c r="W89" s="8" t="s">
        <v>17</v>
      </c>
      <c r="X89" s="8" t="s">
        <v>17</v>
      </c>
      <c r="Y89" s="8" t="s">
        <v>17</v>
      </c>
      <c r="Z89" s="8">
        <f t="shared" si="11"/>
        <v>1.3220692532332081</v>
      </c>
      <c r="AA89" s="8">
        <f t="shared" si="12"/>
        <v>1.045014601585315</v>
      </c>
      <c r="AB89" s="10" t="s">
        <v>494</v>
      </c>
      <c r="AC89" s="8" t="s">
        <v>406</v>
      </c>
      <c r="AD89" s="8">
        <v>1</v>
      </c>
      <c r="AE89" s="8">
        <v>0</v>
      </c>
    </row>
    <row r="90" spans="1:41" x14ac:dyDescent="0.15">
      <c r="A90" s="62" t="s">
        <v>121</v>
      </c>
      <c r="B90" s="7" t="s">
        <v>77</v>
      </c>
      <c r="C90" s="8">
        <v>1961</v>
      </c>
      <c r="D90" s="8">
        <v>4</v>
      </c>
      <c r="E90" s="8">
        <v>0</v>
      </c>
      <c r="F90" s="7" t="s">
        <v>122</v>
      </c>
      <c r="G90" s="9" t="s">
        <v>82</v>
      </c>
      <c r="H90" s="8">
        <v>-24.531511999999999</v>
      </c>
      <c r="I90" s="8">
        <v>152.04044999999999</v>
      </c>
      <c r="J90" s="9" t="s">
        <v>109</v>
      </c>
      <c r="K90" s="8" t="s">
        <v>125</v>
      </c>
      <c r="L90" s="8">
        <v>0</v>
      </c>
      <c r="M90" s="8">
        <v>1</v>
      </c>
      <c r="N90" s="8">
        <v>1</v>
      </c>
      <c r="O90">
        <v>129.4</v>
      </c>
      <c r="P90" s="8" t="s">
        <v>123</v>
      </c>
      <c r="Q90" s="8">
        <v>1036</v>
      </c>
      <c r="R90" s="8">
        <v>4470</v>
      </c>
      <c r="S90" s="8">
        <v>1096</v>
      </c>
      <c r="T90" s="8">
        <v>1036</v>
      </c>
      <c r="U90" s="8">
        <v>1469.5</v>
      </c>
      <c r="V90" s="8">
        <f>R90-U90</f>
        <v>3000.5</v>
      </c>
      <c r="W90" s="8">
        <f>S90/R90</f>
        <v>0.24519015659955257</v>
      </c>
      <c r="X90" s="8">
        <f>T90/R90</f>
        <v>0.23176733780760628</v>
      </c>
      <c r="Y90" s="14">
        <f>U90/R90</f>
        <v>0.32874720357941833</v>
      </c>
      <c r="Z90" s="14">
        <f t="shared" si="11"/>
        <v>1.4184362934362935</v>
      </c>
      <c r="AA90" s="9">
        <f t="shared" si="12"/>
        <v>1.057915057915058</v>
      </c>
      <c r="AB90" s="10" t="s">
        <v>203</v>
      </c>
      <c r="AD90" s="8">
        <v>0</v>
      </c>
      <c r="AE90" s="8">
        <v>0</v>
      </c>
    </row>
    <row r="91" spans="1:41" x14ac:dyDescent="0.15">
      <c r="A91" s="62" t="s">
        <v>120</v>
      </c>
      <c r="B91" s="7" t="s">
        <v>77</v>
      </c>
      <c r="C91" s="8">
        <v>1961</v>
      </c>
      <c r="D91" s="8">
        <v>4</v>
      </c>
      <c r="E91" s="8">
        <v>0</v>
      </c>
      <c r="F91" s="7" t="s">
        <v>122</v>
      </c>
      <c r="G91" s="9" t="s">
        <v>82</v>
      </c>
      <c r="H91" s="8">
        <v>-24.531511999999999</v>
      </c>
      <c r="I91" s="8">
        <v>152.04044999999999</v>
      </c>
      <c r="J91" s="9" t="s">
        <v>109</v>
      </c>
      <c r="K91" s="8" t="s">
        <v>124</v>
      </c>
      <c r="L91" s="8">
        <v>0</v>
      </c>
      <c r="M91" s="8">
        <v>1</v>
      </c>
      <c r="N91" s="8">
        <v>1</v>
      </c>
      <c r="O91">
        <v>133</v>
      </c>
      <c r="P91" s="8" t="s">
        <v>123</v>
      </c>
      <c r="Q91" s="8">
        <v>1250</v>
      </c>
      <c r="R91" s="8">
        <v>4978</v>
      </c>
      <c r="S91" s="8">
        <v>1315</v>
      </c>
      <c r="T91" s="8">
        <v>1250</v>
      </c>
      <c r="U91" s="8">
        <v>1689</v>
      </c>
      <c r="V91" s="8">
        <f>R91-U91</f>
        <v>3289</v>
      </c>
      <c r="W91" s="8">
        <f>S91/R91</f>
        <v>0.26416231418240255</v>
      </c>
      <c r="X91" s="8">
        <f>T91/R91</f>
        <v>0.25110486139011651</v>
      </c>
      <c r="Y91" s="14">
        <f>U91/R91</f>
        <v>0.33929288871032542</v>
      </c>
      <c r="Z91" s="14">
        <f t="shared" si="11"/>
        <v>1.3512</v>
      </c>
      <c r="AA91" s="9">
        <f t="shared" si="12"/>
        <v>1.052</v>
      </c>
      <c r="AB91" s="10" t="s">
        <v>203</v>
      </c>
      <c r="AD91" s="8">
        <v>1</v>
      </c>
      <c r="AE91" s="8">
        <v>0</v>
      </c>
    </row>
    <row r="92" spans="1:41" x14ac:dyDescent="0.15">
      <c r="A92" s="7" t="s">
        <v>150</v>
      </c>
      <c r="B92" s="7" t="s">
        <v>19</v>
      </c>
      <c r="C92" s="8">
        <v>1983</v>
      </c>
      <c r="D92" s="8">
        <v>1</v>
      </c>
      <c r="E92" s="8">
        <v>0</v>
      </c>
      <c r="F92" s="7" t="s">
        <v>151</v>
      </c>
      <c r="G92" s="9" t="s">
        <v>96</v>
      </c>
      <c r="H92" s="8">
        <v>-12.894880000000001</v>
      </c>
      <c r="I92" s="8">
        <v>132.518213</v>
      </c>
      <c r="J92" s="9" t="s">
        <v>109</v>
      </c>
      <c r="K92" s="8" t="s">
        <v>134</v>
      </c>
      <c r="L92" s="8">
        <v>1</v>
      </c>
      <c r="M92" s="8">
        <v>0</v>
      </c>
      <c r="N92" s="8">
        <v>1</v>
      </c>
      <c r="O92">
        <v>157</v>
      </c>
      <c r="P92" s="8" t="s">
        <v>71</v>
      </c>
      <c r="Q92" s="8" t="s">
        <v>17</v>
      </c>
      <c r="R92" s="8" t="s">
        <v>17</v>
      </c>
      <c r="S92" s="8">
        <v>437.4</v>
      </c>
      <c r="T92" s="8">
        <v>420.3</v>
      </c>
      <c r="U92" s="8">
        <v>550.9</v>
      </c>
      <c r="V92" s="8" t="s">
        <v>17</v>
      </c>
      <c r="W92" s="8" t="s">
        <v>17</v>
      </c>
      <c r="X92" s="8" t="s">
        <v>17</v>
      </c>
      <c r="Y92" s="8" t="s">
        <v>17</v>
      </c>
      <c r="Z92" s="8">
        <f t="shared" si="11"/>
        <v>1.3107304306447773</v>
      </c>
      <c r="AA92" s="9">
        <f t="shared" si="12"/>
        <v>1.0406852248394003</v>
      </c>
      <c r="AB92" s="10" t="s">
        <v>293</v>
      </c>
      <c r="AD92" s="8">
        <v>1</v>
      </c>
      <c r="AE92" s="8">
        <v>0</v>
      </c>
    </row>
    <row r="93" spans="1:41" ht="16" x14ac:dyDescent="0.2">
      <c r="A93" s="7" t="s">
        <v>276</v>
      </c>
      <c r="B93" s="7" t="s">
        <v>19</v>
      </c>
      <c r="C93" s="8">
        <v>2019</v>
      </c>
      <c r="D93" s="8">
        <v>2</v>
      </c>
      <c r="E93" s="8">
        <v>1</v>
      </c>
      <c r="F93" s="7" t="s">
        <v>277</v>
      </c>
      <c r="G93" s="9" t="s">
        <v>82</v>
      </c>
      <c r="H93" s="12">
        <v>-11.958057</v>
      </c>
      <c r="I93" s="12">
        <v>141.90858900000001</v>
      </c>
      <c r="J93" s="9" t="s">
        <v>214</v>
      </c>
      <c r="K93" s="8" t="s">
        <v>132</v>
      </c>
      <c r="L93" s="8">
        <v>1</v>
      </c>
      <c r="M93" s="8">
        <v>0</v>
      </c>
      <c r="N93" s="8">
        <v>1</v>
      </c>
      <c r="O93">
        <v>163.4</v>
      </c>
      <c r="P93" s="8" t="s">
        <v>278</v>
      </c>
      <c r="Q93" s="8" t="s">
        <v>279</v>
      </c>
      <c r="R93" s="8" t="s">
        <v>17</v>
      </c>
      <c r="S93" s="8">
        <v>689.6</v>
      </c>
      <c r="T93" s="8">
        <v>660.5</v>
      </c>
      <c r="U93" s="8">
        <v>858.1</v>
      </c>
      <c r="V93" s="8" t="s">
        <v>17</v>
      </c>
      <c r="W93" s="8" t="s">
        <v>17</v>
      </c>
      <c r="X93" s="8" t="s">
        <v>17</v>
      </c>
      <c r="Y93" s="8" t="s">
        <v>17</v>
      </c>
      <c r="Z93" s="8">
        <f t="shared" si="11"/>
        <v>1.2991672975018926</v>
      </c>
      <c r="AA93" s="8">
        <f t="shared" si="12"/>
        <v>1.0440575321725964</v>
      </c>
      <c r="AB93" s="10" t="s">
        <v>203</v>
      </c>
      <c r="AC93" s="8" t="s">
        <v>407</v>
      </c>
      <c r="AD93" s="8">
        <v>1</v>
      </c>
      <c r="AE93" s="8">
        <v>0</v>
      </c>
    </row>
    <row r="94" spans="1:41" x14ac:dyDescent="0.15">
      <c r="A94" s="7" t="s">
        <v>336</v>
      </c>
      <c r="B94" s="7" t="s">
        <v>19</v>
      </c>
      <c r="C94" s="8">
        <v>2017</v>
      </c>
      <c r="D94" s="8">
        <v>1</v>
      </c>
      <c r="E94" s="8">
        <v>0</v>
      </c>
      <c r="F94" s="7" t="s">
        <v>337</v>
      </c>
      <c r="G94" s="9" t="s">
        <v>82</v>
      </c>
      <c r="H94" s="8">
        <v>-16.462958</v>
      </c>
      <c r="I94" s="8">
        <v>143.30823100000001</v>
      </c>
      <c r="J94" s="9" t="s">
        <v>109</v>
      </c>
      <c r="K94" s="8" t="s">
        <v>17</v>
      </c>
      <c r="L94" s="8">
        <v>1</v>
      </c>
      <c r="M94" s="8">
        <v>0</v>
      </c>
      <c r="N94" s="8">
        <v>1</v>
      </c>
      <c r="O94">
        <v>164</v>
      </c>
      <c r="P94" s="8" t="s">
        <v>71</v>
      </c>
      <c r="Q94" s="8" t="s">
        <v>17</v>
      </c>
      <c r="R94" s="8">
        <v>635.1</v>
      </c>
      <c r="S94" s="8">
        <v>168.3</v>
      </c>
      <c r="T94" s="8">
        <v>160</v>
      </c>
      <c r="U94" s="8">
        <v>204.5</v>
      </c>
      <c r="V94" s="8">
        <f>R94-U94</f>
        <v>430.6</v>
      </c>
      <c r="W94" s="8">
        <f>S94/R94</f>
        <v>0.26499763816721777</v>
      </c>
      <c r="X94" s="8">
        <f>T94/R94</f>
        <v>0.25192883010549522</v>
      </c>
      <c r="Y94" s="8">
        <f>U94/R94</f>
        <v>0.32199653597858602</v>
      </c>
      <c r="Z94" s="8">
        <f t="shared" si="11"/>
        <v>1.278125</v>
      </c>
      <c r="AA94" s="8">
        <f t="shared" si="12"/>
        <v>1.0518750000000001</v>
      </c>
      <c r="AB94" s="10" t="s">
        <v>374</v>
      </c>
      <c r="AD94" s="8">
        <v>1</v>
      </c>
      <c r="AE94" s="8" t="s">
        <v>177</v>
      </c>
    </row>
    <row r="95" spans="1:41" ht="16" x14ac:dyDescent="0.2">
      <c r="A95" s="7" t="s">
        <v>379</v>
      </c>
      <c r="B95" s="7" t="s">
        <v>77</v>
      </c>
      <c r="C95" s="8">
        <v>2021</v>
      </c>
      <c r="D95" s="8">
        <v>1</v>
      </c>
      <c r="E95" s="8">
        <v>0</v>
      </c>
      <c r="F95" s="7" t="s">
        <v>378</v>
      </c>
      <c r="G95" s="9" t="s">
        <v>148</v>
      </c>
      <c r="H95" s="12">
        <v>-20.302619</v>
      </c>
      <c r="I95" s="12">
        <v>118.59077600000001</v>
      </c>
      <c r="J95" s="9" t="s">
        <v>194</v>
      </c>
      <c r="K95" s="8" t="s">
        <v>132</v>
      </c>
      <c r="L95" s="8">
        <v>1</v>
      </c>
      <c r="M95" s="8">
        <v>0</v>
      </c>
      <c r="N95" s="8">
        <v>1</v>
      </c>
      <c r="O95">
        <v>168</v>
      </c>
      <c r="P95" s="8" t="s">
        <v>74</v>
      </c>
      <c r="Q95" s="8" t="s">
        <v>73</v>
      </c>
      <c r="R95" s="27">
        <v>3536</v>
      </c>
      <c r="S95" s="27">
        <v>1314.7</v>
      </c>
      <c r="T95" s="27">
        <v>1167.5999999999999</v>
      </c>
      <c r="U95" s="27">
        <v>1537.7</v>
      </c>
      <c r="V95" s="27">
        <f>R95-U95</f>
        <v>1998.3</v>
      </c>
      <c r="W95" s="8">
        <f>S95/R95</f>
        <v>0.37180429864253395</v>
      </c>
      <c r="X95" s="8">
        <f>T95/R95</f>
        <v>0.33020361990950226</v>
      </c>
      <c r="Y95" s="8">
        <f>U95/R95</f>
        <v>0.43486990950226245</v>
      </c>
      <c r="Z95" s="8">
        <f t="shared" si="11"/>
        <v>1.3169749914354232</v>
      </c>
      <c r="AA95" s="8">
        <f t="shared" si="12"/>
        <v>1.1259849263446386</v>
      </c>
      <c r="AB95" s="10" t="s">
        <v>203</v>
      </c>
      <c r="AD95" s="8">
        <v>1</v>
      </c>
      <c r="AE95" s="8">
        <v>0</v>
      </c>
    </row>
    <row r="96" spans="1:41" x14ac:dyDescent="0.15">
      <c r="A96" s="7" t="s">
        <v>45</v>
      </c>
      <c r="B96" s="7" t="s">
        <v>46</v>
      </c>
      <c r="C96" s="9">
        <v>2019</v>
      </c>
      <c r="D96" s="9">
        <v>3</v>
      </c>
      <c r="E96" s="9">
        <v>0</v>
      </c>
      <c r="F96" s="7" t="s">
        <v>53</v>
      </c>
      <c r="G96" s="9" t="s">
        <v>82</v>
      </c>
      <c r="H96" s="9">
        <v>-19.808553</v>
      </c>
      <c r="I96" s="9">
        <v>147.66145499999999</v>
      </c>
      <c r="J96" s="9" t="s">
        <v>107</v>
      </c>
      <c r="K96" s="9" t="s">
        <v>17</v>
      </c>
      <c r="L96" s="9">
        <v>1</v>
      </c>
      <c r="M96" s="9">
        <v>0</v>
      </c>
      <c r="N96" s="9">
        <v>1</v>
      </c>
      <c r="O96">
        <v>171.6</v>
      </c>
      <c r="P96" s="9" t="s">
        <v>47</v>
      </c>
      <c r="Q96" s="9">
        <v>520</v>
      </c>
      <c r="R96" s="9">
        <v>2437</v>
      </c>
      <c r="S96" s="9">
        <v>690</v>
      </c>
      <c r="T96" s="9">
        <v>520</v>
      </c>
      <c r="U96" s="9">
        <v>861</v>
      </c>
      <c r="V96" s="9">
        <f>R96-U96</f>
        <v>1576</v>
      </c>
      <c r="W96" s="11">
        <f>S96/R96</f>
        <v>0.28313500205170289</v>
      </c>
      <c r="X96" s="11">
        <f>T96/R96</f>
        <v>0.21337710299548626</v>
      </c>
      <c r="Y96" s="8">
        <f>U96/R96</f>
        <v>0.35330324169060318</v>
      </c>
      <c r="Z96" s="9">
        <f t="shared" si="11"/>
        <v>1.6557692307692307</v>
      </c>
      <c r="AA96" s="9">
        <f t="shared" si="12"/>
        <v>1.3269230769230769</v>
      </c>
      <c r="AB96" s="10" t="s">
        <v>203</v>
      </c>
      <c r="AC96" s="7" t="s">
        <v>49</v>
      </c>
      <c r="AD96" s="9">
        <v>1</v>
      </c>
      <c r="AE96" s="9">
        <v>0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31" x14ac:dyDescent="0.15">
      <c r="A97" s="7" t="s">
        <v>204</v>
      </c>
      <c r="B97" s="7" t="s">
        <v>46</v>
      </c>
      <c r="C97" s="8">
        <v>2016</v>
      </c>
      <c r="D97" s="8">
        <v>1</v>
      </c>
      <c r="E97" s="8">
        <v>0</v>
      </c>
      <c r="F97" s="7" t="s">
        <v>205</v>
      </c>
      <c r="G97" s="9" t="s">
        <v>82</v>
      </c>
      <c r="H97" s="8">
        <v>-21.480744999999999</v>
      </c>
      <c r="I97" s="8">
        <v>149.26339300000001</v>
      </c>
      <c r="J97" s="9" t="s">
        <v>190</v>
      </c>
      <c r="K97" s="8" t="s">
        <v>206</v>
      </c>
      <c r="L97" s="8">
        <v>1</v>
      </c>
      <c r="M97" s="8">
        <v>0</v>
      </c>
      <c r="N97" s="8">
        <v>0</v>
      </c>
      <c r="O97">
        <v>171.74</v>
      </c>
      <c r="P97" s="8" t="s">
        <v>207</v>
      </c>
      <c r="Q97" s="8" t="s">
        <v>208</v>
      </c>
      <c r="R97" s="8">
        <f>(51.132+35.915+36.494)*10</f>
        <v>1235.4099999999999</v>
      </c>
      <c r="S97" s="8">
        <v>294.89999999999998</v>
      </c>
      <c r="T97" s="8">
        <v>233.4</v>
      </c>
      <c r="U97" s="8">
        <v>364.95</v>
      </c>
      <c r="V97" s="8">
        <f>R97-U97</f>
        <v>870.45999999999981</v>
      </c>
      <c r="W97" s="8">
        <f>S97/R97</f>
        <v>0.2387061785156345</v>
      </c>
      <c r="X97" s="8">
        <f>T97/R97</f>
        <v>0.18892513416598541</v>
      </c>
      <c r="Y97" s="8">
        <f>U97/R97</f>
        <v>0.29540800220169827</v>
      </c>
      <c r="Z97" s="8">
        <f t="shared" si="11"/>
        <v>1.5636246786632391</v>
      </c>
      <c r="AA97" s="9">
        <f t="shared" si="12"/>
        <v>1.2634961439588688</v>
      </c>
      <c r="AB97" s="10" t="s">
        <v>374</v>
      </c>
      <c r="AD97" s="8">
        <v>1</v>
      </c>
      <c r="AE97" s="8">
        <v>1</v>
      </c>
    </row>
    <row r="98" spans="1:31" x14ac:dyDescent="0.15">
      <c r="A98" s="7" t="s">
        <v>308</v>
      </c>
      <c r="B98" s="7" t="s">
        <v>19</v>
      </c>
      <c r="C98" s="8">
        <v>2014</v>
      </c>
      <c r="D98" s="8">
        <v>0</v>
      </c>
      <c r="E98" s="8">
        <v>1</v>
      </c>
      <c r="F98" s="7" t="s">
        <v>274</v>
      </c>
      <c r="G98" s="9" t="s">
        <v>148</v>
      </c>
      <c r="H98" s="8">
        <v>-17.645277799999999</v>
      </c>
      <c r="I98" s="8">
        <v>123.5666667</v>
      </c>
      <c r="J98" s="9" t="s">
        <v>109</v>
      </c>
      <c r="K98" s="8" t="s">
        <v>132</v>
      </c>
      <c r="L98" s="8">
        <v>1</v>
      </c>
      <c r="M98" s="8">
        <v>0</v>
      </c>
      <c r="N98" s="8">
        <v>0</v>
      </c>
      <c r="O98">
        <v>171.8</v>
      </c>
      <c r="P98" s="8" t="s">
        <v>71</v>
      </c>
      <c r="Q98" s="8" t="s">
        <v>17</v>
      </c>
      <c r="R98" s="8" t="s">
        <v>17</v>
      </c>
      <c r="S98" s="8">
        <v>642.5</v>
      </c>
      <c r="T98" s="8">
        <v>619.79999999999995</v>
      </c>
      <c r="U98" s="8">
        <v>834.4</v>
      </c>
      <c r="V98" s="8" t="s">
        <v>17</v>
      </c>
      <c r="W98" s="8" t="s">
        <v>17</v>
      </c>
      <c r="X98" s="8" t="s">
        <v>17</v>
      </c>
      <c r="Y98" s="8" t="s">
        <v>17</v>
      </c>
      <c r="Z98" s="8">
        <f t="shared" si="11"/>
        <v>1.3462407228138109</v>
      </c>
      <c r="AA98" s="8">
        <f t="shared" si="12"/>
        <v>1.0366247176508552</v>
      </c>
      <c r="AB98" s="10" t="s">
        <v>203</v>
      </c>
      <c r="AD98" s="8">
        <v>1</v>
      </c>
      <c r="AE98" s="8">
        <v>0</v>
      </c>
    </row>
    <row r="99" spans="1:31" x14ac:dyDescent="0.15">
      <c r="A99" s="62" t="s">
        <v>84</v>
      </c>
      <c r="B99" s="7" t="s">
        <v>77</v>
      </c>
      <c r="C99" s="8">
        <v>1958</v>
      </c>
      <c r="D99" s="8">
        <v>2</v>
      </c>
      <c r="E99" s="8">
        <v>0</v>
      </c>
      <c r="F99" s="7" t="s">
        <v>80</v>
      </c>
      <c r="G99" s="9" t="s">
        <v>83</v>
      </c>
      <c r="H99" s="8">
        <v>-28.874831</v>
      </c>
      <c r="I99" s="8">
        <v>153.527727</v>
      </c>
      <c r="J99" s="9" t="s">
        <v>111</v>
      </c>
      <c r="K99" s="8" t="s">
        <v>85</v>
      </c>
      <c r="L99" s="8">
        <v>1</v>
      </c>
      <c r="M99" s="8">
        <v>0</v>
      </c>
      <c r="N99" s="8">
        <v>0</v>
      </c>
      <c r="O99">
        <v>172.5</v>
      </c>
      <c r="P99" s="8" t="s">
        <v>86</v>
      </c>
      <c r="Q99" s="8" t="s">
        <v>87</v>
      </c>
      <c r="R99" s="8">
        <v>4674</v>
      </c>
      <c r="S99" s="8">
        <v>1295</v>
      </c>
      <c r="T99" s="8">
        <v>1224.2</v>
      </c>
      <c r="U99" s="8">
        <v>1562.8</v>
      </c>
      <c r="V99" s="8">
        <f>R99-U99</f>
        <v>3111.2</v>
      </c>
      <c r="W99" s="9">
        <f>S99/R99</f>
        <v>0.27706461275139066</v>
      </c>
      <c r="X99" s="9">
        <f>T99/R99</f>
        <v>0.26191698759092857</v>
      </c>
      <c r="Y99" s="8">
        <f>U99/R99</f>
        <v>0.33436029097133074</v>
      </c>
      <c r="Z99" s="9">
        <f t="shared" si="11"/>
        <v>1.2765887926809345</v>
      </c>
      <c r="AA99" s="9">
        <f t="shared" si="12"/>
        <v>1.0578336873059957</v>
      </c>
      <c r="AB99" s="10" t="s">
        <v>203</v>
      </c>
      <c r="AD99" s="8">
        <v>1</v>
      </c>
      <c r="AE99" s="8">
        <v>1</v>
      </c>
    </row>
    <row r="100" spans="1:31" x14ac:dyDescent="0.15">
      <c r="A100" s="7" t="s">
        <v>218</v>
      </c>
      <c r="B100" s="7" t="s">
        <v>46</v>
      </c>
      <c r="C100" s="8">
        <v>2022</v>
      </c>
      <c r="D100" s="8">
        <v>0</v>
      </c>
      <c r="E100" s="8">
        <v>1</v>
      </c>
      <c r="F100" s="7" t="s">
        <v>219</v>
      </c>
      <c r="G100" s="9" t="s">
        <v>96</v>
      </c>
      <c r="H100" s="8">
        <v>-12.6782</v>
      </c>
      <c r="I100" s="8">
        <v>130.5680528</v>
      </c>
      <c r="J100" s="9" t="s">
        <v>109</v>
      </c>
      <c r="K100" s="8" t="s">
        <v>220</v>
      </c>
      <c r="L100" s="8">
        <v>1</v>
      </c>
      <c r="M100" s="8">
        <v>0</v>
      </c>
      <c r="N100" s="8">
        <v>0</v>
      </c>
      <c r="O100">
        <v>173.1</v>
      </c>
      <c r="P100" s="8" t="s">
        <v>71</v>
      </c>
      <c r="Q100" s="8" t="s">
        <v>17</v>
      </c>
      <c r="R100" s="8" t="s">
        <v>17</v>
      </c>
      <c r="S100" s="8">
        <v>222.1</v>
      </c>
      <c r="T100" s="8">
        <v>168.1</v>
      </c>
      <c r="U100" s="8">
        <v>268.89999999999998</v>
      </c>
      <c r="V100" s="8" t="s">
        <v>17</v>
      </c>
      <c r="W100" s="8" t="s">
        <v>17</v>
      </c>
      <c r="X100" s="8" t="s">
        <v>17</v>
      </c>
      <c r="Y100" s="8" t="s">
        <v>17</v>
      </c>
      <c r="Z100" s="8">
        <f t="shared" si="11"/>
        <v>1.5996430696014277</v>
      </c>
      <c r="AA100" s="9">
        <f t="shared" si="12"/>
        <v>1.3212373587150505</v>
      </c>
      <c r="AB100" s="10" t="s">
        <v>374</v>
      </c>
      <c r="AD100" s="8">
        <v>1</v>
      </c>
      <c r="AE100" s="8">
        <v>0</v>
      </c>
    </row>
    <row r="101" spans="1:31" x14ac:dyDescent="0.15">
      <c r="A101" s="63" t="s">
        <v>375</v>
      </c>
      <c r="B101" s="7" t="s">
        <v>77</v>
      </c>
      <c r="C101" s="8">
        <v>2021</v>
      </c>
      <c r="D101" s="8">
        <v>2</v>
      </c>
      <c r="E101" s="8">
        <v>0</v>
      </c>
      <c r="F101" s="8" t="s">
        <v>376</v>
      </c>
      <c r="G101" s="9" t="s">
        <v>148</v>
      </c>
      <c r="H101" s="8">
        <v>-20.316376000000002</v>
      </c>
      <c r="I101" s="9">
        <v>118.654455</v>
      </c>
      <c r="J101" s="9" t="s">
        <v>109</v>
      </c>
      <c r="K101" s="8" t="s">
        <v>377</v>
      </c>
      <c r="L101" s="8">
        <v>1</v>
      </c>
      <c r="M101" s="8">
        <v>0</v>
      </c>
      <c r="N101" s="8">
        <v>1</v>
      </c>
      <c r="O101">
        <v>173.8</v>
      </c>
      <c r="P101" s="8" t="s">
        <v>71</v>
      </c>
      <c r="Q101" s="8" t="s">
        <v>17</v>
      </c>
      <c r="R101" s="8">
        <f>U101+V101</f>
        <v>2050.3000000000002</v>
      </c>
      <c r="S101" s="8">
        <v>539.9</v>
      </c>
      <c r="T101" s="8">
        <v>515.9</v>
      </c>
      <c r="U101" s="8">
        <v>666.7</v>
      </c>
      <c r="V101" s="8">
        <f>304.8+434.9+643.9</f>
        <v>1383.6</v>
      </c>
      <c r="W101" s="8">
        <f>S101/R101</f>
        <v>0.2633273179534702</v>
      </c>
      <c r="X101" s="8">
        <f>T101/R101</f>
        <v>0.25162171389552745</v>
      </c>
      <c r="Y101" s="8">
        <f>U101/R101</f>
        <v>0.32517192605960105</v>
      </c>
      <c r="Z101" s="8">
        <f t="shared" si="11"/>
        <v>1.2923047102151581</v>
      </c>
      <c r="AA101" s="8">
        <f t="shared" si="12"/>
        <v>1.046520643535569</v>
      </c>
      <c r="AB101" s="10" t="s">
        <v>494</v>
      </c>
      <c r="AD101" s="8">
        <v>1</v>
      </c>
      <c r="AE101" s="8">
        <v>1</v>
      </c>
    </row>
    <row r="102" spans="1:31" x14ac:dyDescent="0.15">
      <c r="A102" s="7" t="s">
        <v>345</v>
      </c>
      <c r="B102" s="7" t="s">
        <v>19</v>
      </c>
      <c r="C102" s="8">
        <v>2009</v>
      </c>
      <c r="D102" s="8">
        <v>2</v>
      </c>
      <c r="E102" s="8">
        <v>0</v>
      </c>
      <c r="F102" s="8" t="s">
        <v>343</v>
      </c>
      <c r="G102" s="9" t="s">
        <v>82</v>
      </c>
      <c r="H102" s="8">
        <v>-15.707770999999999</v>
      </c>
      <c r="I102" s="8">
        <v>142.16718800000001</v>
      </c>
      <c r="J102" s="9" t="s">
        <v>109</v>
      </c>
      <c r="K102" s="8" t="s">
        <v>340</v>
      </c>
      <c r="L102" s="8">
        <v>1</v>
      </c>
      <c r="M102" s="8">
        <v>0</v>
      </c>
      <c r="N102" s="8">
        <v>0</v>
      </c>
      <c r="O102">
        <v>177</v>
      </c>
      <c r="P102" s="8" t="s">
        <v>346</v>
      </c>
      <c r="Q102" s="8" t="s">
        <v>347</v>
      </c>
      <c r="R102" s="8">
        <v>1499</v>
      </c>
      <c r="S102" s="8">
        <v>382</v>
      </c>
      <c r="T102" s="8">
        <v>364</v>
      </c>
      <c r="U102" s="8">
        <v>493.3</v>
      </c>
      <c r="V102" s="8">
        <f>R102-U102</f>
        <v>1005.7</v>
      </c>
      <c r="W102" s="8">
        <f>S102/R102</f>
        <v>0.25483655770513675</v>
      </c>
      <c r="X102" s="8">
        <f>T102/R102</f>
        <v>0.24282855236824549</v>
      </c>
      <c r="Y102" s="8">
        <f>U102/R102</f>
        <v>0.32908605737158109</v>
      </c>
      <c r="Z102" s="8">
        <f t="shared" si="11"/>
        <v>1.3552197802197803</v>
      </c>
      <c r="AA102" s="8">
        <f t="shared" si="12"/>
        <v>1.0494505494505495</v>
      </c>
      <c r="AB102" s="10" t="s">
        <v>374</v>
      </c>
      <c r="AD102" s="8">
        <v>1</v>
      </c>
      <c r="AE102" s="8">
        <v>1</v>
      </c>
    </row>
    <row r="103" spans="1:31" x14ac:dyDescent="0.15">
      <c r="A103" s="7" t="s">
        <v>58</v>
      </c>
      <c r="B103" s="7" t="s">
        <v>16</v>
      </c>
      <c r="C103" s="8">
        <v>1994</v>
      </c>
      <c r="D103" s="8">
        <v>7</v>
      </c>
      <c r="E103" s="8">
        <v>0</v>
      </c>
      <c r="F103" s="7" t="s">
        <v>65</v>
      </c>
      <c r="G103" s="9" t="s">
        <v>17</v>
      </c>
      <c r="H103" s="8">
        <v>-6.8067310000000001</v>
      </c>
      <c r="I103" s="8">
        <v>99.628283999999994</v>
      </c>
      <c r="J103" s="9" t="s">
        <v>112</v>
      </c>
      <c r="K103" s="8" t="s">
        <v>61</v>
      </c>
      <c r="L103" s="8">
        <v>1</v>
      </c>
      <c r="M103" s="8">
        <v>0</v>
      </c>
      <c r="N103" s="8">
        <v>0</v>
      </c>
      <c r="O103">
        <v>181.3</v>
      </c>
      <c r="P103" s="8" t="s">
        <v>60</v>
      </c>
      <c r="Q103" s="8" t="s">
        <v>59</v>
      </c>
      <c r="R103" s="8">
        <v>2949</v>
      </c>
      <c r="S103" s="8">
        <v>508.6</v>
      </c>
      <c r="T103" s="8">
        <v>487.4</v>
      </c>
      <c r="U103" s="8">
        <v>645.79999999999995</v>
      </c>
      <c r="V103" s="8">
        <f>R103-U103</f>
        <v>2303.1999999999998</v>
      </c>
      <c r="W103" s="9">
        <f>S103/R103</f>
        <v>0.17246524245506953</v>
      </c>
      <c r="X103" s="9">
        <f>T103/R103</f>
        <v>0.16527636486944727</v>
      </c>
      <c r="Y103" s="8">
        <f>U103/R103</f>
        <v>0.218989487962021</v>
      </c>
      <c r="Z103" s="9">
        <f t="shared" si="11"/>
        <v>1.3249897414854328</v>
      </c>
      <c r="AA103" s="9">
        <f t="shared" si="12"/>
        <v>1.0434961017644646</v>
      </c>
      <c r="AB103" s="10" t="s">
        <v>203</v>
      </c>
      <c r="AC103" s="7" t="s">
        <v>62</v>
      </c>
      <c r="AD103" s="8">
        <v>1</v>
      </c>
      <c r="AE103" s="8">
        <v>1</v>
      </c>
    </row>
    <row r="104" spans="1:31" x14ac:dyDescent="0.15">
      <c r="A104" s="62" t="s">
        <v>127</v>
      </c>
      <c r="B104" s="7" t="s">
        <v>77</v>
      </c>
      <c r="C104" s="8">
        <v>1940</v>
      </c>
      <c r="D104" s="8">
        <v>1</v>
      </c>
      <c r="E104" s="8">
        <v>0</v>
      </c>
      <c r="F104" s="8" t="s">
        <v>130</v>
      </c>
      <c r="G104" s="9" t="s">
        <v>82</v>
      </c>
      <c r="H104" s="8">
        <v>-28.253523999999999</v>
      </c>
      <c r="I104" s="8">
        <v>153.51264499999999</v>
      </c>
      <c r="J104" s="9" t="s">
        <v>110</v>
      </c>
      <c r="K104" s="8" t="s">
        <v>133</v>
      </c>
      <c r="L104" s="8">
        <v>1</v>
      </c>
      <c r="M104" s="8">
        <v>1</v>
      </c>
      <c r="N104" s="8">
        <v>0</v>
      </c>
      <c r="O104" t="s">
        <v>135</v>
      </c>
      <c r="P104" s="8" t="s">
        <v>74</v>
      </c>
      <c r="Q104" s="8">
        <v>18.100000000000001</v>
      </c>
      <c r="R104" s="8">
        <v>3932.7</v>
      </c>
      <c r="S104" s="8">
        <v>1306.5</v>
      </c>
      <c r="T104" s="8">
        <v>1208.8</v>
      </c>
      <c r="U104" s="8">
        <v>1621.8</v>
      </c>
      <c r="V104" s="8">
        <f>R104-U104</f>
        <v>2310.8999999999996</v>
      </c>
      <c r="W104" s="8">
        <f>S104/R104</f>
        <v>0.33221450911587458</v>
      </c>
      <c r="X104" s="8">
        <f>T104/R104</f>
        <v>0.30737152592366568</v>
      </c>
      <c r="Y104" s="8">
        <f>U104/R104</f>
        <v>0.4123884354260432</v>
      </c>
      <c r="Z104" s="8">
        <f t="shared" si="11"/>
        <v>1.3416611515552614</v>
      </c>
      <c r="AA104" s="9">
        <f t="shared" si="12"/>
        <v>1.0808239576439445</v>
      </c>
      <c r="AB104" s="10" t="s">
        <v>203</v>
      </c>
      <c r="AD104" s="8">
        <v>1</v>
      </c>
      <c r="AE104" s="8">
        <v>1</v>
      </c>
    </row>
    <row r="105" spans="1:31" x14ac:dyDescent="0.15">
      <c r="A105" s="7" t="s">
        <v>29</v>
      </c>
      <c r="B105" s="7" t="s">
        <v>0</v>
      </c>
      <c r="C105" s="8" t="s">
        <v>30</v>
      </c>
      <c r="D105" s="8" t="s">
        <v>31</v>
      </c>
      <c r="E105" s="8" t="s">
        <v>32</v>
      </c>
      <c r="F105" s="7" t="s">
        <v>51</v>
      </c>
      <c r="G105" s="9" t="s">
        <v>81</v>
      </c>
      <c r="H105" s="8" t="s">
        <v>33</v>
      </c>
      <c r="I105" s="8" t="s">
        <v>34</v>
      </c>
      <c r="J105" s="9" t="s">
        <v>106</v>
      </c>
      <c r="K105" s="8" t="s">
        <v>35</v>
      </c>
      <c r="L105" s="8" t="s">
        <v>36</v>
      </c>
      <c r="M105" s="8" t="s">
        <v>37</v>
      </c>
      <c r="N105" s="8" t="s">
        <v>13</v>
      </c>
      <c r="O105" t="s">
        <v>38</v>
      </c>
      <c r="P105" s="8" t="s">
        <v>39</v>
      </c>
      <c r="Q105" s="8" t="s">
        <v>40</v>
      </c>
      <c r="R105" s="8" t="s">
        <v>3</v>
      </c>
      <c r="S105" s="8" t="s">
        <v>28</v>
      </c>
      <c r="T105" s="8" t="s">
        <v>6</v>
      </c>
      <c r="U105" s="8" t="s">
        <v>5</v>
      </c>
      <c r="V105" s="8" t="s">
        <v>4</v>
      </c>
      <c r="W105" s="8" t="s">
        <v>41</v>
      </c>
      <c r="X105" s="8" t="s">
        <v>42</v>
      </c>
      <c r="Y105" s="8" t="s">
        <v>43</v>
      </c>
      <c r="Z105" s="8" t="s">
        <v>98</v>
      </c>
      <c r="AA105" s="8" t="s">
        <v>221</v>
      </c>
      <c r="AB105" s="10" t="s">
        <v>394</v>
      </c>
      <c r="AC105" s="8" t="s">
        <v>44</v>
      </c>
      <c r="AD105" s="8" t="s">
        <v>173</v>
      </c>
      <c r="AE105" s="8" t="s">
        <v>174</v>
      </c>
    </row>
    <row r="106" spans="1:31" x14ac:dyDescent="0.15">
      <c r="A106" s="7" t="s">
        <v>210</v>
      </c>
      <c r="B106" s="7" t="s">
        <v>46</v>
      </c>
      <c r="C106" s="8">
        <v>2019</v>
      </c>
      <c r="D106" s="8">
        <v>2</v>
      </c>
      <c r="E106" s="8">
        <v>0</v>
      </c>
      <c r="F106" s="7" t="s">
        <v>213</v>
      </c>
      <c r="G106" s="9" t="s">
        <v>82</v>
      </c>
      <c r="H106" s="8">
        <v>-12.14283</v>
      </c>
      <c r="I106" s="8">
        <v>141.768889</v>
      </c>
      <c r="J106" s="9" t="s">
        <v>214</v>
      </c>
      <c r="K106" s="8" t="s">
        <v>215</v>
      </c>
      <c r="L106" s="8">
        <v>1</v>
      </c>
      <c r="M106" s="8">
        <v>0</v>
      </c>
      <c r="N106" s="8">
        <v>0</v>
      </c>
      <c r="P106" s="8" t="s">
        <v>71</v>
      </c>
      <c r="Q106" s="8" t="s">
        <v>17</v>
      </c>
      <c r="R106" s="8">
        <f>445.9+314.8+330.7</f>
        <v>1091.4000000000001</v>
      </c>
      <c r="S106" s="8">
        <v>257.5</v>
      </c>
      <c r="T106" s="8" t="s">
        <v>17</v>
      </c>
      <c r="U106" s="8">
        <v>330.7</v>
      </c>
      <c r="V106" s="8">
        <f>R106-U106</f>
        <v>760.7</v>
      </c>
      <c r="W106" s="8">
        <f>S106/R106</f>
        <v>0.23593549569360453</v>
      </c>
      <c r="X106" s="8" t="s">
        <v>17</v>
      </c>
      <c r="Y106" s="8">
        <f>U106/R106</f>
        <v>0.3030053142752428</v>
      </c>
      <c r="Z106" s="8" t="s">
        <v>17</v>
      </c>
      <c r="AA106" s="8" t="s">
        <v>17</v>
      </c>
      <c r="AB106" s="10" t="s">
        <v>494</v>
      </c>
      <c r="AD106" s="8">
        <v>1</v>
      </c>
      <c r="AE106" s="8">
        <v>1</v>
      </c>
    </row>
    <row r="107" spans="1:31" x14ac:dyDescent="0.15">
      <c r="A107" s="7" t="s">
        <v>211</v>
      </c>
      <c r="B107" s="7" t="s">
        <v>46</v>
      </c>
      <c r="C107" s="8">
        <v>2019</v>
      </c>
      <c r="D107" s="8">
        <v>1</v>
      </c>
      <c r="E107" s="8">
        <v>0</v>
      </c>
      <c r="F107" s="7" t="s">
        <v>213</v>
      </c>
      <c r="G107" s="9" t="s">
        <v>82</v>
      </c>
      <c r="H107" s="8">
        <v>-12.14283</v>
      </c>
      <c r="I107" s="8">
        <v>141.768889</v>
      </c>
      <c r="J107" s="9" t="s">
        <v>214</v>
      </c>
      <c r="K107" s="8" t="s">
        <v>215</v>
      </c>
      <c r="L107" s="8">
        <v>0</v>
      </c>
      <c r="M107" s="8">
        <v>1</v>
      </c>
      <c r="N107" s="8">
        <v>0</v>
      </c>
      <c r="P107" s="8" t="s">
        <v>71</v>
      </c>
      <c r="Q107" s="8" t="s">
        <v>17</v>
      </c>
      <c r="R107" s="8" t="s">
        <v>17</v>
      </c>
      <c r="S107" s="8">
        <v>175.5</v>
      </c>
      <c r="T107" s="8">
        <v>121.5</v>
      </c>
      <c r="U107" s="8">
        <v>220.6</v>
      </c>
      <c r="V107" s="8" t="s">
        <v>17</v>
      </c>
      <c r="W107" s="8" t="s">
        <v>17</v>
      </c>
      <c r="X107" s="8" t="s">
        <v>17</v>
      </c>
      <c r="Y107" s="8" t="s">
        <v>17</v>
      </c>
      <c r="Z107" s="8">
        <f>U107/T107</f>
        <v>1.8156378600823044</v>
      </c>
      <c r="AA107" s="9">
        <f>S107/T107</f>
        <v>1.4444444444444444</v>
      </c>
      <c r="AB107" s="10" t="s">
        <v>494</v>
      </c>
      <c r="AD107" s="8">
        <v>1</v>
      </c>
      <c r="AE107" s="8">
        <v>0</v>
      </c>
    </row>
    <row r="108" spans="1:31" x14ac:dyDescent="0.15">
      <c r="A108" s="63" t="s">
        <v>384</v>
      </c>
      <c r="B108" s="7" t="s">
        <v>77</v>
      </c>
      <c r="C108" s="8">
        <v>2022</v>
      </c>
      <c r="D108" s="8">
        <v>2</v>
      </c>
      <c r="E108" s="8">
        <v>0</v>
      </c>
      <c r="F108" s="7" t="s">
        <v>385</v>
      </c>
      <c r="G108" s="9" t="s">
        <v>148</v>
      </c>
      <c r="H108" s="8" t="s">
        <v>17</v>
      </c>
      <c r="I108" s="8" t="s">
        <v>17</v>
      </c>
      <c r="J108" s="9" t="s">
        <v>194</v>
      </c>
      <c r="K108" s="8" t="s">
        <v>17</v>
      </c>
      <c r="L108" s="8">
        <v>1</v>
      </c>
      <c r="M108" s="8">
        <v>0</v>
      </c>
      <c r="N108" s="8">
        <v>0</v>
      </c>
      <c r="P108" s="8" t="s">
        <v>71</v>
      </c>
      <c r="R108" s="8">
        <f>U108+V108</f>
        <v>1545.5</v>
      </c>
      <c r="S108" s="8">
        <v>408.8</v>
      </c>
      <c r="T108" s="8">
        <v>389</v>
      </c>
      <c r="U108" s="8">
        <v>511.5</v>
      </c>
      <c r="V108" s="8">
        <f>712+322</f>
        <v>1034</v>
      </c>
      <c r="W108" s="8">
        <f>S108/R108</f>
        <v>0.26450986735684245</v>
      </c>
      <c r="X108" s="8">
        <f>T108/R108</f>
        <v>0.2516984794564866</v>
      </c>
      <c r="Y108" s="8">
        <f>U108/R108</f>
        <v>0.33096085409252668</v>
      </c>
      <c r="Z108" s="8">
        <f>U108/T108</f>
        <v>1.3149100257069408</v>
      </c>
      <c r="AA108" s="8">
        <f>S108/T108</f>
        <v>1.0508997429305913</v>
      </c>
      <c r="AB108" s="10" t="s">
        <v>293</v>
      </c>
      <c r="AD108" s="8">
        <v>1</v>
      </c>
      <c r="AE108" s="8">
        <v>1</v>
      </c>
    </row>
    <row r="111" spans="1:31" x14ac:dyDescent="0.15">
      <c r="B111"/>
    </row>
    <row r="112" spans="1:31" x14ac:dyDescent="0.15">
      <c r="B112"/>
    </row>
    <row r="113" spans="2:2" x14ac:dyDescent="0.15">
      <c r="B113"/>
    </row>
    <row r="114" spans="2:2" x14ac:dyDescent="0.15">
      <c r="B114"/>
    </row>
    <row r="115" spans="2:2" x14ac:dyDescent="0.15">
      <c r="B115"/>
    </row>
    <row r="116" spans="2:2" x14ac:dyDescent="0.15">
      <c r="B116"/>
    </row>
    <row r="117" spans="2:2" x14ac:dyDescent="0.15">
      <c r="B117"/>
    </row>
    <row r="118" spans="2:2" x14ac:dyDescent="0.15">
      <c r="B118"/>
    </row>
    <row r="119" spans="2:2" x14ac:dyDescent="0.15">
      <c r="B119"/>
    </row>
    <row r="120" spans="2:2" x14ac:dyDescent="0.15">
      <c r="B120"/>
    </row>
    <row r="121" spans="2:2" x14ac:dyDescent="0.15">
      <c r="B121"/>
    </row>
    <row r="122" spans="2:2" x14ac:dyDescent="0.15">
      <c r="B122"/>
    </row>
    <row r="123" spans="2:2" x14ac:dyDescent="0.15">
      <c r="B123"/>
    </row>
    <row r="124" spans="2:2" x14ac:dyDescent="0.15">
      <c r="B124"/>
    </row>
    <row r="125" spans="2:2" x14ac:dyDescent="0.15">
      <c r="B125"/>
    </row>
  </sheetData>
  <sortState xmlns:xlrd2="http://schemas.microsoft.com/office/spreadsheetml/2017/richdata2" ref="A1:AO125">
    <sortCondition ref="O1:O125"/>
  </sortState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AllSpec</vt:lpstr>
      <vt:lpstr>Image J Comp</vt:lpstr>
      <vt:lpstr>IJ1</vt:lpstr>
      <vt:lpstr>IJ2</vt:lpstr>
      <vt:lpstr>AC</vt:lpstr>
      <vt:lpstr>PC</vt:lpstr>
      <vt:lpstr>PP</vt:lpstr>
      <vt:lpstr>PZ</vt:lpstr>
      <vt:lpstr>AnoxyTest - ALL</vt:lpstr>
      <vt:lpstr>Anoxy Resid</vt:lpstr>
      <vt:lpstr>ClavataTest - ALL</vt:lpstr>
      <vt:lpstr>Clavata Resid</vt:lpstr>
      <vt:lpstr>PristisTest - ALL</vt:lpstr>
      <vt:lpstr>Pristis Resid</vt:lpstr>
      <vt:lpstr>ZijsronTest - ALL</vt:lpstr>
      <vt:lpstr>Zijsron Resid</vt:lpstr>
      <vt:lpstr>AllRes</vt:lpstr>
      <vt:lpstr>Field Morpho</vt:lpstr>
      <vt:lpstr>SF Heads</vt:lpstr>
      <vt:lpstr>SUBS Morpho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Nikki Biskis</cp:lastModifiedBy>
  <dcterms:created xsi:type="dcterms:W3CDTF">2022-05-27T05:50:57Z</dcterms:created>
  <dcterms:modified xsi:type="dcterms:W3CDTF">2025-11-12T03:40:40Z</dcterms:modified>
</cp:coreProperties>
</file>