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ink/ink8.xml" ContentType="application/inkml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9240442d0673d2d/BUSINESS_ANALYST_2025/BUSINESS-ANALITICS-EXEL-John-Hopkins_university/"/>
    </mc:Choice>
  </mc:AlternateContent>
  <xr:revisionPtr revIDLastSave="7012" documentId="11_F25DC773A252ABDACC104828B19C72865BDE58F6" xr6:coauthVersionLast="47" xr6:coauthVersionMax="47" xr10:uidLastSave="{88643815-B275-422E-A810-B3C12D9FBBBF}"/>
  <bookViews>
    <workbookView xWindow="43080" yWindow="2370" windowWidth="29040" windowHeight="15720" xr2:uid="{00000000-000D-0000-FFFF-FFFF00000000}"/>
  </bookViews>
  <sheets>
    <sheet name="NCAA T-Shirt" sheetId="1" r:id="rId1"/>
    <sheet name="the 19th hole" sheetId="2" r:id="rId2"/>
    <sheet name="NPV value" sheetId="3" r:id="rId3"/>
    <sheet name="Microsoft" sheetId="4" r:id="rId4"/>
    <sheet name="Toy Company" sheetId="5" r:id="rId5"/>
    <sheet name="Bluejay Natural Gas" sheetId="6" r:id="rId6"/>
    <sheet name="LP Marketing" sheetId="7" r:id="rId7"/>
    <sheet name="LP Assignment" sheetId="8" r:id="rId8"/>
    <sheet name="LP Template and Var" sheetId="9" r:id="rId9"/>
    <sheet name="LP Furniture Comp" sheetId="10" r:id="rId10"/>
    <sheet name="LP Investment Allocation" sheetId="11" r:id="rId11"/>
    <sheet name="Assesment Feed Mix" sheetId="12" r:id="rId12"/>
    <sheet name="Bus Company" sheetId="13" r:id="rId13"/>
    <sheet name="Linear Programming Assesment" sheetId="15" r:id="rId14"/>
    <sheet name="Transportation prob template" sheetId="16" r:id="rId15"/>
    <sheet name="Construction Project" sheetId="17" r:id="rId16"/>
    <sheet name="New Hire Assignment" sheetId="18" r:id="rId17"/>
    <sheet name="MLB Umpire Assignment" sheetId="19" r:id="rId18"/>
    <sheet name="College Professors" sheetId="20" r:id="rId19"/>
    <sheet name="TranspAnd Assignment Problems" sheetId="21" r:id="rId20"/>
    <sheet name="Assignment Problem Assesment" sheetId="22" r:id="rId21"/>
    <sheet name="Princess Bride" sheetId="23" r:id="rId22"/>
    <sheet name="Bolsa de Cafe" sheetId="24" r:id="rId23"/>
    <sheet name="As ART Posters" sheetId="25" r:id="rId24"/>
    <sheet name="Binary Investment" sheetId="26" r:id="rId25"/>
    <sheet name="Horizon Wireless" sheetId="27" r:id="rId26"/>
    <sheet name="Non-Linear Template" sheetId="28" r:id="rId27"/>
    <sheet name="Non-Linear Example 2" sheetId="29" r:id="rId28"/>
    <sheet name="NonLinear Assesment1" sheetId="30" r:id="rId29"/>
    <sheet name="Int Ass" sheetId="31" r:id="rId30"/>
    <sheet name="NLin As2" sheetId="32" r:id="rId31"/>
  </sheets>
  <definedNames>
    <definedName name="solver_adj" localSheetId="23" hidden="1">'As ART Posters'!$B$4:$C$4</definedName>
    <definedName name="solver_adj" localSheetId="11" hidden="1">'Assesment Feed Mix'!$B$2:$D$2</definedName>
    <definedName name="solver_adj" localSheetId="20" hidden="1">'Assignment Problem Assesment'!$C$27:$E$29</definedName>
    <definedName name="solver_adj" localSheetId="24" hidden="1">'Binary Investment'!$B$11:$H$11</definedName>
    <definedName name="solver_adj" localSheetId="22" hidden="1">'Bolsa de Cafe'!$B$4:$C$4</definedName>
    <definedName name="solver_adj" localSheetId="12" hidden="1">'Bus Company'!$B$4:$P$4</definedName>
    <definedName name="solver_adj" localSheetId="18" hidden="1">'College Professors'!$B$13:$E$16</definedName>
    <definedName name="solver_adj" localSheetId="15" hidden="1">'Construction Project'!$C$13:$E$15</definedName>
    <definedName name="solver_adj" localSheetId="25" hidden="1">'Horizon Wireless'!$B$4:$G$4</definedName>
    <definedName name="solver_adj" localSheetId="29" hidden="1">'Int Ass'!$B$3:$C$3</definedName>
    <definedName name="solver_adj" localSheetId="13" hidden="1">'Linear Programming Assesment'!$B$3:$C$3</definedName>
    <definedName name="solver_adj" localSheetId="7" hidden="1">'LP Assignment'!$B$2:$C$2</definedName>
    <definedName name="solver_adj" localSheetId="9" hidden="1">'LP Furniture Comp'!$B$2:$C$2</definedName>
    <definedName name="solver_adj" localSheetId="10" hidden="1">'LP Investment Allocation'!$B$2:$F$2</definedName>
    <definedName name="solver_adj" localSheetId="6" hidden="1">'LP Marketing'!$B$2:$C$2</definedName>
    <definedName name="solver_adj" localSheetId="8" hidden="1">'LP Template and Var'!$B$2:$C$2</definedName>
    <definedName name="solver_adj" localSheetId="17" hidden="1">'MLB Umpire Assignment'!$B$14:$E$17</definedName>
    <definedName name="solver_adj" localSheetId="16" hidden="1">'New Hire Assignment'!$B$15:$E$17</definedName>
    <definedName name="solver_adj" localSheetId="30" hidden="1">'NLin As2'!$B$2</definedName>
    <definedName name="solver_adj" localSheetId="28" hidden="1">'NonLinear Assesment1'!$B$2</definedName>
    <definedName name="solver_adj" localSheetId="27" hidden="1">'Non-Linear Example 2'!$B$2:$C$2</definedName>
    <definedName name="solver_adj" localSheetId="26" hidden="1">'Non-Linear Template'!$B$3:$C$3</definedName>
    <definedName name="solver_adj" localSheetId="21" hidden="1">'Princess Bride'!$B$4:$C$4</definedName>
    <definedName name="solver_adj" localSheetId="19" hidden="1">'TranspAnd Assignment Problems'!$B$15:$D$16</definedName>
    <definedName name="solver_adj" localSheetId="14" hidden="1">'Transportation prob template'!$P$4:$P$12</definedName>
    <definedName name="solver_cvg" localSheetId="23" hidden="1">0.0001</definedName>
    <definedName name="solver_cvg" localSheetId="11" hidden="1">0.0001</definedName>
    <definedName name="solver_cvg" localSheetId="20" hidden="1">0.0001</definedName>
    <definedName name="solver_cvg" localSheetId="24" hidden="1">0.0001</definedName>
    <definedName name="solver_cvg" localSheetId="22" hidden="1">0.0001</definedName>
    <definedName name="solver_cvg" localSheetId="12" hidden="1">0.0001</definedName>
    <definedName name="solver_cvg" localSheetId="18" hidden="1">0.0001</definedName>
    <definedName name="solver_cvg" localSheetId="15" hidden="1">0.0001</definedName>
    <definedName name="solver_cvg" localSheetId="25" hidden="1">0.0001</definedName>
    <definedName name="solver_cvg" localSheetId="29" hidden="1">0.0001</definedName>
    <definedName name="solver_cvg" localSheetId="13" hidden="1">0.0001</definedName>
    <definedName name="solver_cvg" localSheetId="7" hidden="1">0.0001</definedName>
    <definedName name="solver_cvg" localSheetId="9" hidden="1">0.0001</definedName>
    <definedName name="solver_cvg" localSheetId="10" hidden="1">0.0001</definedName>
    <definedName name="solver_cvg" localSheetId="6" hidden="1">0.0001</definedName>
    <definedName name="solver_cvg" localSheetId="8" hidden="1">0.0001</definedName>
    <definedName name="solver_cvg" localSheetId="17" hidden="1">0.0001</definedName>
    <definedName name="solver_cvg" localSheetId="16" hidden="1">0.0001</definedName>
    <definedName name="solver_cvg" localSheetId="30" hidden="1">0.0001</definedName>
    <definedName name="solver_cvg" localSheetId="28" hidden="1">0.0001</definedName>
    <definedName name="solver_cvg" localSheetId="27" hidden="1">0.0001</definedName>
    <definedName name="solver_cvg" localSheetId="26" hidden="1">0.0001</definedName>
    <definedName name="solver_cvg" localSheetId="21" hidden="1">0.0001</definedName>
    <definedName name="solver_cvg" localSheetId="19" hidden="1">0.0001</definedName>
    <definedName name="solver_cvg" localSheetId="14" hidden="1">0.0001</definedName>
    <definedName name="solver_drv" localSheetId="23" hidden="1">1</definedName>
    <definedName name="solver_drv" localSheetId="11" hidden="1">1</definedName>
    <definedName name="solver_drv" localSheetId="20" hidden="1">1</definedName>
    <definedName name="solver_drv" localSheetId="24" hidden="1">1</definedName>
    <definedName name="solver_drv" localSheetId="22" hidden="1">1</definedName>
    <definedName name="solver_drv" localSheetId="12" hidden="1">1</definedName>
    <definedName name="solver_drv" localSheetId="18" hidden="1">1</definedName>
    <definedName name="solver_drv" localSheetId="15" hidden="1">1</definedName>
    <definedName name="solver_drv" localSheetId="25" hidden="1">1</definedName>
    <definedName name="solver_drv" localSheetId="29" hidden="1">1</definedName>
    <definedName name="solver_drv" localSheetId="13" hidden="1">1</definedName>
    <definedName name="solver_drv" localSheetId="7" hidden="1">1</definedName>
    <definedName name="solver_drv" localSheetId="9" hidden="1">1</definedName>
    <definedName name="solver_drv" localSheetId="10" hidden="1">1</definedName>
    <definedName name="solver_drv" localSheetId="6" hidden="1">2</definedName>
    <definedName name="solver_drv" localSheetId="8" hidden="1">1</definedName>
    <definedName name="solver_drv" localSheetId="17" hidden="1">1</definedName>
    <definedName name="solver_drv" localSheetId="16" hidden="1">1</definedName>
    <definedName name="solver_drv" localSheetId="30" hidden="1">1</definedName>
    <definedName name="solver_drv" localSheetId="28" hidden="1">1</definedName>
    <definedName name="solver_drv" localSheetId="27" hidden="1">1</definedName>
    <definedName name="solver_drv" localSheetId="26" hidden="1">1</definedName>
    <definedName name="solver_drv" localSheetId="21" hidden="1">1</definedName>
    <definedName name="solver_drv" localSheetId="19" hidden="1">1</definedName>
    <definedName name="solver_drv" localSheetId="14" hidden="1">1</definedName>
    <definedName name="solver_eng" localSheetId="23" hidden="1">2</definedName>
    <definedName name="solver_eng" localSheetId="11" hidden="1">2</definedName>
    <definedName name="solver_eng" localSheetId="20" hidden="1">2</definedName>
    <definedName name="solver_eng" localSheetId="24" hidden="1">2</definedName>
    <definedName name="solver_eng" localSheetId="22" hidden="1">2</definedName>
    <definedName name="solver_eng" localSheetId="12" hidden="1">2</definedName>
    <definedName name="solver_eng" localSheetId="18" hidden="1">2</definedName>
    <definedName name="solver_eng" localSheetId="15" hidden="1">2</definedName>
    <definedName name="solver_eng" localSheetId="25" hidden="1">2</definedName>
    <definedName name="solver_eng" localSheetId="29" hidden="1">2</definedName>
    <definedName name="solver_eng" localSheetId="13" hidden="1">2</definedName>
    <definedName name="solver_eng" localSheetId="7" hidden="1">2</definedName>
    <definedName name="solver_eng" localSheetId="9" hidden="1">2</definedName>
    <definedName name="solver_eng" localSheetId="10" hidden="1">2</definedName>
    <definedName name="solver_eng" localSheetId="6" hidden="1">2</definedName>
    <definedName name="solver_eng" localSheetId="8" hidden="1">2</definedName>
    <definedName name="solver_eng" localSheetId="17" hidden="1">2</definedName>
    <definedName name="solver_eng" localSheetId="0" hidden="1">1</definedName>
    <definedName name="solver_eng" localSheetId="16" hidden="1">2</definedName>
    <definedName name="solver_eng" localSheetId="30" hidden="1">1</definedName>
    <definedName name="solver_eng" localSheetId="28" hidden="1">1</definedName>
    <definedName name="solver_eng" localSheetId="27" hidden="1">1</definedName>
    <definedName name="solver_eng" localSheetId="26" hidden="1">1</definedName>
    <definedName name="solver_eng" localSheetId="21" hidden="1">2</definedName>
    <definedName name="solver_eng" localSheetId="19" hidden="1">2</definedName>
    <definedName name="solver_eng" localSheetId="14" hidden="1">2</definedName>
    <definedName name="solver_est" localSheetId="23" hidden="1">1</definedName>
    <definedName name="solver_est" localSheetId="11" hidden="1">1</definedName>
    <definedName name="solver_est" localSheetId="20" hidden="1">1</definedName>
    <definedName name="solver_est" localSheetId="24" hidden="1">1</definedName>
    <definedName name="solver_est" localSheetId="22" hidden="1">1</definedName>
    <definedName name="solver_est" localSheetId="12" hidden="1">1</definedName>
    <definedName name="solver_est" localSheetId="18" hidden="1">1</definedName>
    <definedName name="solver_est" localSheetId="15" hidden="1">1</definedName>
    <definedName name="solver_est" localSheetId="25" hidden="1">1</definedName>
    <definedName name="solver_est" localSheetId="29" hidden="1">1</definedName>
    <definedName name="solver_est" localSheetId="13" hidden="1">1</definedName>
    <definedName name="solver_est" localSheetId="7" hidden="1">1</definedName>
    <definedName name="solver_est" localSheetId="9" hidden="1">1</definedName>
    <definedName name="solver_est" localSheetId="10" hidden="1">1</definedName>
    <definedName name="solver_est" localSheetId="6" hidden="1">1</definedName>
    <definedName name="solver_est" localSheetId="8" hidden="1">1</definedName>
    <definedName name="solver_est" localSheetId="17" hidden="1">1</definedName>
    <definedName name="solver_est" localSheetId="16" hidden="1">1</definedName>
    <definedName name="solver_est" localSheetId="30" hidden="1">1</definedName>
    <definedName name="solver_est" localSheetId="28" hidden="1">1</definedName>
    <definedName name="solver_est" localSheetId="27" hidden="1">1</definedName>
    <definedName name="solver_est" localSheetId="26" hidden="1">1</definedName>
    <definedName name="solver_est" localSheetId="21" hidden="1">1</definedName>
    <definedName name="solver_est" localSheetId="19" hidden="1">1</definedName>
    <definedName name="solver_est" localSheetId="14" hidden="1">1</definedName>
    <definedName name="solver_itr" localSheetId="23" hidden="1">2147483647</definedName>
    <definedName name="solver_itr" localSheetId="11" hidden="1">2147483647</definedName>
    <definedName name="solver_itr" localSheetId="20" hidden="1">2147483647</definedName>
    <definedName name="solver_itr" localSheetId="24" hidden="1">2147483647</definedName>
    <definedName name="solver_itr" localSheetId="22" hidden="1">2147483647</definedName>
    <definedName name="solver_itr" localSheetId="12" hidden="1">2147483647</definedName>
    <definedName name="solver_itr" localSheetId="18" hidden="1">2147483647</definedName>
    <definedName name="solver_itr" localSheetId="15" hidden="1">2147483647</definedName>
    <definedName name="solver_itr" localSheetId="25" hidden="1">2147483647</definedName>
    <definedName name="solver_itr" localSheetId="29" hidden="1">2147483647</definedName>
    <definedName name="solver_itr" localSheetId="13" hidden="1">2147483647</definedName>
    <definedName name="solver_itr" localSheetId="7" hidden="1">2147483647</definedName>
    <definedName name="solver_itr" localSheetId="9" hidden="1">2147483647</definedName>
    <definedName name="solver_itr" localSheetId="10" hidden="1">2147483647</definedName>
    <definedName name="solver_itr" localSheetId="6" hidden="1">2147483647</definedName>
    <definedName name="solver_itr" localSheetId="8" hidden="1">2147483647</definedName>
    <definedName name="solver_itr" localSheetId="17" hidden="1">2147483647</definedName>
    <definedName name="solver_itr" localSheetId="16" hidden="1">2147483647</definedName>
    <definedName name="solver_itr" localSheetId="30" hidden="1">2147483647</definedName>
    <definedName name="solver_itr" localSheetId="28" hidden="1">2147483647</definedName>
    <definedName name="solver_itr" localSheetId="27" hidden="1">2147483647</definedName>
    <definedName name="solver_itr" localSheetId="26" hidden="1">2147483647</definedName>
    <definedName name="solver_itr" localSheetId="21" hidden="1">2147483647</definedName>
    <definedName name="solver_itr" localSheetId="19" hidden="1">2147483647</definedName>
    <definedName name="solver_itr" localSheetId="14" hidden="1">2147483647</definedName>
    <definedName name="solver_lhs1" localSheetId="23" hidden="1">'As ART Posters'!$B$4:$C$4</definedName>
    <definedName name="solver_lhs1" localSheetId="11" hidden="1">'Assesment Feed Mix'!$E$11</definedName>
    <definedName name="solver_lhs1" localSheetId="20" hidden="1">'Assignment Problem Assesment'!$C$30:$E$30</definedName>
    <definedName name="solver_lhs1" localSheetId="24" hidden="1">'Binary Investment'!$B$11:$H$11</definedName>
    <definedName name="solver_lhs1" localSheetId="22" hidden="1">'Bolsa de Cafe'!$B$4:$C$4</definedName>
    <definedName name="solver_lhs1" localSheetId="12" hidden="1">'Bus Company'!$Q$12:$Q$14</definedName>
    <definedName name="solver_lhs1" localSheetId="18" hidden="1">'College Professors'!$B$17:$E$17</definedName>
    <definedName name="solver_lhs1" localSheetId="15" hidden="1">'Construction Project'!$C$16:$E$16</definedName>
    <definedName name="solver_lhs1" localSheetId="25" hidden="1">'Horizon Wireless'!$B$4:$G$4</definedName>
    <definedName name="solver_lhs1" localSheetId="29" hidden="1">'Int Ass'!$B$3:$C$3</definedName>
    <definedName name="solver_lhs1" localSheetId="13" hidden="1">'Linear Programming Assesment'!$D$13:$D$14</definedName>
    <definedName name="solver_lhs1" localSheetId="7" hidden="1">'LP Assignment'!$D$9:$D$10</definedName>
    <definedName name="solver_lhs1" localSheetId="9" hidden="1">'LP Furniture Comp'!$D$13:$D$14</definedName>
    <definedName name="solver_lhs1" localSheetId="10" hidden="1">'LP Investment Allocation'!$G$11</definedName>
    <definedName name="solver_lhs1" localSheetId="6" hidden="1">'LP Marketing'!$D$12</definedName>
    <definedName name="solver_lhs1" localSheetId="8" hidden="1">'LP Template and Var'!$D$14:$D$17</definedName>
    <definedName name="solver_lhs1" localSheetId="17" hidden="1">'MLB Umpire Assignment'!$B$18:$E$18</definedName>
    <definedName name="solver_lhs1" localSheetId="16" hidden="1">'New Hire Assignment'!$B$18:$E$18</definedName>
    <definedName name="solver_lhs1" localSheetId="27" hidden="1">'Non-Linear Example 2'!$B$2:$C$2</definedName>
    <definedName name="solver_lhs1" localSheetId="26" hidden="1">'Non-Linear Template'!$D$16</definedName>
    <definedName name="solver_lhs1" localSheetId="21" hidden="1">'Princess Bride'!$B$4:$C$4</definedName>
    <definedName name="solver_lhs1" localSheetId="19" hidden="1">'TranspAnd Assignment Problems'!$B$17:$D$17</definedName>
    <definedName name="solver_lhs1" localSheetId="14" hidden="1">'Transportation prob template'!$N$18:$N$20</definedName>
    <definedName name="solver_lhs2" localSheetId="23" hidden="1">'As ART Posters'!$D$12:$D$14</definedName>
    <definedName name="solver_lhs2" localSheetId="11" hidden="1">'Assesment Feed Mix'!$E$12:$E$16</definedName>
    <definedName name="solver_lhs2" localSheetId="20" hidden="1">'Assignment Problem Assesment'!$F$27:$F$29</definedName>
    <definedName name="solver_lhs2" localSheetId="24" hidden="1">'Binary Investment'!$I$19</definedName>
    <definedName name="solver_lhs2" localSheetId="22" hidden="1">'Bolsa de Cafe'!$D$12:$D$14</definedName>
    <definedName name="solver_lhs2" localSheetId="12" hidden="1">'Bus Company'!$Q$15:$Q$19</definedName>
    <definedName name="solver_lhs2" localSheetId="18" hidden="1">'College Professors'!$F$13:$F$16</definedName>
    <definedName name="solver_lhs2" localSheetId="15" hidden="1">'Construction Project'!$F$13:$F$15</definedName>
    <definedName name="solver_lhs2" localSheetId="25" hidden="1">'Horizon Wireless'!$H$12:$H$19</definedName>
    <definedName name="solver_lhs2" localSheetId="29" hidden="1">'Int Ass'!$D$13:$D$14</definedName>
    <definedName name="solver_lhs2" localSheetId="10" hidden="1">'LP Investment Allocation'!$G$12:$G$13</definedName>
    <definedName name="solver_lhs2" localSheetId="6" hidden="1">'LP Marketing'!$D$13:$D$14</definedName>
    <definedName name="solver_lhs2" localSheetId="17" hidden="1">'MLB Umpire Assignment'!$E$16</definedName>
    <definedName name="solver_lhs2" localSheetId="16" hidden="1">'New Hire Assignment'!$F$15:$F$17</definedName>
    <definedName name="solver_lhs2" localSheetId="27" hidden="1">'Non-Linear Example 2'!$D$13</definedName>
    <definedName name="solver_lhs2" localSheetId="26" hidden="1">'Non-Linear Template'!$D$17</definedName>
    <definedName name="solver_lhs2" localSheetId="21" hidden="1">'Princess Bride'!$D$13:$D$14</definedName>
    <definedName name="solver_lhs2" localSheetId="19" hidden="1">'TranspAnd Assignment Problems'!$E$15:$E$16</definedName>
    <definedName name="solver_lhs2" localSheetId="14" hidden="1">'Transportation prob template'!$N$24:$N$26</definedName>
    <definedName name="solver_lhs3" localSheetId="24" hidden="1">'Binary Investment'!$I$20</definedName>
    <definedName name="solver_lhs3" localSheetId="10" hidden="1">'LP Investment Allocation'!$G$14</definedName>
    <definedName name="solver_lhs3" localSheetId="6" hidden="1">'LP Marketing'!$D$15</definedName>
    <definedName name="solver_lhs3" localSheetId="17" hidden="1">'MLB Umpire Assignment'!$F$14:$F$17</definedName>
    <definedName name="solver_lhs3" localSheetId="21" hidden="1">'Princess Bride'!$D$15</definedName>
    <definedName name="solver_lhs4" localSheetId="24" hidden="1">'Binary Investment'!$I$21</definedName>
    <definedName name="solver_lhs5" localSheetId="24" hidden="1">'Binary Investment'!$I$22</definedName>
    <definedName name="solver_mip" localSheetId="23" hidden="1">2147483647</definedName>
    <definedName name="solver_mip" localSheetId="11" hidden="1">2147483647</definedName>
    <definedName name="solver_mip" localSheetId="20" hidden="1">2147483647</definedName>
    <definedName name="solver_mip" localSheetId="24" hidden="1">2147483647</definedName>
    <definedName name="solver_mip" localSheetId="22" hidden="1">2147483647</definedName>
    <definedName name="solver_mip" localSheetId="12" hidden="1">2147483647</definedName>
    <definedName name="solver_mip" localSheetId="18" hidden="1">2147483647</definedName>
    <definedName name="solver_mip" localSheetId="15" hidden="1">2147483647</definedName>
    <definedName name="solver_mip" localSheetId="25" hidden="1">2147483647</definedName>
    <definedName name="solver_mip" localSheetId="29" hidden="1">2147483647</definedName>
    <definedName name="solver_mip" localSheetId="13" hidden="1">2147483647</definedName>
    <definedName name="solver_mip" localSheetId="7" hidden="1">2147483647</definedName>
    <definedName name="solver_mip" localSheetId="9" hidden="1">2147483647</definedName>
    <definedName name="solver_mip" localSheetId="10" hidden="1">2147483647</definedName>
    <definedName name="solver_mip" localSheetId="6" hidden="1">2147483647</definedName>
    <definedName name="solver_mip" localSheetId="8" hidden="1">2147483647</definedName>
    <definedName name="solver_mip" localSheetId="17" hidden="1">2147483647</definedName>
    <definedName name="solver_mip" localSheetId="16" hidden="1">2147483647</definedName>
    <definedName name="solver_mip" localSheetId="30" hidden="1">2147483647</definedName>
    <definedName name="solver_mip" localSheetId="28" hidden="1">2147483647</definedName>
    <definedName name="solver_mip" localSheetId="27" hidden="1">2147483647</definedName>
    <definedName name="solver_mip" localSheetId="26" hidden="1">2147483647</definedName>
    <definedName name="solver_mip" localSheetId="21" hidden="1">2147483647</definedName>
    <definedName name="solver_mip" localSheetId="19" hidden="1">2147483647</definedName>
    <definedName name="solver_mip" localSheetId="14" hidden="1">2147483647</definedName>
    <definedName name="solver_mni" localSheetId="23" hidden="1">30</definedName>
    <definedName name="solver_mni" localSheetId="11" hidden="1">30</definedName>
    <definedName name="solver_mni" localSheetId="20" hidden="1">30</definedName>
    <definedName name="solver_mni" localSheetId="24" hidden="1">30</definedName>
    <definedName name="solver_mni" localSheetId="22" hidden="1">30</definedName>
    <definedName name="solver_mni" localSheetId="12" hidden="1">30</definedName>
    <definedName name="solver_mni" localSheetId="18" hidden="1">30</definedName>
    <definedName name="solver_mni" localSheetId="15" hidden="1">30</definedName>
    <definedName name="solver_mni" localSheetId="25" hidden="1">30</definedName>
    <definedName name="solver_mni" localSheetId="29" hidden="1">30</definedName>
    <definedName name="solver_mni" localSheetId="13" hidden="1">30</definedName>
    <definedName name="solver_mni" localSheetId="7" hidden="1">30</definedName>
    <definedName name="solver_mni" localSheetId="9" hidden="1">30</definedName>
    <definedName name="solver_mni" localSheetId="10" hidden="1">30</definedName>
    <definedName name="solver_mni" localSheetId="6" hidden="1">30</definedName>
    <definedName name="solver_mni" localSheetId="8" hidden="1">30</definedName>
    <definedName name="solver_mni" localSheetId="17" hidden="1">30</definedName>
    <definedName name="solver_mni" localSheetId="16" hidden="1">30</definedName>
    <definedName name="solver_mni" localSheetId="30" hidden="1">30</definedName>
    <definedName name="solver_mni" localSheetId="28" hidden="1">30</definedName>
    <definedName name="solver_mni" localSheetId="27" hidden="1">30</definedName>
    <definedName name="solver_mni" localSheetId="26" hidden="1">30</definedName>
    <definedName name="solver_mni" localSheetId="21" hidden="1">30</definedName>
    <definedName name="solver_mni" localSheetId="19" hidden="1">30</definedName>
    <definedName name="solver_mni" localSheetId="14" hidden="1">30</definedName>
    <definedName name="solver_mrt" localSheetId="23" hidden="1">0.075</definedName>
    <definedName name="solver_mrt" localSheetId="11" hidden="1">0.075</definedName>
    <definedName name="solver_mrt" localSheetId="20" hidden="1">0.075</definedName>
    <definedName name="solver_mrt" localSheetId="24" hidden="1">0.075</definedName>
    <definedName name="solver_mrt" localSheetId="22" hidden="1">0.075</definedName>
    <definedName name="solver_mrt" localSheetId="12" hidden="1">0.075</definedName>
    <definedName name="solver_mrt" localSheetId="18" hidden="1">0.075</definedName>
    <definedName name="solver_mrt" localSheetId="15" hidden="1">0.075</definedName>
    <definedName name="solver_mrt" localSheetId="25" hidden="1">0.075</definedName>
    <definedName name="solver_mrt" localSheetId="29" hidden="1">0.075</definedName>
    <definedName name="solver_mrt" localSheetId="13" hidden="1">0.075</definedName>
    <definedName name="solver_mrt" localSheetId="7" hidden="1">0.075</definedName>
    <definedName name="solver_mrt" localSheetId="9" hidden="1">0.075</definedName>
    <definedName name="solver_mrt" localSheetId="10" hidden="1">0.075</definedName>
    <definedName name="solver_mrt" localSheetId="6" hidden="1">0.075</definedName>
    <definedName name="solver_mrt" localSheetId="8" hidden="1">0.075</definedName>
    <definedName name="solver_mrt" localSheetId="17" hidden="1">0.075</definedName>
    <definedName name="solver_mrt" localSheetId="16" hidden="1">0.075</definedName>
    <definedName name="solver_mrt" localSheetId="30" hidden="1">0.075</definedName>
    <definedName name="solver_mrt" localSheetId="28" hidden="1">0.075</definedName>
    <definedName name="solver_mrt" localSheetId="27" hidden="1">0.075</definedName>
    <definedName name="solver_mrt" localSheetId="26" hidden="1">0.075</definedName>
    <definedName name="solver_mrt" localSheetId="21" hidden="1">0.075</definedName>
    <definedName name="solver_mrt" localSheetId="19" hidden="1">0.075</definedName>
    <definedName name="solver_mrt" localSheetId="14" hidden="1">0.075</definedName>
    <definedName name="solver_msl" localSheetId="23" hidden="1">2</definedName>
    <definedName name="solver_msl" localSheetId="11" hidden="1">2</definedName>
    <definedName name="solver_msl" localSheetId="20" hidden="1">2</definedName>
    <definedName name="solver_msl" localSheetId="24" hidden="1">2</definedName>
    <definedName name="solver_msl" localSheetId="22" hidden="1">2</definedName>
    <definedName name="solver_msl" localSheetId="12" hidden="1">2</definedName>
    <definedName name="solver_msl" localSheetId="18" hidden="1">2</definedName>
    <definedName name="solver_msl" localSheetId="15" hidden="1">2</definedName>
    <definedName name="solver_msl" localSheetId="25" hidden="1">2</definedName>
    <definedName name="solver_msl" localSheetId="29" hidden="1">2</definedName>
    <definedName name="solver_msl" localSheetId="13" hidden="1">2</definedName>
    <definedName name="solver_msl" localSheetId="7" hidden="1">2</definedName>
    <definedName name="solver_msl" localSheetId="9" hidden="1">2</definedName>
    <definedName name="solver_msl" localSheetId="10" hidden="1">2</definedName>
    <definedName name="solver_msl" localSheetId="6" hidden="1">2</definedName>
    <definedName name="solver_msl" localSheetId="8" hidden="1">2</definedName>
    <definedName name="solver_msl" localSheetId="17" hidden="1">2</definedName>
    <definedName name="solver_msl" localSheetId="16" hidden="1">2</definedName>
    <definedName name="solver_msl" localSheetId="30" hidden="1">2</definedName>
    <definedName name="solver_msl" localSheetId="28" hidden="1">2</definedName>
    <definedName name="solver_msl" localSheetId="27" hidden="1">2</definedName>
    <definedName name="solver_msl" localSheetId="26" hidden="1">2</definedName>
    <definedName name="solver_msl" localSheetId="21" hidden="1">2</definedName>
    <definedName name="solver_msl" localSheetId="19" hidden="1">2</definedName>
    <definedName name="solver_msl" localSheetId="14" hidden="1">2</definedName>
    <definedName name="solver_neg" localSheetId="23" hidden="1">1</definedName>
    <definedName name="solver_neg" localSheetId="11" hidden="1">1</definedName>
    <definedName name="solver_neg" localSheetId="20" hidden="1">1</definedName>
    <definedName name="solver_neg" localSheetId="24" hidden="1">1</definedName>
    <definedName name="solver_neg" localSheetId="22" hidden="1">1</definedName>
    <definedName name="solver_neg" localSheetId="12" hidden="1">1</definedName>
    <definedName name="solver_neg" localSheetId="18" hidden="1">1</definedName>
    <definedName name="solver_neg" localSheetId="15" hidden="1">1</definedName>
    <definedName name="solver_neg" localSheetId="25" hidden="1">1</definedName>
    <definedName name="solver_neg" localSheetId="29" hidden="1">1</definedName>
    <definedName name="solver_neg" localSheetId="13" hidden="1">1</definedName>
    <definedName name="solver_neg" localSheetId="7" hidden="1">1</definedName>
    <definedName name="solver_neg" localSheetId="9" hidden="1">1</definedName>
    <definedName name="solver_neg" localSheetId="10" hidden="1">1</definedName>
    <definedName name="solver_neg" localSheetId="6" hidden="1">1</definedName>
    <definedName name="solver_neg" localSheetId="8" hidden="1">1</definedName>
    <definedName name="solver_neg" localSheetId="17" hidden="1">1</definedName>
    <definedName name="solver_neg" localSheetId="0" hidden="1">1</definedName>
    <definedName name="solver_neg" localSheetId="16" hidden="1">1</definedName>
    <definedName name="solver_neg" localSheetId="30" hidden="1">1</definedName>
    <definedName name="solver_neg" localSheetId="28" hidden="1">1</definedName>
    <definedName name="solver_neg" localSheetId="27" hidden="1">1</definedName>
    <definedName name="solver_neg" localSheetId="26" hidden="1">1</definedName>
    <definedName name="solver_neg" localSheetId="21" hidden="1">1</definedName>
    <definedName name="solver_neg" localSheetId="19" hidden="1">1</definedName>
    <definedName name="solver_neg" localSheetId="14" hidden="1">1</definedName>
    <definedName name="solver_nod" localSheetId="23" hidden="1">2147483647</definedName>
    <definedName name="solver_nod" localSheetId="11" hidden="1">2147483647</definedName>
    <definedName name="solver_nod" localSheetId="20" hidden="1">2147483647</definedName>
    <definedName name="solver_nod" localSheetId="24" hidden="1">2147483647</definedName>
    <definedName name="solver_nod" localSheetId="22" hidden="1">2147483647</definedName>
    <definedName name="solver_nod" localSheetId="12" hidden="1">2147483647</definedName>
    <definedName name="solver_nod" localSheetId="18" hidden="1">2147483647</definedName>
    <definedName name="solver_nod" localSheetId="15" hidden="1">2147483647</definedName>
    <definedName name="solver_nod" localSheetId="25" hidden="1">2147483647</definedName>
    <definedName name="solver_nod" localSheetId="29" hidden="1">2147483647</definedName>
    <definedName name="solver_nod" localSheetId="13" hidden="1">2147483647</definedName>
    <definedName name="solver_nod" localSheetId="7" hidden="1">2147483647</definedName>
    <definedName name="solver_nod" localSheetId="9" hidden="1">2147483647</definedName>
    <definedName name="solver_nod" localSheetId="10" hidden="1">2147483647</definedName>
    <definedName name="solver_nod" localSheetId="6" hidden="1">2147483647</definedName>
    <definedName name="solver_nod" localSheetId="8" hidden="1">2147483647</definedName>
    <definedName name="solver_nod" localSheetId="17" hidden="1">2147483647</definedName>
    <definedName name="solver_nod" localSheetId="16" hidden="1">2147483647</definedName>
    <definedName name="solver_nod" localSheetId="30" hidden="1">2147483647</definedName>
    <definedName name="solver_nod" localSheetId="28" hidden="1">2147483647</definedName>
    <definedName name="solver_nod" localSheetId="27" hidden="1">2147483647</definedName>
    <definedName name="solver_nod" localSheetId="26" hidden="1">2147483647</definedName>
    <definedName name="solver_nod" localSheetId="21" hidden="1">2147483647</definedName>
    <definedName name="solver_nod" localSheetId="19" hidden="1">2147483647</definedName>
    <definedName name="solver_nod" localSheetId="14" hidden="1">2147483647</definedName>
    <definedName name="solver_num" localSheetId="23" hidden="1">2</definedName>
    <definedName name="solver_num" localSheetId="11" hidden="1">2</definedName>
    <definedName name="solver_num" localSheetId="20" hidden="1">2</definedName>
    <definedName name="solver_num" localSheetId="24" hidden="1">5</definedName>
    <definedName name="solver_num" localSheetId="22" hidden="1">2</definedName>
    <definedName name="solver_num" localSheetId="12" hidden="1">2</definedName>
    <definedName name="solver_num" localSheetId="18" hidden="1">2</definedName>
    <definedName name="solver_num" localSheetId="15" hidden="1">2</definedName>
    <definedName name="solver_num" localSheetId="25" hidden="1">2</definedName>
    <definedName name="solver_num" localSheetId="29" hidden="1">2</definedName>
    <definedName name="solver_num" localSheetId="13" hidden="1">1</definedName>
    <definedName name="solver_num" localSheetId="7" hidden="1">1</definedName>
    <definedName name="solver_num" localSheetId="9" hidden="1">1</definedName>
    <definedName name="solver_num" localSheetId="10" hidden="1">3</definedName>
    <definedName name="solver_num" localSheetId="6" hidden="1">3</definedName>
    <definedName name="solver_num" localSheetId="8" hidden="1">1</definedName>
    <definedName name="solver_num" localSheetId="17" hidden="1">3</definedName>
    <definedName name="solver_num" localSheetId="0" hidden="1">0</definedName>
    <definedName name="solver_num" localSheetId="16" hidden="1">2</definedName>
    <definedName name="solver_num" localSheetId="30" hidden="1">0</definedName>
    <definedName name="solver_num" localSheetId="28" hidden="1">0</definedName>
    <definedName name="solver_num" localSheetId="27" hidden="1">2</definedName>
    <definedName name="solver_num" localSheetId="26" hidden="1">2</definedName>
    <definedName name="solver_num" localSheetId="21" hidden="1">3</definedName>
    <definedName name="solver_num" localSheetId="19" hidden="1">2</definedName>
    <definedName name="solver_num" localSheetId="14" hidden="1">2</definedName>
    <definedName name="solver_nwt" localSheetId="23" hidden="1">1</definedName>
    <definedName name="solver_nwt" localSheetId="11" hidden="1">1</definedName>
    <definedName name="solver_nwt" localSheetId="20" hidden="1">1</definedName>
    <definedName name="solver_nwt" localSheetId="24" hidden="1">1</definedName>
    <definedName name="solver_nwt" localSheetId="22" hidden="1">1</definedName>
    <definedName name="solver_nwt" localSheetId="12" hidden="1">1</definedName>
    <definedName name="solver_nwt" localSheetId="18" hidden="1">1</definedName>
    <definedName name="solver_nwt" localSheetId="15" hidden="1">1</definedName>
    <definedName name="solver_nwt" localSheetId="25" hidden="1">1</definedName>
    <definedName name="solver_nwt" localSheetId="29" hidden="1">1</definedName>
    <definedName name="solver_nwt" localSheetId="13" hidden="1">1</definedName>
    <definedName name="solver_nwt" localSheetId="7" hidden="1">1</definedName>
    <definedName name="solver_nwt" localSheetId="9" hidden="1">1</definedName>
    <definedName name="solver_nwt" localSheetId="10" hidden="1">1</definedName>
    <definedName name="solver_nwt" localSheetId="6" hidden="1">1</definedName>
    <definedName name="solver_nwt" localSheetId="8" hidden="1">1</definedName>
    <definedName name="solver_nwt" localSheetId="17" hidden="1">1</definedName>
    <definedName name="solver_nwt" localSheetId="16" hidden="1">1</definedName>
    <definedName name="solver_nwt" localSheetId="30" hidden="1">1</definedName>
    <definedName name="solver_nwt" localSheetId="28" hidden="1">1</definedName>
    <definedName name="solver_nwt" localSheetId="27" hidden="1">1</definedName>
    <definedName name="solver_nwt" localSheetId="26" hidden="1">1</definedName>
    <definedName name="solver_nwt" localSheetId="21" hidden="1">1</definedName>
    <definedName name="solver_nwt" localSheetId="19" hidden="1">1</definedName>
    <definedName name="solver_nwt" localSheetId="14" hidden="1">1</definedName>
    <definedName name="solver_opt" localSheetId="23" hidden="1">'As ART Posters'!$B$8</definedName>
    <definedName name="solver_opt" localSheetId="11" hidden="1">'Assesment Feed Mix'!$B$6</definedName>
    <definedName name="solver_opt" localSheetId="20" hidden="1">'Assignment Problem Assesment'!$C$35</definedName>
    <definedName name="solver_opt" localSheetId="24" hidden="1">'Binary Investment'!$B$15</definedName>
    <definedName name="solver_opt" localSheetId="22" hidden="1">'Bolsa de Cafe'!$B$9</definedName>
    <definedName name="solver_opt" localSheetId="12" hidden="1">'Bus Company'!$B$8</definedName>
    <definedName name="solver_opt" localSheetId="18" hidden="1">'College Professors'!$B$22</definedName>
    <definedName name="solver_opt" localSheetId="15" hidden="1">'Construction Project'!$C$19</definedName>
    <definedName name="solver_opt" localSheetId="25" hidden="1">'Horizon Wireless'!$B$8</definedName>
    <definedName name="solver_opt" localSheetId="29" hidden="1">'Int Ass'!$B$9</definedName>
    <definedName name="solver_opt" localSheetId="13" hidden="1">'Linear Programming Assesment'!$B$9</definedName>
    <definedName name="solver_opt" localSheetId="7" hidden="1">'LP Assignment'!$B$6</definedName>
    <definedName name="solver_opt" localSheetId="9" hidden="1">'LP Furniture Comp'!$B$6</definedName>
    <definedName name="solver_opt" localSheetId="10" hidden="1">'LP Investment Allocation'!$B$6</definedName>
    <definedName name="solver_opt" localSheetId="6" hidden="1">'LP Marketing'!$B$5</definedName>
    <definedName name="solver_opt" localSheetId="8" hidden="1">'LP Template and Var'!$D$10</definedName>
    <definedName name="solver_opt" localSheetId="17" hidden="1">'MLB Umpire Assignment'!$B$23</definedName>
    <definedName name="solver_opt" localSheetId="0" hidden="1">'NCAA T-Shirt'!$A$1</definedName>
    <definedName name="solver_opt" localSheetId="16" hidden="1">'New Hire Assignment'!$B$23</definedName>
    <definedName name="solver_opt" localSheetId="30" hidden="1">'NLin As2'!$B$11</definedName>
    <definedName name="solver_opt" localSheetId="28" hidden="1">'NonLinear Assesment1'!$C$2</definedName>
    <definedName name="solver_opt" localSheetId="27" hidden="1">'Non-Linear Example 2'!$B$5</definedName>
    <definedName name="solver_opt" localSheetId="26" hidden="1">'Non-Linear Template'!$B$13</definedName>
    <definedName name="solver_opt" localSheetId="21" hidden="1">'Princess Bride'!$B$8</definedName>
    <definedName name="solver_opt" localSheetId="19" hidden="1">'TranspAnd Assignment Problems'!$B$22</definedName>
    <definedName name="solver_opt" localSheetId="14" hidden="1">'Transportation prob template'!$B$20</definedName>
    <definedName name="solver_pre" localSheetId="23" hidden="1">0.000001</definedName>
    <definedName name="solver_pre" localSheetId="11" hidden="1">0.000001</definedName>
    <definedName name="solver_pre" localSheetId="20" hidden="1">0.000001</definedName>
    <definedName name="solver_pre" localSheetId="24" hidden="1">0.000001</definedName>
    <definedName name="solver_pre" localSheetId="22" hidden="1">0.000001</definedName>
    <definedName name="solver_pre" localSheetId="12" hidden="1">0.000001</definedName>
    <definedName name="solver_pre" localSheetId="18" hidden="1">0.000001</definedName>
    <definedName name="solver_pre" localSheetId="15" hidden="1">0.000001</definedName>
    <definedName name="solver_pre" localSheetId="25" hidden="1">0.000001</definedName>
    <definedName name="solver_pre" localSheetId="29" hidden="1">0.000001</definedName>
    <definedName name="solver_pre" localSheetId="13" hidden="1">0.000001</definedName>
    <definedName name="solver_pre" localSheetId="7" hidden="1">0.000001</definedName>
    <definedName name="solver_pre" localSheetId="9" hidden="1">0.000001</definedName>
    <definedName name="solver_pre" localSheetId="10" hidden="1">0.000001</definedName>
    <definedName name="solver_pre" localSheetId="6" hidden="1">0.000001</definedName>
    <definedName name="solver_pre" localSheetId="8" hidden="1">0.000001</definedName>
    <definedName name="solver_pre" localSheetId="17" hidden="1">0.000001</definedName>
    <definedName name="solver_pre" localSheetId="16" hidden="1">0.000001</definedName>
    <definedName name="solver_pre" localSheetId="30" hidden="1">0.000001</definedName>
    <definedName name="solver_pre" localSheetId="28" hidden="1">0.000001</definedName>
    <definedName name="solver_pre" localSheetId="27" hidden="1">0.000001</definedName>
    <definedName name="solver_pre" localSheetId="26" hidden="1">0.000001</definedName>
    <definedName name="solver_pre" localSheetId="21" hidden="1">0.000001</definedName>
    <definedName name="solver_pre" localSheetId="19" hidden="1">0.000001</definedName>
    <definedName name="solver_pre" localSheetId="14" hidden="1">0.000001</definedName>
    <definedName name="solver_rbv" localSheetId="23" hidden="1">1</definedName>
    <definedName name="solver_rbv" localSheetId="11" hidden="1">1</definedName>
    <definedName name="solver_rbv" localSheetId="20" hidden="1">1</definedName>
    <definedName name="solver_rbv" localSheetId="24" hidden="1">1</definedName>
    <definedName name="solver_rbv" localSheetId="22" hidden="1">1</definedName>
    <definedName name="solver_rbv" localSheetId="12" hidden="1">1</definedName>
    <definedName name="solver_rbv" localSheetId="18" hidden="1">1</definedName>
    <definedName name="solver_rbv" localSheetId="15" hidden="1">1</definedName>
    <definedName name="solver_rbv" localSheetId="25" hidden="1">1</definedName>
    <definedName name="solver_rbv" localSheetId="29" hidden="1">1</definedName>
    <definedName name="solver_rbv" localSheetId="13" hidden="1">1</definedName>
    <definedName name="solver_rbv" localSheetId="7" hidden="1">1</definedName>
    <definedName name="solver_rbv" localSheetId="9" hidden="1">1</definedName>
    <definedName name="solver_rbv" localSheetId="10" hidden="1">1</definedName>
    <definedName name="solver_rbv" localSheetId="6" hidden="1">2</definedName>
    <definedName name="solver_rbv" localSheetId="8" hidden="1">1</definedName>
    <definedName name="solver_rbv" localSheetId="17" hidden="1">1</definedName>
    <definedName name="solver_rbv" localSheetId="16" hidden="1">1</definedName>
    <definedName name="solver_rbv" localSheetId="30" hidden="1">1</definedName>
    <definedName name="solver_rbv" localSheetId="28" hidden="1">1</definedName>
    <definedName name="solver_rbv" localSheetId="27" hidden="1">1</definedName>
    <definedName name="solver_rbv" localSheetId="26" hidden="1">1</definedName>
    <definedName name="solver_rbv" localSheetId="21" hidden="1">1</definedName>
    <definedName name="solver_rbv" localSheetId="19" hidden="1">1</definedName>
    <definedName name="solver_rbv" localSheetId="14" hidden="1">1</definedName>
    <definedName name="solver_rel1" localSheetId="23" hidden="1">4</definedName>
    <definedName name="solver_rel1" localSheetId="11" hidden="1">1</definedName>
    <definedName name="solver_rel1" localSheetId="20" hidden="1">2</definedName>
    <definedName name="solver_rel1" localSheetId="24" hidden="1">5</definedName>
    <definedName name="solver_rel1" localSheetId="22" hidden="1">4</definedName>
    <definedName name="solver_rel1" localSheetId="12" hidden="1">1</definedName>
    <definedName name="solver_rel1" localSheetId="18" hidden="1">2</definedName>
    <definedName name="solver_rel1" localSheetId="15" hidden="1">3</definedName>
    <definedName name="solver_rel1" localSheetId="25" hidden="1">5</definedName>
    <definedName name="solver_rel1" localSheetId="29" hidden="1">4</definedName>
    <definedName name="solver_rel1" localSheetId="13" hidden="1">1</definedName>
    <definedName name="solver_rel1" localSheetId="7" hidden="1">1</definedName>
    <definedName name="solver_rel1" localSheetId="9" hidden="1">1</definedName>
    <definedName name="solver_rel1" localSheetId="10" hidden="1">1</definedName>
    <definedName name="solver_rel1" localSheetId="6" hidden="1">1</definedName>
    <definedName name="solver_rel1" localSheetId="8" hidden="1">1</definedName>
    <definedName name="solver_rel1" localSheetId="17" hidden="1">1</definedName>
    <definedName name="solver_rel1" localSheetId="16" hidden="1">1</definedName>
    <definedName name="solver_rel1" localSheetId="27" hidden="1">4</definedName>
    <definedName name="solver_rel1" localSheetId="26" hidden="1">2</definedName>
    <definedName name="solver_rel1" localSheetId="21" hidden="1">4</definedName>
    <definedName name="solver_rel1" localSheetId="19" hidden="1">3</definedName>
    <definedName name="solver_rel1" localSheetId="14" hidden="1">1</definedName>
    <definedName name="solver_rel2" localSheetId="23" hidden="1">1</definedName>
    <definedName name="solver_rel2" localSheetId="11" hidden="1">3</definedName>
    <definedName name="solver_rel2" localSheetId="20" hidden="1">1</definedName>
    <definedName name="solver_rel2" localSheetId="24" hidden="1">3</definedName>
    <definedName name="solver_rel2" localSheetId="22" hidden="1">1</definedName>
    <definedName name="solver_rel2" localSheetId="12" hidden="1">2</definedName>
    <definedName name="solver_rel2" localSheetId="18" hidden="1">2</definedName>
    <definedName name="solver_rel2" localSheetId="15" hidden="1">1</definedName>
    <definedName name="solver_rel2" localSheetId="25" hidden="1">3</definedName>
    <definedName name="solver_rel2" localSheetId="29" hidden="1">1</definedName>
    <definedName name="solver_rel2" localSheetId="10" hidden="1">3</definedName>
    <definedName name="solver_rel2" localSheetId="6" hidden="1">3</definedName>
    <definedName name="solver_rel2" localSheetId="17" hidden="1">2</definedName>
    <definedName name="solver_rel2" localSheetId="16" hidden="1">2</definedName>
    <definedName name="solver_rel2" localSheetId="27" hidden="1">1</definedName>
    <definedName name="solver_rel2" localSheetId="26" hidden="1">3</definedName>
    <definedName name="solver_rel2" localSheetId="21" hidden="1">1</definedName>
    <definedName name="solver_rel2" localSheetId="19" hidden="1">1</definedName>
    <definedName name="solver_rel2" localSheetId="14" hidden="1">3</definedName>
    <definedName name="solver_rel3" localSheetId="24" hidden="1">1</definedName>
    <definedName name="solver_rel3" localSheetId="10" hidden="1">1</definedName>
    <definedName name="solver_rel3" localSheetId="6" hidden="1">3</definedName>
    <definedName name="solver_rel3" localSheetId="17" hidden="1">2</definedName>
    <definedName name="solver_rel3" localSheetId="21" hidden="1">3</definedName>
    <definedName name="solver_rel4" localSheetId="24" hidden="1">2</definedName>
    <definedName name="solver_rel5" localSheetId="24" hidden="1">1</definedName>
    <definedName name="solver_rhs1" localSheetId="23" hidden="1">"integer"</definedName>
    <definedName name="solver_rhs1" localSheetId="11" hidden="1">'Assesment Feed Mix'!$G$11</definedName>
    <definedName name="solver_rhs1" localSheetId="20" hidden="1">'Assignment Problem Assesment'!$C$32:$E$32</definedName>
    <definedName name="solver_rhs1" localSheetId="24" hidden="1">"binary"</definedName>
    <definedName name="solver_rhs1" localSheetId="22" hidden="1">"integer"</definedName>
    <definedName name="solver_rhs1" localSheetId="12" hidden="1">'Bus Company'!$S$12:$S$14</definedName>
    <definedName name="solver_rhs1" localSheetId="18" hidden="1">'College Professors'!$B$19:$E$19</definedName>
    <definedName name="solver_rhs1" localSheetId="15" hidden="1">'Construction Project'!$C$9:$E$9</definedName>
    <definedName name="solver_rhs1" localSheetId="25" hidden="1">"binary"</definedName>
    <definedName name="solver_rhs1" localSheetId="29" hidden="1">"integer"</definedName>
    <definedName name="solver_rhs1" localSheetId="13" hidden="1">'Linear Programming Assesment'!$F$13:$F$14</definedName>
    <definedName name="solver_rhs1" localSheetId="7" hidden="1">'LP Assignment'!$F$9:$F$10</definedName>
    <definedName name="solver_rhs1" localSheetId="9" hidden="1">'LP Furniture Comp'!$F$13:$F$14</definedName>
    <definedName name="solver_rhs1" localSheetId="10" hidden="1">'LP Investment Allocation'!$I$11</definedName>
    <definedName name="solver_rhs1" localSheetId="6" hidden="1">'LP Marketing'!$F$12</definedName>
    <definedName name="solver_rhs1" localSheetId="8" hidden="1">'LP Template and Var'!$F$14:$F$17</definedName>
    <definedName name="solver_rhs1" localSheetId="17" hidden="1">'MLB Umpire Assignment'!$B$20:$E$20</definedName>
    <definedName name="solver_rhs1" localSheetId="16" hidden="1">'New Hire Assignment'!$B$20:$E$20</definedName>
    <definedName name="solver_rhs1" localSheetId="27" hidden="1">"integer"</definedName>
    <definedName name="solver_rhs1" localSheetId="26" hidden="1">'Non-Linear Template'!$F$16</definedName>
    <definedName name="solver_rhs1" localSheetId="21" hidden="1">"integer"</definedName>
    <definedName name="solver_rhs1" localSheetId="19" hidden="1">'TranspAnd Assignment Problems'!$B$12:$D$12</definedName>
    <definedName name="solver_rhs1" localSheetId="14" hidden="1">'Transportation prob template'!$P$18:$P$20</definedName>
    <definedName name="solver_rhs2" localSheetId="23" hidden="1">'As ART Posters'!$F$12:$F$14</definedName>
    <definedName name="solver_rhs2" localSheetId="11" hidden="1">'Assesment Feed Mix'!$G$12:$G$16</definedName>
    <definedName name="solver_rhs2" localSheetId="20" hidden="1">'Assignment Problem Assesment'!$H$27:$H$29</definedName>
    <definedName name="solver_rhs2" localSheetId="24" hidden="1">'Binary Investment'!$K$19</definedName>
    <definedName name="solver_rhs2" localSheetId="22" hidden="1">'Bolsa de Cafe'!$F$12:$F$14</definedName>
    <definedName name="solver_rhs2" localSheetId="12" hidden="1">'Bus Company'!$S$15:$S$19</definedName>
    <definedName name="solver_rhs2" localSheetId="18" hidden="1">'College Professors'!$H$13:$H$16</definedName>
    <definedName name="solver_rhs2" localSheetId="15" hidden="1">'Construction Project'!$F$6:$F$8</definedName>
    <definedName name="solver_rhs2" localSheetId="25" hidden="1">'Horizon Wireless'!$J$12:$J$19</definedName>
    <definedName name="solver_rhs2" localSheetId="29" hidden="1">'Int Ass'!$F$13:$F$14</definedName>
    <definedName name="solver_rhs2" localSheetId="10" hidden="1">'LP Investment Allocation'!$I$12:$I$13</definedName>
    <definedName name="solver_rhs2" localSheetId="6" hidden="1">'LP Marketing'!$F$13:$F$14</definedName>
    <definedName name="solver_rhs2" localSheetId="17" hidden="1">0</definedName>
    <definedName name="solver_rhs2" localSheetId="16" hidden="1">'New Hire Assignment'!$H$15:$H$17</definedName>
    <definedName name="solver_rhs2" localSheetId="27" hidden="1">'Non-Linear Example 2'!$F$13</definedName>
    <definedName name="solver_rhs2" localSheetId="26" hidden="1">'Non-Linear Template'!$F$17</definedName>
    <definedName name="solver_rhs2" localSheetId="21" hidden="1">'Princess Bride'!$F$13:$F$14</definedName>
    <definedName name="solver_rhs2" localSheetId="19" hidden="1">'TranspAnd Assignment Problems'!$E$10:$E$11</definedName>
    <definedName name="solver_rhs2" localSheetId="14" hidden="1">'Transportation prob template'!$P$24:$P$26</definedName>
    <definedName name="solver_rhs3" localSheetId="24" hidden="1">'Binary Investment'!$K$20</definedName>
    <definedName name="solver_rhs3" localSheetId="10" hidden="1">'LP Investment Allocation'!$I$14</definedName>
    <definedName name="solver_rhs3" localSheetId="6" hidden="1">'LP Marketing'!$F$15</definedName>
    <definedName name="solver_rhs3" localSheetId="17" hidden="1">'MLB Umpire Assignment'!$H$14:$H$17</definedName>
    <definedName name="solver_rhs3" localSheetId="21" hidden="1">'Princess Bride'!$F$15</definedName>
    <definedName name="solver_rhs4" localSheetId="24" hidden="1">'Binary Investment'!$K$21</definedName>
    <definedName name="solver_rhs5" localSheetId="24" hidden="1">'Binary Investment'!$K$22</definedName>
    <definedName name="solver_rlx" localSheetId="23" hidden="1">2</definedName>
    <definedName name="solver_rlx" localSheetId="11" hidden="1">2</definedName>
    <definedName name="solver_rlx" localSheetId="20" hidden="1">2</definedName>
    <definedName name="solver_rlx" localSheetId="24" hidden="1">2</definedName>
    <definedName name="solver_rlx" localSheetId="22" hidden="1">2</definedName>
    <definedName name="solver_rlx" localSheetId="12" hidden="1">2</definedName>
    <definedName name="solver_rlx" localSheetId="18" hidden="1">2</definedName>
    <definedName name="solver_rlx" localSheetId="15" hidden="1">2</definedName>
    <definedName name="solver_rlx" localSheetId="25" hidden="1">2</definedName>
    <definedName name="solver_rlx" localSheetId="29" hidden="1">2</definedName>
    <definedName name="solver_rlx" localSheetId="13" hidden="1">2</definedName>
    <definedName name="solver_rlx" localSheetId="7" hidden="1">2</definedName>
    <definedName name="solver_rlx" localSheetId="9" hidden="1">2</definedName>
    <definedName name="solver_rlx" localSheetId="10" hidden="1">2</definedName>
    <definedName name="solver_rlx" localSheetId="6" hidden="1">2</definedName>
    <definedName name="solver_rlx" localSheetId="8" hidden="1">2</definedName>
    <definedName name="solver_rlx" localSheetId="17" hidden="1">2</definedName>
    <definedName name="solver_rlx" localSheetId="16" hidden="1">2</definedName>
    <definedName name="solver_rlx" localSheetId="30" hidden="1">2</definedName>
    <definedName name="solver_rlx" localSheetId="28" hidden="1">2</definedName>
    <definedName name="solver_rlx" localSheetId="27" hidden="1">2</definedName>
    <definedName name="solver_rlx" localSheetId="26" hidden="1">2</definedName>
    <definedName name="solver_rlx" localSheetId="21" hidden="1">2</definedName>
    <definedName name="solver_rlx" localSheetId="19" hidden="1">2</definedName>
    <definedName name="solver_rlx" localSheetId="14" hidden="1">2</definedName>
    <definedName name="solver_rsd" localSheetId="23" hidden="1">0</definedName>
    <definedName name="solver_rsd" localSheetId="11" hidden="1">0</definedName>
    <definedName name="solver_rsd" localSheetId="20" hidden="1">0</definedName>
    <definedName name="solver_rsd" localSheetId="24" hidden="1">0</definedName>
    <definedName name="solver_rsd" localSheetId="22" hidden="1">0</definedName>
    <definedName name="solver_rsd" localSheetId="12" hidden="1">0</definedName>
    <definedName name="solver_rsd" localSheetId="18" hidden="1">0</definedName>
    <definedName name="solver_rsd" localSheetId="15" hidden="1">0</definedName>
    <definedName name="solver_rsd" localSheetId="25" hidden="1">0</definedName>
    <definedName name="solver_rsd" localSheetId="29" hidden="1">0</definedName>
    <definedName name="solver_rsd" localSheetId="13" hidden="1">0</definedName>
    <definedName name="solver_rsd" localSheetId="7" hidden="1">0</definedName>
    <definedName name="solver_rsd" localSheetId="9" hidden="1">0</definedName>
    <definedName name="solver_rsd" localSheetId="10" hidden="1">0</definedName>
    <definedName name="solver_rsd" localSheetId="6" hidden="1">0</definedName>
    <definedName name="solver_rsd" localSheetId="8" hidden="1">0</definedName>
    <definedName name="solver_rsd" localSheetId="17" hidden="1">0</definedName>
    <definedName name="solver_rsd" localSheetId="16" hidden="1">0</definedName>
    <definedName name="solver_rsd" localSheetId="30" hidden="1">0</definedName>
    <definedName name="solver_rsd" localSheetId="28" hidden="1">0</definedName>
    <definedName name="solver_rsd" localSheetId="27" hidden="1">0</definedName>
    <definedName name="solver_rsd" localSheetId="26" hidden="1">0</definedName>
    <definedName name="solver_rsd" localSheetId="21" hidden="1">0</definedName>
    <definedName name="solver_rsd" localSheetId="19" hidden="1">0</definedName>
    <definedName name="solver_rsd" localSheetId="14" hidden="1">0</definedName>
    <definedName name="solver_scl" localSheetId="23" hidden="1">1</definedName>
    <definedName name="solver_scl" localSheetId="11" hidden="1">1</definedName>
    <definedName name="solver_scl" localSheetId="20" hidden="1">1</definedName>
    <definedName name="solver_scl" localSheetId="24" hidden="1">1</definedName>
    <definedName name="solver_scl" localSheetId="22" hidden="1">1</definedName>
    <definedName name="solver_scl" localSheetId="12" hidden="1">1</definedName>
    <definedName name="solver_scl" localSheetId="18" hidden="1">1</definedName>
    <definedName name="solver_scl" localSheetId="15" hidden="1">1</definedName>
    <definedName name="solver_scl" localSheetId="25" hidden="1">1</definedName>
    <definedName name="solver_scl" localSheetId="29" hidden="1">1</definedName>
    <definedName name="solver_scl" localSheetId="13" hidden="1">1</definedName>
    <definedName name="solver_scl" localSheetId="7" hidden="1">1</definedName>
    <definedName name="solver_scl" localSheetId="9" hidden="1">1</definedName>
    <definedName name="solver_scl" localSheetId="10" hidden="1">1</definedName>
    <definedName name="solver_scl" localSheetId="6" hidden="1">2</definedName>
    <definedName name="solver_scl" localSheetId="8" hidden="1">1</definedName>
    <definedName name="solver_scl" localSheetId="17" hidden="1">1</definedName>
    <definedName name="solver_scl" localSheetId="16" hidden="1">1</definedName>
    <definedName name="solver_scl" localSheetId="30" hidden="1">1</definedName>
    <definedName name="solver_scl" localSheetId="28" hidden="1">1</definedName>
    <definedName name="solver_scl" localSheetId="27" hidden="1">1</definedName>
    <definedName name="solver_scl" localSheetId="26" hidden="1">1</definedName>
    <definedName name="solver_scl" localSheetId="21" hidden="1">1</definedName>
    <definedName name="solver_scl" localSheetId="19" hidden="1">1</definedName>
    <definedName name="solver_scl" localSheetId="14" hidden="1">1</definedName>
    <definedName name="solver_sho" localSheetId="23" hidden="1">2</definedName>
    <definedName name="solver_sho" localSheetId="11" hidden="1">2</definedName>
    <definedName name="solver_sho" localSheetId="20" hidden="1">2</definedName>
    <definedName name="solver_sho" localSheetId="24" hidden="1">2</definedName>
    <definedName name="solver_sho" localSheetId="22" hidden="1">2</definedName>
    <definedName name="solver_sho" localSheetId="12" hidden="1">2</definedName>
    <definedName name="solver_sho" localSheetId="18" hidden="1">2</definedName>
    <definedName name="solver_sho" localSheetId="15" hidden="1">2</definedName>
    <definedName name="solver_sho" localSheetId="25" hidden="1">2</definedName>
    <definedName name="solver_sho" localSheetId="29" hidden="1">2</definedName>
    <definedName name="solver_sho" localSheetId="13" hidden="1">2</definedName>
    <definedName name="solver_sho" localSheetId="7" hidden="1">2</definedName>
    <definedName name="solver_sho" localSheetId="9" hidden="1">2</definedName>
    <definedName name="solver_sho" localSheetId="10" hidden="1">2</definedName>
    <definedName name="solver_sho" localSheetId="6" hidden="1">2</definedName>
    <definedName name="solver_sho" localSheetId="8" hidden="1">2</definedName>
    <definedName name="solver_sho" localSheetId="17" hidden="1">2</definedName>
    <definedName name="solver_sho" localSheetId="16" hidden="1">2</definedName>
    <definedName name="solver_sho" localSheetId="30" hidden="1">2</definedName>
    <definedName name="solver_sho" localSheetId="28" hidden="1">2</definedName>
    <definedName name="solver_sho" localSheetId="27" hidden="1">2</definedName>
    <definedName name="solver_sho" localSheetId="26" hidden="1">2</definedName>
    <definedName name="solver_sho" localSheetId="21" hidden="1">2</definedName>
    <definedName name="solver_sho" localSheetId="19" hidden="1">2</definedName>
    <definedName name="solver_sho" localSheetId="14" hidden="1">2</definedName>
    <definedName name="solver_ssz" localSheetId="23" hidden="1">100</definedName>
    <definedName name="solver_ssz" localSheetId="11" hidden="1">100</definedName>
    <definedName name="solver_ssz" localSheetId="20" hidden="1">100</definedName>
    <definedName name="solver_ssz" localSheetId="24" hidden="1">100</definedName>
    <definedName name="solver_ssz" localSheetId="22" hidden="1">100</definedName>
    <definedName name="solver_ssz" localSheetId="12" hidden="1">100</definedName>
    <definedName name="solver_ssz" localSheetId="18" hidden="1">100</definedName>
    <definedName name="solver_ssz" localSheetId="15" hidden="1">100</definedName>
    <definedName name="solver_ssz" localSheetId="25" hidden="1">100</definedName>
    <definedName name="solver_ssz" localSheetId="29" hidden="1">100</definedName>
    <definedName name="solver_ssz" localSheetId="13" hidden="1">100</definedName>
    <definedName name="solver_ssz" localSheetId="7" hidden="1">100</definedName>
    <definedName name="solver_ssz" localSheetId="9" hidden="1">100</definedName>
    <definedName name="solver_ssz" localSheetId="10" hidden="1">100</definedName>
    <definedName name="solver_ssz" localSheetId="6" hidden="1">100</definedName>
    <definedName name="solver_ssz" localSheetId="8" hidden="1">100</definedName>
    <definedName name="solver_ssz" localSheetId="17" hidden="1">100</definedName>
    <definedName name="solver_ssz" localSheetId="16" hidden="1">100</definedName>
    <definedName name="solver_ssz" localSheetId="30" hidden="1">100</definedName>
    <definedName name="solver_ssz" localSheetId="28" hidden="1">100</definedName>
    <definedName name="solver_ssz" localSheetId="27" hidden="1">100</definedName>
    <definedName name="solver_ssz" localSheetId="26" hidden="1">100</definedName>
    <definedName name="solver_ssz" localSheetId="21" hidden="1">100</definedName>
    <definedName name="solver_ssz" localSheetId="19" hidden="1">100</definedName>
    <definedName name="solver_ssz" localSheetId="14" hidden="1">100</definedName>
    <definedName name="solver_tim" localSheetId="23" hidden="1">2147483647</definedName>
    <definedName name="solver_tim" localSheetId="11" hidden="1">2147483647</definedName>
    <definedName name="solver_tim" localSheetId="20" hidden="1">2147483647</definedName>
    <definedName name="solver_tim" localSheetId="24" hidden="1">2147483647</definedName>
    <definedName name="solver_tim" localSheetId="22" hidden="1">2147483647</definedName>
    <definedName name="solver_tim" localSheetId="12" hidden="1">2147483647</definedName>
    <definedName name="solver_tim" localSheetId="18" hidden="1">2147483647</definedName>
    <definedName name="solver_tim" localSheetId="15" hidden="1">2147483647</definedName>
    <definedName name="solver_tim" localSheetId="25" hidden="1">2147483647</definedName>
    <definedName name="solver_tim" localSheetId="29" hidden="1">2147483647</definedName>
    <definedName name="solver_tim" localSheetId="13" hidden="1">2147483647</definedName>
    <definedName name="solver_tim" localSheetId="7" hidden="1">2147483647</definedName>
    <definedName name="solver_tim" localSheetId="9" hidden="1">2147483647</definedName>
    <definedName name="solver_tim" localSheetId="10" hidden="1">2147483647</definedName>
    <definedName name="solver_tim" localSheetId="6" hidden="1">2147483647</definedName>
    <definedName name="solver_tim" localSheetId="8" hidden="1">2147483647</definedName>
    <definedName name="solver_tim" localSheetId="17" hidden="1">2147483647</definedName>
    <definedName name="solver_tim" localSheetId="16" hidden="1">2147483647</definedName>
    <definedName name="solver_tim" localSheetId="30" hidden="1">2147483647</definedName>
    <definedName name="solver_tim" localSheetId="28" hidden="1">2147483647</definedName>
    <definedName name="solver_tim" localSheetId="27" hidden="1">2147483647</definedName>
    <definedName name="solver_tim" localSheetId="26" hidden="1">2147483647</definedName>
    <definedName name="solver_tim" localSheetId="21" hidden="1">2147483647</definedName>
    <definedName name="solver_tim" localSheetId="19" hidden="1">2147483647</definedName>
    <definedName name="solver_tim" localSheetId="14" hidden="1">2147483647</definedName>
    <definedName name="solver_tol" localSheetId="23" hidden="1">0.01</definedName>
    <definedName name="solver_tol" localSheetId="11" hidden="1">0.01</definedName>
    <definedName name="solver_tol" localSheetId="20" hidden="1">0.01</definedName>
    <definedName name="solver_tol" localSheetId="24" hidden="1">0.01</definedName>
    <definedName name="solver_tol" localSheetId="22" hidden="1">0.01</definedName>
    <definedName name="solver_tol" localSheetId="12" hidden="1">0.01</definedName>
    <definedName name="solver_tol" localSheetId="18" hidden="1">0.01</definedName>
    <definedName name="solver_tol" localSheetId="15" hidden="1">0.01</definedName>
    <definedName name="solver_tol" localSheetId="25" hidden="1">0.01</definedName>
    <definedName name="solver_tol" localSheetId="29" hidden="1">0.01</definedName>
    <definedName name="solver_tol" localSheetId="13" hidden="1">0.01</definedName>
    <definedName name="solver_tol" localSheetId="7" hidden="1">0.01</definedName>
    <definedName name="solver_tol" localSheetId="9" hidden="1">0.01</definedName>
    <definedName name="solver_tol" localSheetId="10" hidden="1">0.01</definedName>
    <definedName name="solver_tol" localSheetId="6" hidden="1">0.01</definedName>
    <definedName name="solver_tol" localSheetId="8" hidden="1">0.01</definedName>
    <definedName name="solver_tol" localSheetId="17" hidden="1">0.01</definedName>
    <definedName name="solver_tol" localSheetId="16" hidden="1">0.01</definedName>
    <definedName name="solver_tol" localSheetId="30" hidden="1">0.01</definedName>
    <definedName name="solver_tol" localSheetId="28" hidden="1">0.01</definedName>
    <definedName name="solver_tol" localSheetId="27" hidden="1">0.01</definedName>
    <definedName name="solver_tol" localSheetId="26" hidden="1">0.01</definedName>
    <definedName name="solver_tol" localSheetId="21" hidden="1">0.01</definedName>
    <definedName name="solver_tol" localSheetId="19" hidden="1">0.01</definedName>
    <definedName name="solver_tol" localSheetId="14" hidden="1">0.01</definedName>
    <definedName name="solver_typ" localSheetId="23" hidden="1">1</definedName>
    <definedName name="solver_typ" localSheetId="11" hidden="1">2</definedName>
    <definedName name="solver_typ" localSheetId="20" hidden="1">1</definedName>
    <definedName name="solver_typ" localSheetId="24" hidden="1">1</definedName>
    <definedName name="solver_typ" localSheetId="22" hidden="1">1</definedName>
    <definedName name="solver_typ" localSheetId="12" hidden="1">2</definedName>
    <definedName name="solver_typ" localSheetId="18" hidden="1">1</definedName>
    <definedName name="solver_typ" localSheetId="15" hidden="1">2</definedName>
    <definedName name="solver_typ" localSheetId="25" hidden="1">2</definedName>
    <definedName name="solver_typ" localSheetId="29" hidden="1">1</definedName>
    <definedName name="solver_typ" localSheetId="13" hidden="1">1</definedName>
    <definedName name="solver_typ" localSheetId="7" hidden="1">1</definedName>
    <definedName name="solver_typ" localSheetId="9" hidden="1">1</definedName>
    <definedName name="solver_typ" localSheetId="10" hidden="1">1</definedName>
    <definedName name="solver_typ" localSheetId="6" hidden="1">1</definedName>
    <definedName name="solver_typ" localSheetId="8" hidden="1">1</definedName>
    <definedName name="solver_typ" localSheetId="17" hidden="1">2</definedName>
    <definedName name="solver_typ" localSheetId="0" hidden="1">1</definedName>
    <definedName name="solver_typ" localSheetId="16" hidden="1">2</definedName>
    <definedName name="solver_typ" localSheetId="30" hidden="1">1</definedName>
    <definedName name="solver_typ" localSheetId="28" hidden="1">1</definedName>
    <definedName name="solver_typ" localSheetId="27" hidden="1">1</definedName>
    <definedName name="solver_typ" localSheetId="26" hidden="1">2</definedName>
    <definedName name="solver_typ" localSheetId="21" hidden="1">1</definedName>
    <definedName name="solver_typ" localSheetId="19" hidden="1">2</definedName>
    <definedName name="solver_typ" localSheetId="14" hidden="1">2</definedName>
    <definedName name="solver_val" localSheetId="23" hidden="1">0</definedName>
    <definedName name="solver_val" localSheetId="11" hidden="1">0</definedName>
    <definedName name="solver_val" localSheetId="20" hidden="1">0</definedName>
    <definedName name="solver_val" localSheetId="24" hidden="1">0</definedName>
    <definedName name="solver_val" localSheetId="22" hidden="1">0</definedName>
    <definedName name="solver_val" localSheetId="12" hidden="1">0</definedName>
    <definedName name="solver_val" localSheetId="18" hidden="1">0</definedName>
    <definedName name="solver_val" localSheetId="15" hidden="1">0</definedName>
    <definedName name="solver_val" localSheetId="25" hidden="1">0</definedName>
    <definedName name="solver_val" localSheetId="29" hidden="1">0</definedName>
    <definedName name="solver_val" localSheetId="13" hidden="1">0</definedName>
    <definedName name="solver_val" localSheetId="7" hidden="1">0</definedName>
    <definedName name="solver_val" localSheetId="9" hidden="1">0</definedName>
    <definedName name="solver_val" localSheetId="10" hidden="1">0</definedName>
    <definedName name="solver_val" localSheetId="6" hidden="1">0</definedName>
    <definedName name="solver_val" localSheetId="8" hidden="1">0</definedName>
    <definedName name="solver_val" localSheetId="17" hidden="1">0</definedName>
    <definedName name="solver_val" localSheetId="0" hidden="1">0</definedName>
    <definedName name="solver_val" localSheetId="16" hidden="1">0</definedName>
    <definedName name="solver_val" localSheetId="30" hidden="1">0</definedName>
    <definedName name="solver_val" localSheetId="28" hidden="1">0</definedName>
    <definedName name="solver_val" localSheetId="27" hidden="1">0</definedName>
    <definedName name="solver_val" localSheetId="26" hidden="1">0</definedName>
    <definedName name="solver_val" localSheetId="21" hidden="1">0</definedName>
    <definedName name="solver_val" localSheetId="19" hidden="1">0</definedName>
    <definedName name="solver_val" localSheetId="14" hidden="1">0</definedName>
    <definedName name="solver_ver" localSheetId="23" hidden="1">3</definedName>
    <definedName name="solver_ver" localSheetId="11" hidden="1">3</definedName>
    <definedName name="solver_ver" localSheetId="20" hidden="1">3</definedName>
    <definedName name="solver_ver" localSheetId="24" hidden="1">3</definedName>
    <definedName name="solver_ver" localSheetId="22" hidden="1">3</definedName>
    <definedName name="solver_ver" localSheetId="12" hidden="1">3</definedName>
    <definedName name="solver_ver" localSheetId="18" hidden="1">3</definedName>
    <definedName name="solver_ver" localSheetId="15" hidden="1">3</definedName>
    <definedName name="solver_ver" localSheetId="25" hidden="1">3</definedName>
    <definedName name="solver_ver" localSheetId="29" hidden="1">3</definedName>
    <definedName name="solver_ver" localSheetId="13" hidden="1">3</definedName>
    <definedName name="solver_ver" localSheetId="7" hidden="1">3</definedName>
    <definedName name="solver_ver" localSheetId="9" hidden="1">3</definedName>
    <definedName name="solver_ver" localSheetId="10" hidden="1">3</definedName>
    <definedName name="solver_ver" localSheetId="6" hidden="1">3</definedName>
    <definedName name="solver_ver" localSheetId="8" hidden="1">3</definedName>
    <definedName name="solver_ver" localSheetId="17" hidden="1">3</definedName>
    <definedName name="solver_ver" localSheetId="0" hidden="1">3</definedName>
    <definedName name="solver_ver" localSheetId="16" hidden="1">3</definedName>
    <definedName name="solver_ver" localSheetId="30" hidden="1">3</definedName>
    <definedName name="solver_ver" localSheetId="28" hidden="1">3</definedName>
    <definedName name="solver_ver" localSheetId="27" hidden="1">3</definedName>
    <definedName name="solver_ver" localSheetId="26" hidden="1">3</definedName>
    <definedName name="solver_ver" localSheetId="21" hidden="1">3</definedName>
    <definedName name="solver_ver" localSheetId="19" hidden="1">3</definedName>
    <definedName name="solver_ver" localSheetId="1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2" l="1"/>
  <c r="B11" i="32" s="1"/>
  <c r="D14" i="31"/>
  <c r="D13" i="31"/>
  <c r="B9" i="31"/>
  <c r="C2" i="30"/>
  <c r="B7" i="30"/>
  <c r="D13" i="29"/>
  <c r="E2" i="29"/>
  <c r="D2" i="29"/>
  <c r="D17" i="28"/>
  <c r="D16" i="28"/>
  <c r="D7" i="28"/>
  <c r="C7" i="28"/>
  <c r="B7" i="28"/>
  <c r="H13" i="27"/>
  <c r="H14" i="27"/>
  <c r="H15" i="27"/>
  <c r="H16" i="27"/>
  <c r="H17" i="27"/>
  <c r="H18" i="27"/>
  <c r="H19" i="27"/>
  <c r="H12" i="27"/>
  <c r="B8" i="27"/>
  <c r="I22" i="26"/>
  <c r="I21" i="26"/>
  <c r="I20" i="26"/>
  <c r="I19" i="26"/>
  <c r="B15" i="26"/>
  <c r="D13" i="25"/>
  <c r="D14" i="25"/>
  <c r="D12" i="25"/>
  <c r="B8" i="25"/>
  <c r="D13" i="24"/>
  <c r="D14" i="24"/>
  <c r="D12" i="24"/>
  <c r="B9" i="24"/>
  <c r="D15" i="23"/>
  <c r="D14" i="23"/>
  <c r="D13" i="23"/>
  <c r="B8" i="23"/>
  <c r="D30" i="22"/>
  <c r="E30" i="22"/>
  <c r="C30" i="22"/>
  <c r="F28" i="22"/>
  <c r="F29" i="22"/>
  <c r="F27" i="22"/>
  <c r="C35" i="22"/>
  <c r="E15" i="21"/>
  <c r="B22" i="21"/>
  <c r="C11" i="21"/>
  <c r="D11" i="21"/>
  <c r="B11" i="21"/>
  <c r="C10" i="21"/>
  <c r="D10" i="21"/>
  <c r="B10" i="21"/>
  <c r="C17" i="21"/>
  <c r="D17" i="21"/>
  <c r="B17" i="21"/>
  <c r="E16" i="21"/>
  <c r="C17" i="20"/>
  <c r="D17" i="20"/>
  <c r="E17" i="20"/>
  <c r="F14" i="20"/>
  <c r="F15" i="20"/>
  <c r="F16" i="20"/>
  <c r="F13" i="20"/>
  <c r="B17" i="20"/>
  <c r="B22" i="20"/>
  <c r="B23" i="19"/>
  <c r="F15" i="19"/>
  <c r="F16" i="19"/>
  <c r="F17" i="19"/>
  <c r="C18" i="19"/>
  <c r="D18" i="19"/>
  <c r="E18" i="19"/>
  <c r="B18" i="19"/>
  <c r="F14" i="19"/>
  <c r="B23" i="18"/>
  <c r="C18" i="18"/>
  <c r="D18" i="18"/>
  <c r="E18" i="18"/>
  <c r="B18" i="18"/>
  <c r="F16" i="18"/>
  <c r="F17" i="18"/>
  <c r="F15" i="18"/>
  <c r="C19" i="17"/>
  <c r="D16" i="17"/>
  <c r="E16" i="17"/>
  <c r="C16" i="17"/>
  <c r="F14" i="17"/>
  <c r="F15" i="17"/>
  <c r="F13" i="17"/>
  <c r="N29" i="16"/>
  <c r="N25" i="16"/>
  <c r="N26" i="16"/>
  <c r="N24" i="16"/>
  <c r="N19" i="16"/>
  <c r="N20" i="16"/>
  <c r="N18" i="16"/>
  <c r="B20" i="16"/>
  <c r="D16" i="16"/>
  <c r="E16" i="16"/>
  <c r="C16" i="16"/>
  <c r="F14" i="16"/>
  <c r="F15" i="16"/>
  <c r="F13" i="16"/>
  <c r="D14" i="15"/>
  <c r="D13" i="15"/>
  <c r="B9" i="15"/>
  <c r="Q16" i="13"/>
  <c r="Q17" i="13"/>
  <c r="Q18" i="13"/>
  <c r="Q19" i="13"/>
  <c r="Q15" i="13"/>
  <c r="Q13" i="13"/>
  <c r="Q14" i="13"/>
  <c r="Q12" i="13"/>
  <c r="B8" i="13"/>
  <c r="E12" i="12"/>
  <c r="E13" i="12"/>
  <c r="E14" i="12"/>
  <c r="E15" i="12"/>
  <c r="E16" i="12"/>
  <c r="E11" i="12"/>
  <c r="B6" i="12"/>
  <c r="G14" i="11"/>
  <c r="G13" i="11"/>
  <c r="I13" i="11"/>
  <c r="I12" i="11"/>
  <c r="G12" i="11"/>
  <c r="G11" i="11"/>
  <c r="B6" i="11"/>
  <c r="D14" i="10"/>
  <c r="D13" i="10"/>
  <c r="B6" i="10"/>
  <c r="D16" i="9"/>
  <c r="D17" i="9"/>
  <c r="D9" i="9"/>
  <c r="D8" i="9"/>
  <c r="D7" i="9"/>
  <c r="D5" i="9"/>
  <c r="D15" i="9"/>
  <c r="D14" i="9"/>
  <c r="D10" i="8"/>
  <c r="D9" i="8"/>
  <c r="B6" i="8"/>
  <c r="D15" i="7"/>
  <c r="D13" i="7"/>
  <c r="D14" i="7"/>
  <c r="B5" i="7"/>
  <c r="D12" i="7"/>
  <c r="G13" i="7"/>
  <c r="H13" i="23"/>
  <c r="E10" i="9"/>
  <c r="G15" i="7"/>
  <c r="E8" i="9"/>
  <c r="C6" i="11"/>
  <c r="I15" i="26"/>
  <c r="C9" i="24"/>
  <c r="C8" i="28"/>
  <c r="D8" i="28"/>
  <c r="E7" i="9"/>
  <c r="C8" i="13"/>
  <c r="G14" i="24"/>
  <c r="B8" i="28"/>
  <c r="G14" i="7"/>
  <c r="G14" i="9"/>
  <c r="G15" i="9"/>
  <c r="E9" i="9"/>
  <c r="G12" i="7"/>
  <c r="G13" i="24"/>
  <c r="G12" i="24"/>
  <c r="C8" i="23"/>
  <c r="B9" i="30" l="1"/>
  <c r="B5" i="29"/>
  <c r="B13" i="28"/>
  <c r="D10" i="9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G3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7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8" i="4"/>
  <c r="G2" i="4" s="1"/>
  <c r="F5" i="5"/>
  <c r="F6" i="5" s="1"/>
  <c r="J4" i="5"/>
  <c r="I4" i="5"/>
  <c r="H4" i="5"/>
  <c r="G4" i="5"/>
  <c r="F4" i="5"/>
  <c r="B36" i="3"/>
  <c r="B35" i="3"/>
  <c r="K6" i="3"/>
  <c r="K5" i="3"/>
  <c r="F5" i="3"/>
  <c r="F6" i="3" s="1"/>
  <c r="F4" i="3"/>
  <c r="B39" i="2"/>
  <c r="B40" i="2" s="1"/>
  <c r="H34" i="2"/>
  <c r="H23" i="2"/>
  <c r="H24" i="2"/>
  <c r="H25" i="2"/>
  <c r="H26" i="2"/>
  <c r="H27" i="2"/>
  <c r="H28" i="2"/>
  <c r="H29" i="2"/>
  <c r="H30" i="2"/>
  <c r="H31" i="2"/>
  <c r="H32" i="2"/>
  <c r="H33" i="2"/>
  <c r="H22" i="2"/>
  <c r="G34" i="2"/>
  <c r="G23" i="2"/>
  <c r="G24" i="2"/>
  <c r="G25" i="2"/>
  <c r="G26" i="2"/>
  <c r="G27" i="2"/>
  <c r="G28" i="2"/>
  <c r="G29" i="2"/>
  <c r="G30" i="2"/>
  <c r="G31" i="2"/>
  <c r="G32" i="2"/>
  <c r="G33" i="2"/>
  <c r="G22" i="2"/>
  <c r="F34" i="2"/>
  <c r="F23" i="2"/>
  <c r="F24" i="2"/>
  <c r="F25" i="2"/>
  <c r="F26" i="2"/>
  <c r="F27" i="2"/>
  <c r="F28" i="2"/>
  <c r="F29" i="2"/>
  <c r="F30" i="2"/>
  <c r="F31" i="2"/>
  <c r="F32" i="2"/>
  <c r="F33" i="2"/>
  <c r="F22" i="2"/>
  <c r="D23" i="2"/>
  <c r="D24" i="2"/>
  <c r="D25" i="2"/>
  <c r="D26" i="2"/>
  <c r="D27" i="2"/>
  <c r="D28" i="2"/>
  <c r="D29" i="2"/>
  <c r="D30" i="2"/>
  <c r="D31" i="2"/>
  <c r="D32" i="2"/>
  <c r="D33" i="2"/>
  <c r="D22" i="2"/>
  <c r="C23" i="2"/>
  <c r="C24" i="2"/>
  <c r="C25" i="2"/>
  <c r="C26" i="2"/>
  <c r="C27" i="2"/>
  <c r="C28" i="2"/>
  <c r="C29" i="2"/>
  <c r="C30" i="2"/>
  <c r="C31" i="2"/>
  <c r="C32" i="2"/>
  <c r="C33" i="2"/>
  <c r="C22" i="2"/>
  <c r="B23" i="2"/>
  <c r="B24" i="2"/>
  <c r="B25" i="2"/>
  <c r="B26" i="2"/>
  <c r="B27" i="2"/>
  <c r="B28" i="2"/>
  <c r="B29" i="2"/>
  <c r="B30" i="2"/>
  <c r="B31" i="2"/>
  <c r="B32" i="2"/>
  <c r="B33" i="2"/>
  <c r="B22" i="2"/>
  <c r="B14" i="1"/>
  <c r="B19" i="1"/>
  <c r="B15" i="1"/>
  <c r="B20" i="1"/>
  <c r="B21" i="1" s="1"/>
  <c r="G13" i="3"/>
  <c r="G19" i="3"/>
  <c r="G23" i="3"/>
  <c r="G22" i="3"/>
  <c r="G17" i="3"/>
  <c r="D39" i="2"/>
  <c r="G8" i="3"/>
  <c r="D44" i="2"/>
  <c r="C15" i="1"/>
  <c r="G4" i="3"/>
  <c r="G21" i="3"/>
  <c r="G16" i="3"/>
  <c r="G7" i="3"/>
  <c r="G20" i="3"/>
  <c r="D42" i="2"/>
  <c r="C11" i="3"/>
  <c r="G11" i="3"/>
  <c r="G10" i="3"/>
  <c r="G9" i="3"/>
  <c r="C20" i="1"/>
  <c r="C14" i="1"/>
  <c r="D43" i="2"/>
  <c r="G18" i="3"/>
  <c r="G14" i="3"/>
  <c r="G12" i="3"/>
  <c r="C19" i="1"/>
  <c r="D40" i="2"/>
  <c r="G6" i="3"/>
  <c r="G15" i="3"/>
  <c r="C21" i="1"/>
  <c r="G5" i="3"/>
  <c r="G5" i="5" l="1"/>
  <c r="H5" i="5" s="1"/>
  <c r="F7" i="5"/>
  <c r="G6" i="5"/>
  <c r="F7" i="3"/>
  <c r="K7" i="3"/>
  <c r="B43" i="2"/>
  <c r="B42" i="2"/>
  <c r="I5" i="5" l="1"/>
  <c r="J5" i="5" s="1"/>
  <c r="I6" i="5"/>
  <c r="H6" i="5"/>
  <c r="G7" i="5"/>
  <c r="F8" i="5"/>
  <c r="G8" i="5" s="1"/>
  <c r="K8" i="3"/>
  <c r="F8" i="3"/>
  <c r="B44" i="2"/>
  <c r="J6" i="5" l="1"/>
  <c r="I8" i="5"/>
  <c r="H8" i="5"/>
  <c r="H7" i="5"/>
  <c r="I7" i="5"/>
  <c r="J7" i="5" s="1"/>
  <c r="F9" i="3"/>
  <c r="K9" i="3"/>
  <c r="G38" i="2"/>
  <c r="F92" i="2"/>
  <c r="J8" i="5" l="1"/>
  <c r="F10" i="3"/>
  <c r="K10" i="3"/>
  <c r="J9" i="5" l="1"/>
  <c r="G12" i="5" s="1"/>
  <c r="B13" i="5"/>
  <c r="G24" i="5" s="1"/>
  <c r="F11" i="3"/>
  <c r="K11" i="3"/>
  <c r="F12" i="3" l="1"/>
  <c r="K12" i="3"/>
  <c r="F13" i="3" l="1"/>
  <c r="K13" i="3"/>
  <c r="F14" i="3" l="1"/>
  <c r="K14" i="3"/>
  <c r="F15" i="3" l="1"/>
  <c r="K15" i="3"/>
  <c r="F16" i="3" l="1"/>
  <c r="K16" i="3"/>
  <c r="F17" i="3" l="1"/>
  <c r="K17" i="3"/>
  <c r="F18" i="3" l="1"/>
  <c r="K18" i="3"/>
  <c r="F19" i="3" l="1"/>
  <c r="K19" i="3"/>
  <c r="F20" i="3" l="1"/>
  <c r="K20" i="3"/>
  <c r="F21" i="3" l="1"/>
  <c r="K21" i="3"/>
  <c r="F22" i="3" l="1"/>
  <c r="K22" i="3"/>
  <c r="F23" i="3" l="1"/>
  <c r="B11" i="3" s="1"/>
  <c r="B13" i="3" s="1"/>
  <c r="K23" i="3"/>
</calcChain>
</file>

<file path=xl/sharedStrings.xml><?xml version="1.0" encoding="utf-8"?>
<sst xmlns="http://schemas.openxmlformats.org/spreadsheetml/2006/main" count="793" uniqueCount="440">
  <si>
    <t>Demand:</t>
  </si>
  <si>
    <t>NCAA T-SHIRT VENDOR</t>
  </si>
  <si>
    <t>Givens:</t>
  </si>
  <si>
    <t>Costs:</t>
  </si>
  <si>
    <t>Fixed:</t>
  </si>
  <si>
    <t>Variable:</t>
  </si>
  <si>
    <t>per shirt</t>
  </si>
  <si>
    <t>Number of Shirts Ordered:</t>
  </si>
  <si>
    <t>Total Cost:</t>
  </si>
  <si>
    <t>Revenue:</t>
  </si>
  <si>
    <t>Full Price:</t>
  </si>
  <si>
    <t>Reduced Price:</t>
  </si>
  <si>
    <t>Number of Shirts Sold(FP):</t>
  </si>
  <si>
    <t>Number of Shirts Sold (Reduced):</t>
  </si>
  <si>
    <t>Total Revenue:</t>
  </si>
  <si>
    <t>Total Profit:</t>
  </si>
  <si>
    <t>Month</t>
  </si>
  <si>
    <t>Price</t>
  </si>
  <si>
    <t>Demand (00s)</t>
  </si>
  <si>
    <t>Intercept (b):</t>
  </si>
  <si>
    <t>Slope (m):</t>
  </si>
  <si>
    <t>Power: y = ax^b</t>
  </si>
  <si>
    <t xml:space="preserve">Constant a: </t>
  </si>
  <si>
    <t xml:space="preserve">Exponent b: </t>
  </si>
  <si>
    <t xml:space="preserve">Constant (a): </t>
  </si>
  <si>
    <t xml:space="preserve">Exponent (b): </t>
  </si>
  <si>
    <t>Predictions Based on Models</t>
  </si>
  <si>
    <t>Linear</t>
  </si>
  <si>
    <t>Power</t>
  </si>
  <si>
    <t>Exponential</t>
  </si>
  <si>
    <t>Price (x)</t>
  </si>
  <si>
    <t>Linear: y = mx+b</t>
  </si>
  <si>
    <t>Exponential: y = ae^(bx)</t>
  </si>
  <si>
    <t>Absolute Percent Error</t>
  </si>
  <si>
    <t>Model the Business:</t>
  </si>
  <si>
    <t>Unit Cost:</t>
  </si>
  <si>
    <t>Sale Price:</t>
  </si>
  <si>
    <t>per set of clubs</t>
  </si>
  <si>
    <t>&lt;--multiple of 10</t>
  </si>
  <si>
    <t>&lt;-- use the model with the smallest error</t>
  </si>
  <si>
    <t>&lt;--from power model</t>
  </si>
  <si>
    <t>Demand (00s):</t>
  </si>
  <si>
    <t xml:space="preserve">Actual demands: </t>
  </si>
  <si>
    <t xml:space="preserve">Cost: </t>
  </si>
  <si>
    <t xml:space="preserve">Revenue: </t>
  </si>
  <si>
    <t>Profit:</t>
  </si>
  <si>
    <t>Profit</t>
  </si>
  <si>
    <t>a) sell at a price of 530 EUR for a profit of 1042213 EUR</t>
  </si>
  <si>
    <t>Unit Cost</t>
  </si>
  <si>
    <t xml:space="preserve">Gopher Drugs: </t>
  </si>
  <si>
    <t>Development Cost</t>
  </si>
  <si>
    <t>Lifetime:</t>
  </si>
  <si>
    <t>Year 1 Margin:</t>
  </si>
  <si>
    <t>Inc through year:</t>
  </si>
  <si>
    <t>Rate of increase:</t>
  </si>
  <si>
    <t>Rate of decrease:</t>
  </si>
  <si>
    <t>million</t>
  </si>
  <si>
    <t>years</t>
  </si>
  <si>
    <t>millions</t>
  </si>
  <si>
    <t>Discount Rate:</t>
  </si>
  <si>
    <t>Cash Flow</t>
  </si>
  <si>
    <t>End of Year</t>
  </si>
  <si>
    <t>Gross Margin ($M):</t>
  </si>
  <si>
    <t>(Net) Present Value:</t>
  </si>
  <si>
    <t>Development Cost:</t>
  </si>
  <si>
    <t>Net Present Value:</t>
  </si>
  <si>
    <t>Assesment</t>
  </si>
  <si>
    <t>Investment:</t>
  </si>
  <si>
    <t>thousands</t>
  </si>
  <si>
    <t>Inflows years:</t>
  </si>
  <si>
    <t>Cash Inflow (thousands)</t>
  </si>
  <si>
    <t>Toy Company</t>
  </si>
  <si>
    <t>Development cost:</t>
  </si>
  <si>
    <t>USD</t>
  </si>
  <si>
    <t>1 year sell kits:</t>
  </si>
  <si>
    <t>pieces</t>
  </si>
  <si>
    <t>Price per one kit, const:</t>
  </si>
  <si>
    <t>Unit sales growing rate:</t>
  </si>
  <si>
    <t>Variable costs:</t>
  </si>
  <si>
    <t>Fixed SG&amp;A:</t>
  </si>
  <si>
    <t>of revenue</t>
  </si>
  <si>
    <t>Decreasing rate of variable costs and fixed SG&amp;A costs:</t>
  </si>
  <si>
    <t>per year</t>
  </si>
  <si>
    <t>Cash Flows:</t>
  </si>
  <si>
    <t>End of Year:</t>
  </si>
  <si>
    <t>$M</t>
  </si>
  <si>
    <t>Unit prices sold:</t>
  </si>
  <si>
    <t>SG&amp;A costs:</t>
  </si>
  <si>
    <t>Percentage rate</t>
  </si>
  <si>
    <t>Discout rate (NPV):</t>
  </si>
  <si>
    <t>Microsoft - grow year by year</t>
  </si>
  <si>
    <t>Year</t>
  </si>
  <si>
    <t>Average of Seasonally Adjusted Sales (USD)</t>
  </si>
  <si>
    <t>Year Nr.</t>
  </si>
  <si>
    <t>Percentage growth:</t>
  </si>
  <si>
    <t>Average % growth:</t>
  </si>
  <si>
    <t>Exponential:</t>
  </si>
  <si>
    <t>y=ae^bx</t>
  </si>
  <si>
    <t>Constant (a):</t>
  </si>
  <si>
    <t>Exponent(b):</t>
  </si>
  <si>
    <t>Exponent Function:</t>
  </si>
  <si>
    <t>Absolute Persent Error</t>
  </si>
  <si>
    <t>Mean absolute percentage error (MAPE):</t>
  </si>
  <si>
    <t>Financial Estimates for Potential Projects (in $millions)</t>
  </si>
  <si>
    <t>Project Index</t>
  </si>
  <si>
    <t>Functional Area (FA)</t>
  </si>
  <si>
    <t>Partnership Percentage</t>
  </si>
  <si>
    <t>Capex Year 1</t>
  </si>
  <si>
    <t>Capex Year 2</t>
  </si>
  <si>
    <t>Capex Year 3</t>
  </si>
  <si>
    <t>NPV</t>
  </si>
  <si>
    <t>FA1</t>
  </si>
  <si>
    <t>FA2</t>
  </si>
  <si>
    <t>FA3</t>
  </si>
  <si>
    <t>Variables:</t>
  </si>
  <si>
    <t>No. of Radio Ads</t>
  </si>
  <si>
    <t>No. of TV ads</t>
  </si>
  <si>
    <t>&lt;-- dummy numbers</t>
  </si>
  <si>
    <t>Objective</t>
  </si>
  <si>
    <t>Variable</t>
  </si>
  <si>
    <t>Constraints</t>
  </si>
  <si>
    <t>Objective(max):</t>
  </si>
  <si>
    <t>Constraints Table:</t>
  </si>
  <si>
    <t>Budget:</t>
  </si>
  <si>
    <t>LHS</t>
  </si>
  <si>
    <t>Sign</t>
  </si>
  <si>
    <t>RHS</t>
  </si>
  <si>
    <t>&lt;=</t>
  </si>
  <si>
    <t>&lt;-- coef for object</t>
  </si>
  <si>
    <t>people</t>
  </si>
  <si>
    <t>No.of People Reached:</t>
  </si>
  <si>
    <t>At least 10 TV:</t>
  </si>
  <si>
    <t>At least 10 Radio:</t>
  </si>
  <si>
    <t>&gt;=</t>
  </si>
  <si>
    <t>Variables</t>
  </si>
  <si>
    <t>X</t>
  </si>
  <si>
    <t>Y</t>
  </si>
  <si>
    <t>&lt;=dummy values</t>
  </si>
  <si>
    <t>Profit per unit</t>
  </si>
  <si>
    <t>Objective(Max)</t>
  </si>
  <si>
    <t>2x+y&lt;=120</t>
  </si>
  <si>
    <t>2x+3y&lt;=240</t>
  </si>
  <si>
    <t>No.Basic comp</t>
  </si>
  <si>
    <t>No.XP comp</t>
  </si>
  <si>
    <t>Constraints:</t>
  </si>
  <si>
    <t>&lt;=dummy numbers</t>
  </si>
  <si>
    <t>at most 600 Basics</t>
  </si>
  <si>
    <t>at most 1200 Xps</t>
  </si>
  <si>
    <t>(LHS formula)</t>
  </si>
  <si>
    <t>Objective: (Max)</t>
  </si>
  <si>
    <t>Total:</t>
  </si>
  <si>
    <t>Parts:</t>
  </si>
  <si>
    <t>Assembly Hours</t>
  </si>
  <si>
    <t>Testing Hours</t>
  </si>
  <si>
    <t>Labor/Assem:</t>
  </si>
  <si>
    <t>Labor/Test:</t>
  </si>
  <si>
    <t>labor</t>
  </si>
  <si>
    <t>assembly</t>
  </si>
  <si>
    <t>Summay Sentence:</t>
  </si>
  <si>
    <t>Produce 560 Basic Computeers, 1200 XP computers for max net profit of $217,600</t>
  </si>
  <si>
    <t>1250 hours of labor</t>
  </si>
  <si>
    <t xml:space="preserve">  3600 board feet</t>
  </si>
  <si>
    <t>Labor:</t>
  </si>
  <si>
    <t>Profit per item:</t>
  </si>
  <si>
    <t>No. of Benches (b)</t>
  </si>
  <si>
    <t>No.of Tables (t)</t>
  </si>
  <si>
    <t>x1</t>
  </si>
  <si>
    <t>x2</t>
  </si>
  <si>
    <t>x3</t>
  </si>
  <si>
    <t>x4</t>
  </si>
  <si>
    <t>x5</t>
  </si>
  <si>
    <t>X1</t>
  </si>
  <si>
    <t>X2</t>
  </si>
  <si>
    <t>X3</t>
  </si>
  <si>
    <t>Budget</t>
  </si>
  <si>
    <t>X4</t>
  </si>
  <si>
    <t>X5</t>
  </si>
  <si>
    <t>Objective: (max)</t>
  </si>
  <si>
    <t>Rate of return:</t>
  </si>
  <si>
    <t>Rate of Return(%)</t>
  </si>
  <si>
    <t>&lt;--dummy numbers</t>
  </si>
  <si>
    <t>Muni 20%</t>
  </si>
  <si>
    <t>40% in tech</t>
  </si>
  <si>
    <t>no more 50% in high risk</t>
  </si>
  <si>
    <t>Diet Requirement (Ingredients)</t>
  </si>
  <si>
    <t>Oat Product (units/lb)</t>
  </si>
  <si>
    <t>Enriched Grain (units/lb)</t>
  </si>
  <si>
    <t>Mineral Product (units/lb)</t>
  </si>
  <si>
    <t>Minimum Daily Requirement (units)</t>
  </si>
  <si>
    <t>A</t>
  </si>
  <si>
    <t>B</t>
  </si>
  <si>
    <t>C</t>
  </si>
  <si>
    <t>D</t>
  </si>
  <si>
    <t>E</t>
  </si>
  <si>
    <t>Cost/lb</t>
  </si>
  <si>
    <t>$0.09</t>
  </si>
  <si>
    <t>$0.12</t>
  </si>
  <si>
    <t>$0.18</t>
  </si>
  <si>
    <t>Objective: (min)</t>
  </si>
  <si>
    <t>Overall daily cost of fee:</t>
  </si>
  <si>
    <t>Oat Products</t>
  </si>
  <si>
    <t>Enriched Grain</t>
  </si>
  <si>
    <t>Mineral Product</t>
  </si>
  <si>
    <t>Price per lb</t>
  </si>
  <si>
    <t>total of 6 pounds of feed per day</t>
  </si>
  <si>
    <t>Objective (Min):</t>
  </si>
  <si>
    <t>AB</t>
  </si>
  <si>
    <t>AC</t>
  </si>
  <si>
    <t>AE</t>
  </si>
  <si>
    <t>No.of students to assign from A to HS in B</t>
  </si>
  <si>
    <t>BB</t>
  </si>
  <si>
    <t>BC</t>
  </si>
  <si>
    <t>EE</t>
  </si>
  <si>
    <t>BE</t>
  </si>
  <si>
    <t>CB</t>
  </si>
  <si>
    <t>CC</t>
  </si>
  <si>
    <t>CE</t>
  </si>
  <si>
    <t>DB</t>
  </si>
  <si>
    <t>DC</t>
  </si>
  <si>
    <t>DE</t>
  </si>
  <si>
    <t>EB</t>
  </si>
  <si>
    <t>EC</t>
  </si>
  <si>
    <t>&lt;--DUMMY NUMBERS</t>
  </si>
  <si>
    <t>student bus miles</t>
  </si>
  <si>
    <t>&lt;--miles travelled</t>
  </si>
  <si>
    <t>900 in school B</t>
  </si>
  <si>
    <t>900 in school E</t>
  </si>
  <si>
    <t>900 in school C</t>
  </si>
  <si>
    <t>700 students in A</t>
  </si>
  <si>
    <t>500 in B</t>
  </si>
  <si>
    <t>100 in C</t>
  </si>
  <si>
    <t>800 in D</t>
  </si>
  <si>
    <t>400 in E</t>
  </si>
  <si>
    <t>=</t>
  </si>
  <si>
    <t>Summary Sentence:</t>
  </si>
  <si>
    <t>400 students from A to B; remaining 300 students to E</t>
  </si>
  <si>
    <t>etc.</t>
  </si>
  <si>
    <t>For minimum of 5400 students bus miles</t>
  </si>
  <si>
    <t>Soccer balls</t>
  </si>
  <si>
    <t>Basketball balls</t>
  </si>
  <si>
    <t>Objective (max)</t>
  </si>
  <si>
    <t>Profit per ball</t>
  </si>
  <si>
    <t>s</t>
  </si>
  <si>
    <t>b</t>
  </si>
  <si>
    <t>Machine time (Hours)</t>
  </si>
  <si>
    <t>Worker's time (Hours)</t>
  </si>
  <si>
    <t>Max machine time 42 Hours</t>
  </si>
  <si>
    <t>Max worker time 24 hours</t>
  </si>
  <si>
    <t>Summary sentence: Procude 4 Soccer balls and 12 basketball balls per day to maximize profit to 200 USD</t>
  </si>
  <si>
    <t>Factories in Des Moines, Evanston, Ft Lauderdale</t>
  </si>
  <si>
    <t>Stores in Albany Boston Cleveland</t>
  </si>
  <si>
    <t>Data Table:</t>
  </si>
  <si>
    <t>Evanston</t>
  </si>
  <si>
    <t>Ft Lauerdale</t>
  </si>
  <si>
    <t xml:space="preserve">Albany </t>
  </si>
  <si>
    <t>Boston</t>
  </si>
  <si>
    <t>Cleveland</t>
  </si>
  <si>
    <t>Sources</t>
  </si>
  <si>
    <t>Destinations</t>
  </si>
  <si>
    <t>Des Moines</t>
  </si>
  <si>
    <t>Output</t>
  </si>
  <si>
    <t>Total cost:</t>
  </si>
  <si>
    <t>Summary Sentence: Ship  100 units from D to A, 200 units from E to Bonston, 100 from E to C</t>
  </si>
  <si>
    <t>Minimun total cost: 3900 USD</t>
  </si>
  <si>
    <t>Transporation Example 1</t>
  </si>
  <si>
    <t>Transporation Example 2</t>
  </si>
  <si>
    <t>Origin/ Factories</t>
  </si>
  <si>
    <t>Ft Lauderdale</t>
  </si>
  <si>
    <t>Destinations / Store</t>
  </si>
  <si>
    <t>Albany</t>
  </si>
  <si>
    <t>Unit Costs</t>
  </si>
  <si>
    <t>Shipments</t>
  </si>
  <si>
    <t>Supply constraints:</t>
  </si>
  <si>
    <t>Factories:</t>
  </si>
  <si>
    <t>Outflow</t>
  </si>
  <si>
    <t>Capacity</t>
  </si>
  <si>
    <t>Demand Constraints:</t>
  </si>
  <si>
    <t>Stores</t>
  </si>
  <si>
    <t>Inflow</t>
  </si>
  <si>
    <t>Demand</t>
  </si>
  <si>
    <t>Objective (Min) Cost:</t>
  </si>
  <si>
    <t>Project A</t>
  </si>
  <si>
    <t>Project B</t>
  </si>
  <si>
    <t>Project C</t>
  </si>
  <si>
    <t>Plant 1</t>
  </si>
  <si>
    <t>Plant 2</t>
  </si>
  <si>
    <t>Plant 3</t>
  </si>
  <si>
    <t>Shipping costs</t>
  </si>
  <si>
    <t>Capacity / Plant Output</t>
  </si>
  <si>
    <t>Requirements / Project Demand</t>
  </si>
  <si>
    <t>Data Table</t>
  </si>
  <si>
    <t>Data table</t>
  </si>
  <si>
    <r>
      <rPr>
        <b/>
        <sz val="11"/>
        <color theme="1"/>
        <rFont val="Calibri"/>
        <family val="2"/>
      </rPr>
      <t>Summary Sentence:</t>
    </r>
    <r>
      <rPr>
        <sz val="11"/>
        <color theme="1"/>
        <rFont val="Calibri"/>
        <family val="2"/>
        <scheme val="minor"/>
      </rPr>
      <t xml:space="preserve"> to miniminize cost to 1060 USD Plant 1 should send 40 trucks to Project A and 40 trucks to B; Plant 2 should send nothing to A and B and 40 to C; Plant 3 should send 10 trucks to A and 20 to C</t>
    </r>
  </si>
  <si>
    <t>Omaha</t>
  </si>
  <si>
    <t>Miami</t>
  </si>
  <si>
    <t>Dallas</t>
  </si>
  <si>
    <t>New York</t>
  </si>
  <si>
    <t>Jones</t>
  </si>
  <si>
    <t>Smith</t>
  </si>
  <si>
    <t>Wilson</t>
  </si>
  <si>
    <t>Assignment Problem Template</t>
  </si>
  <si>
    <t>Cost Table Relocation:</t>
  </si>
  <si>
    <t>Assignment table:</t>
  </si>
  <si>
    <t>Total</t>
  </si>
  <si>
    <t>Each canditate is aasign to one office</t>
  </si>
  <si>
    <t>Objective:(min)</t>
  </si>
  <si>
    <t>Recolation Cost:</t>
  </si>
  <si>
    <t>Summary Sentence: min cost 2400 EUR  - Jones to Miami, Smith to New York, Wilson to Omaha</t>
  </si>
  <si>
    <t>Kansas City</t>
  </si>
  <si>
    <t>Chicago</t>
  </si>
  <si>
    <t>Detroit</t>
  </si>
  <si>
    <t>Toronto</t>
  </si>
  <si>
    <t>Seattle</t>
  </si>
  <si>
    <t>Arlington</t>
  </si>
  <si>
    <t>Oakland</t>
  </si>
  <si>
    <t>Baltimore</t>
  </si>
  <si>
    <t>Distance (m):</t>
  </si>
  <si>
    <t>From:</t>
  </si>
  <si>
    <t>To:</t>
  </si>
  <si>
    <t>Assignment table</t>
  </si>
  <si>
    <t>Objective (min)</t>
  </si>
  <si>
    <t>Miles to travel:</t>
  </si>
  <si>
    <t>Constraint</t>
  </si>
  <si>
    <t>x</t>
  </si>
  <si>
    <t>Statistics</t>
  </si>
  <si>
    <t>Management</t>
  </si>
  <si>
    <t>Finance</t>
  </si>
  <si>
    <t>Economics</t>
  </si>
  <si>
    <t>Bain</t>
  </si>
  <si>
    <t>Carey</t>
  </si>
  <si>
    <t>Dio</t>
  </si>
  <si>
    <t>Powell</t>
  </si>
  <si>
    <t>Overall raiting for all subjects</t>
  </si>
  <si>
    <t>Factory 1</t>
  </si>
  <si>
    <t>Fartory 2</t>
  </si>
  <si>
    <t>Store A</t>
  </si>
  <si>
    <t>Store B</t>
  </si>
  <si>
    <t>Store C</t>
  </si>
  <si>
    <t>Transportation costs</t>
  </si>
  <si>
    <t>Output (jersey per week)</t>
  </si>
  <si>
    <t>Manufacturing Costs per jersey</t>
  </si>
  <si>
    <t>Store demand (per week)</t>
  </si>
  <si>
    <t>Transporation table</t>
  </si>
  <si>
    <t>Objective(min)</t>
  </si>
  <si>
    <t>Transportaton and manufacturing cost</t>
  </si>
  <si>
    <t>Transportation and manufacturing cost</t>
  </si>
  <si>
    <t>Closing Plant</t>
  </si>
  <si>
    <t>No. of Workers to Transfer</t>
  </si>
  <si>
    <t>Open Plant</t>
  </si>
  <si>
    <t>No. of Open Positions</t>
  </si>
  <si>
    <t>Number of workers to assign</t>
  </si>
  <si>
    <t>Product output:</t>
  </si>
  <si>
    <t>Available workers</t>
  </si>
  <si>
    <t>Available positions</t>
  </si>
  <si>
    <t>Princess Brides Example</t>
  </si>
  <si>
    <t>Peak</t>
  </si>
  <si>
    <t>Off Peak</t>
  </si>
  <si>
    <t>&lt;--dummy variables</t>
  </si>
  <si>
    <t>&lt;-- objective function here</t>
  </si>
  <si>
    <t>People Reached:</t>
  </si>
  <si>
    <t>No more than 6 OP</t>
  </si>
  <si>
    <t>At least 2 Peak</t>
  </si>
  <si>
    <t xml:space="preserve">Summary Sentence: </t>
  </si>
  <si>
    <t>Recommend 4 peak ads and 1 off peak adds to reach maximum of 37900 people</t>
  </si>
  <si>
    <t>Bolsa de Café example</t>
  </si>
  <si>
    <t>No.of 20lb bags</t>
  </si>
  <si>
    <t>lbs of grounded beans</t>
  </si>
  <si>
    <t>Objective:(max)</t>
  </si>
  <si>
    <t>Recommend producing 44 bags of whole beans and 20 lbs of grinded bean mix for a max profut of 3770 USD</t>
  </si>
  <si>
    <t>Hilda Art Posters</t>
  </si>
  <si>
    <t>Large posters</t>
  </si>
  <si>
    <t>Small posters</t>
  </si>
  <si>
    <t>Hours</t>
  </si>
  <si>
    <t>posters</t>
  </si>
  <si>
    <t>Large posters sell weekly</t>
  </si>
  <si>
    <t>Small posters sell weekly</t>
  </si>
  <si>
    <t>Hours available</t>
  </si>
  <si>
    <t>Binary = 0 or 1</t>
  </si>
  <si>
    <t>0 = no</t>
  </si>
  <si>
    <t>1 = yes</t>
  </si>
  <si>
    <t>X6</t>
  </si>
  <si>
    <t>X7</t>
  </si>
  <si>
    <t>(0,1)</t>
  </si>
  <si>
    <t>Return</t>
  </si>
  <si>
    <t>(000s)</t>
  </si>
  <si>
    <t>at least 2 Texas</t>
  </si>
  <si>
    <t>no more 1 foreign</t>
  </si>
  <si>
    <t>California</t>
  </si>
  <si>
    <t>Summary Sentence: Purchase X3 through X7 for return of 360 000 USD</t>
  </si>
  <si>
    <t xml:space="preserve">Variables: </t>
  </si>
  <si>
    <t>L1</t>
  </si>
  <si>
    <t>L2</t>
  </si>
  <si>
    <t>L3</t>
  </si>
  <si>
    <t>L4</t>
  </si>
  <si>
    <t>L5</t>
  </si>
  <si>
    <t>L6</t>
  </si>
  <si>
    <t>0 = no, 1 = yes</t>
  </si>
  <si>
    <t>Number of towers:</t>
  </si>
  <si>
    <t>A zone</t>
  </si>
  <si>
    <t>B zone</t>
  </si>
  <si>
    <t>C zone</t>
  </si>
  <si>
    <t>D zone</t>
  </si>
  <si>
    <t>E zone</t>
  </si>
  <si>
    <t>F zone</t>
  </si>
  <si>
    <t>G zone</t>
  </si>
  <si>
    <t>H zone</t>
  </si>
  <si>
    <t>Summary Sentence: At least three towers should be built in the locationL L1, L3 and L5</t>
  </si>
  <si>
    <t>Non-linear Variance Example</t>
  </si>
  <si>
    <t>Constraint:</t>
  </si>
  <si>
    <t>Objective (min):</t>
  </si>
  <si>
    <t>Non-linear Vars:</t>
  </si>
  <si>
    <t>X^2</t>
  </si>
  <si>
    <t>XY</t>
  </si>
  <si>
    <t>Y^2</t>
  </si>
  <si>
    <t xml:space="preserve">Formulas: </t>
  </si>
  <si>
    <t>all funds invetsed:</t>
  </si>
  <si>
    <t>Variance (risk):</t>
  </si>
  <si>
    <t>X = XJ6</t>
  </si>
  <si>
    <t>Y = XJ8</t>
  </si>
  <si>
    <t>4-0.1X</t>
  </si>
  <si>
    <t>5-0.02Y</t>
  </si>
  <si>
    <t>Objective (max):</t>
  </si>
  <si>
    <t>Revenue</t>
  </si>
  <si>
    <t>(00s)</t>
  </si>
  <si>
    <t>Produce 10 XJ6 and 15 XJ8 for a max revenue of 100,500 USD</t>
  </si>
  <si>
    <t>X = number of dog sold</t>
  </si>
  <si>
    <t>P(x) = -0.0001*x+4</t>
  </si>
  <si>
    <t>Objectie (max)</t>
  </si>
  <si>
    <t>Fixed</t>
  </si>
  <si>
    <t>Variable per hot dog sold</t>
  </si>
  <si>
    <t>None</t>
  </si>
  <si>
    <t>Geometry text</t>
  </si>
  <si>
    <t>Calculus text</t>
  </si>
  <si>
    <t>Assembly (hours per item)</t>
  </si>
  <si>
    <t>Proofing (hours per item)</t>
  </si>
  <si>
    <t>Profit per item</t>
  </si>
  <si>
    <t>360 hours of Assembly time</t>
  </si>
  <si>
    <t>240 hours of proofing time</t>
  </si>
  <si>
    <t>p</t>
  </si>
  <si>
    <t>Variable (per item sold)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</si>
</sst>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&quot;£&quot;* #,##0.00_);_(&quot;£&quot;* \(#,##0.00\);_(&quot;£&quot;* &quot;-&quot;??_);_(@_)"/>
    <numFmt numFmtId="165" formatCode="_([$$-409]* #,##0.00_);_([$$-409]* \(#,##0.00\);_([$$-409]* &quot;-&quot;??_);_(@_)"/>
    <numFmt numFmtId="166" formatCode="_([$$-409]* #,##0_);_([$$-409]* \(#,##0\);_([$$-409]* &quot;-&quot;??_);_(@_)"/>
    <numFmt numFmtId="167" formatCode="0.0"/>
    <numFmt numFmtId="168" formatCode="0.0%"/>
    <numFmt numFmtId="169" formatCode="[$€-2]\ #,##0.0"/>
    <numFmt numFmtId="170" formatCode="[$€-2]\ #,##0.00"/>
    <numFmt numFmtId="171" formatCode="[$€-2]\ #,##0"/>
    <numFmt numFmtId="172" formatCode="_([$€-2]\ * #,##0.00_);_([$€-2]\ * \(#,##0.00\);_([$€-2]\ * &quot;-&quot;??_);_(@_)"/>
    <numFmt numFmtId="173" formatCode="_([$€-2]\ * #,##0.000_);_([$€-2]\ * \(#,##0.000\);_([$€-2]\ * &quot;-&quot;??_);_(@_)"/>
    <numFmt numFmtId="174" formatCode="_-[$$-409]* #,##0.00_ ;_-[$$-409]* \-#,##0.00\ ;_-[$$-409]* &quot;-&quot;??_ ;_-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114"/>
      <name val="Source Sans Pro"/>
      <family val="2"/>
    </font>
    <font>
      <sz val="11"/>
      <color rgb="FF0F1114"/>
      <name val="Arial"/>
      <family val="2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rgb="FF0F1114"/>
      <name val="Source Sans Pro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404B61"/>
      </left>
      <right style="medium">
        <color rgb="FF404B61"/>
      </right>
      <top style="medium">
        <color rgb="FF404B61"/>
      </top>
      <bottom style="medium">
        <color rgb="FF404B61"/>
      </bottom>
      <diagonal/>
    </border>
    <border>
      <left style="medium">
        <color rgb="FFE8EEF7"/>
      </left>
      <right style="medium">
        <color rgb="FFE8EEF7"/>
      </right>
      <top style="medium">
        <color rgb="FFE8EEF7"/>
      </top>
      <bottom style="medium">
        <color rgb="FFE8EEF7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165" fontId="0" fillId="0" borderId="0" xfId="1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2" fillId="0" borderId="1" xfId="2"/>
    <xf numFmtId="0" fontId="0" fillId="2" borderId="0" xfId="0" applyFill="1"/>
    <xf numFmtId="0" fontId="3" fillId="0" borderId="0" xfId="0" applyFont="1" applyAlignment="1">
      <alignment horizontal="right"/>
    </xf>
    <xf numFmtId="166" fontId="3" fillId="0" borderId="0" xfId="0" applyNumberFormat="1" applyFont="1"/>
    <xf numFmtId="166" fontId="0" fillId="0" borderId="0" xfId="0" applyNumberFormat="1" applyAlignment="1">
      <alignment horizontal="left" indent="1"/>
    </xf>
    <xf numFmtId="166" fontId="0" fillId="0" borderId="0" xfId="0" applyNumberForma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4" fillId="3" borderId="6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7" xfId="0" applyFont="1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4" fillId="3" borderId="10" xfId="0" applyFont="1" applyFill="1" applyBorder="1" applyAlignment="1">
      <alignment horizontal="left" vertical="center" wrapText="1" indent="1"/>
    </xf>
    <xf numFmtId="0" fontId="0" fillId="0" borderId="2" xfId="0" applyBorder="1"/>
    <xf numFmtId="0" fontId="3" fillId="0" borderId="7" xfId="0" applyFont="1" applyBorder="1" applyAlignment="1">
      <alignment horizontal="center"/>
    </xf>
    <xf numFmtId="167" fontId="0" fillId="0" borderId="2" xfId="0" applyNumberFormat="1" applyBorder="1"/>
    <xf numFmtId="0" fontId="6" fillId="0" borderId="0" xfId="0" applyFont="1"/>
    <xf numFmtId="0" fontId="7" fillId="0" borderId="0" xfId="0" applyFont="1"/>
    <xf numFmtId="168" fontId="0" fillId="0" borderId="2" xfId="3" applyNumberFormat="1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8" fontId="0" fillId="0" borderId="14" xfId="3" applyNumberFormat="1" applyFont="1" applyBorder="1"/>
    <xf numFmtId="0" fontId="5" fillId="3" borderId="7" xfId="0" applyFont="1" applyFill="1" applyBorder="1" applyAlignment="1">
      <alignment horizontal="left" vertical="center" wrapText="1" indent="1"/>
    </xf>
    <xf numFmtId="167" fontId="0" fillId="0" borderId="14" xfId="0" applyNumberFormat="1" applyBorder="1"/>
    <xf numFmtId="167" fontId="0" fillId="0" borderId="15" xfId="0" applyNumberFormat="1" applyBorder="1"/>
    <xf numFmtId="167" fontId="0" fillId="0" borderId="16" xfId="0" applyNumberFormat="1" applyBorder="1"/>
    <xf numFmtId="167" fontId="0" fillId="0" borderId="17" xfId="0" applyNumberFormat="1" applyBorder="1"/>
    <xf numFmtId="167" fontId="0" fillId="0" borderId="18" xfId="0" applyNumberFormat="1" applyBorder="1"/>
    <xf numFmtId="168" fontId="0" fillId="0" borderId="15" xfId="3" applyNumberFormat="1" applyFont="1" applyBorder="1"/>
    <xf numFmtId="0" fontId="8" fillId="0" borderId="0" xfId="0" applyFont="1"/>
    <xf numFmtId="169" fontId="0" fillId="2" borderId="0" xfId="0" applyNumberFormat="1" applyFill="1"/>
    <xf numFmtId="0" fontId="3" fillId="0" borderId="0" xfId="0" applyFont="1" applyAlignment="1">
      <alignment horizontal="center"/>
    </xf>
    <xf numFmtId="168" fontId="0" fillId="0" borderId="19" xfId="3" applyNumberFormat="1" applyFont="1" applyBorder="1"/>
    <xf numFmtId="168" fontId="0" fillId="0" borderId="9" xfId="3" applyNumberFormat="1" applyFont="1" applyBorder="1"/>
    <xf numFmtId="168" fontId="0" fillId="0" borderId="20" xfId="3" applyNumberFormat="1" applyFont="1" applyBorder="1"/>
    <xf numFmtId="168" fontId="0" fillId="0" borderId="21" xfId="0" applyNumberFormat="1" applyBorder="1"/>
    <xf numFmtId="168" fontId="0" fillId="2" borderId="22" xfId="0" applyNumberFormat="1" applyFill="1" applyBorder="1"/>
    <xf numFmtId="168" fontId="0" fillId="0" borderId="23" xfId="0" applyNumberFormat="1" applyBorder="1"/>
    <xf numFmtId="170" fontId="0" fillId="0" borderId="0" xfId="0" applyNumberFormat="1"/>
    <xf numFmtId="1" fontId="0" fillId="0" borderId="0" xfId="0" applyNumberFormat="1"/>
    <xf numFmtId="171" fontId="0" fillId="0" borderId="0" xfId="0" applyNumberFormat="1"/>
    <xf numFmtId="0" fontId="3" fillId="0" borderId="0" xfId="0" applyFont="1" applyAlignment="1">
      <alignment horizontal="left"/>
    </xf>
    <xf numFmtId="171" fontId="9" fillId="0" borderId="0" xfId="0" applyNumberFormat="1" applyFont="1"/>
    <xf numFmtId="171" fontId="10" fillId="0" borderId="0" xfId="0" applyNumberFormat="1" applyFont="1"/>
    <xf numFmtId="172" fontId="0" fillId="0" borderId="0" xfId="0" applyNumberFormat="1"/>
    <xf numFmtId="9" fontId="0" fillId="0" borderId="0" xfId="0" applyNumberFormat="1"/>
    <xf numFmtId="0" fontId="3" fillId="0" borderId="2" xfId="0" applyFont="1" applyBorder="1"/>
    <xf numFmtId="172" fontId="0" fillId="0" borderId="2" xfId="0" applyNumberFormat="1" applyBorder="1"/>
    <xf numFmtId="172" fontId="0" fillId="0" borderId="2" xfId="0" applyNumberFormat="1" applyBorder="1" applyAlignment="1">
      <alignment horizontal="center"/>
    </xf>
    <xf numFmtId="0" fontId="3" fillId="0" borderId="0" xfId="0" applyFont="1" applyAlignment="1">
      <alignment horizontal="center" wrapText="1"/>
    </xf>
    <xf numFmtId="173" fontId="0" fillId="0" borderId="0" xfId="0" applyNumberFormat="1"/>
    <xf numFmtId="0" fontId="3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wrapText="1"/>
    </xf>
    <xf numFmtId="9" fontId="0" fillId="2" borderId="0" xfId="0" applyNumberFormat="1" applyFill="1"/>
    <xf numFmtId="2" fontId="0" fillId="0" borderId="0" xfId="0" applyNumberFormat="1"/>
    <xf numFmtId="1" fontId="3" fillId="0" borderId="0" xfId="0" applyNumberFormat="1" applyFont="1"/>
    <xf numFmtId="2" fontId="12" fillId="0" borderId="0" xfId="0" applyNumberFormat="1" applyFont="1"/>
    <xf numFmtId="10" fontId="0" fillId="0" borderId="0" xfId="0" applyNumberFormat="1"/>
    <xf numFmtId="10" fontId="0" fillId="0" borderId="0" xfId="3" applyNumberFormat="1" applyFont="1"/>
    <xf numFmtId="10" fontId="3" fillId="0" borderId="0" xfId="0" applyNumberFormat="1" applyFont="1"/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165" fontId="0" fillId="0" borderId="2" xfId="1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3" fillId="0" borderId="0" xfId="0" applyFont="1" applyAlignment="1">
      <alignment horizontal="left" indent="2"/>
    </xf>
    <xf numFmtId="165" fontId="0" fillId="6" borderId="0" xfId="0" applyNumberFormat="1" applyFill="1"/>
    <xf numFmtId="0" fontId="3" fillId="4" borderId="0" xfId="0" applyFont="1" applyFill="1"/>
    <xf numFmtId="0" fontId="3" fillId="7" borderId="0" xfId="0" applyFont="1" applyFill="1"/>
    <xf numFmtId="165" fontId="0" fillId="5" borderId="0" xfId="0" applyNumberFormat="1" applyFill="1"/>
    <xf numFmtId="166" fontId="0" fillId="0" borderId="2" xfId="0" applyNumberFormat="1" applyBorder="1" applyAlignment="1">
      <alignment horizontal="center"/>
    </xf>
    <xf numFmtId="166" fontId="0" fillId="0" borderId="2" xfId="0" applyNumberFormat="1" applyBorder="1"/>
    <xf numFmtId="0" fontId="0" fillId="3" borderId="0" xfId="0" applyFill="1"/>
    <xf numFmtId="0" fontId="4" fillId="3" borderId="33" xfId="0" applyFont="1" applyFill="1" applyBorder="1" applyAlignment="1">
      <alignment horizontal="left" vertical="center" wrapText="1" indent="1"/>
    </xf>
    <xf numFmtId="0" fontId="4" fillId="3" borderId="34" xfId="0" applyFont="1" applyFill="1" applyBorder="1" applyAlignment="1">
      <alignment horizontal="left" vertical="center" wrapText="1" indent="1"/>
    </xf>
    <xf numFmtId="0" fontId="13" fillId="3" borderId="34" xfId="0" applyFont="1" applyFill="1" applyBorder="1" applyAlignment="1">
      <alignment horizontal="left" vertical="top" wrapText="1" indent="1"/>
    </xf>
    <xf numFmtId="0" fontId="0" fillId="0" borderId="6" xfId="0" applyBorder="1"/>
    <xf numFmtId="165" fontId="0" fillId="0" borderId="0" xfId="0" applyNumberFormat="1" applyAlignment="1">
      <alignment horizontal="center"/>
    </xf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5" xfId="0" applyBorder="1"/>
    <xf numFmtId="0" fontId="3" fillId="0" borderId="16" xfId="0" applyFont="1" applyBorder="1"/>
    <xf numFmtId="0" fontId="0" fillId="0" borderId="17" xfId="0" applyBorder="1"/>
    <xf numFmtId="0" fontId="0" fillId="0" borderId="18" xfId="0" applyBorder="1"/>
    <xf numFmtId="0" fontId="0" fillId="5" borderId="2" xfId="0" applyFill="1" applyBorder="1"/>
    <xf numFmtId="0" fontId="0" fillId="5" borderId="15" xfId="0" applyFill="1" applyBorder="1"/>
    <xf numFmtId="0" fontId="0" fillId="5" borderId="17" xfId="0" applyFill="1" applyBorder="1"/>
    <xf numFmtId="0" fontId="0" fillId="5" borderId="18" xfId="0" applyFill="1" applyBorder="1"/>
    <xf numFmtId="165" fontId="0" fillId="4" borderId="0" xfId="0" applyNumberFormat="1" applyFill="1"/>
    <xf numFmtId="165" fontId="0" fillId="0" borderId="2" xfId="0" applyNumberFormat="1" applyBorder="1"/>
    <xf numFmtId="1" fontId="0" fillId="8" borderId="32" xfId="0" applyNumberFormat="1" applyFill="1" applyBorder="1"/>
    <xf numFmtId="1" fontId="0" fillId="8" borderId="0" xfId="0" applyNumberFormat="1" applyFill="1"/>
    <xf numFmtId="165" fontId="0" fillId="8" borderId="2" xfId="0" applyNumberFormat="1" applyFill="1" applyBorder="1"/>
    <xf numFmtId="1" fontId="0" fillId="0" borderId="0" xfId="0" applyNumberFormat="1" applyAlignment="1">
      <alignment horizontal="center"/>
    </xf>
    <xf numFmtId="1" fontId="0" fillId="5" borderId="2" xfId="0" applyNumberFormat="1" applyFill="1" applyBorder="1" applyAlignment="1">
      <alignment horizontal="center"/>
    </xf>
    <xf numFmtId="0" fontId="15" fillId="0" borderId="0" xfId="0" applyFont="1"/>
    <xf numFmtId="0" fontId="3" fillId="0" borderId="2" xfId="0" applyFont="1" applyBorder="1" applyAlignment="1">
      <alignment wrapText="1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3" fillId="0" borderId="35" xfId="0" applyFont="1" applyBorder="1"/>
    <xf numFmtId="0" fontId="0" fillId="6" borderId="0" xfId="0" applyFill="1"/>
    <xf numFmtId="0" fontId="3" fillId="0" borderId="35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11" borderId="0" xfId="0" applyFill="1"/>
    <xf numFmtId="174" fontId="0" fillId="0" borderId="0" xfId="0" applyNumberFormat="1"/>
    <xf numFmtId="2" fontId="0" fillId="5" borderId="0" xfId="0" applyNumberFormat="1" applyFill="1"/>
    <xf numFmtId="174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9" fontId="0" fillId="5" borderId="0" xfId="0" applyNumberFormat="1" applyFill="1"/>
    <xf numFmtId="9" fontId="0" fillId="0" borderId="2" xfId="0" applyNumberFormat="1" applyBorder="1"/>
    <xf numFmtId="9" fontId="0" fillId="0" borderId="2" xfId="3" applyFont="1" applyBorder="1" applyAlignment="1">
      <alignment horizontal="center"/>
    </xf>
    <xf numFmtId="9" fontId="0" fillId="4" borderId="0" xfId="3" applyFon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</cellXfs>
  <cellStyles count="4">
    <cellStyle name="Currency" xfId="1" builtinId="4"/>
    <cellStyle name="Heading 1" xfId="2" builtinId="16"/>
    <cellStyle name="Normal" xfId="0" builtinId="0"/>
    <cellStyle name="Per cent" xfId="3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4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4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4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4"/>
        <name val="Source Sans Pro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Price VS Demand</a:t>
            </a:r>
          </a:p>
        </c:rich>
      </c:tx>
      <c:layout>
        <c:manualLayout>
          <c:xMode val="edge"/>
          <c:yMode val="edge"/>
          <c:x val="0.18616040673874551"/>
          <c:y val="3.7483266398929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84431880938961"/>
          <c:y val="0.22981333333333337"/>
          <c:w val="0.80455770577484753"/>
          <c:h val="0.565369028871391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'the 19th hole'!$C$1</c:f>
              <c:strCache>
                <c:ptCount val="1"/>
                <c:pt idx="0">
                  <c:v>Demand (00s)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990554597161249E-3"/>
                  <c:y val="-0.534364228567814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5.6613205344993485E-3"/>
                  <c:y val="-0.3700593449915146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41724494850291222"/>
                  <c:y val="-0.365450463270404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'the 19th hole'!$B$2:$B$13</c:f>
              <c:numCache>
                <c:formatCode>General</c:formatCode>
                <c:ptCount val="12"/>
                <c:pt idx="0">
                  <c:v>450</c:v>
                </c:pt>
                <c:pt idx="1">
                  <c:v>300</c:v>
                </c:pt>
                <c:pt idx="2">
                  <c:v>440</c:v>
                </c:pt>
                <c:pt idx="3">
                  <c:v>360</c:v>
                </c:pt>
                <c:pt idx="4">
                  <c:v>290</c:v>
                </c:pt>
                <c:pt idx="5">
                  <c:v>450</c:v>
                </c:pt>
                <c:pt idx="6">
                  <c:v>340</c:v>
                </c:pt>
                <c:pt idx="7">
                  <c:v>370</c:v>
                </c:pt>
                <c:pt idx="8">
                  <c:v>500</c:v>
                </c:pt>
                <c:pt idx="9">
                  <c:v>490</c:v>
                </c:pt>
                <c:pt idx="10">
                  <c:v>430</c:v>
                </c:pt>
                <c:pt idx="11">
                  <c:v>390</c:v>
                </c:pt>
              </c:numCache>
            </c:numRef>
          </c:xVal>
          <c:yVal>
            <c:numRef>
              <c:f>'the 19th hole'!$C$2:$C$13</c:f>
              <c:numCache>
                <c:formatCode>General</c:formatCode>
                <c:ptCount val="12"/>
                <c:pt idx="0">
                  <c:v>45</c:v>
                </c:pt>
                <c:pt idx="1">
                  <c:v>103</c:v>
                </c:pt>
                <c:pt idx="2">
                  <c:v>49</c:v>
                </c:pt>
                <c:pt idx="3">
                  <c:v>86</c:v>
                </c:pt>
                <c:pt idx="4">
                  <c:v>125</c:v>
                </c:pt>
                <c:pt idx="5">
                  <c:v>52</c:v>
                </c:pt>
                <c:pt idx="6">
                  <c:v>87</c:v>
                </c:pt>
                <c:pt idx="7">
                  <c:v>68</c:v>
                </c:pt>
                <c:pt idx="8">
                  <c:v>45</c:v>
                </c:pt>
                <c:pt idx="9">
                  <c:v>44</c:v>
                </c:pt>
                <c:pt idx="10">
                  <c:v>58</c:v>
                </c:pt>
                <c:pt idx="11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A-44D7-AE1A-5AA09801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31792"/>
        <c:axId val="664848592"/>
      </c:scatterChart>
      <c:valAx>
        <c:axId val="66483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48592"/>
        <c:crosses val="autoZero"/>
        <c:crossBetween val="midCat"/>
      </c:valAx>
      <c:valAx>
        <c:axId val="66484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Demand, 00s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83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'the 19th hole'!$F$39:$F$88</c:f>
              <c:numCache>
                <c:formatCode>[$€-2]\ #,##0</c:formatCode>
                <c:ptCount val="50"/>
                <c:pt idx="0">
                  <c:v>260</c:v>
                </c:pt>
                <c:pt idx="1">
                  <c:v>270</c:v>
                </c:pt>
                <c:pt idx="2">
                  <c:v>280</c:v>
                </c:pt>
                <c:pt idx="3">
                  <c:v>290</c:v>
                </c:pt>
                <c:pt idx="4">
                  <c:v>300</c:v>
                </c:pt>
                <c:pt idx="5">
                  <c:v>310</c:v>
                </c:pt>
                <c:pt idx="6">
                  <c:v>320</c:v>
                </c:pt>
                <c:pt idx="7">
                  <c:v>330</c:v>
                </c:pt>
                <c:pt idx="8">
                  <c:v>340</c:v>
                </c:pt>
                <c:pt idx="9">
                  <c:v>350</c:v>
                </c:pt>
                <c:pt idx="10">
                  <c:v>360</c:v>
                </c:pt>
                <c:pt idx="11">
                  <c:v>370</c:v>
                </c:pt>
                <c:pt idx="12">
                  <c:v>380</c:v>
                </c:pt>
                <c:pt idx="13">
                  <c:v>390</c:v>
                </c:pt>
                <c:pt idx="14">
                  <c:v>400</c:v>
                </c:pt>
                <c:pt idx="15">
                  <c:v>410</c:v>
                </c:pt>
                <c:pt idx="16">
                  <c:v>420</c:v>
                </c:pt>
                <c:pt idx="17">
                  <c:v>430</c:v>
                </c:pt>
                <c:pt idx="18">
                  <c:v>440</c:v>
                </c:pt>
                <c:pt idx="19">
                  <c:v>450</c:v>
                </c:pt>
                <c:pt idx="20">
                  <c:v>460</c:v>
                </c:pt>
                <c:pt idx="21">
                  <c:v>470</c:v>
                </c:pt>
                <c:pt idx="22">
                  <c:v>480</c:v>
                </c:pt>
                <c:pt idx="23">
                  <c:v>490</c:v>
                </c:pt>
                <c:pt idx="24">
                  <c:v>500</c:v>
                </c:pt>
                <c:pt idx="25">
                  <c:v>510</c:v>
                </c:pt>
                <c:pt idx="26">
                  <c:v>520</c:v>
                </c:pt>
                <c:pt idx="27">
                  <c:v>530</c:v>
                </c:pt>
                <c:pt idx="28">
                  <c:v>540</c:v>
                </c:pt>
                <c:pt idx="29">
                  <c:v>550</c:v>
                </c:pt>
                <c:pt idx="30">
                  <c:v>560</c:v>
                </c:pt>
                <c:pt idx="31">
                  <c:v>570</c:v>
                </c:pt>
                <c:pt idx="32">
                  <c:v>580</c:v>
                </c:pt>
                <c:pt idx="33">
                  <c:v>590</c:v>
                </c:pt>
                <c:pt idx="34">
                  <c:v>600</c:v>
                </c:pt>
                <c:pt idx="35">
                  <c:v>700</c:v>
                </c:pt>
                <c:pt idx="36">
                  <c:v>800</c:v>
                </c:pt>
                <c:pt idx="37">
                  <c:v>900</c:v>
                </c:pt>
                <c:pt idx="38">
                  <c:v>1000</c:v>
                </c:pt>
                <c:pt idx="39">
                  <c:v>1100</c:v>
                </c:pt>
                <c:pt idx="40">
                  <c:v>1200</c:v>
                </c:pt>
                <c:pt idx="41">
                  <c:v>1300</c:v>
                </c:pt>
                <c:pt idx="42">
                  <c:v>1400</c:v>
                </c:pt>
                <c:pt idx="43">
                  <c:v>1500</c:v>
                </c:pt>
                <c:pt idx="44">
                  <c:v>1600</c:v>
                </c:pt>
                <c:pt idx="45">
                  <c:v>1700</c:v>
                </c:pt>
                <c:pt idx="46">
                  <c:v>1800</c:v>
                </c:pt>
                <c:pt idx="47">
                  <c:v>1900</c:v>
                </c:pt>
                <c:pt idx="48">
                  <c:v>2000</c:v>
                </c:pt>
                <c:pt idx="49">
                  <c:v>2100</c:v>
                </c:pt>
              </c:numCache>
            </c:numRef>
          </c:xVal>
          <c:yVal>
            <c:numRef>
              <c:f>'the 19th hole'!$G$39:$G$88</c:f>
              <c:numCache>
                <c:formatCode>[$€-2]\ #,##0</c:formatCode>
                <c:ptCount val="50"/>
                <c:pt idx="0">
                  <c:v>144859.72842847556</c:v>
                </c:pt>
                <c:pt idx="1">
                  <c:v>269590.60184817808</c:v>
                </c:pt>
                <c:pt idx="2">
                  <c:v>377277.18719872413</c:v>
                </c:pt>
                <c:pt idx="3">
                  <c:v>470458.61526328744</c:v>
                </c:pt>
                <c:pt idx="4">
                  <c:v>551238.40185229108</c:v>
                </c:pt>
                <c:pt idx="5">
                  <c:v>621369.53021456813</c:v>
                </c:pt>
                <c:pt idx="6">
                  <c:v>682320.93416212313</c:v>
                </c:pt>
                <c:pt idx="7">
                  <c:v>735329.86392835062</c:v>
                </c:pt>
                <c:pt idx="8">
                  <c:v>781443.44106265297</c:v>
                </c:pt>
                <c:pt idx="9">
                  <c:v>821551.86522268457</c:v>
                </c:pt>
                <c:pt idx="10">
                  <c:v>856415.12424477958</c:v>
                </c:pt>
                <c:pt idx="11">
                  <c:v>886684.61116254725</c:v>
                </c:pt>
                <c:pt idx="12">
                  <c:v>912920.72098907013</c:v>
                </c:pt>
                <c:pt idx="13">
                  <c:v>935607.253438466</c:v>
                </c:pt>
                <c:pt idx="14">
                  <c:v>955163.26238462282</c:v>
                </c:pt>
                <c:pt idx="15">
                  <c:v>971952.85243747453</c:v>
                </c:pt>
                <c:pt idx="16">
                  <c:v>986293.31587235699</c:v>
                </c:pt>
                <c:pt idx="17">
                  <c:v>998461.92082203622</c:v>
                </c:pt>
                <c:pt idx="18">
                  <c:v>1008701.5979665397</c:v>
                </c:pt>
                <c:pt idx="19">
                  <c:v>1017225.7233983984</c:v>
                </c:pt>
                <c:pt idx="20">
                  <c:v>1024222.1565401531</c:v>
                </c:pt>
                <c:pt idx="21">
                  <c:v>1029856.6614397548</c:v>
                </c:pt>
                <c:pt idx="22">
                  <c:v>1034275.8155834542</c:v>
                </c:pt>
                <c:pt idx="23">
                  <c:v>1037609.4911199291</c:v>
                </c:pt>
                <c:pt idx="24">
                  <c:v>1039972.9779989794</c:v>
                </c:pt>
                <c:pt idx="25">
                  <c:v>1041468.8061629091</c:v>
                </c:pt>
                <c:pt idx="26">
                  <c:v>1042188.3139489595</c:v>
                </c:pt>
                <c:pt idx="27">
                  <c:v>1042213.0017719698</c:v>
                </c:pt>
                <c:pt idx="28">
                  <c:v>1041615.7035724644</c:v>
                </c:pt>
                <c:pt idx="29">
                  <c:v>1040461.6031350964</c:v>
                </c:pt>
                <c:pt idx="30">
                  <c:v>1038809.1179690239</c:v>
                </c:pt>
                <c:pt idx="31">
                  <c:v>1036710.669808225</c:v>
                </c:pt>
                <c:pt idx="32">
                  <c:v>1034213.3577876764</c:v>
                </c:pt>
                <c:pt idx="33">
                  <c:v>1031359.5478624469</c:v>
                </c:pt>
                <c:pt idx="34">
                  <c:v>1028187.3899667513</c:v>
                </c:pt>
                <c:pt idx="35">
                  <c:v>985104.42081539321</c:v>
                </c:pt>
                <c:pt idx="36">
                  <c:v>933219.50848926988</c:v>
                </c:pt>
                <c:pt idx="37">
                  <c:v>880917.95766693447</c:v>
                </c:pt>
                <c:pt idx="38">
                  <c:v>831338.85314930137</c:v>
                </c:pt>
                <c:pt idx="39">
                  <c:v>785522.26095810602</c:v>
                </c:pt>
                <c:pt idx="40">
                  <c:v>743639.76069940359</c:v>
                </c:pt>
                <c:pt idx="41">
                  <c:v>705508.4138351829</c:v>
                </c:pt>
                <c:pt idx="42">
                  <c:v>670814.37853000883</c:v>
                </c:pt>
                <c:pt idx="43">
                  <c:v>639211.68487958203</c:v>
                </c:pt>
                <c:pt idx="44">
                  <c:v>610365.04802890634</c:v>
                </c:pt>
                <c:pt idx="45">
                  <c:v>583966.95838628535</c:v>
                </c:pt>
                <c:pt idx="46">
                  <c:v>559742.87360790663</c:v>
                </c:pt>
                <c:pt idx="47">
                  <c:v>537451.01599244936</c:v>
                </c:pt>
                <c:pt idx="48">
                  <c:v>516879.88519746234</c:v>
                </c:pt>
                <c:pt idx="49">
                  <c:v>497844.97583694715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9-43B2-AC0E-27E2E56FF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132416"/>
        <c:axId val="1047137696"/>
      </c:scatterChart>
      <c:valAx>
        <c:axId val="104713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37696"/>
        <c:crosses val="autoZero"/>
        <c:crossBetween val="midCat"/>
      </c:valAx>
      <c:valAx>
        <c:axId val="10471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€-2]\ 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3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Microsoft!$C$6</c:f>
              <c:strCache>
                <c:ptCount val="1"/>
                <c:pt idx="0">
                  <c:v>Average of Seasonally Adjusted Sales (USD)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1502044316173626"/>
                  <c:y val="-6.46700973215521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4386506467568047"/>
                  <c:y val="0.201063384956991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Microsoft!$B$7:$B$26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Microsoft!$C$7:$C$26</c:f>
              <c:numCache>
                <c:formatCode>General</c:formatCode>
                <c:ptCount val="20"/>
                <c:pt idx="0">
                  <c:v>150781.17000000001</c:v>
                </c:pt>
                <c:pt idx="1">
                  <c:v>161696.25</c:v>
                </c:pt>
                <c:pt idx="2">
                  <c:v>175688.83</c:v>
                </c:pt>
                <c:pt idx="3">
                  <c:v>185437.25</c:v>
                </c:pt>
                <c:pt idx="4">
                  <c:v>196728.17</c:v>
                </c:pt>
                <c:pt idx="5">
                  <c:v>206334.07999999999</c:v>
                </c:pt>
                <c:pt idx="6">
                  <c:v>215657.67</c:v>
                </c:pt>
                <c:pt idx="7">
                  <c:v>233872</c:v>
                </c:pt>
                <c:pt idx="8">
                  <c:v>248748.25</c:v>
                </c:pt>
                <c:pt idx="9">
                  <c:v>255663.75</c:v>
                </c:pt>
                <c:pt idx="10">
                  <c:v>261272.42</c:v>
                </c:pt>
                <c:pt idx="11">
                  <c:v>272232.5</c:v>
                </c:pt>
                <c:pt idx="12">
                  <c:v>288987.5</c:v>
                </c:pt>
                <c:pt idx="13">
                  <c:v>307826.08</c:v>
                </c:pt>
                <c:pt idx="14">
                  <c:v>323823.08</c:v>
                </c:pt>
                <c:pt idx="15">
                  <c:v>334008</c:v>
                </c:pt>
                <c:pt idx="16">
                  <c:v>328780.33</c:v>
                </c:pt>
                <c:pt idx="17">
                  <c:v>303288.92</c:v>
                </c:pt>
                <c:pt idx="18">
                  <c:v>323964.17</c:v>
                </c:pt>
                <c:pt idx="19">
                  <c:v>349717.75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31-4490-9E57-B7CE00378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68992"/>
        <c:axId val="1670768512"/>
      </c:scatterChart>
      <c:valAx>
        <c:axId val="167076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68512"/>
        <c:crosses val="autoZero"/>
        <c:crossBetween val="midCat"/>
      </c:valAx>
      <c:valAx>
        <c:axId val="167076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Adjusted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6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12" Type="http://schemas.openxmlformats.org/officeDocument/2006/relationships/customXml" Target="../ink/ink6.xml"/><Relationship Id="rId2" Type="http://schemas.openxmlformats.org/officeDocument/2006/relationships/customXml" Target="../ink/ink1.xml"/><Relationship Id="rId1" Type="http://schemas.openxmlformats.org/officeDocument/2006/relationships/image" Target="../media/image8.png"/><Relationship Id="rId6" Type="http://schemas.openxmlformats.org/officeDocument/2006/relationships/customXml" Target="../ink/ink3.xml"/><Relationship Id="rId11" Type="http://schemas.openxmlformats.org/officeDocument/2006/relationships/image" Target="../media/image13.png"/><Relationship Id="rId5" Type="http://schemas.openxmlformats.org/officeDocument/2006/relationships/image" Target="../media/image10.png"/><Relationship Id="rId15" Type="http://schemas.openxmlformats.org/officeDocument/2006/relationships/image" Target="../media/image15.png"/><Relationship Id="rId10" Type="http://schemas.openxmlformats.org/officeDocument/2006/relationships/customXml" Target="../ink/ink5.xml"/><Relationship Id="rId4" Type="http://schemas.openxmlformats.org/officeDocument/2006/relationships/customXml" Target="../ink/ink2.xml"/><Relationship Id="rId9" Type="http://schemas.openxmlformats.org/officeDocument/2006/relationships/image" Target="../media/image12.png"/><Relationship Id="rId14" Type="http://schemas.openxmlformats.org/officeDocument/2006/relationships/customXml" Target="../ink/ink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customXml" Target="../ink/ink8.xml"/><Relationship Id="rId1" Type="http://schemas.openxmlformats.org/officeDocument/2006/relationships/image" Target="../media/image2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4" Type="http://schemas.openxmlformats.org/officeDocument/2006/relationships/image" Target="../media/image4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630512</xdr:colOff>
      <xdr:row>1</xdr:row>
      <xdr:rowOff>9525</xdr:rowOff>
    </xdr:from>
    <xdr:to>
      <xdr:col>14</xdr:col>
      <xdr:colOff>477848</xdr:colOff>
      <xdr:row>13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C7C7C8-F4E8-7DA4-2D8C-942E357B3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4412" y="266700"/>
          <a:ext cx="6972036" cy="2324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771525</xdr:colOff>
      <xdr:row>1</xdr:row>
      <xdr:rowOff>66675</xdr:rowOff>
    </xdr:from>
    <xdr:to>
      <xdr:col>16</xdr:col>
      <xdr:colOff>382070</xdr:colOff>
      <xdr:row>8</xdr:row>
      <xdr:rowOff>101681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8F082-8864-7201-CC49-0748044F1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5425" y="257175"/>
          <a:ext cx="7001945" cy="1435181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8</xdr:row>
      <xdr:rowOff>133351</xdr:rowOff>
    </xdr:from>
    <xdr:to>
      <xdr:col>16</xdr:col>
      <xdr:colOff>134467</xdr:colOff>
      <xdr:row>17</xdr:row>
      <xdr:rowOff>34424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4DD8DE-34AE-A93F-A6A7-49C8FD125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0" y="1724026"/>
          <a:ext cx="6916267" cy="1663198"/>
        </a:xfrm>
        <a:prstGeom prst="rect">
          <a:avLst/>
        </a:prstGeom>
      </xdr:spPr>
    </xdr:pic>
    <xdr:clientData/>
  </xdr:twoCellAnchor>
  <xdr:twoCellAnchor>
    <xdr:from>
      <xdr:col>3</xdr:col>
      <xdr:colOff>752475</xdr:colOff>
      <xdr:row>1</xdr:row>
      <xdr:rowOff>95250</xdr:rowOff>
    </xdr:from>
    <xdr:to>
      <xdr:col>8</xdr:col>
      <xdr:colOff>66675</xdr:colOff>
      <xdr:row>13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430462-BBED-47D2-EBF6-A87504133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438150</xdr:colOff>
      <xdr:row>41</xdr:row>
      <xdr:rowOff>4762</xdr:rowOff>
    </xdr:from>
    <xdr:to>
      <xdr:col>14</xdr:col>
      <xdr:colOff>361950</xdr:colOff>
      <xdr:row>55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CC4FBC-EEBF-1E8A-C37C-06764373D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296551</xdr:colOff>
      <xdr:row>2</xdr:row>
      <xdr:rowOff>133350</xdr:rowOff>
    </xdr:from>
    <xdr:to>
      <xdr:col>23</xdr:col>
      <xdr:colOff>85725</xdr:colOff>
      <xdr:row>18</xdr:row>
      <xdr:rowOff>10302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DB4460-9070-1915-8FE5-1C4B4158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4726" y="590550"/>
          <a:ext cx="6494774" cy="29249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7280</xdr:colOff>
      <xdr:row>1</xdr:row>
      <xdr:rowOff>142876</xdr:rowOff>
    </xdr:from>
    <xdr:to>
      <xdr:col>23</xdr:col>
      <xdr:colOff>229897</xdr:colOff>
      <xdr:row>11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D2BB6-DE4F-7561-E6AE-AB685A378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0855" y="333376"/>
          <a:ext cx="8757017" cy="2628900"/>
        </a:xfrm>
        <a:prstGeom prst="rect">
          <a:avLst/>
        </a:prstGeom>
      </xdr:spPr>
    </xdr:pic>
    <xdr:clientData/>
  </xdr:twoCellAnchor>
  <xdr:twoCellAnchor>
    <xdr:from>
      <xdr:col>12</xdr:col>
      <xdr:colOff>142875</xdr:colOff>
      <xdr:row>18</xdr:row>
      <xdr:rowOff>4761</xdr:rowOff>
    </xdr:from>
    <xdr:to>
      <xdr:col>20</xdr:col>
      <xdr:colOff>47625</xdr:colOff>
      <xdr:row>32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FF28D2-C1EE-489F-CE23-663736D91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531028</xdr:colOff>
      <xdr:row>10</xdr:row>
      <xdr:rowOff>163676</xdr:rowOff>
    </xdr:from>
    <xdr:to>
      <xdr:col>15</xdr:col>
      <xdr:colOff>494675</xdr:colOff>
      <xdr:row>27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8362F1-87D5-2E9D-BEFC-AC0855324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7828" y="2154401"/>
          <a:ext cx="6726397" cy="29986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1</xdr:row>
      <xdr:rowOff>0</xdr:rowOff>
    </xdr:from>
    <xdr:to>
      <xdr:col>20</xdr:col>
      <xdr:colOff>619761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BF9D55-4008-D745-3140-7635FA473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4725" y="190500"/>
          <a:ext cx="8382636" cy="42195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16</xdr:row>
      <xdr:rowOff>152400</xdr:rowOff>
    </xdr:from>
    <xdr:to>
      <xdr:col>9</xdr:col>
      <xdr:colOff>182053</xdr:colOff>
      <xdr:row>28</xdr:row>
      <xdr:rowOff>96882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9BBE17-FF1D-136B-D289-DD12634D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3429000"/>
          <a:ext cx="7021003" cy="2116182"/>
        </a:xfrm>
        <a:prstGeom prst="rect">
          <a:avLst/>
        </a:prstGeom>
      </xdr:spPr>
    </xdr:pic>
    <xdr:clientData/>
  </xdr:twoCellAnchor>
  <xdr:twoCellAnchor editAs="oneCell">
    <xdr:from>
      <xdr:col>18</xdr:col>
      <xdr:colOff>342720</xdr:colOff>
      <xdr:row>7</xdr:row>
      <xdr:rowOff>0</xdr:rowOff>
    </xdr:from>
    <xdr:to>
      <xdr:col>19</xdr:col>
      <xdr:colOff>238200</xdr:colOff>
      <xdr:row>7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B846984-2971-6AC6-B503-EB024F471CF0}"/>
                </a:ext>
              </a:extLst>
            </xdr14:cNvPr>
            <xdr14:cNvContentPartPr/>
          </xdr14:nvContentPartPr>
          <xdr14:nvPr macro=""/>
          <xdr14:xfrm>
            <a:off x="11315520" y="1437840"/>
            <a:ext cx="505080" cy="100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B846984-2971-6AC6-B503-EB024F471CF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261520" y="1329840"/>
              <a:ext cx="61272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600000</xdr:colOff>
      <xdr:row>7</xdr:row>
      <xdr:rowOff>0</xdr:rowOff>
    </xdr:from>
    <xdr:to>
      <xdr:col>21</xdr:col>
      <xdr:colOff>533880</xdr:colOff>
      <xdr:row>7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A221263-986C-8776-8505-5F5C7149D35B}"/>
                </a:ext>
              </a:extLst>
            </xdr14:cNvPr>
            <xdr14:cNvContentPartPr/>
          </xdr14:nvContentPartPr>
          <xdr14:nvPr macro=""/>
          <xdr14:xfrm>
            <a:off x="12182400" y="1609560"/>
            <a:ext cx="1153080" cy="7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A221263-986C-8776-8505-5F5C7149D35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28400" y="1393560"/>
              <a:ext cx="126072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599880</xdr:colOff>
      <xdr:row>7</xdr:row>
      <xdr:rowOff>0</xdr:rowOff>
    </xdr:from>
    <xdr:to>
      <xdr:col>25</xdr:col>
      <xdr:colOff>170520</xdr:colOff>
      <xdr:row>7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C8AD05C-EF58-BDF2-C3FB-6CD1865DBA2A}"/>
                </a:ext>
              </a:extLst>
            </xdr14:cNvPr>
            <xdr14:cNvContentPartPr/>
          </xdr14:nvContentPartPr>
          <xdr14:nvPr macro=""/>
          <xdr14:xfrm>
            <a:off x="14620680" y="1657080"/>
            <a:ext cx="78984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C8AD05C-EF58-BDF2-C3FB-6CD1865DBA2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567040" y="1549440"/>
              <a:ext cx="89748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523800</xdr:colOff>
      <xdr:row>7</xdr:row>
      <xdr:rowOff>142380</xdr:rowOff>
    </xdr:from>
    <xdr:to>
      <xdr:col>17</xdr:col>
      <xdr:colOff>581160</xdr:colOff>
      <xdr:row>7</xdr:row>
      <xdr:rowOff>161820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157817E9-F285-3C43-5638-32391ECC7823}"/>
                </a:ext>
              </a:extLst>
            </xdr14:cNvPr>
            <xdr14:cNvContentPartPr/>
          </xdr14:nvContentPartPr>
          <xdr14:nvPr macro=""/>
          <xdr14:xfrm>
            <a:off x="9667800" y="1856880"/>
            <a:ext cx="1276560" cy="19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157817E9-F285-3C43-5638-32391ECC782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613800" y="1748880"/>
              <a:ext cx="138420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199680</xdr:colOff>
      <xdr:row>7</xdr:row>
      <xdr:rowOff>133020</xdr:rowOff>
    </xdr:from>
    <xdr:to>
      <xdr:col>21</xdr:col>
      <xdr:colOff>381240</xdr:colOff>
      <xdr:row>7</xdr:row>
      <xdr:rowOff>142740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3A0AA27-9490-AEF6-F8A9-981840E9CCF6}"/>
                </a:ext>
              </a:extLst>
            </xdr14:cNvPr>
            <xdr14:cNvContentPartPr/>
          </xdr14:nvContentPartPr>
          <xdr14:nvPr macro=""/>
          <xdr14:xfrm>
            <a:off x="11782080" y="1847520"/>
            <a:ext cx="1400760" cy="9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3A0AA27-9490-AEF6-F8A9-981840E9CCF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728080" y="1739520"/>
              <a:ext cx="150840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409320</xdr:colOff>
      <xdr:row>8</xdr:row>
      <xdr:rowOff>75720</xdr:rowOff>
    </xdr:from>
    <xdr:to>
      <xdr:col>16</xdr:col>
      <xdr:colOff>76200</xdr:colOff>
      <xdr:row>8</xdr:row>
      <xdr:rowOff>104880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0712FC7-9F6B-E740-45B1-4D49BF36D1DD}"/>
                </a:ext>
              </a:extLst>
            </xdr14:cNvPr>
            <xdr14:cNvContentPartPr/>
          </xdr14:nvContentPartPr>
          <xdr14:nvPr macro=""/>
          <xdr14:xfrm>
            <a:off x="9553320" y="1980720"/>
            <a:ext cx="276480" cy="291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0712FC7-9F6B-E740-45B1-4D49BF36D1D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499320" y="1872720"/>
              <a:ext cx="38412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476040</xdr:colOff>
      <xdr:row>8</xdr:row>
      <xdr:rowOff>113880</xdr:rowOff>
    </xdr:from>
    <xdr:to>
      <xdr:col>23</xdr:col>
      <xdr:colOff>181200</xdr:colOff>
      <xdr:row>8</xdr:row>
      <xdr:rowOff>171480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D3BB14C-C686-F710-7A39-A96088A2F6A6}"/>
                </a:ext>
              </a:extLst>
            </xdr14:cNvPr>
            <xdr14:cNvContentPartPr/>
          </xdr14:nvContentPartPr>
          <xdr14:nvPr macro=""/>
          <xdr14:xfrm>
            <a:off x="12668040" y="2018880"/>
            <a:ext cx="1533960" cy="576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D3BB14C-C686-F710-7A39-A96088A2F6A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614040" y="1910880"/>
              <a:ext cx="1641600" cy="273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12</xdr:row>
      <xdr:rowOff>144392</xdr:rowOff>
    </xdr:from>
    <xdr:to>
      <xdr:col>7</xdr:col>
      <xdr:colOff>361951</xdr:colOff>
      <xdr:row>23</xdr:row>
      <xdr:rowOff>38447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9BEDB-4B06-3E50-FEFA-6F3249125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6" y="2316092"/>
          <a:ext cx="5867400" cy="188478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27</xdr:row>
      <xdr:rowOff>76200</xdr:rowOff>
    </xdr:from>
    <xdr:to>
      <xdr:col>9</xdr:col>
      <xdr:colOff>229334</xdr:colOff>
      <xdr:row>38</xdr:row>
      <xdr:rowOff>57440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72BB0-0A56-6A6B-6D57-F7AB40375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7325" y="5219700"/>
          <a:ext cx="5258534" cy="20767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1056165</xdr:colOff>
      <xdr:row>18</xdr:row>
      <xdr:rowOff>133350</xdr:rowOff>
    </xdr:from>
    <xdr:to>
      <xdr:col>15</xdr:col>
      <xdr:colOff>200998</xdr:colOff>
      <xdr:row>34</xdr:row>
      <xdr:rowOff>66284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A202E-E5E5-13F3-ECE2-8FF58937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1140" y="3581400"/>
          <a:ext cx="5993308" cy="282853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19</xdr:row>
      <xdr:rowOff>18247</xdr:rowOff>
    </xdr:from>
    <xdr:to>
      <xdr:col>6</xdr:col>
      <xdr:colOff>143978</xdr:colOff>
      <xdr:row>31</xdr:row>
      <xdr:rowOff>133806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106E12-99C3-F8FF-6BDA-41359714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647272"/>
          <a:ext cx="6230453" cy="228725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581025</xdr:colOff>
      <xdr:row>4</xdr:row>
      <xdr:rowOff>133350</xdr:rowOff>
    </xdr:from>
    <xdr:to>
      <xdr:col>20</xdr:col>
      <xdr:colOff>524968</xdr:colOff>
      <xdr:row>24</xdr:row>
      <xdr:rowOff>486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D55F1-4067-7E16-0169-95B4D3C9E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895350"/>
          <a:ext cx="4820743" cy="367713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114755</xdr:colOff>
      <xdr:row>2</xdr:row>
      <xdr:rowOff>57150</xdr:rowOff>
    </xdr:from>
    <xdr:to>
      <xdr:col>19</xdr:col>
      <xdr:colOff>96481</xdr:colOff>
      <xdr:row>11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A6025-F6A4-44D2-65DB-2EE95AAC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4305" y="438150"/>
          <a:ext cx="7230251" cy="181927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11</xdr:row>
      <xdr:rowOff>171451</xdr:rowOff>
    </xdr:from>
    <xdr:to>
      <xdr:col>19</xdr:col>
      <xdr:colOff>439414</xdr:colOff>
      <xdr:row>14</xdr:row>
      <xdr:rowOff>180436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10050A-88E8-7B81-2AB9-C75BCD639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2266951"/>
          <a:ext cx="7621264" cy="6090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428625</xdr:colOff>
      <xdr:row>4</xdr:row>
      <xdr:rowOff>71633</xdr:rowOff>
    </xdr:from>
    <xdr:to>
      <xdr:col>31</xdr:col>
      <xdr:colOff>183985</xdr:colOff>
      <xdr:row>25</xdr:row>
      <xdr:rowOff>176892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2ABD19-09D6-B728-242A-EEF3B44B3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3625" y="1652783"/>
          <a:ext cx="5851360" cy="4105759"/>
        </a:xfrm>
        <a:prstGeom prst="rect">
          <a:avLst/>
        </a:prstGeom>
      </xdr:spPr>
    </xdr:pic>
    <xdr:clientData/>
  </xdr:twoCellAnchor>
  <xdr:twoCellAnchor editAs="oneCell">
    <xdr:from>
      <xdr:col>14</xdr:col>
      <xdr:colOff>533145</xdr:colOff>
      <xdr:row>30</xdr:row>
      <xdr:rowOff>75960</xdr:rowOff>
    </xdr:from>
    <xdr:to>
      <xdr:col>14</xdr:col>
      <xdr:colOff>588945</xdr:colOff>
      <xdr:row>30</xdr:row>
      <xdr:rowOff>85680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5A43745-A02F-1999-A17E-D182E883B6C6}"/>
                </a:ext>
              </a:extLst>
            </xdr14:cNvPr>
            <xdr14:cNvContentPartPr/>
          </xdr14:nvContentPartPr>
          <xdr14:nvPr macro=""/>
          <xdr14:xfrm>
            <a:off x="10010520" y="5790960"/>
            <a:ext cx="55800" cy="9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A5A43745-A02F-1999-A17E-D182E883B6C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004400" y="5784840"/>
              <a:ext cx="68040" cy="21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333397</xdr:colOff>
      <xdr:row>2</xdr:row>
      <xdr:rowOff>19050</xdr:rowOff>
    </xdr:from>
    <xdr:to>
      <xdr:col>23</xdr:col>
      <xdr:colOff>96797</xdr:colOff>
      <xdr:row>34</xdr:row>
      <xdr:rowOff>143980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C5969-2FD9-F7EB-F664-BB277590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0497" y="400050"/>
          <a:ext cx="7688200" cy="6220930"/>
        </a:xfrm>
        <a:prstGeom prst="rect">
          <a:avLst/>
        </a:prstGeom>
      </xdr:spPr>
    </xdr:pic>
    <xdr:clientData/>
  </xdr:twoCellAnchor>
  <xdr:twoCellAnchor editAs="oneCell">
    <xdr:from>
      <xdr:col>11</xdr:col>
      <xdr:colOff>552450</xdr:colOff>
      <xdr:row>38</xdr:row>
      <xdr:rowOff>152400</xdr:rowOff>
    </xdr:from>
    <xdr:to>
      <xdr:col>20</xdr:col>
      <xdr:colOff>105760</xdr:colOff>
      <xdr:row>52</xdr:row>
      <xdr:rowOff>93552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248E80-B234-DB64-8C01-40BA58FCE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5" y="7010400"/>
          <a:ext cx="5039710" cy="260815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115286</xdr:rowOff>
    </xdr:from>
    <xdr:to>
      <xdr:col>24</xdr:col>
      <xdr:colOff>38100</xdr:colOff>
      <xdr:row>22</xdr:row>
      <xdr:rowOff>28197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AACF5-0CEA-D89B-C08E-6A3CB8C78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7175" y="305786"/>
          <a:ext cx="7934325" cy="5075461"/>
        </a:xfrm>
        <a:prstGeom prst="rect">
          <a:avLst/>
        </a:prstGeom>
      </xdr:spPr>
    </xdr:pic>
    <xdr:clientData/>
  </xdr:twoCellAnchor>
  <xdr:twoCellAnchor editAs="oneCell">
    <xdr:from>
      <xdr:col>14</xdr:col>
      <xdr:colOff>221322</xdr:colOff>
      <xdr:row>27</xdr:row>
      <xdr:rowOff>123824</xdr:rowOff>
    </xdr:from>
    <xdr:to>
      <xdr:col>24</xdr:col>
      <xdr:colOff>229633</xdr:colOff>
      <xdr:row>60</xdr:row>
      <xdr:rowOff>20097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E9637-FEFA-ABEF-6221-AC233F782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5722" y="5267324"/>
          <a:ext cx="6104311" cy="6182773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61</xdr:row>
      <xdr:rowOff>73776</xdr:rowOff>
    </xdr:from>
    <xdr:to>
      <xdr:col>25</xdr:col>
      <xdr:colOff>534670</xdr:colOff>
      <xdr:row>72</xdr:row>
      <xdr:rowOff>9888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519120-C75E-2BB1-C5FF-1FAB5AA61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67750" y="11694276"/>
          <a:ext cx="7106920" cy="203161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287515</xdr:colOff>
      <xdr:row>3</xdr:row>
      <xdr:rowOff>9524</xdr:rowOff>
    </xdr:from>
    <xdr:to>
      <xdr:col>21</xdr:col>
      <xdr:colOff>217327</xdr:colOff>
      <xdr:row>24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B62CD5-A688-5779-3D3B-7D629754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3865" y="552449"/>
          <a:ext cx="6406812" cy="39243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86507</xdr:colOff>
      <xdr:row>2</xdr:row>
      <xdr:rowOff>133349</xdr:rowOff>
    </xdr:from>
    <xdr:to>
      <xdr:col>19</xdr:col>
      <xdr:colOff>210699</xdr:colOff>
      <xdr:row>28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9A76F-2C37-452D-A0A7-4A36EF59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7407" y="495299"/>
          <a:ext cx="6601192" cy="48291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9524</xdr:colOff>
      <xdr:row>2</xdr:row>
      <xdr:rowOff>78619</xdr:rowOff>
    </xdr:from>
    <xdr:to>
      <xdr:col>22</xdr:col>
      <xdr:colOff>380999</xdr:colOff>
      <xdr:row>24</xdr:row>
      <xdr:rowOff>96264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FB5033-A42E-C7E0-A571-BC188765F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6174" y="459619"/>
          <a:ext cx="7686675" cy="4446770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24</xdr:row>
      <xdr:rowOff>162699</xdr:rowOff>
    </xdr:from>
    <xdr:to>
      <xdr:col>23</xdr:col>
      <xdr:colOff>439459</xdr:colOff>
      <xdr:row>36</xdr:row>
      <xdr:rowOff>9844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56A1F5-AF68-0143-0620-09C2759E2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5" y="4734699"/>
          <a:ext cx="8754784" cy="213314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533399</xdr:colOff>
      <xdr:row>3</xdr:row>
      <xdr:rowOff>10405</xdr:rowOff>
    </xdr:from>
    <xdr:to>
      <xdr:col>24</xdr:col>
      <xdr:colOff>322320</xdr:colOff>
      <xdr:row>21</xdr:row>
      <xdr:rowOff>219074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9A5E1-C33D-77DF-3CD9-1B5419076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8999" y="581905"/>
          <a:ext cx="7713721" cy="3828169"/>
        </a:xfrm>
        <a:prstGeom prst="rect">
          <a:avLst/>
        </a:prstGeom>
      </xdr:spPr>
    </xdr:pic>
    <xdr:clientData/>
  </xdr:twoCellAnchor>
  <xdr:twoCellAnchor editAs="oneCell">
    <xdr:from>
      <xdr:col>13</xdr:col>
      <xdr:colOff>576574</xdr:colOff>
      <xdr:row>29</xdr:row>
      <xdr:rowOff>1</xdr:rowOff>
    </xdr:from>
    <xdr:to>
      <xdr:col>24</xdr:col>
      <xdr:colOff>420180</xdr:colOff>
      <xdr:row>60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AEF2EE-DCCC-CCA1-678F-A75AABE63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01374" y="4762501"/>
          <a:ext cx="6549206" cy="6000750"/>
        </a:xfrm>
        <a:prstGeom prst="rect">
          <a:avLst/>
        </a:prstGeom>
      </xdr:spPr>
    </xdr:pic>
    <xdr:clientData/>
  </xdr:twoCellAnchor>
  <xdr:twoCellAnchor editAs="oneCell">
    <xdr:from>
      <xdr:col>13</xdr:col>
      <xdr:colOff>371475</xdr:colOff>
      <xdr:row>62</xdr:row>
      <xdr:rowOff>57150</xdr:rowOff>
    </xdr:from>
    <xdr:to>
      <xdr:col>25</xdr:col>
      <xdr:colOff>86738</xdr:colOff>
      <xdr:row>78</xdr:row>
      <xdr:rowOff>173781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C82956-A32E-7040-10D7-F17415E3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11106150"/>
          <a:ext cx="7030463" cy="316463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380927</xdr:colOff>
      <xdr:row>1</xdr:row>
      <xdr:rowOff>66675</xdr:rowOff>
    </xdr:from>
    <xdr:to>
      <xdr:col>21</xdr:col>
      <xdr:colOff>534719</xdr:colOff>
      <xdr:row>29</xdr:row>
      <xdr:rowOff>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9891F-D595-B353-A812-AAC309FEC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0302" y="247650"/>
          <a:ext cx="7926192" cy="5906631"/>
        </a:xfrm>
        <a:prstGeom prst="rect">
          <a:avLst/>
        </a:prstGeom>
      </xdr:spPr>
    </xdr:pic>
    <xdr:clientData/>
  </xdr:twoCellAnchor>
  <xdr:twoCellAnchor editAs="oneCell">
    <xdr:from>
      <xdr:col>9</xdr:col>
      <xdr:colOff>484777</xdr:colOff>
      <xdr:row>30</xdr:row>
      <xdr:rowOff>133350</xdr:rowOff>
    </xdr:from>
    <xdr:to>
      <xdr:col>23</xdr:col>
      <xdr:colOff>544191</xdr:colOff>
      <xdr:row>52</xdr:row>
      <xdr:rowOff>67309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1969DD-2948-281F-FDC7-E8EFE384A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14152" y="6467475"/>
          <a:ext cx="9127214" cy="4096384"/>
        </a:xfrm>
        <a:prstGeom prst="rect">
          <a:avLst/>
        </a:prstGeom>
      </xdr:spPr>
    </xdr:pic>
    <xdr:clientData/>
  </xdr:twoCellAnchor>
  <xdr:twoCellAnchor editAs="oneCell">
    <xdr:from>
      <xdr:col>12</xdr:col>
      <xdr:colOff>556555</xdr:colOff>
      <xdr:row>62</xdr:row>
      <xdr:rowOff>76200</xdr:rowOff>
    </xdr:from>
    <xdr:to>
      <xdr:col>21</xdr:col>
      <xdr:colOff>96112</xdr:colOff>
      <xdr:row>94</xdr:row>
      <xdr:rowOff>105827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3AF427-A52C-4FB2-DB49-58C31537D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1755" y="11887200"/>
          <a:ext cx="5025957" cy="6125627"/>
        </a:xfrm>
        <a:prstGeom prst="rect">
          <a:avLst/>
        </a:prstGeom>
      </xdr:spPr>
    </xdr:pic>
    <xdr:clientData/>
  </xdr:twoCellAnchor>
  <xdr:twoCellAnchor editAs="oneCell">
    <xdr:from>
      <xdr:col>12</xdr:col>
      <xdr:colOff>507314</xdr:colOff>
      <xdr:row>91</xdr:row>
      <xdr:rowOff>133350</xdr:rowOff>
    </xdr:from>
    <xdr:to>
      <xdr:col>20</xdr:col>
      <xdr:colOff>524804</xdr:colOff>
      <xdr:row>111</xdr:row>
      <xdr:rowOff>48332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8364FE-1E0C-8C67-46BF-9C6C9167F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2514" y="17468850"/>
          <a:ext cx="4894290" cy="372498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591436</xdr:colOff>
      <xdr:row>4</xdr:row>
      <xdr:rowOff>28726</xdr:rowOff>
    </xdr:from>
    <xdr:to>
      <xdr:col>22</xdr:col>
      <xdr:colOff>307057</xdr:colOff>
      <xdr:row>13</xdr:row>
      <xdr:rowOff>157163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7A38ED-3DAC-9D58-8D5F-17DE72343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8436" y="752626"/>
          <a:ext cx="7488021" cy="175721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538163</xdr:colOff>
      <xdr:row>2</xdr:row>
      <xdr:rowOff>74698</xdr:rowOff>
    </xdr:from>
    <xdr:to>
      <xdr:col>18</xdr:col>
      <xdr:colOff>454739</xdr:colOff>
      <xdr:row>18</xdr:row>
      <xdr:rowOff>86890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936CCA-16ED-059A-4152-DDD03A266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7463" y="436648"/>
          <a:ext cx="5745876" cy="290779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252413</xdr:colOff>
      <xdr:row>1</xdr:row>
      <xdr:rowOff>59953</xdr:rowOff>
    </xdr:from>
    <xdr:to>
      <xdr:col>18</xdr:col>
      <xdr:colOff>378795</xdr:colOff>
      <xdr:row>12</xdr:row>
      <xdr:rowOff>172192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5F289-3E65-680B-3042-36475B72D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6" y="240928"/>
          <a:ext cx="7251082" cy="210296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570075</xdr:colOff>
      <xdr:row>2</xdr:row>
      <xdr:rowOff>23812</xdr:rowOff>
    </xdr:from>
    <xdr:to>
      <xdr:col>22</xdr:col>
      <xdr:colOff>583815</xdr:colOff>
      <xdr:row>24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ED0B8D-30B2-7492-8AA5-223D2E9CB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0150" y="404812"/>
          <a:ext cx="5500140" cy="430053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371475</xdr:colOff>
      <xdr:row>2</xdr:row>
      <xdr:rowOff>187420</xdr:rowOff>
    </xdr:from>
    <xdr:to>
      <xdr:col>24</xdr:col>
      <xdr:colOff>601407</xdr:colOff>
      <xdr:row>27</xdr:row>
      <xdr:rowOff>134249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199F8-00D8-558E-4A0A-50968ED7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6675" y="568420"/>
          <a:ext cx="7545132" cy="509032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57149</xdr:colOff>
      <xdr:row>2</xdr:row>
      <xdr:rowOff>37084</xdr:rowOff>
    </xdr:from>
    <xdr:to>
      <xdr:col>17</xdr:col>
      <xdr:colOff>466725</xdr:colOff>
      <xdr:row>28</xdr:row>
      <xdr:rowOff>1806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A68D5-B6DC-A6C6-52E1-042AF4D41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49" y="418084"/>
          <a:ext cx="6505576" cy="4917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578950</xdr:colOff>
      <xdr:row>1</xdr:row>
      <xdr:rowOff>28575</xdr:rowOff>
    </xdr:from>
    <xdr:to>
      <xdr:col>20</xdr:col>
      <xdr:colOff>158467</xdr:colOff>
      <xdr:row>15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E0996-1BB5-B339-648D-4B398AB16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5350" y="219075"/>
          <a:ext cx="6285117" cy="27813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228600</xdr:colOff>
      <xdr:row>3</xdr:row>
      <xdr:rowOff>65195</xdr:rowOff>
    </xdr:from>
    <xdr:to>
      <xdr:col>24</xdr:col>
      <xdr:colOff>249019</xdr:colOff>
      <xdr:row>26</xdr:row>
      <xdr:rowOff>19775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D556E-D69F-B247-53D9-9A79E2532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636695"/>
          <a:ext cx="8554819" cy="452658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314324</xdr:colOff>
      <xdr:row>2</xdr:row>
      <xdr:rowOff>32900</xdr:rowOff>
    </xdr:from>
    <xdr:to>
      <xdr:col>19</xdr:col>
      <xdr:colOff>609599</xdr:colOff>
      <xdr:row>31</xdr:row>
      <xdr:rowOff>39043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9D646-93DA-6373-C8C2-3F19E4A5D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0774" y="413900"/>
          <a:ext cx="7610475" cy="553064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619125</xdr:colOff>
      <xdr:row>1</xdr:row>
      <xdr:rowOff>48286</xdr:rowOff>
    </xdr:from>
    <xdr:to>
      <xdr:col>18</xdr:col>
      <xdr:colOff>629999</xdr:colOff>
      <xdr:row>24</xdr:row>
      <xdr:rowOff>48318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D7813-D947-4599-4D22-83671C052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229261"/>
          <a:ext cx="9078674" cy="416245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6:29:37.93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27 0,'1402'-27'0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6:29:42.15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0,'3202'0'0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5T16:29:44.42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1,'2167'0,"-2142"0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6:29:46.69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0,'3545'53'0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6:29:47.88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0,'3890'26'0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6:29:52.49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0,'767'80'0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5T16:29:55.76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0,'4578'159'0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18:24:26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24575,'4'0'0,"7"0"0,5 0 0,0 4 0,2 2 0,3 0 0,1-2 0,2 0 0,-3-2-8191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977D0-2832-4DD2-B841-06C5460F75EC}" name="Table1" displayName="Table1" ref="A1:C13" totalsRowShown="0" headerRowDxfId="13" dataDxfId="11" headerRowBorderDxfId="12" tableBorderDxfId="10" totalsRowBorderDxfId="9">
  <autoFilter ref="A1:C13" xr:uid="{5EE977D0-2832-4DD2-B841-06C5460F75EC}"/>
  <tableColumns count="3">
    <tableColumn id="1" xr3:uid="{9190D73C-4F7B-4DEB-BF1E-602AA53C3040}" name="Month" dataDxfId="8"/>
    <tableColumn id="2" xr3:uid="{F0FFC450-D83C-4B3A-BD25-2BE2D504493C}" name="Price" dataDxfId="7"/>
    <tableColumn id="3" xr3:uid="{F3AF01BA-CF4C-4479-B732-F55741ADBDC9}" name="Demand (00s)" dataDxf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22" sqref="F22"/>
    </sheetView>
  </sheetViews>
  <sheetFormatPr defaultRowHeight="14.25" x14ac:dyDescent="0.45"/>
  <cols>
    <col min="1" max="1" width="32.59765625" customWidth="1"/>
    <col min="2" max="2" width="14.33203125" customWidth="1"/>
    <col min="3" max="3" width="16.3984375" customWidth="1"/>
  </cols>
  <sheetData>
    <row r="1" spans="1:3" ht="19.899999999999999" thickBot="1" x14ac:dyDescent="0.65">
      <c r="A1" s="6" t="s">
        <v>1</v>
      </c>
    </row>
    <row r="2" spans="1:3" ht="14.65" thickTop="1" x14ac:dyDescent="0.45"/>
    <row r="3" spans="1:3" x14ac:dyDescent="0.45">
      <c r="A3" t="s">
        <v>2</v>
      </c>
    </row>
    <row r="4" spans="1:3" x14ac:dyDescent="0.45">
      <c r="A4" s="4" t="s">
        <v>3</v>
      </c>
    </row>
    <row r="5" spans="1:3" x14ac:dyDescent="0.45">
      <c r="A5" s="5" t="s">
        <v>4</v>
      </c>
      <c r="B5" s="2">
        <v>750</v>
      </c>
    </row>
    <row r="6" spans="1:3" x14ac:dyDescent="0.45">
      <c r="A6" s="5" t="s">
        <v>5</v>
      </c>
      <c r="B6" s="2">
        <v>8</v>
      </c>
      <c r="C6" t="s">
        <v>6</v>
      </c>
    </row>
    <row r="7" spans="1:3" x14ac:dyDescent="0.45">
      <c r="A7" s="4" t="s">
        <v>9</v>
      </c>
    </row>
    <row r="8" spans="1:3" x14ac:dyDescent="0.45">
      <c r="A8" s="5" t="s">
        <v>10</v>
      </c>
      <c r="B8" s="2">
        <v>18</v>
      </c>
      <c r="C8" t="s">
        <v>6</v>
      </c>
    </row>
    <row r="9" spans="1:3" x14ac:dyDescent="0.45">
      <c r="A9" s="5" t="s">
        <v>11</v>
      </c>
      <c r="B9" s="2">
        <v>6</v>
      </c>
      <c r="C9" t="s">
        <v>6</v>
      </c>
    </row>
    <row r="12" spans="1:3" x14ac:dyDescent="0.45">
      <c r="A12" t="s">
        <v>7</v>
      </c>
      <c r="B12" s="7">
        <v>1450</v>
      </c>
    </row>
    <row r="13" spans="1:3" x14ac:dyDescent="0.45">
      <c r="A13" t="s">
        <v>0</v>
      </c>
      <c r="B13" s="7">
        <v>1500</v>
      </c>
    </row>
    <row r="14" spans="1:3" x14ac:dyDescent="0.45">
      <c r="A14" t="s">
        <v>12</v>
      </c>
      <c r="B14">
        <f>MIN(B12:B13)</f>
        <v>1450</v>
      </c>
      <c r="C14" t="str">
        <f ca="1">_xlfn.FORMULATEXT(B14)</f>
        <v>=MIN(B12:B13)</v>
      </c>
    </row>
    <row r="15" spans="1:3" x14ac:dyDescent="0.45">
      <c r="A15" t="s">
        <v>13</v>
      </c>
      <c r="B15">
        <f>MAX(B12-B13,0)</f>
        <v>0</v>
      </c>
      <c r="C15" t="str">
        <f ca="1">_xlfn.FORMULATEXT(B15)</f>
        <v>=MAX(B12-B13,0)</v>
      </c>
    </row>
    <row r="18" spans="1:3" x14ac:dyDescent="0.45">
      <c r="B18" s="5"/>
      <c r="C18" s="2"/>
    </row>
    <row r="19" spans="1:3" x14ac:dyDescent="0.45">
      <c r="A19" s="8" t="s">
        <v>8</v>
      </c>
      <c r="B19" s="10">
        <f>B5+B12*B6</f>
        <v>12350</v>
      </c>
      <c r="C19" t="str">
        <f ca="1">_xlfn.FORMULATEXT(B19)</f>
        <v>=B5+B12*B6</v>
      </c>
    </row>
    <row r="20" spans="1:3" x14ac:dyDescent="0.45">
      <c r="A20" s="8" t="s">
        <v>14</v>
      </c>
      <c r="B20" s="11">
        <f>B14*B8+B15*B9</f>
        <v>26100</v>
      </c>
      <c r="C20" t="str">
        <f ca="1">_xlfn.FORMULATEXT(B20)</f>
        <v>=B14*B8+B15*B9</v>
      </c>
    </row>
    <row r="21" spans="1:3" x14ac:dyDescent="0.45">
      <c r="A21" s="8" t="s">
        <v>15</v>
      </c>
      <c r="B21" s="9">
        <f>B20-B19</f>
        <v>13750</v>
      </c>
      <c r="C21" t="str">
        <f ca="1">_xlfn.FORMULATEXT(B21)</f>
        <v>=B20-B19</v>
      </c>
    </row>
    <row r="24" spans="1:3" x14ac:dyDescent="0.45">
      <c r="C24" s="3"/>
    </row>
    <row r="25" spans="1:3" x14ac:dyDescent="0.45">
      <c r="B25" s="1"/>
      <c r="C25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125A-B963-4AB3-9E1C-7E1C699C4E8E}">
  <dimension ref="A1:N142"/>
  <sheetViews>
    <sheetView topLeftCell="A29" workbookViewId="0">
      <selection activeCell="Q11" sqref="Q11:S11"/>
    </sheetView>
  </sheetViews>
  <sheetFormatPr defaultRowHeight="14.25" x14ac:dyDescent="0.45"/>
  <cols>
    <col min="1" max="1" width="14.265625" customWidth="1"/>
    <col min="2" max="2" width="14.3984375" customWidth="1"/>
    <col min="3" max="3" width="20.265625" customWidth="1"/>
    <col min="4" max="4" width="19.265625" customWidth="1"/>
    <col min="5" max="5" width="13.59765625" customWidth="1"/>
    <col min="6" max="6" width="12" customWidth="1"/>
    <col min="7" max="7" width="16.3984375" customWidth="1"/>
    <col min="8" max="8" width="14.86328125" customWidth="1"/>
    <col min="9" max="14" width="15.3984375" bestFit="1" customWidth="1"/>
  </cols>
  <sheetData>
    <row r="1" spans="1:6" x14ac:dyDescent="0.45">
      <c r="A1" s="12" t="s">
        <v>16</v>
      </c>
      <c r="B1" s="13" t="s">
        <v>17</v>
      </c>
      <c r="C1" s="14" t="s">
        <v>18</v>
      </c>
    </row>
    <row r="2" spans="1:6" ht="15.75" x14ac:dyDescent="0.45">
      <c r="A2" s="15">
        <v>1</v>
      </c>
      <c r="B2" s="16">
        <v>450</v>
      </c>
      <c r="C2" s="17">
        <v>45</v>
      </c>
    </row>
    <row r="3" spans="1:6" ht="15.75" x14ac:dyDescent="0.45">
      <c r="A3" s="15">
        <v>2</v>
      </c>
      <c r="B3" s="16">
        <v>300</v>
      </c>
      <c r="C3" s="17">
        <v>103</v>
      </c>
    </row>
    <row r="4" spans="1:6" ht="15.75" x14ac:dyDescent="0.45">
      <c r="A4" s="15">
        <v>3</v>
      </c>
      <c r="B4" s="16">
        <v>440</v>
      </c>
      <c r="C4" s="17">
        <v>49</v>
      </c>
    </row>
    <row r="5" spans="1:6" ht="15.75" x14ac:dyDescent="0.45">
      <c r="A5" s="15">
        <v>4</v>
      </c>
      <c r="B5" s="16">
        <v>360</v>
      </c>
      <c r="C5" s="17">
        <v>86</v>
      </c>
    </row>
    <row r="6" spans="1:6" ht="15.75" x14ac:dyDescent="0.45">
      <c r="A6" s="15">
        <v>5</v>
      </c>
      <c r="B6" s="16">
        <v>290</v>
      </c>
      <c r="C6" s="17">
        <v>125</v>
      </c>
    </row>
    <row r="7" spans="1:6" ht="15.75" x14ac:dyDescent="0.45">
      <c r="A7" s="15">
        <v>6</v>
      </c>
      <c r="B7" s="16">
        <v>450</v>
      </c>
      <c r="C7" s="17">
        <v>52</v>
      </c>
    </row>
    <row r="8" spans="1:6" ht="15.75" x14ac:dyDescent="0.45">
      <c r="A8" s="15">
        <v>7</v>
      </c>
      <c r="B8" s="16">
        <v>340</v>
      </c>
      <c r="C8" s="17">
        <v>87</v>
      </c>
    </row>
    <row r="9" spans="1:6" ht="15.75" x14ac:dyDescent="0.45">
      <c r="A9" s="15">
        <v>8</v>
      </c>
      <c r="B9" s="16">
        <v>370</v>
      </c>
      <c r="C9" s="17">
        <v>68</v>
      </c>
    </row>
    <row r="10" spans="1:6" ht="15.75" x14ac:dyDescent="0.45">
      <c r="A10" s="15">
        <v>9</v>
      </c>
      <c r="B10" s="16">
        <v>500</v>
      </c>
      <c r="C10" s="17">
        <v>45</v>
      </c>
    </row>
    <row r="11" spans="1:6" ht="15.75" x14ac:dyDescent="0.45">
      <c r="A11" s="15">
        <v>10</v>
      </c>
      <c r="B11" s="16">
        <v>490</v>
      </c>
      <c r="C11" s="17">
        <v>44</v>
      </c>
    </row>
    <row r="12" spans="1:6" ht="15.75" x14ac:dyDescent="0.45">
      <c r="A12" s="15">
        <v>11</v>
      </c>
      <c r="B12" s="16">
        <v>430</v>
      </c>
      <c r="C12" s="17">
        <v>58</v>
      </c>
    </row>
    <row r="13" spans="1:6" ht="15.75" x14ac:dyDescent="0.45">
      <c r="A13" s="18">
        <v>12</v>
      </c>
      <c r="B13" s="19">
        <v>390</v>
      </c>
      <c r="C13" s="20">
        <v>68</v>
      </c>
    </row>
    <row r="16" spans="1:6" x14ac:dyDescent="0.45">
      <c r="A16" s="149" t="s">
        <v>31</v>
      </c>
      <c r="B16" s="150"/>
      <c r="C16" s="149" t="s">
        <v>21</v>
      </c>
      <c r="D16" s="150"/>
      <c r="E16" s="149" t="s">
        <v>32</v>
      </c>
      <c r="F16" s="150"/>
    </row>
    <row r="17" spans="1:8" x14ac:dyDescent="0.45">
      <c r="A17" s="21" t="s">
        <v>19</v>
      </c>
      <c r="B17" s="21">
        <v>211.31</v>
      </c>
      <c r="C17" s="21" t="s">
        <v>22</v>
      </c>
      <c r="D17" s="21">
        <v>5871064</v>
      </c>
      <c r="E17" s="21" t="s">
        <v>24</v>
      </c>
      <c r="F17" s="21">
        <v>466.51</v>
      </c>
    </row>
    <row r="18" spans="1:8" x14ac:dyDescent="0.45">
      <c r="A18" s="21" t="s">
        <v>20</v>
      </c>
      <c r="B18" s="21">
        <v>-0.35460000000000003</v>
      </c>
      <c r="C18" s="21" t="s">
        <v>23</v>
      </c>
      <c r="D18" s="21">
        <v>-1.9079999999999999</v>
      </c>
      <c r="E18" s="21" t="s">
        <v>25</v>
      </c>
      <c r="F18" s="21">
        <v>-5.0000000000000001E-3</v>
      </c>
    </row>
    <row r="20" spans="1:8" ht="14.65" thickBot="1" x14ac:dyDescent="0.5">
      <c r="A20" s="147" t="s">
        <v>26</v>
      </c>
      <c r="B20" s="147"/>
      <c r="C20" s="147"/>
      <c r="D20" s="147"/>
      <c r="F20" s="4" t="s">
        <v>33</v>
      </c>
      <c r="G20" s="4"/>
      <c r="H20" s="4"/>
    </row>
    <row r="21" spans="1:8" x14ac:dyDescent="0.45">
      <c r="A21" s="22" t="s">
        <v>30</v>
      </c>
      <c r="B21" s="27" t="s">
        <v>27</v>
      </c>
      <c r="C21" s="28" t="s">
        <v>28</v>
      </c>
      <c r="D21" s="29" t="s">
        <v>29</v>
      </c>
      <c r="E21" s="24" t="s">
        <v>18</v>
      </c>
      <c r="F21" s="27" t="s">
        <v>27</v>
      </c>
      <c r="G21" s="28" t="s">
        <v>28</v>
      </c>
      <c r="H21" s="29" t="s">
        <v>29</v>
      </c>
    </row>
    <row r="22" spans="1:8" x14ac:dyDescent="0.45">
      <c r="A22" s="31">
        <v>450</v>
      </c>
      <c r="B22" s="32">
        <f>$B$18*A22+$B$17</f>
        <v>51.739999999999981</v>
      </c>
      <c r="C22" s="23">
        <f>$D$17*A22^$D$18</f>
        <v>50.861286169919921</v>
      </c>
      <c r="D22" s="33">
        <f>$F$17*EXP($F$18*A22)</f>
        <v>49.169792250355329</v>
      </c>
      <c r="E22" s="25">
        <v>45</v>
      </c>
      <c r="F22" s="30">
        <f>ABS(B22-E22)/E22</f>
        <v>0.14977777777777734</v>
      </c>
      <c r="G22" s="26">
        <f>ABS(C22-E22)/E22</f>
        <v>0.13025080377599826</v>
      </c>
      <c r="H22" s="37">
        <f>ABS(D22-E22)/E22</f>
        <v>9.2662050007896193E-2</v>
      </c>
    </row>
    <row r="23" spans="1:8" x14ac:dyDescent="0.45">
      <c r="A23" s="31">
        <v>300</v>
      </c>
      <c r="B23" s="32">
        <f t="shared" ref="B23:B33" si="0">$B$18*A23+$B$17</f>
        <v>104.92999999999999</v>
      </c>
      <c r="C23" s="23">
        <f t="shared" ref="C23:C33" si="1">$D$17*A23^$D$18</f>
        <v>110.2476803704582</v>
      </c>
      <c r="D23" s="33">
        <f t="shared" ref="D23:D33" si="2">$F$17*EXP($F$18*A23)</f>
        <v>104.09245101084399</v>
      </c>
      <c r="E23" s="25">
        <v>103</v>
      </c>
      <c r="F23" s="30">
        <f t="shared" ref="F23:F33" si="3">ABS(B23-E23)/E23</f>
        <v>1.8737864077669832E-2</v>
      </c>
      <c r="G23" s="26">
        <f t="shared" ref="G23:G33" si="4">ABS(C23-E23)/E23</f>
        <v>7.0365828839399985E-2</v>
      </c>
      <c r="H23" s="37">
        <f t="shared" ref="H23:H33" si="5">ABS(D23-E23)/E23</f>
        <v>1.0606320493630948E-2</v>
      </c>
    </row>
    <row r="24" spans="1:8" x14ac:dyDescent="0.45">
      <c r="A24" s="31">
        <v>440</v>
      </c>
      <c r="B24" s="32">
        <f t="shared" si="0"/>
        <v>55.286000000000001</v>
      </c>
      <c r="C24" s="23">
        <f t="shared" si="1"/>
        <v>53.089557787712614</v>
      </c>
      <c r="D24" s="33">
        <f t="shared" si="2"/>
        <v>51.69078140761237</v>
      </c>
      <c r="E24" s="25">
        <v>49</v>
      </c>
      <c r="F24" s="30">
        <f t="shared" si="3"/>
        <v>0.12828571428571431</v>
      </c>
      <c r="G24" s="26">
        <f t="shared" si="4"/>
        <v>8.3460363014543154E-2</v>
      </c>
      <c r="H24" s="37">
        <f t="shared" si="5"/>
        <v>5.4913906277803466E-2</v>
      </c>
    </row>
    <row r="25" spans="1:8" x14ac:dyDescent="0.45">
      <c r="A25" s="31">
        <v>360</v>
      </c>
      <c r="B25" s="32">
        <f t="shared" si="0"/>
        <v>83.653999999999996</v>
      </c>
      <c r="C25" s="23">
        <f t="shared" si="1"/>
        <v>77.85592038588905</v>
      </c>
      <c r="D25" s="33">
        <f t="shared" si="2"/>
        <v>77.113584344252331</v>
      </c>
      <c r="E25" s="25">
        <v>86</v>
      </c>
      <c r="F25" s="30">
        <f t="shared" si="3"/>
        <v>2.7279069767441901E-2</v>
      </c>
      <c r="G25" s="26">
        <f t="shared" si="4"/>
        <v>9.4698600164080812E-2</v>
      </c>
      <c r="H25" s="37">
        <f t="shared" si="5"/>
        <v>0.10333041460171709</v>
      </c>
    </row>
    <row r="26" spans="1:8" x14ac:dyDescent="0.45">
      <c r="A26" s="31">
        <v>290</v>
      </c>
      <c r="B26" s="32">
        <f t="shared" si="0"/>
        <v>108.476</v>
      </c>
      <c r="C26" s="23">
        <f t="shared" si="1"/>
        <v>117.61465381582187</v>
      </c>
      <c r="D26" s="33">
        <f t="shared" si="2"/>
        <v>109.42938509863754</v>
      </c>
      <c r="E26" s="25">
        <v>125</v>
      </c>
      <c r="F26" s="30">
        <f t="shared" si="3"/>
        <v>0.132192</v>
      </c>
      <c r="G26" s="26">
        <f t="shared" si="4"/>
        <v>5.9082769473425063E-2</v>
      </c>
      <c r="H26" s="37">
        <f t="shared" si="5"/>
        <v>0.12456491921089968</v>
      </c>
    </row>
    <row r="27" spans="1:8" x14ac:dyDescent="0.45">
      <c r="A27" s="31">
        <v>450</v>
      </c>
      <c r="B27" s="32">
        <f t="shared" si="0"/>
        <v>51.739999999999981</v>
      </c>
      <c r="C27" s="23">
        <f t="shared" si="1"/>
        <v>50.861286169919921</v>
      </c>
      <c r="D27" s="33">
        <f t="shared" si="2"/>
        <v>49.169792250355329</v>
      </c>
      <c r="E27" s="25">
        <v>52</v>
      </c>
      <c r="F27" s="30">
        <f t="shared" si="3"/>
        <v>5.0000000000003713E-3</v>
      </c>
      <c r="G27" s="26">
        <f t="shared" si="4"/>
        <v>2.1898342886155355E-2</v>
      </c>
      <c r="H27" s="37">
        <f t="shared" si="5"/>
        <v>5.4427072108551369E-2</v>
      </c>
    </row>
    <row r="28" spans="1:8" x14ac:dyDescent="0.45">
      <c r="A28" s="31">
        <v>340</v>
      </c>
      <c r="B28" s="32">
        <f t="shared" si="0"/>
        <v>90.745999999999995</v>
      </c>
      <c r="C28" s="23">
        <f t="shared" si="1"/>
        <v>86.827049006961417</v>
      </c>
      <c r="D28" s="33">
        <f t="shared" si="2"/>
        <v>85.223690805841244</v>
      </c>
      <c r="E28" s="25">
        <v>87</v>
      </c>
      <c r="F28" s="30">
        <f t="shared" si="3"/>
        <v>4.3057471264367757E-2</v>
      </c>
      <c r="G28" s="26">
        <f t="shared" si="4"/>
        <v>1.9879424487193459E-3</v>
      </c>
      <c r="H28" s="37">
        <f t="shared" si="5"/>
        <v>2.0417347059296046E-2</v>
      </c>
    </row>
    <row r="29" spans="1:8" x14ac:dyDescent="0.45">
      <c r="A29" s="31">
        <v>370</v>
      </c>
      <c r="B29" s="32">
        <f t="shared" si="0"/>
        <v>80.108000000000004</v>
      </c>
      <c r="C29" s="23">
        <f t="shared" si="1"/>
        <v>73.890384263545585</v>
      </c>
      <c r="D29" s="33">
        <f t="shared" si="2"/>
        <v>73.352710456970414</v>
      </c>
      <c r="E29" s="25">
        <v>68</v>
      </c>
      <c r="F29" s="30">
        <f t="shared" si="3"/>
        <v>0.17805882352941182</v>
      </c>
      <c r="G29" s="26">
        <f t="shared" si="4"/>
        <v>8.6623297993317416E-2</v>
      </c>
      <c r="H29" s="37">
        <f t="shared" si="5"/>
        <v>7.8716330249564911E-2</v>
      </c>
    </row>
    <row r="30" spans="1:8" x14ac:dyDescent="0.45">
      <c r="A30" s="31">
        <v>500</v>
      </c>
      <c r="B30" s="32">
        <f t="shared" si="0"/>
        <v>34.009999999999991</v>
      </c>
      <c r="C30" s="23">
        <f t="shared" si="1"/>
        <v>41.59891911995917</v>
      </c>
      <c r="D30" s="33">
        <f t="shared" si="2"/>
        <v>38.293472708035026</v>
      </c>
      <c r="E30" s="25">
        <v>45</v>
      </c>
      <c r="F30" s="30">
        <f t="shared" si="3"/>
        <v>0.24422222222222242</v>
      </c>
      <c r="G30" s="26">
        <f t="shared" si="4"/>
        <v>7.5579575112018446E-2</v>
      </c>
      <c r="H30" s="37">
        <f t="shared" si="5"/>
        <v>0.14903393982144386</v>
      </c>
    </row>
    <row r="31" spans="1:8" x14ac:dyDescent="0.45">
      <c r="A31" s="31">
        <v>490</v>
      </c>
      <c r="B31" s="32">
        <f t="shared" si="0"/>
        <v>37.555999999999983</v>
      </c>
      <c r="C31" s="23">
        <f t="shared" si="1"/>
        <v>43.233728796663705</v>
      </c>
      <c r="D31" s="33">
        <f t="shared" si="2"/>
        <v>40.256821037821332</v>
      </c>
      <c r="E31" s="25">
        <v>44</v>
      </c>
      <c r="F31" s="30">
        <f t="shared" si="3"/>
        <v>0.14645454545454584</v>
      </c>
      <c r="G31" s="26">
        <f t="shared" si="4"/>
        <v>1.7415254621279432E-2</v>
      </c>
      <c r="H31" s="37">
        <f t="shared" si="5"/>
        <v>8.5072249140424272E-2</v>
      </c>
    </row>
    <row r="32" spans="1:8" x14ac:dyDescent="0.45">
      <c r="A32" s="31">
        <v>430</v>
      </c>
      <c r="B32" s="32">
        <f t="shared" si="0"/>
        <v>58.831999999999994</v>
      </c>
      <c r="C32" s="23">
        <f t="shared" si="1"/>
        <v>55.470106712335337</v>
      </c>
      <c r="D32" s="33">
        <f t="shared" si="2"/>
        <v>54.341024442914069</v>
      </c>
      <c r="E32" s="25">
        <v>58</v>
      </c>
      <c r="F32" s="30">
        <f t="shared" si="3"/>
        <v>1.4344827586206787E-2</v>
      </c>
      <c r="G32" s="26">
        <f t="shared" si="4"/>
        <v>4.3618849787321778E-2</v>
      </c>
      <c r="H32" s="37">
        <f t="shared" si="5"/>
        <v>6.3085785466998806E-2</v>
      </c>
    </row>
    <row r="33" spans="1:9" ht="14.65" thickBot="1" x14ac:dyDescent="0.5">
      <c r="A33" s="31">
        <v>390</v>
      </c>
      <c r="B33" s="34">
        <f t="shared" si="0"/>
        <v>73.015999999999991</v>
      </c>
      <c r="C33" s="35">
        <f t="shared" si="1"/>
        <v>66.829089531318985</v>
      </c>
      <c r="D33" s="36">
        <f t="shared" si="2"/>
        <v>66.372277135824447</v>
      </c>
      <c r="E33" s="25">
        <v>68</v>
      </c>
      <c r="F33" s="41">
        <f t="shared" si="3"/>
        <v>7.3764705882352816E-2</v>
      </c>
      <c r="G33" s="42">
        <f t="shared" si="4"/>
        <v>1.7219271598250221E-2</v>
      </c>
      <c r="H33" s="43">
        <f t="shared" si="5"/>
        <v>2.393710094375813E-2</v>
      </c>
    </row>
    <row r="34" spans="1:9" ht="14.65" thickBot="1" x14ac:dyDescent="0.5">
      <c r="F34" s="44">
        <f>AVERAGE(F22:F33)</f>
        <v>9.6764585153975916E-2</v>
      </c>
      <c r="G34" s="45">
        <f>AVERAGE(G22:G33)</f>
        <v>5.8516741642875771E-2</v>
      </c>
      <c r="H34" s="46">
        <f>AVERAGE(H22:H33)</f>
        <v>7.17306196151654E-2</v>
      </c>
      <c r="I34" s="38" t="s">
        <v>39</v>
      </c>
    </row>
    <row r="36" spans="1:9" x14ac:dyDescent="0.45">
      <c r="A36" s="147" t="s">
        <v>34</v>
      </c>
      <c r="B36" s="147"/>
      <c r="C36" s="147"/>
      <c r="D36" s="147"/>
    </row>
    <row r="37" spans="1:9" x14ac:dyDescent="0.45">
      <c r="A37" s="50" t="s">
        <v>35</v>
      </c>
      <c r="B37" s="39">
        <v>250</v>
      </c>
      <c r="C37" t="s">
        <v>37</v>
      </c>
      <c r="F37" t="s">
        <v>17</v>
      </c>
      <c r="G37" t="s">
        <v>46</v>
      </c>
    </row>
    <row r="38" spans="1:9" x14ac:dyDescent="0.45">
      <c r="A38" s="50" t="s">
        <v>36</v>
      </c>
      <c r="B38" s="39">
        <v>500</v>
      </c>
      <c r="C38" t="s">
        <v>38</v>
      </c>
      <c r="G38" s="52">
        <f>B44</f>
        <v>1039972.9779989794</v>
      </c>
    </row>
    <row r="39" spans="1:9" x14ac:dyDescent="0.45">
      <c r="A39" s="50" t="s">
        <v>41</v>
      </c>
      <c r="B39" s="48">
        <f>D17*B38^D18</f>
        <v>41.59891911995917</v>
      </c>
      <c r="C39" t="s">
        <v>40</v>
      </c>
      <c r="D39" t="str">
        <f ca="1">_xlfn.FORMULATEXT(B39)</f>
        <v>=D17*B38^D18</v>
      </c>
      <c r="F39" s="49">
        <v>260</v>
      </c>
      <c r="G39" s="49">
        <f t="dataTable" ref="G39:G88" dt2D="0" dtr="0" r1="B38"/>
        <v>144859.72842847556</v>
      </c>
    </row>
    <row r="40" spans="1:9" x14ac:dyDescent="0.45">
      <c r="A40" s="50" t="s">
        <v>42</v>
      </c>
      <c r="B40" s="48">
        <f>B39*100</f>
        <v>4159.8919119959173</v>
      </c>
      <c r="D40" t="str">
        <f ca="1">_xlfn.FORMULATEXT(B40)</f>
        <v>=B39*100</v>
      </c>
      <c r="F40" s="49">
        <v>270</v>
      </c>
      <c r="G40" s="49">
        <v>269590.60184817808</v>
      </c>
    </row>
    <row r="41" spans="1:9" x14ac:dyDescent="0.45">
      <c r="F41" s="49">
        <v>280</v>
      </c>
      <c r="G41" s="49">
        <v>377277.18719872413</v>
      </c>
    </row>
    <row r="42" spans="1:9" x14ac:dyDescent="0.45">
      <c r="A42" s="50" t="s">
        <v>43</v>
      </c>
      <c r="B42" s="49">
        <f>B37*B40</f>
        <v>1039972.9779989794</v>
      </c>
      <c r="D42" t="str">
        <f ca="1">_xlfn.FORMULATEXT(B42)</f>
        <v>=B37*B40</v>
      </c>
      <c r="F42" s="49">
        <v>290</v>
      </c>
      <c r="G42" s="49">
        <v>470458.61526328744</v>
      </c>
    </row>
    <row r="43" spans="1:9" x14ac:dyDescent="0.45">
      <c r="A43" s="50" t="s">
        <v>44</v>
      </c>
      <c r="B43" s="47">
        <f>B40*B38</f>
        <v>2079945.9559979588</v>
      </c>
      <c r="D43" t="str">
        <f t="shared" ref="D43:D44" ca="1" si="6">_xlfn.FORMULATEXT(B43)</f>
        <v>=B40*B38</v>
      </c>
      <c r="F43" s="49">
        <v>300</v>
      </c>
      <c r="G43" s="49">
        <v>551238.40185229108</v>
      </c>
    </row>
    <row r="44" spans="1:9" x14ac:dyDescent="0.45">
      <c r="A44" s="50" t="s">
        <v>45</v>
      </c>
      <c r="B44" s="49">
        <f>B43-B42</f>
        <v>1039972.9779989794</v>
      </c>
      <c r="D44" t="str">
        <f t="shared" ca="1" si="6"/>
        <v>=B43-B42</v>
      </c>
      <c r="F44" s="49">
        <v>310</v>
      </c>
      <c r="G44" s="49">
        <v>621369.53021456813</v>
      </c>
    </row>
    <row r="45" spans="1:9" x14ac:dyDescent="0.45">
      <c r="F45" s="49">
        <v>320</v>
      </c>
      <c r="G45" s="49">
        <v>682320.93416212313</v>
      </c>
    </row>
    <row r="46" spans="1:9" x14ac:dyDescent="0.45">
      <c r="F46" s="49">
        <v>330</v>
      </c>
      <c r="G46" s="49">
        <v>735329.86392835062</v>
      </c>
    </row>
    <row r="47" spans="1:9" x14ac:dyDescent="0.45">
      <c r="F47" s="49">
        <v>340</v>
      </c>
      <c r="G47" s="49">
        <v>781443.44106265297</v>
      </c>
    </row>
    <row r="48" spans="1:9" x14ac:dyDescent="0.45">
      <c r="F48" s="49">
        <v>350</v>
      </c>
      <c r="G48" s="49">
        <v>821551.86522268457</v>
      </c>
    </row>
    <row r="49" spans="6:11" x14ac:dyDescent="0.45">
      <c r="F49" s="49">
        <v>360</v>
      </c>
      <c r="G49" s="49">
        <v>856415.12424477958</v>
      </c>
    </row>
    <row r="50" spans="6:11" x14ac:dyDescent="0.45">
      <c r="F50" s="49">
        <v>370</v>
      </c>
      <c r="G50" s="49">
        <v>886684.61116254725</v>
      </c>
    </row>
    <row r="51" spans="6:11" x14ac:dyDescent="0.45">
      <c r="F51" s="49">
        <v>380</v>
      </c>
      <c r="G51" s="49">
        <v>912920.72098907013</v>
      </c>
    </row>
    <row r="52" spans="6:11" x14ac:dyDescent="0.45">
      <c r="F52" s="49">
        <v>390</v>
      </c>
      <c r="G52" s="49">
        <v>935607.253438466</v>
      </c>
    </row>
    <row r="53" spans="6:11" x14ac:dyDescent="0.45">
      <c r="F53" s="49">
        <v>400</v>
      </c>
      <c r="G53" s="49">
        <v>955163.26238462282</v>
      </c>
    </row>
    <row r="54" spans="6:11" x14ac:dyDescent="0.45">
      <c r="F54" s="49">
        <v>410</v>
      </c>
      <c r="G54" s="49">
        <v>971952.85243747453</v>
      </c>
    </row>
    <row r="55" spans="6:11" x14ac:dyDescent="0.45">
      <c r="F55" s="49">
        <v>420</v>
      </c>
      <c r="G55" s="49">
        <v>986293.31587235699</v>
      </c>
    </row>
    <row r="56" spans="6:11" x14ac:dyDescent="0.45">
      <c r="F56" s="49">
        <v>430</v>
      </c>
      <c r="G56" s="49">
        <v>998461.92082203622</v>
      </c>
    </row>
    <row r="57" spans="6:11" x14ac:dyDescent="0.45">
      <c r="F57" s="49">
        <v>440</v>
      </c>
      <c r="G57" s="49">
        <v>1008701.5979665397</v>
      </c>
    </row>
    <row r="58" spans="6:11" x14ac:dyDescent="0.45">
      <c r="F58" s="49">
        <v>450</v>
      </c>
      <c r="G58" s="49">
        <v>1017225.7233983984</v>
      </c>
    </row>
    <row r="59" spans="6:11" x14ac:dyDescent="0.45">
      <c r="F59" s="49">
        <v>460</v>
      </c>
      <c r="G59" s="49">
        <v>1024222.1565401531</v>
      </c>
    </row>
    <row r="60" spans="6:11" x14ac:dyDescent="0.45">
      <c r="F60" s="49">
        <v>470</v>
      </c>
      <c r="G60" s="49">
        <v>1029856.6614397548</v>
      </c>
    </row>
    <row r="61" spans="6:11" x14ac:dyDescent="0.45">
      <c r="F61" s="49">
        <v>480</v>
      </c>
      <c r="G61" s="49">
        <v>1034275.8155834542</v>
      </c>
    </row>
    <row r="62" spans="6:11" x14ac:dyDescent="0.45">
      <c r="F62" s="49">
        <v>490</v>
      </c>
      <c r="G62" s="49">
        <v>1037609.4911199291</v>
      </c>
    </row>
    <row r="63" spans="6:11" x14ac:dyDescent="0.45">
      <c r="F63" s="49">
        <v>500</v>
      </c>
      <c r="G63" s="49">
        <v>1039972.9779989794</v>
      </c>
    </row>
    <row r="64" spans="6:11" x14ac:dyDescent="0.45">
      <c r="F64" s="49">
        <v>510</v>
      </c>
      <c r="G64" s="49">
        <v>1041468.8061629091</v>
      </c>
      <c r="K64" s="48"/>
    </row>
    <row r="65" spans="6:9" x14ac:dyDescent="0.45">
      <c r="F65" s="49">
        <v>520</v>
      </c>
      <c r="G65" s="49">
        <v>1042188.3139489595</v>
      </c>
      <c r="I65" s="4" t="s">
        <v>47</v>
      </c>
    </row>
    <row r="66" spans="6:9" x14ac:dyDescent="0.45">
      <c r="F66" s="49">
        <v>530</v>
      </c>
      <c r="G66" s="49">
        <v>1042213.0017719698</v>
      </c>
    </row>
    <row r="67" spans="6:9" x14ac:dyDescent="0.45">
      <c r="F67" s="49">
        <v>540</v>
      </c>
      <c r="G67" s="49">
        <v>1041615.7035724644</v>
      </c>
    </row>
    <row r="68" spans="6:9" x14ac:dyDescent="0.45">
      <c r="F68" s="49">
        <v>550</v>
      </c>
      <c r="G68" s="49">
        <v>1040461.6031350964</v>
      </c>
    </row>
    <row r="69" spans="6:9" x14ac:dyDescent="0.45">
      <c r="F69" s="49">
        <v>560</v>
      </c>
      <c r="G69" s="49">
        <v>1038809.1179690239</v>
      </c>
    </row>
    <row r="70" spans="6:9" x14ac:dyDescent="0.45">
      <c r="F70" s="49">
        <v>570</v>
      </c>
      <c r="G70" s="49">
        <v>1036710.669808225</v>
      </c>
    </row>
    <row r="71" spans="6:9" x14ac:dyDescent="0.45">
      <c r="F71" s="49">
        <v>580</v>
      </c>
      <c r="G71" s="49">
        <v>1034213.3577876764</v>
      </c>
    </row>
    <row r="72" spans="6:9" x14ac:dyDescent="0.45">
      <c r="F72" s="49">
        <v>590</v>
      </c>
      <c r="G72" s="49">
        <v>1031359.5478624469</v>
      </c>
    </row>
    <row r="73" spans="6:9" x14ac:dyDescent="0.45">
      <c r="F73" s="49">
        <v>600</v>
      </c>
      <c r="G73" s="49">
        <v>1028187.3899667513</v>
      </c>
    </row>
    <row r="74" spans="6:9" x14ac:dyDescent="0.45">
      <c r="F74" s="49">
        <v>700</v>
      </c>
      <c r="G74" s="49">
        <v>985104.42081539321</v>
      </c>
    </row>
    <row r="75" spans="6:9" x14ac:dyDescent="0.45">
      <c r="F75" s="49">
        <v>800</v>
      </c>
      <c r="G75" s="49">
        <v>933219.50848926988</v>
      </c>
    </row>
    <row r="76" spans="6:9" x14ac:dyDescent="0.45">
      <c r="F76" s="49">
        <v>900</v>
      </c>
      <c r="G76" s="49">
        <v>880917.95766693447</v>
      </c>
    </row>
    <row r="77" spans="6:9" x14ac:dyDescent="0.45">
      <c r="F77" s="49">
        <v>1000</v>
      </c>
      <c r="G77" s="49">
        <v>831338.85314930137</v>
      </c>
    </row>
    <row r="78" spans="6:9" x14ac:dyDescent="0.45">
      <c r="F78" s="49">
        <v>1100</v>
      </c>
      <c r="G78" s="49">
        <v>785522.26095810602</v>
      </c>
    </row>
    <row r="79" spans="6:9" x14ac:dyDescent="0.45">
      <c r="F79" s="49">
        <v>1200</v>
      </c>
      <c r="G79" s="49">
        <v>743639.76069940359</v>
      </c>
    </row>
    <row r="80" spans="6:9" x14ac:dyDescent="0.45">
      <c r="F80" s="49">
        <v>1300</v>
      </c>
      <c r="G80" s="49">
        <v>705508.4138351829</v>
      </c>
    </row>
    <row r="81" spans="5:14" x14ac:dyDescent="0.45">
      <c r="F81" s="49">
        <v>1400</v>
      </c>
      <c r="G81" s="49">
        <v>670814.37853000883</v>
      </c>
    </row>
    <row r="82" spans="5:14" x14ac:dyDescent="0.45">
      <c r="F82" s="49">
        <v>1500</v>
      </c>
      <c r="G82" s="49">
        <v>639211.68487958203</v>
      </c>
    </row>
    <row r="83" spans="5:14" x14ac:dyDescent="0.45">
      <c r="F83" s="49">
        <v>1600</v>
      </c>
      <c r="G83" s="49">
        <v>610365.04802890634</v>
      </c>
    </row>
    <row r="84" spans="5:14" x14ac:dyDescent="0.45">
      <c r="F84" s="49">
        <v>1700</v>
      </c>
      <c r="G84" s="49">
        <v>583966.95838628535</v>
      </c>
    </row>
    <row r="85" spans="5:14" x14ac:dyDescent="0.45">
      <c r="F85" s="49">
        <v>1800</v>
      </c>
      <c r="G85" s="49">
        <v>559742.87360790663</v>
      </c>
    </row>
    <row r="86" spans="5:14" x14ac:dyDescent="0.45">
      <c r="F86" s="49">
        <v>1900</v>
      </c>
      <c r="G86" s="49">
        <v>537451.01599244936</v>
      </c>
    </row>
    <row r="87" spans="5:14" x14ac:dyDescent="0.45">
      <c r="F87" s="49">
        <v>2000</v>
      </c>
      <c r="G87" s="49">
        <v>516879.88519746234</v>
      </c>
    </row>
    <row r="88" spans="5:14" x14ac:dyDescent="0.45">
      <c r="F88" s="49">
        <v>2100</v>
      </c>
      <c r="G88" s="49">
        <v>497844.97583694715</v>
      </c>
    </row>
    <row r="91" spans="5:14" x14ac:dyDescent="0.45">
      <c r="G91" s="147" t="s">
        <v>48</v>
      </c>
      <c r="H91" s="147"/>
      <c r="I91" s="147"/>
      <c r="J91" s="147"/>
      <c r="K91" s="147"/>
      <c r="L91" s="147"/>
      <c r="M91" s="147"/>
      <c r="N91" s="147"/>
    </row>
    <row r="92" spans="5:14" x14ac:dyDescent="0.45">
      <c r="F92" s="51">
        <f>B44</f>
        <v>1039972.9779989794</v>
      </c>
      <c r="G92">
        <v>250</v>
      </c>
      <c r="H92">
        <v>300</v>
      </c>
      <c r="I92">
        <v>350</v>
      </c>
      <c r="J92">
        <v>400</v>
      </c>
      <c r="K92">
        <v>450</v>
      </c>
      <c r="L92">
        <v>500</v>
      </c>
      <c r="M92">
        <v>550</v>
      </c>
      <c r="N92">
        <v>600</v>
      </c>
    </row>
    <row r="93" spans="5:14" x14ac:dyDescent="0.45">
      <c r="E93" s="148" t="s">
        <v>17</v>
      </c>
      <c r="F93" s="49">
        <v>260</v>
      </c>
      <c r="G93" s="53">
        <f t="dataTable" ref="G93:N142" dt2D="1" dtr="1" r1="B37" r2="B38"/>
        <v>1039972.9779989794</v>
      </c>
      <c r="H93" s="53">
        <v>1039972.9779989794</v>
      </c>
      <c r="I93" s="53">
        <v>1039972.9779989794</v>
      </c>
      <c r="J93" s="53">
        <v>1039972.9779989794</v>
      </c>
      <c r="K93" s="53">
        <v>1039972.9779989794</v>
      </c>
      <c r="L93" s="53">
        <v>1039972.9779989794</v>
      </c>
      <c r="M93" s="53">
        <v>1039972.9779989794</v>
      </c>
      <c r="N93" s="53">
        <v>1039972.9779989794</v>
      </c>
    </row>
    <row r="94" spans="5:14" x14ac:dyDescent="0.45">
      <c r="E94" s="148"/>
      <c r="F94" s="49">
        <v>270</v>
      </c>
      <c r="G94" s="53">
        <v>1039972.9779989794</v>
      </c>
      <c r="H94" s="53">
        <v>1039972.9779989794</v>
      </c>
      <c r="I94" s="53">
        <v>1039972.9779989794</v>
      </c>
      <c r="J94" s="53">
        <v>1039972.9779989794</v>
      </c>
      <c r="K94" s="53">
        <v>1039972.9779989794</v>
      </c>
      <c r="L94" s="53">
        <v>1039972.9779989794</v>
      </c>
      <c r="M94" s="53">
        <v>1039972.9779989794</v>
      </c>
      <c r="N94" s="53">
        <v>1039972.9779989794</v>
      </c>
    </row>
    <row r="95" spans="5:14" x14ac:dyDescent="0.45">
      <c r="E95" s="148"/>
      <c r="F95" s="49">
        <v>280</v>
      </c>
      <c r="G95" s="53">
        <v>1039972.9779989794</v>
      </c>
      <c r="H95" s="53">
        <v>1039972.9779989794</v>
      </c>
      <c r="I95" s="53">
        <v>1039972.9779989794</v>
      </c>
      <c r="J95" s="53">
        <v>1039972.9779989794</v>
      </c>
      <c r="K95" s="53">
        <v>1039972.9779989794</v>
      </c>
      <c r="L95" s="53">
        <v>1039972.9779989794</v>
      </c>
      <c r="M95" s="53">
        <v>1039972.9779989794</v>
      </c>
      <c r="N95" s="53">
        <v>1039972.9779989794</v>
      </c>
    </row>
    <row r="96" spans="5:14" x14ac:dyDescent="0.45">
      <c r="E96" s="148"/>
      <c r="F96" s="49">
        <v>290</v>
      </c>
      <c r="G96" s="53">
        <v>1039972.9779989794</v>
      </c>
      <c r="H96" s="53">
        <v>1039972.9779989794</v>
      </c>
      <c r="I96" s="53">
        <v>1039972.9779989794</v>
      </c>
      <c r="J96" s="53">
        <v>1039972.9779989794</v>
      </c>
      <c r="K96" s="53">
        <v>1039972.9779989794</v>
      </c>
      <c r="L96" s="53">
        <v>1039972.9779989794</v>
      </c>
      <c r="M96" s="53">
        <v>1039972.9779989794</v>
      </c>
      <c r="N96" s="53">
        <v>1039972.9779989794</v>
      </c>
    </row>
    <row r="97" spans="5:14" x14ac:dyDescent="0.45">
      <c r="E97" s="148"/>
      <c r="F97" s="49">
        <v>300</v>
      </c>
      <c r="G97" s="53">
        <v>1039972.9779989794</v>
      </c>
      <c r="H97" s="53">
        <v>1039972.9779989794</v>
      </c>
      <c r="I97" s="53">
        <v>1039972.9779989794</v>
      </c>
      <c r="J97" s="53">
        <v>1039972.9779989794</v>
      </c>
      <c r="K97" s="53">
        <v>1039972.9779989794</v>
      </c>
      <c r="L97" s="53">
        <v>1039972.9779989794</v>
      </c>
      <c r="M97" s="53">
        <v>1039972.9779989794</v>
      </c>
      <c r="N97" s="53">
        <v>1039972.9779989794</v>
      </c>
    </row>
    <row r="98" spans="5:14" x14ac:dyDescent="0.45">
      <c r="E98" s="148"/>
      <c r="F98" s="49">
        <v>310</v>
      </c>
      <c r="G98" s="53">
        <v>1039972.9779989794</v>
      </c>
      <c r="H98" s="53">
        <v>1039972.9779989794</v>
      </c>
      <c r="I98" s="53">
        <v>1039972.9779989794</v>
      </c>
      <c r="J98" s="53">
        <v>1039972.9779989794</v>
      </c>
      <c r="K98" s="53">
        <v>1039972.9779989794</v>
      </c>
      <c r="L98" s="53">
        <v>1039972.9779989794</v>
      </c>
      <c r="M98" s="53">
        <v>1039972.9779989794</v>
      </c>
      <c r="N98" s="53">
        <v>1039972.9779989794</v>
      </c>
    </row>
    <row r="99" spans="5:14" x14ac:dyDescent="0.45">
      <c r="E99" s="148"/>
      <c r="F99" s="49">
        <v>320</v>
      </c>
      <c r="G99" s="53">
        <v>1039972.9779989794</v>
      </c>
      <c r="H99" s="53">
        <v>1039972.9779989794</v>
      </c>
      <c r="I99" s="53">
        <v>1039972.9779989794</v>
      </c>
      <c r="J99" s="53">
        <v>1039972.9779989794</v>
      </c>
      <c r="K99" s="53">
        <v>1039972.9779989794</v>
      </c>
      <c r="L99" s="53">
        <v>1039972.9779989794</v>
      </c>
      <c r="M99" s="53">
        <v>1039972.9779989794</v>
      </c>
      <c r="N99" s="53">
        <v>1039972.9779989794</v>
      </c>
    </row>
    <row r="100" spans="5:14" x14ac:dyDescent="0.45">
      <c r="E100" s="148"/>
      <c r="F100" s="49">
        <v>330</v>
      </c>
      <c r="G100" s="53">
        <v>1039972.9779989794</v>
      </c>
      <c r="H100" s="53">
        <v>1039972.9779989794</v>
      </c>
      <c r="I100" s="53">
        <v>1039972.9779989794</v>
      </c>
      <c r="J100" s="53">
        <v>1039972.9779989794</v>
      </c>
      <c r="K100" s="53">
        <v>1039972.9779989794</v>
      </c>
      <c r="L100" s="53">
        <v>1039972.9779989794</v>
      </c>
      <c r="M100" s="53">
        <v>1039972.9779989794</v>
      </c>
      <c r="N100" s="53">
        <v>1039972.9779989794</v>
      </c>
    </row>
    <row r="101" spans="5:14" x14ac:dyDescent="0.45">
      <c r="E101" s="148"/>
      <c r="F101" s="49">
        <v>340</v>
      </c>
      <c r="G101" s="53">
        <v>1039972.9779989794</v>
      </c>
      <c r="H101" s="53">
        <v>1039972.9779989794</v>
      </c>
      <c r="I101" s="53">
        <v>1039972.9779989794</v>
      </c>
      <c r="J101" s="53">
        <v>1039972.9779989794</v>
      </c>
      <c r="K101" s="53">
        <v>1039972.9779989794</v>
      </c>
      <c r="L101" s="53">
        <v>1039972.9779989794</v>
      </c>
      <c r="M101" s="53">
        <v>1039972.9779989794</v>
      </c>
      <c r="N101" s="53">
        <v>1039972.9779989794</v>
      </c>
    </row>
    <row r="102" spans="5:14" x14ac:dyDescent="0.45">
      <c r="E102" s="148"/>
      <c r="F102" s="49">
        <v>350</v>
      </c>
      <c r="G102" s="53">
        <v>1039972.9779989794</v>
      </c>
      <c r="H102" s="53">
        <v>1039972.9779989794</v>
      </c>
      <c r="I102" s="53">
        <v>1039972.9779989794</v>
      </c>
      <c r="J102" s="53">
        <v>1039972.9779989794</v>
      </c>
      <c r="K102" s="53">
        <v>1039972.9779989794</v>
      </c>
      <c r="L102" s="53">
        <v>1039972.9779989794</v>
      </c>
      <c r="M102" s="53">
        <v>1039972.9779989794</v>
      </c>
      <c r="N102" s="53">
        <v>1039972.9779989794</v>
      </c>
    </row>
    <row r="103" spans="5:14" x14ac:dyDescent="0.45">
      <c r="E103" s="148"/>
      <c r="F103" s="49">
        <v>360</v>
      </c>
      <c r="G103" s="53">
        <v>1039972.9779989794</v>
      </c>
      <c r="H103" s="53">
        <v>1039972.9779989794</v>
      </c>
      <c r="I103" s="53">
        <v>1039972.9779989794</v>
      </c>
      <c r="J103" s="53">
        <v>1039972.9779989794</v>
      </c>
      <c r="K103" s="53">
        <v>1039972.9779989794</v>
      </c>
      <c r="L103" s="53">
        <v>1039972.9779989794</v>
      </c>
      <c r="M103" s="53">
        <v>1039972.9779989794</v>
      </c>
      <c r="N103" s="53">
        <v>1039972.9779989794</v>
      </c>
    </row>
    <row r="104" spans="5:14" x14ac:dyDescent="0.45">
      <c r="E104" s="148"/>
      <c r="F104" s="49">
        <v>370</v>
      </c>
      <c r="G104" s="53">
        <v>1039972.9779989794</v>
      </c>
      <c r="H104" s="53">
        <v>1039972.9779989794</v>
      </c>
      <c r="I104" s="53">
        <v>1039972.9779989794</v>
      </c>
      <c r="J104" s="53">
        <v>1039972.9779989794</v>
      </c>
      <c r="K104" s="53">
        <v>1039972.9779989794</v>
      </c>
      <c r="L104" s="53">
        <v>1039972.9779989794</v>
      </c>
      <c r="M104" s="53">
        <v>1039972.9779989794</v>
      </c>
      <c r="N104" s="53">
        <v>1039972.9779989794</v>
      </c>
    </row>
    <row r="105" spans="5:14" x14ac:dyDescent="0.45">
      <c r="E105" s="148"/>
      <c r="F105" s="49">
        <v>380</v>
      </c>
      <c r="G105" s="53">
        <v>1039972.9779989794</v>
      </c>
      <c r="H105" s="53">
        <v>1039972.9779989794</v>
      </c>
      <c r="I105" s="53">
        <v>1039972.9779989794</v>
      </c>
      <c r="J105" s="53">
        <v>1039972.9779989794</v>
      </c>
      <c r="K105" s="53">
        <v>1039972.9779989794</v>
      </c>
      <c r="L105" s="53">
        <v>1039972.9779989794</v>
      </c>
      <c r="M105" s="53">
        <v>1039972.9779989794</v>
      </c>
      <c r="N105" s="53">
        <v>1039972.9779989794</v>
      </c>
    </row>
    <row r="106" spans="5:14" x14ac:dyDescent="0.45">
      <c r="E106" s="148"/>
      <c r="F106" s="49">
        <v>390</v>
      </c>
      <c r="G106" s="53">
        <v>1039972.9779989794</v>
      </c>
      <c r="H106" s="53">
        <v>1039972.9779989794</v>
      </c>
      <c r="I106" s="53">
        <v>1039972.9779989794</v>
      </c>
      <c r="J106" s="53">
        <v>1039972.9779989794</v>
      </c>
      <c r="K106" s="53">
        <v>1039972.9779989794</v>
      </c>
      <c r="L106" s="53">
        <v>1039972.9779989794</v>
      </c>
      <c r="M106" s="53">
        <v>1039972.9779989794</v>
      </c>
      <c r="N106" s="53">
        <v>1039972.9779989794</v>
      </c>
    </row>
    <row r="107" spans="5:14" x14ac:dyDescent="0.45">
      <c r="E107" s="148"/>
      <c r="F107" s="49">
        <v>400</v>
      </c>
      <c r="G107" s="53">
        <v>1039972.9779989794</v>
      </c>
      <c r="H107" s="53">
        <v>1039972.9779989794</v>
      </c>
      <c r="I107" s="53">
        <v>1039972.9779989794</v>
      </c>
      <c r="J107" s="53">
        <v>1039972.9779989794</v>
      </c>
      <c r="K107" s="53">
        <v>1039972.9779989794</v>
      </c>
      <c r="L107" s="53">
        <v>1039972.9779989794</v>
      </c>
      <c r="M107" s="53">
        <v>1039972.9779989794</v>
      </c>
      <c r="N107" s="53">
        <v>1039972.9779989794</v>
      </c>
    </row>
    <row r="108" spans="5:14" x14ac:dyDescent="0.45">
      <c r="E108" s="148"/>
      <c r="F108" s="49">
        <v>410</v>
      </c>
      <c r="G108" s="53">
        <v>1039972.9779989794</v>
      </c>
      <c r="H108" s="53">
        <v>1039972.9779989794</v>
      </c>
      <c r="I108" s="53">
        <v>1039972.9779989794</v>
      </c>
      <c r="J108" s="53">
        <v>1039972.9779989794</v>
      </c>
      <c r="K108" s="53">
        <v>1039972.9779989794</v>
      </c>
      <c r="L108" s="53">
        <v>1039972.9779989794</v>
      </c>
      <c r="M108" s="53">
        <v>1039972.9779989794</v>
      </c>
      <c r="N108" s="53">
        <v>1039972.9779989794</v>
      </c>
    </row>
    <row r="109" spans="5:14" x14ac:dyDescent="0.45">
      <c r="E109" s="148"/>
      <c r="F109" s="49">
        <v>420</v>
      </c>
      <c r="G109" s="53">
        <v>1039972.9779989794</v>
      </c>
      <c r="H109" s="53">
        <v>1039972.9779989794</v>
      </c>
      <c r="I109" s="53">
        <v>1039972.9779989794</v>
      </c>
      <c r="J109" s="53">
        <v>1039972.9779989794</v>
      </c>
      <c r="K109" s="53">
        <v>1039972.9779989794</v>
      </c>
      <c r="L109" s="53">
        <v>1039972.9779989794</v>
      </c>
      <c r="M109" s="53">
        <v>1039972.9779989794</v>
      </c>
      <c r="N109" s="53">
        <v>1039972.9779989794</v>
      </c>
    </row>
    <row r="110" spans="5:14" x14ac:dyDescent="0.45">
      <c r="E110" s="148"/>
      <c r="F110" s="49">
        <v>430</v>
      </c>
      <c r="G110" s="53">
        <v>1039972.9779989794</v>
      </c>
      <c r="H110" s="53">
        <v>1039972.9779989794</v>
      </c>
      <c r="I110" s="53">
        <v>1039972.9779989794</v>
      </c>
      <c r="J110" s="53">
        <v>1039972.9779989794</v>
      </c>
      <c r="K110" s="53">
        <v>1039972.9779989794</v>
      </c>
      <c r="L110" s="53">
        <v>1039972.9779989794</v>
      </c>
      <c r="M110" s="53">
        <v>1039972.9779989794</v>
      </c>
      <c r="N110" s="53">
        <v>1039972.9779989794</v>
      </c>
    </row>
    <row r="111" spans="5:14" x14ac:dyDescent="0.45">
      <c r="E111" s="148"/>
      <c r="F111" s="49">
        <v>440</v>
      </c>
      <c r="G111" s="53">
        <v>1039972.9779989794</v>
      </c>
      <c r="H111" s="53">
        <v>1039972.9779989794</v>
      </c>
      <c r="I111" s="53">
        <v>1039972.9779989794</v>
      </c>
      <c r="J111" s="53">
        <v>1039972.9779989794</v>
      </c>
      <c r="K111" s="53">
        <v>1039972.9779989794</v>
      </c>
      <c r="L111" s="53">
        <v>1039972.9779989794</v>
      </c>
      <c r="M111" s="53">
        <v>1039972.9779989794</v>
      </c>
      <c r="N111" s="53">
        <v>1039972.9779989794</v>
      </c>
    </row>
    <row r="112" spans="5:14" x14ac:dyDescent="0.45">
      <c r="E112" s="148"/>
      <c r="F112" s="49">
        <v>450</v>
      </c>
      <c r="G112" s="53">
        <v>1039972.9779989794</v>
      </c>
      <c r="H112" s="53">
        <v>1039972.9779989794</v>
      </c>
      <c r="I112" s="53">
        <v>1039972.9779989794</v>
      </c>
      <c r="J112" s="53">
        <v>1039972.9779989794</v>
      </c>
      <c r="K112" s="53">
        <v>1039972.9779989794</v>
      </c>
      <c r="L112" s="53">
        <v>1039972.9779989794</v>
      </c>
      <c r="M112" s="53">
        <v>1039972.9779989794</v>
      </c>
      <c r="N112" s="53">
        <v>1039972.9779989794</v>
      </c>
    </row>
    <row r="113" spans="5:14" x14ac:dyDescent="0.45">
      <c r="E113" s="148"/>
      <c r="F113" s="49">
        <v>460</v>
      </c>
      <c r="G113" s="53">
        <v>1039972.9779989794</v>
      </c>
      <c r="H113" s="53">
        <v>1039972.9779989794</v>
      </c>
      <c r="I113" s="53">
        <v>1039972.9779989794</v>
      </c>
      <c r="J113" s="53">
        <v>1039972.9779989794</v>
      </c>
      <c r="K113" s="53">
        <v>1039972.9779989794</v>
      </c>
      <c r="L113" s="53">
        <v>1039972.9779989794</v>
      </c>
      <c r="M113" s="53">
        <v>1039972.9779989794</v>
      </c>
      <c r="N113" s="53">
        <v>1039972.9779989794</v>
      </c>
    </row>
    <row r="114" spans="5:14" x14ac:dyDescent="0.45">
      <c r="E114" s="148"/>
      <c r="F114" s="49">
        <v>470</v>
      </c>
      <c r="G114" s="53">
        <v>1039972.9779989794</v>
      </c>
      <c r="H114" s="53">
        <v>1039972.9779989794</v>
      </c>
      <c r="I114" s="53">
        <v>1039972.9779989794</v>
      </c>
      <c r="J114" s="53">
        <v>1039972.9779989794</v>
      </c>
      <c r="K114" s="53">
        <v>1039972.9779989794</v>
      </c>
      <c r="L114" s="53">
        <v>1039972.9779989794</v>
      </c>
      <c r="M114" s="53">
        <v>1039972.9779989794</v>
      </c>
      <c r="N114" s="53">
        <v>1039972.9779989794</v>
      </c>
    </row>
    <row r="115" spans="5:14" x14ac:dyDescent="0.45">
      <c r="E115" s="148"/>
      <c r="F115" s="49">
        <v>480</v>
      </c>
      <c r="G115" s="53">
        <v>1039972.9779989794</v>
      </c>
      <c r="H115" s="53">
        <v>1039972.9779989794</v>
      </c>
      <c r="I115" s="53">
        <v>1039972.9779989794</v>
      </c>
      <c r="J115" s="53">
        <v>1039972.9779989794</v>
      </c>
      <c r="K115" s="53">
        <v>1039972.9779989794</v>
      </c>
      <c r="L115" s="53">
        <v>1039972.9779989794</v>
      </c>
      <c r="M115" s="53">
        <v>1039972.9779989794</v>
      </c>
      <c r="N115" s="53">
        <v>1039972.9779989794</v>
      </c>
    </row>
    <row r="116" spans="5:14" x14ac:dyDescent="0.45">
      <c r="E116" s="148"/>
      <c r="F116" s="49">
        <v>490</v>
      </c>
      <c r="G116" s="53">
        <v>1039972.9779989794</v>
      </c>
      <c r="H116" s="53">
        <v>1039972.9779989794</v>
      </c>
      <c r="I116" s="53">
        <v>1039972.9779989794</v>
      </c>
      <c r="J116" s="53">
        <v>1039972.9779989794</v>
      </c>
      <c r="K116" s="53">
        <v>1039972.9779989794</v>
      </c>
      <c r="L116" s="53">
        <v>1039972.9779989794</v>
      </c>
      <c r="M116" s="53">
        <v>1039972.9779989794</v>
      </c>
      <c r="N116" s="53">
        <v>1039972.9779989794</v>
      </c>
    </row>
    <row r="117" spans="5:14" x14ac:dyDescent="0.45">
      <c r="E117" s="148"/>
      <c r="F117" s="49">
        <v>500</v>
      </c>
      <c r="G117" s="53">
        <v>1039972.9779989794</v>
      </c>
      <c r="H117" s="53">
        <v>1039972.9779989794</v>
      </c>
      <c r="I117" s="53">
        <v>1039972.9779989794</v>
      </c>
      <c r="J117" s="53">
        <v>1039972.9779989794</v>
      </c>
      <c r="K117" s="53">
        <v>1039972.9779989794</v>
      </c>
      <c r="L117" s="53">
        <v>1039972.9779989794</v>
      </c>
      <c r="M117" s="53">
        <v>1039972.9779989794</v>
      </c>
      <c r="N117" s="53">
        <v>1039972.9779989794</v>
      </c>
    </row>
    <row r="118" spans="5:14" x14ac:dyDescent="0.45">
      <c r="E118" s="148"/>
      <c r="F118" s="49">
        <v>510</v>
      </c>
      <c r="G118" s="53">
        <v>1039972.9779989794</v>
      </c>
      <c r="H118" s="53">
        <v>1039972.9779989794</v>
      </c>
      <c r="I118" s="53">
        <v>1039972.9779989794</v>
      </c>
      <c r="J118" s="53">
        <v>1039972.9779989794</v>
      </c>
      <c r="K118" s="53">
        <v>1039972.9779989794</v>
      </c>
      <c r="L118" s="53">
        <v>1039972.9779989794</v>
      </c>
      <c r="M118" s="53">
        <v>1039972.9779989794</v>
      </c>
      <c r="N118" s="53">
        <v>1039972.9779989794</v>
      </c>
    </row>
    <row r="119" spans="5:14" x14ac:dyDescent="0.45">
      <c r="E119" s="148"/>
      <c r="F119" s="49">
        <v>520</v>
      </c>
      <c r="G119" s="53">
        <v>1039972.9779989794</v>
      </c>
      <c r="H119" s="53">
        <v>1039972.9779989794</v>
      </c>
      <c r="I119" s="53">
        <v>1039972.9779989794</v>
      </c>
      <c r="J119" s="53">
        <v>1039972.9779989794</v>
      </c>
      <c r="K119" s="53">
        <v>1039972.9779989794</v>
      </c>
      <c r="L119" s="53">
        <v>1039972.9779989794</v>
      </c>
      <c r="M119" s="53">
        <v>1039972.9779989794</v>
      </c>
      <c r="N119" s="53">
        <v>1039972.9779989794</v>
      </c>
    </row>
    <row r="120" spans="5:14" x14ac:dyDescent="0.45">
      <c r="E120" s="148"/>
      <c r="F120" s="49">
        <v>530</v>
      </c>
      <c r="G120" s="53">
        <v>1039972.9779989794</v>
      </c>
      <c r="H120" s="53">
        <v>1039972.9779989794</v>
      </c>
      <c r="I120" s="53">
        <v>1039972.9779989794</v>
      </c>
      <c r="J120" s="53">
        <v>1039972.9779989794</v>
      </c>
      <c r="K120" s="53">
        <v>1039972.9779989794</v>
      </c>
      <c r="L120" s="53">
        <v>1039972.9779989794</v>
      </c>
      <c r="M120" s="53">
        <v>1039972.9779989794</v>
      </c>
      <c r="N120" s="53">
        <v>1039972.9779989794</v>
      </c>
    </row>
    <row r="121" spans="5:14" x14ac:dyDescent="0.45">
      <c r="E121" s="148"/>
      <c r="F121" s="49">
        <v>540</v>
      </c>
      <c r="G121" s="53">
        <v>1039972.9779989794</v>
      </c>
      <c r="H121" s="53">
        <v>1039972.9779989794</v>
      </c>
      <c r="I121" s="53">
        <v>1039972.9779989794</v>
      </c>
      <c r="J121" s="53">
        <v>1039972.9779989794</v>
      </c>
      <c r="K121" s="53">
        <v>1039972.9779989794</v>
      </c>
      <c r="L121" s="53">
        <v>1039972.9779989794</v>
      </c>
      <c r="M121" s="53">
        <v>1039972.9779989794</v>
      </c>
      <c r="N121" s="53">
        <v>1039972.9779989794</v>
      </c>
    </row>
    <row r="122" spans="5:14" x14ac:dyDescent="0.45">
      <c r="E122" s="148"/>
      <c r="F122" s="49">
        <v>550</v>
      </c>
      <c r="G122" s="53">
        <v>1039972.9779989794</v>
      </c>
      <c r="H122" s="53">
        <v>1039972.9779989794</v>
      </c>
      <c r="I122" s="53">
        <v>1039972.9779989794</v>
      </c>
      <c r="J122" s="53">
        <v>1039972.9779989794</v>
      </c>
      <c r="K122" s="53">
        <v>1039972.9779989794</v>
      </c>
      <c r="L122" s="53">
        <v>1039972.9779989794</v>
      </c>
      <c r="M122" s="53">
        <v>1039972.9779989794</v>
      </c>
      <c r="N122" s="53">
        <v>1039972.9779989794</v>
      </c>
    </row>
    <row r="123" spans="5:14" x14ac:dyDescent="0.45">
      <c r="E123" s="148"/>
      <c r="F123" s="49">
        <v>560</v>
      </c>
      <c r="G123" s="53">
        <v>1039972.9779989794</v>
      </c>
      <c r="H123" s="53">
        <v>1039972.9779989794</v>
      </c>
      <c r="I123" s="53">
        <v>1039972.9779989794</v>
      </c>
      <c r="J123" s="53">
        <v>1039972.9779989794</v>
      </c>
      <c r="K123" s="53">
        <v>1039972.9779989794</v>
      </c>
      <c r="L123" s="53">
        <v>1039972.9779989794</v>
      </c>
      <c r="M123" s="53">
        <v>1039972.9779989794</v>
      </c>
      <c r="N123" s="53">
        <v>1039972.9779989794</v>
      </c>
    </row>
    <row r="124" spans="5:14" x14ac:dyDescent="0.45">
      <c r="E124" s="148"/>
      <c r="F124" s="49">
        <v>570</v>
      </c>
      <c r="G124" s="53">
        <v>1039972.9779989794</v>
      </c>
      <c r="H124" s="53">
        <v>1039972.9779989794</v>
      </c>
      <c r="I124" s="53">
        <v>1039972.9779989794</v>
      </c>
      <c r="J124" s="53">
        <v>1039972.9779989794</v>
      </c>
      <c r="K124" s="53">
        <v>1039972.9779989794</v>
      </c>
      <c r="L124" s="53">
        <v>1039972.9779989794</v>
      </c>
      <c r="M124" s="53">
        <v>1039972.9779989794</v>
      </c>
      <c r="N124" s="53">
        <v>1039972.9779989794</v>
      </c>
    </row>
    <row r="125" spans="5:14" x14ac:dyDescent="0.45">
      <c r="E125" s="148"/>
      <c r="F125" s="49">
        <v>580</v>
      </c>
      <c r="G125" s="53">
        <v>1039972.9779989794</v>
      </c>
      <c r="H125" s="53">
        <v>1039972.9779989794</v>
      </c>
      <c r="I125" s="53">
        <v>1039972.9779989794</v>
      </c>
      <c r="J125" s="53">
        <v>1039972.9779989794</v>
      </c>
      <c r="K125" s="53">
        <v>1039972.9779989794</v>
      </c>
      <c r="L125" s="53">
        <v>1039972.9779989794</v>
      </c>
      <c r="M125" s="53">
        <v>1039972.9779989794</v>
      </c>
      <c r="N125" s="53">
        <v>1039972.9779989794</v>
      </c>
    </row>
    <row r="126" spans="5:14" x14ac:dyDescent="0.45">
      <c r="E126" s="148"/>
      <c r="F126" s="49">
        <v>590</v>
      </c>
      <c r="G126" s="53">
        <v>1039972.9779989794</v>
      </c>
      <c r="H126" s="53">
        <v>1039972.9779989794</v>
      </c>
      <c r="I126" s="53">
        <v>1039972.9779989794</v>
      </c>
      <c r="J126" s="53">
        <v>1039972.9779989794</v>
      </c>
      <c r="K126" s="53">
        <v>1039972.9779989794</v>
      </c>
      <c r="L126" s="53">
        <v>1039972.9779989794</v>
      </c>
      <c r="M126" s="53">
        <v>1039972.9779989794</v>
      </c>
      <c r="N126" s="53">
        <v>1039972.9779989794</v>
      </c>
    </row>
    <row r="127" spans="5:14" x14ac:dyDescent="0.45">
      <c r="E127" s="148"/>
      <c r="F127" s="49">
        <v>600</v>
      </c>
      <c r="G127" s="53">
        <v>1039972.9779989794</v>
      </c>
      <c r="H127" s="53">
        <v>1039972.9779989794</v>
      </c>
      <c r="I127" s="53">
        <v>1039972.9779989794</v>
      </c>
      <c r="J127" s="53">
        <v>1039972.9779989794</v>
      </c>
      <c r="K127" s="53">
        <v>1039972.9779989794</v>
      </c>
      <c r="L127" s="53">
        <v>1039972.9779989794</v>
      </c>
      <c r="M127" s="53">
        <v>1039972.9779989794</v>
      </c>
      <c r="N127" s="53">
        <v>1039972.9779989794</v>
      </c>
    </row>
    <row r="128" spans="5:14" x14ac:dyDescent="0.45">
      <c r="E128" s="148"/>
      <c r="F128" s="49">
        <v>700</v>
      </c>
      <c r="G128" s="53">
        <v>1039972.9779989794</v>
      </c>
      <c r="H128" s="53">
        <v>1039972.9779989794</v>
      </c>
      <c r="I128" s="53">
        <v>1039972.9779989794</v>
      </c>
      <c r="J128" s="53">
        <v>1039972.9779989794</v>
      </c>
      <c r="K128" s="53">
        <v>1039972.9779989794</v>
      </c>
      <c r="L128" s="53">
        <v>1039972.9779989794</v>
      </c>
      <c r="M128" s="53">
        <v>1039972.9779989794</v>
      </c>
      <c r="N128" s="53">
        <v>1039972.9779989794</v>
      </c>
    </row>
    <row r="129" spans="5:14" x14ac:dyDescent="0.45">
      <c r="E129" s="148"/>
      <c r="F129" s="49">
        <v>800</v>
      </c>
      <c r="G129" s="53">
        <v>1039972.9779989794</v>
      </c>
      <c r="H129" s="53">
        <v>1039972.9779989794</v>
      </c>
      <c r="I129" s="53">
        <v>1039972.9779989794</v>
      </c>
      <c r="J129" s="53">
        <v>1039972.9779989794</v>
      </c>
      <c r="K129" s="53">
        <v>1039972.9779989794</v>
      </c>
      <c r="L129" s="53">
        <v>1039972.9779989794</v>
      </c>
      <c r="M129" s="53">
        <v>1039972.9779989794</v>
      </c>
      <c r="N129" s="53">
        <v>1039972.9779989794</v>
      </c>
    </row>
    <row r="130" spans="5:14" x14ac:dyDescent="0.45">
      <c r="E130" s="148"/>
      <c r="F130" s="49">
        <v>900</v>
      </c>
      <c r="G130" s="53">
        <v>1039972.9779989794</v>
      </c>
      <c r="H130" s="53">
        <v>1039972.9779989794</v>
      </c>
      <c r="I130" s="53">
        <v>1039972.9779989794</v>
      </c>
      <c r="J130" s="53">
        <v>1039972.9779989794</v>
      </c>
      <c r="K130" s="53">
        <v>1039972.9779989794</v>
      </c>
      <c r="L130" s="53">
        <v>1039972.9779989794</v>
      </c>
      <c r="M130" s="53">
        <v>1039972.9779989794</v>
      </c>
      <c r="N130" s="53">
        <v>1039972.9779989794</v>
      </c>
    </row>
    <row r="131" spans="5:14" x14ac:dyDescent="0.45">
      <c r="E131" s="148"/>
      <c r="F131" s="49">
        <v>1000</v>
      </c>
      <c r="G131" s="53">
        <v>1039972.9779989794</v>
      </c>
      <c r="H131" s="53">
        <v>1039972.9779989794</v>
      </c>
      <c r="I131" s="53">
        <v>1039972.9779989794</v>
      </c>
      <c r="J131" s="53">
        <v>1039972.9779989794</v>
      </c>
      <c r="K131" s="53">
        <v>1039972.9779989794</v>
      </c>
      <c r="L131" s="53">
        <v>1039972.9779989794</v>
      </c>
      <c r="M131" s="53">
        <v>1039972.9779989794</v>
      </c>
      <c r="N131" s="53">
        <v>1039972.9779989794</v>
      </c>
    </row>
    <row r="132" spans="5:14" x14ac:dyDescent="0.45">
      <c r="E132" s="148"/>
      <c r="F132" s="49">
        <v>1100</v>
      </c>
      <c r="G132" s="53">
        <v>1039972.9779989794</v>
      </c>
      <c r="H132" s="53">
        <v>1039972.9779989794</v>
      </c>
      <c r="I132" s="53">
        <v>1039972.9779989794</v>
      </c>
      <c r="J132" s="53">
        <v>1039972.9779989794</v>
      </c>
      <c r="K132" s="53">
        <v>1039972.9779989794</v>
      </c>
      <c r="L132" s="53">
        <v>1039972.9779989794</v>
      </c>
      <c r="M132" s="53">
        <v>1039972.9779989794</v>
      </c>
      <c r="N132" s="53">
        <v>1039972.9779989794</v>
      </c>
    </row>
    <row r="133" spans="5:14" x14ac:dyDescent="0.45">
      <c r="E133" s="148"/>
      <c r="F133" s="49">
        <v>1200</v>
      </c>
      <c r="G133" s="53">
        <v>1039972.9779989794</v>
      </c>
      <c r="H133" s="53">
        <v>1039972.9779989794</v>
      </c>
      <c r="I133" s="53">
        <v>1039972.9779989794</v>
      </c>
      <c r="J133" s="53">
        <v>1039972.9779989794</v>
      </c>
      <c r="K133" s="53">
        <v>1039972.9779989794</v>
      </c>
      <c r="L133" s="53">
        <v>1039972.9779989794</v>
      </c>
      <c r="M133" s="53">
        <v>1039972.9779989794</v>
      </c>
      <c r="N133" s="53">
        <v>1039972.9779989794</v>
      </c>
    </row>
    <row r="134" spans="5:14" x14ac:dyDescent="0.45">
      <c r="E134" s="148"/>
      <c r="F134" s="49">
        <v>1300</v>
      </c>
      <c r="G134" s="53">
        <v>1039972.9779989794</v>
      </c>
      <c r="H134" s="53">
        <v>1039972.9779989794</v>
      </c>
      <c r="I134" s="53">
        <v>1039972.9779989794</v>
      </c>
      <c r="J134" s="53">
        <v>1039972.9779989794</v>
      </c>
      <c r="K134" s="53">
        <v>1039972.9779989794</v>
      </c>
      <c r="L134" s="53">
        <v>1039972.9779989794</v>
      </c>
      <c r="M134" s="53">
        <v>1039972.9779989794</v>
      </c>
      <c r="N134" s="53">
        <v>1039972.9779989794</v>
      </c>
    </row>
    <row r="135" spans="5:14" x14ac:dyDescent="0.45">
      <c r="E135" s="148"/>
      <c r="F135" s="49">
        <v>1400</v>
      </c>
      <c r="G135" s="53">
        <v>1039972.9779989794</v>
      </c>
      <c r="H135" s="53">
        <v>1039972.9779989794</v>
      </c>
      <c r="I135" s="53">
        <v>1039972.9779989794</v>
      </c>
      <c r="J135" s="53">
        <v>1039972.9779989794</v>
      </c>
      <c r="K135" s="53">
        <v>1039972.9779989794</v>
      </c>
      <c r="L135" s="53">
        <v>1039972.9779989794</v>
      </c>
      <c r="M135" s="53">
        <v>1039972.9779989794</v>
      </c>
      <c r="N135" s="53">
        <v>1039972.9779989794</v>
      </c>
    </row>
    <row r="136" spans="5:14" x14ac:dyDescent="0.45">
      <c r="E136" s="148"/>
      <c r="F136" s="49">
        <v>1500</v>
      </c>
      <c r="G136" s="53">
        <v>1039972.9779989794</v>
      </c>
      <c r="H136" s="53">
        <v>1039972.9779989794</v>
      </c>
      <c r="I136" s="53">
        <v>1039972.9779989794</v>
      </c>
      <c r="J136" s="53">
        <v>1039972.9779989794</v>
      </c>
      <c r="K136" s="53">
        <v>1039972.9779989794</v>
      </c>
      <c r="L136" s="53">
        <v>1039972.9779989794</v>
      </c>
      <c r="M136" s="53">
        <v>1039972.9779989794</v>
      </c>
      <c r="N136" s="53">
        <v>1039972.9779989794</v>
      </c>
    </row>
    <row r="137" spans="5:14" x14ac:dyDescent="0.45">
      <c r="E137" s="148"/>
      <c r="F137" s="49">
        <v>1600</v>
      </c>
      <c r="G137" s="53">
        <v>1039972.9779989794</v>
      </c>
      <c r="H137" s="53">
        <v>1039972.9779989794</v>
      </c>
      <c r="I137" s="53">
        <v>1039972.9779989794</v>
      </c>
      <c r="J137" s="53">
        <v>1039972.9779989794</v>
      </c>
      <c r="K137" s="53">
        <v>1039972.9779989794</v>
      </c>
      <c r="L137" s="53">
        <v>1039972.9779989794</v>
      </c>
      <c r="M137" s="53">
        <v>1039972.9779989794</v>
      </c>
      <c r="N137" s="53">
        <v>1039972.9779989794</v>
      </c>
    </row>
    <row r="138" spans="5:14" x14ac:dyDescent="0.45">
      <c r="E138" s="148"/>
      <c r="F138" s="49">
        <v>1700</v>
      </c>
      <c r="G138" s="53">
        <v>1039972.9779989794</v>
      </c>
      <c r="H138" s="53">
        <v>1039972.9779989794</v>
      </c>
      <c r="I138" s="53">
        <v>1039972.9779989794</v>
      </c>
      <c r="J138" s="53">
        <v>1039972.9779989794</v>
      </c>
      <c r="K138" s="53">
        <v>1039972.9779989794</v>
      </c>
      <c r="L138" s="53">
        <v>1039972.9779989794</v>
      </c>
      <c r="M138" s="53">
        <v>1039972.9779989794</v>
      </c>
      <c r="N138" s="53">
        <v>1039972.9779989794</v>
      </c>
    </row>
    <row r="139" spans="5:14" x14ac:dyDescent="0.45">
      <c r="E139" s="148"/>
      <c r="F139" s="49">
        <v>1800</v>
      </c>
      <c r="G139" s="53">
        <v>1039972.9779989794</v>
      </c>
      <c r="H139" s="53">
        <v>1039972.9779989794</v>
      </c>
      <c r="I139" s="53">
        <v>1039972.9779989794</v>
      </c>
      <c r="J139" s="53">
        <v>1039972.9779989794</v>
      </c>
      <c r="K139" s="53">
        <v>1039972.9779989794</v>
      </c>
      <c r="L139" s="53">
        <v>1039972.9779989794</v>
      </c>
      <c r="M139" s="53">
        <v>1039972.9779989794</v>
      </c>
      <c r="N139" s="53">
        <v>1039972.9779989794</v>
      </c>
    </row>
    <row r="140" spans="5:14" x14ac:dyDescent="0.45">
      <c r="E140" s="148"/>
      <c r="F140" s="49">
        <v>1900</v>
      </c>
      <c r="G140" s="53">
        <v>1039972.9779989794</v>
      </c>
      <c r="H140" s="53">
        <v>1039972.9779989794</v>
      </c>
      <c r="I140" s="53">
        <v>1039972.9779989794</v>
      </c>
      <c r="J140" s="53">
        <v>1039972.9779989794</v>
      </c>
      <c r="K140" s="53">
        <v>1039972.9779989794</v>
      </c>
      <c r="L140" s="53">
        <v>1039972.9779989794</v>
      </c>
      <c r="M140" s="53">
        <v>1039972.9779989794</v>
      </c>
      <c r="N140" s="53">
        <v>1039972.9779989794</v>
      </c>
    </row>
    <row r="141" spans="5:14" x14ac:dyDescent="0.45">
      <c r="E141" s="148"/>
      <c r="F141" s="49">
        <v>2000</v>
      </c>
      <c r="G141" s="53">
        <v>1039972.9779989794</v>
      </c>
      <c r="H141" s="53">
        <v>1039972.9779989794</v>
      </c>
      <c r="I141" s="53">
        <v>1039972.9779989794</v>
      </c>
      <c r="J141" s="53">
        <v>1039972.9779989794</v>
      </c>
      <c r="K141" s="53">
        <v>1039972.9779989794</v>
      </c>
      <c r="L141" s="53">
        <v>1039972.9779989794</v>
      </c>
      <c r="M141" s="53">
        <v>1039972.9779989794</v>
      </c>
      <c r="N141" s="53">
        <v>1039972.9779989794</v>
      </c>
    </row>
    <row r="142" spans="5:14" x14ac:dyDescent="0.45">
      <c r="E142" s="148"/>
      <c r="F142" s="49">
        <v>2100</v>
      </c>
      <c r="G142" s="53">
        <v>1039972.9779989794</v>
      </c>
      <c r="H142" s="53">
        <v>1039972.9779989794</v>
      </c>
      <c r="I142" s="53">
        <v>1039972.9779989794</v>
      </c>
      <c r="J142" s="53">
        <v>1039972.9779989794</v>
      </c>
      <c r="K142" s="53">
        <v>1039972.9779989794</v>
      </c>
      <c r="L142" s="53">
        <v>1039972.9779989794</v>
      </c>
      <c r="M142" s="53">
        <v>1039972.9779989794</v>
      </c>
      <c r="N142" s="53">
        <v>1039972.9779989794</v>
      </c>
    </row>
  </sheetData>
  <mergeCells count="7">
    <mergeCell ref="G91:N91"/>
    <mergeCell ref="E93:E142"/>
    <mergeCell ref="A16:B16"/>
    <mergeCell ref="C16:D16"/>
    <mergeCell ref="E16:F16"/>
    <mergeCell ref="A20:D20"/>
    <mergeCell ref="A36:D36"/>
  </mergeCells>
  <conditionalFormatting sqref="G39:G88">
    <cfRule type="cellIs" dxfId="5" priority="4" operator="equal">
      <formula>MAX($G$39:$G$88)</formula>
    </cfRule>
  </conditionalFormatting>
  <conditionalFormatting sqref="G93:G142">
    <cfRule type="cellIs" dxfId="4" priority="3" operator="equal">
      <formula>MAX($G$93:$G$142)</formula>
    </cfRule>
  </conditionalFormatting>
  <conditionalFormatting sqref="H64">
    <cfRule type="cellIs" dxfId="3" priority="6" operator="equal">
      <formula>"max($G$39:$G$88)"</formula>
    </cfRule>
  </conditionalFormatting>
  <conditionalFormatting sqref="H93:H142">
    <cfRule type="cellIs" dxfId="2" priority="2" operator="equal">
      <formula>MAX($H$93:$H$142)</formula>
    </cfRule>
  </conditionalFormatting>
  <conditionalFormatting sqref="I93:I142">
    <cfRule type="cellIs" dxfId="1" priority="1" operator="equal">
      <formula>MAX($I$93:$I$142)</formula>
    </cfRule>
  </conditionalFormatting>
  <conditionalFormatting sqref="K64">
    <cfRule type="cellIs" dxfId="0" priority="5" operator="equal">
      <formula>MAX($G$39:$G$88)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994A-99E0-4589-8FDF-67B5BC3F94BC}">
  <dimension ref="A1:K36"/>
  <sheetViews>
    <sheetView topLeftCell="A15" workbookViewId="0">
      <selection activeCell="Q11" sqref="Q11:S11"/>
    </sheetView>
  </sheetViews>
  <sheetFormatPr defaultRowHeight="14.25" x14ac:dyDescent="0.45"/>
  <cols>
    <col min="1" max="1" width="21.73046875" customWidth="1"/>
    <col min="2" max="2" width="11.73046875" customWidth="1"/>
    <col min="5" max="5" width="13.73046875" customWidth="1"/>
    <col min="6" max="6" width="14.3984375" customWidth="1"/>
    <col min="7" max="7" width="15.86328125" customWidth="1"/>
  </cols>
  <sheetData>
    <row r="1" spans="1:11" ht="19.899999999999999" thickBot="1" x14ac:dyDescent="0.65">
      <c r="A1" s="6" t="s">
        <v>49</v>
      </c>
    </row>
    <row r="2" spans="1:11" ht="14.65" thickTop="1" x14ac:dyDescent="0.45">
      <c r="E2" s="151" t="s">
        <v>60</v>
      </c>
      <c r="F2" s="151"/>
    </row>
    <row r="3" spans="1:11" x14ac:dyDescent="0.45">
      <c r="A3" t="s">
        <v>50</v>
      </c>
      <c r="B3">
        <v>9.3000000000000007</v>
      </c>
      <c r="C3" t="s">
        <v>56</v>
      </c>
      <c r="E3" s="55" t="s">
        <v>61</v>
      </c>
      <c r="F3" s="55" t="s">
        <v>62</v>
      </c>
    </row>
    <row r="4" spans="1:11" x14ac:dyDescent="0.45">
      <c r="A4" t="s">
        <v>51</v>
      </c>
      <c r="B4">
        <v>20</v>
      </c>
      <c r="C4" t="s">
        <v>57</v>
      </c>
      <c r="E4" s="21">
        <v>1</v>
      </c>
      <c r="F4" s="57">
        <f>B5</f>
        <v>1.2</v>
      </c>
      <c r="G4" t="str">
        <f ca="1">_xlfn.FORMULATEXT(F4)</f>
        <v>=B5</v>
      </c>
    </row>
    <row r="5" spans="1:11" x14ac:dyDescent="0.45">
      <c r="A5" t="s">
        <v>52</v>
      </c>
      <c r="B5">
        <v>1.2</v>
      </c>
      <c r="C5" t="s">
        <v>58</v>
      </c>
      <c r="E5" s="21">
        <v>2</v>
      </c>
      <c r="F5" s="56">
        <f>IF(E5&lt;=$B$6,F4+F4*$B$7,F4-F4*$B$8)</f>
        <v>1.3199999999999998</v>
      </c>
      <c r="G5" t="str">
        <f ca="1">_xlfn.FORMULATEXT(F5)</f>
        <v>=IF(E5&lt;=$B$6,F4+F4*$B$7,F4-F4*$B$8)</v>
      </c>
      <c r="K5" s="53">
        <f>F4*1.1</f>
        <v>1.32</v>
      </c>
    </row>
    <row r="6" spans="1:11" x14ac:dyDescent="0.45">
      <c r="A6" t="s">
        <v>53</v>
      </c>
      <c r="B6">
        <v>8</v>
      </c>
      <c r="E6" s="21">
        <v>3</v>
      </c>
      <c r="F6" s="56">
        <f t="shared" ref="F6:F23" si="0">IF(E6&lt;=$B$6,F5+F5*$B$7,F5-F5*$B$8)</f>
        <v>1.4519999999999997</v>
      </c>
      <c r="G6" t="str">
        <f t="shared" ref="G6:G23" ca="1" si="1">_xlfn.FORMULATEXT(F6)</f>
        <v>=IF(E6&lt;=$B$6,F5+F5*$B$7,F5-F5*$B$8)</v>
      </c>
      <c r="K6" s="53">
        <f t="shared" ref="K6:K11" si="2">F5*1.1</f>
        <v>1.452</v>
      </c>
    </row>
    <row r="7" spans="1:11" x14ac:dyDescent="0.45">
      <c r="A7" t="s">
        <v>54</v>
      </c>
      <c r="B7" s="54">
        <v>0.1</v>
      </c>
      <c r="E7" s="21">
        <v>4</v>
      </c>
      <c r="F7" s="56">
        <f t="shared" si="0"/>
        <v>1.5971999999999997</v>
      </c>
      <c r="G7" t="str">
        <f t="shared" ca="1" si="1"/>
        <v>=IF(E7&lt;=$B$6,F6+F6*$B$7,F6-F6*$B$8)</v>
      </c>
      <c r="K7" s="53">
        <f t="shared" si="2"/>
        <v>1.5971999999999997</v>
      </c>
    </row>
    <row r="8" spans="1:11" x14ac:dyDescent="0.45">
      <c r="A8" t="s">
        <v>55</v>
      </c>
      <c r="B8" s="54">
        <v>0.05</v>
      </c>
      <c r="E8" s="21">
        <v>5</v>
      </c>
      <c r="F8" s="56">
        <f t="shared" si="0"/>
        <v>1.7569199999999996</v>
      </c>
      <c r="G8" t="str">
        <f t="shared" ca="1" si="1"/>
        <v>=IF(E8&lt;=$B$6,F7+F7*$B$7,F7-F7*$B$8)</v>
      </c>
      <c r="K8" s="53">
        <f t="shared" si="2"/>
        <v>1.7569199999999998</v>
      </c>
    </row>
    <row r="9" spans="1:11" x14ac:dyDescent="0.45">
      <c r="A9" t="s">
        <v>59</v>
      </c>
      <c r="B9" s="54">
        <v>0.12</v>
      </c>
      <c r="E9" s="21">
        <v>6</v>
      </c>
      <c r="F9" s="56">
        <f t="shared" si="0"/>
        <v>1.9326119999999996</v>
      </c>
      <c r="G9" t="str">
        <f t="shared" ca="1" si="1"/>
        <v>=IF(E9&lt;=$B$6,F8+F8*$B$7,F8-F8*$B$8)</v>
      </c>
      <c r="K9" s="53">
        <f t="shared" si="2"/>
        <v>1.9326119999999998</v>
      </c>
    </row>
    <row r="10" spans="1:11" x14ac:dyDescent="0.45">
      <c r="E10" s="21">
        <v>7</v>
      </c>
      <c r="F10" s="56">
        <f t="shared" si="0"/>
        <v>2.1258731999999996</v>
      </c>
      <c r="G10" t="str">
        <f t="shared" ca="1" si="1"/>
        <v>=IF(E10&lt;=$B$6,F9+F9*$B$7,F9-F9*$B$8)</v>
      </c>
      <c r="K10" s="53">
        <f t="shared" si="2"/>
        <v>2.1258731999999996</v>
      </c>
    </row>
    <row r="11" spans="1:11" x14ac:dyDescent="0.45">
      <c r="A11" t="s">
        <v>63</v>
      </c>
      <c r="B11" s="53">
        <f>NPV(B9,F4:F23)</f>
        <v>12.600290735832383</v>
      </c>
      <c r="C11" t="str">
        <f ca="1">_xlfn.FORMULATEXT(B11)</f>
        <v>=NPV(B9,F4:F23)</v>
      </c>
      <c r="E11" s="21">
        <v>8</v>
      </c>
      <c r="F11" s="56">
        <f t="shared" si="0"/>
        <v>2.3384605199999995</v>
      </c>
      <c r="G11" t="str">
        <f t="shared" ca="1" si="1"/>
        <v>=IF(E11&lt;=$B$6,F10+F10*$B$7,F10-F10*$B$8)</v>
      </c>
      <c r="K11" s="53">
        <f t="shared" si="2"/>
        <v>2.3384605199999999</v>
      </c>
    </row>
    <row r="12" spans="1:11" x14ac:dyDescent="0.45">
      <c r="A12" t="s">
        <v>64</v>
      </c>
      <c r="B12" s="53">
        <v>9.3000000000000007</v>
      </c>
      <c r="E12" s="21">
        <v>9</v>
      </c>
      <c r="F12" s="56">
        <f t="shared" si="0"/>
        <v>2.2215374939999997</v>
      </c>
      <c r="G12" t="str">
        <f t="shared" ca="1" si="1"/>
        <v>=IF(E12&lt;=$B$6,F11+F11*$B$7,F11-F11*$B$8)</v>
      </c>
      <c r="K12" s="53">
        <f>F11-F11*$B$8</f>
        <v>2.2215374939999997</v>
      </c>
    </row>
    <row r="13" spans="1:11" x14ac:dyDescent="0.45">
      <c r="A13" t="s">
        <v>65</v>
      </c>
      <c r="B13" s="53">
        <f>B11-B12</f>
        <v>3.3002907358323821</v>
      </c>
      <c r="C13" t="s">
        <v>56</v>
      </c>
      <c r="E13" s="21">
        <v>10</v>
      </c>
      <c r="F13" s="56">
        <f t="shared" si="0"/>
        <v>2.1104606192999995</v>
      </c>
      <c r="G13" t="str">
        <f t="shared" ca="1" si="1"/>
        <v>=IF(E13&lt;=$B$6,F12+F12*$B$7,F12-F12*$B$8)</v>
      </c>
      <c r="K13" s="53">
        <f t="shared" ref="K13:K23" si="3">F12-F12*$B$8</f>
        <v>2.1104606192999995</v>
      </c>
    </row>
    <row r="14" spans="1:11" x14ac:dyDescent="0.45">
      <c r="E14" s="21">
        <v>11</v>
      </c>
      <c r="F14" s="56">
        <f t="shared" si="0"/>
        <v>2.0049375883349994</v>
      </c>
      <c r="G14" t="str">
        <f t="shared" ca="1" si="1"/>
        <v>=IF(E14&lt;=$B$6,F13+F13*$B$7,F13-F13*$B$8)</v>
      </c>
      <c r="K14" s="53">
        <f t="shared" si="3"/>
        <v>2.0049375883349994</v>
      </c>
    </row>
    <row r="15" spans="1:11" x14ac:dyDescent="0.45">
      <c r="E15" s="21">
        <v>12</v>
      </c>
      <c r="F15" s="56">
        <f t="shared" si="0"/>
        <v>1.9046907089182494</v>
      </c>
      <c r="G15" t="str">
        <f t="shared" ca="1" si="1"/>
        <v>=IF(E15&lt;=$B$6,F14+F14*$B$7,F14-F14*$B$8)</v>
      </c>
      <c r="K15" s="53">
        <f t="shared" si="3"/>
        <v>1.9046907089182494</v>
      </c>
    </row>
    <row r="16" spans="1:11" x14ac:dyDescent="0.45">
      <c r="E16" s="21">
        <v>13</v>
      </c>
      <c r="F16" s="56">
        <f t="shared" si="0"/>
        <v>1.8094561734723369</v>
      </c>
      <c r="G16" t="str">
        <f t="shared" ca="1" si="1"/>
        <v>=IF(E16&lt;=$B$6,F15+F15*$B$7,F15-F15*$B$8)</v>
      </c>
      <c r="K16" s="53">
        <f t="shared" si="3"/>
        <v>1.8094561734723369</v>
      </c>
    </row>
    <row r="17" spans="1:11" x14ac:dyDescent="0.45">
      <c r="E17" s="21">
        <v>14</v>
      </c>
      <c r="F17" s="56">
        <f t="shared" si="0"/>
        <v>1.71898336479872</v>
      </c>
      <c r="G17" t="str">
        <f t="shared" ca="1" si="1"/>
        <v>=IF(E17&lt;=$B$6,F16+F16*$B$7,F16-F16*$B$8)</v>
      </c>
      <c r="K17" s="53">
        <f t="shared" si="3"/>
        <v>1.71898336479872</v>
      </c>
    </row>
    <row r="18" spans="1:11" x14ac:dyDescent="0.45">
      <c r="E18" s="21">
        <v>15</v>
      </c>
      <c r="F18" s="56">
        <f t="shared" si="0"/>
        <v>1.633034196558784</v>
      </c>
      <c r="G18" t="str">
        <f t="shared" ca="1" si="1"/>
        <v>=IF(E18&lt;=$B$6,F17+F17*$B$7,F17-F17*$B$8)</v>
      </c>
      <c r="K18" s="53">
        <f t="shared" si="3"/>
        <v>1.633034196558784</v>
      </c>
    </row>
    <row r="19" spans="1:11" x14ac:dyDescent="0.45">
      <c r="E19" s="21">
        <v>16</v>
      </c>
      <c r="F19" s="56">
        <f t="shared" si="0"/>
        <v>1.5513824867308448</v>
      </c>
      <c r="G19" t="str">
        <f t="shared" ca="1" si="1"/>
        <v>=IF(E19&lt;=$B$6,F18+F18*$B$7,F18-F18*$B$8)</v>
      </c>
      <c r="K19" s="53">
        <f t="shared" si="3"/>
        <v>1.5513824867308448</v>
      </c>
    </row>
    <row r="20" spans="1:11" x14ac:dyDescent="0.45">
      <c r="E20" s="21">
        <v>17</v>
      </c>
      <c r="F20" s="56">
        <f t="shared" si="0"/>
        <v>1.4738133623943026</v>
      </c>
      <c r="G20" t="str">
        <f t="shared" ca="1" si="1"/>
        <v>=IF(E20&lt;=$B$6,F19+F19*$B$7,F19-F19*$B$8)</v>
      </c>
      <c r="K20" s="53">
        <f t="shared" si="3"/>
        <v>1.4738133623943026</v>
      </c>
    </row>
    <row r="21" spans="1:11" x14ac:dyDescent="0.45">
      <c r="E21" s="21">
        <v>18</v>
      </c>
      <c r="F21" s="56">
        <f t="shared" si="0"/>
        <v>1.4001226942745875</v>
      </c>
      <c r="G21" t="str">
        <f t="shared" ca="1" si="1"/>
        <v>=IF(E21&lt;=$B$6,F20+F20*$B$7,F20-F20*$B$8)</v>
      </c>
      <c r="K21" s="53">
        <f t="shared" si="3"/>
        <v>1.4001226942745875</v>
      </c>
    </row>
    <row r="22" spans="1:11" x14ac:dyDescent="0.45">
      <c r="E22" s="21">
        <v>19</v>
      </c>
      <c r="F22" s="56">
        <f t="shared" si="0"/>
        <v>1.3301165595608582</v>
      </c>
      <c r="G22" t="str">
        <f t="shared" ca="1" si="1"/>
        <v>=IF(E22&lt;=$B$6,F21+F21*$B$7,F21-F21*$B$8)</v>
      </c>
      <c r="K22" s="53">
        <f t="shared" si="3"/>
        <v>1.3301165595608582</v>
      </c>
    </row>
    <row r="23" spans="1:11" x14ac:dyDescent="0.45">
      <c r="E23" s="21">
        <v>20</v>
      </c>
      <c r="F23" s="56">
        <f t="shared" si="0"/>
        <v>1.2636107315828153</v>
      </c>
      <c r="G23" t="str">
        <f t="shared" ca="1" si="1"/>
        <v>=IF(E23&lt;=$B$6,F22+F22*$B$7,F22-F22*$B$8)</v>
      </c>
      <c r="K23" s="53">
        <f t="shared" si="3"/>
        <v>1.2636107315828153</v>
      </c>
    </row>
    <row r="30" spans="1:11" x14ac:dyDescent="0.45">
      <c r="A30" s="4" t="s">
        <v>66</v>
      </c>
      <c r="E30" s="147" t="s">
        <v>60</v>
      </c>
      <c r="F30" s="147"/>
    </row>
    <row r="31" spans="1:11" ht="28.5" x14ac:dyDescent="0.45">
      <c r="A31" s="4" t="s">
        <v>67</v>
      </c>
      <c r="B31">
        <v>150</v>
      </c>
      <c r="C31" t="s">
        <v>68</v>
      </c>
      <c r="E31" s="40" t="s">
        <v>61</v>
      </c>
      <c r="F31" s="58" t="s">
        <v>70</v>
      </c>
    </row>
    <row r="32" spans="1:11" x14ac:dyDescent="0.45">
      <c r="A32" s="4" t="s">
        <v>69</v>
      </c>
      <c r="B32">
        <v>5</v>
      </c>
      <c r="E32">
        <v>1</v>
      </c>
      <c r="F32">
        <v>30</v>
      </c>
    </row>
    <row r="33" spans="1:6" x14ac:dyDescent="0.45">
      <c r="A33" s="4" t="s">
        <v>59</v>
      </c>
      <c r="B33" s="54">
        <v>0.15</v>
      </c>
      <c r="E33">
        <v>2</v>
      </c>
      <c r="F33">
        <v>65</v>
      </c>
    </row>
    <row r="34" spans="1:6" x14ac:dyDescent="0.45">
      <c r="A34" s="4"/>
      <c r="E34">
        <v>3</v>
      </c>
      <c r="F34">
        <v>80</v>
      </c>
    </row>
    <row r="35" spans="1:6" x14ac:dyDescent="0.45">
      <c r="A35" s="4" t="s">
        <v>63</v>
      </c>
      <c r="B35" s="59">
        <f>NPV(B33,F32:F36)</f>
        <v>198.06380735147278</v>
      </c>
      <c r="E35">
        <v>4</v>
      </c>
      <c r="F35">
        <v>75</v>
      </c>
    </row>
    <row r="36" spans="1:6" x14ac:dyDescent="0.45">
      <c r="A36" s="4" t="s">
        <v>65</v>
      </c>
      <c r="B36" s="53">
        <f>B35-B31</f>
        <v>48.063807351472775</v>
      </c>
      <c r="E36">
        <v>5</v>
      </c>
      <c r="F36">
        <v>55</v>
      </c>
    </row>
  </sheetData>
  <mergeCells count="2">
    <mergeCell ref="E2:F2"/>
    <mergeCell ref="E30:F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90DD-50BD-4B99-B7B1-64AB8B83A857}">
  <dimension ref="A1:G65"/>
  <sheetViews>
    <sheetView topLeftCell="A16" workbookViewId="0">
      <selection activeCell="Q11" sqref="Q11:S11"/>
    </sheetView>
  </sheetViews>
  <sheetFormatPr defaultRowHeight="14.25" x14ac:dyDescent="0.45"/>
  <cols>
    <col min="1" max="1" width="8.73046875" customWidth="1"/>
    <col min="2" max="2" width="15" customWidth="1"/>
    <col min="3" max="3" width="22.59765625" customWidth="1"/>
    <col min="4" max="4" width="11.86328125" customWidth="1"/>
    <col min="5" max="5" width="14.265625" customWidth="1"/>
    <col min="6" max="6" width="13.86328125" customWidth="1"/>
  </cols>
  <sheetData>
    <row r="1" spans="1:7" x14ac:dyDescent="0.45">
      <c r="A1" s="4" t="s">
        <v>90</v>
      </c>
      <c r="B1" s="4"/>
    </row>
    <row r="2" spans="1:7" x14ac:dyDescent="0.45">
      <c r="B2" s="4" t="s">
        <v>96</v>
      </c>
      <c r="C2" t="s">
        <v>97</v>
      </c>
      <c r="F2" t="s">
        <v>95</v>
      </c>
      <c r="G2" s="67">
        <f>AVERAGE(D8:D26)</f>
        <v>4.5984611527925261E-2</v>
      </c>
    </row>
    <row r="3" spans="1:7" ht="42.75" x14ac:dyDescent="0.45">
      <c r="B3" s="4" t="s">
        <v>98</v>
      </c>
      <c r="C3">
        <v>158193</v>
      </c>
      <c r="F3" s="1" t="s">
        <v>102</v>
      </c>
      <c r="G3" s="69">
        <f>AVERAGE(F7:F26)</f>
        <v>4.8418488046160578E-2</v>
      </c>
    </row>
    <row r="4" spans="1:7" x14ac:dyDescent="0.45">
      <c r="B4" s="4" t="s">
        <v>99</v>
      </c>
      <c r="C4">
        <v>4.2999999999999997E-2</v>
      </c>
      <c r="G4" s="67"/>
    </row>
    <row r="5" spans="1:7" x14ac:dyDescent="0.45">
      <c r="F5" s="4" t="s">
        <v>101</v>
      </c>
      <c r="G5" s="67"/>
    </row>
    <row r="6" spans="1:7" ht="28.5" x14ac:dyDescent="0.45">
      <c r="A6" s="40" t="s">
        <v>91</v>
      </c>
      <c r="B6" s="40" t="s">
        <v>93</v>
      </c>
      <c r="C6" s="58" t="s">
        <v>92</v>
      </c>
      <c r="D6" s="58" t="s">
        <v>94</v>
      </c>
      <c r="E6" s="62" t="s">
        <v>100</v>
      </c>
    </row>
    <row r="7" spans="1:7" x14ac:dyDescent="0.45">
      <c r="A7">
        <v>1992</v>
      </c>
      <c r="B7">
        <v>1</v>
      </c>
      <c r="C7">
        <v>150781.17000000001</v>
      </c>
      <c r="E7" s="48">
        <f>$C$3*EXP($C$4*B7)</f>
        <v>165143.66740010298</v>
      </c>
      <c r="F7" s="68">
        <f>ABS(E7-C7)/C7</f>
        <v>9.5253919306389254E-2</v>
      </c>
    </row>
    <row r="8" spans="1:7" x14ac:dyDescent="0.45">
      <c r="A8">
        <v>1993</v>
      </c>
      <c r="B8">
        <v>2</v>
      </c>
      <c r="C8">
        <v>161696.25</v>
      </c>
      <c r="D8" s="68">
        <f>(C8-C7)/C7</f>
        <v>7.2390206283715577E-2</v>
      </c>
      <c r="E8" s="48">
        <f t="shared" ref="E8:E65" si="0">$C$3*EXP($C$4*B8)</f>
        <v>172399.73249357322</v>
      </c>
      <c r="F8" s="68">
        <f t="shared" ref="F8:F26" si="1">ABS(E8-C8)/C8</f>
        <v>6.6194995205969331E-2</v>
      </c>
    </row>
    <row r="9" spans="1:7" x14ac:dyDescent="0.45">
      <c r="A9">
        <v>1994</v>
      </c>
      <c r="B9">
        <v>3</v>
      </c>
      <c r="C9">
        <v>175688.83</v>
      </c>
      <c r="D9" s="68">
        <f t="shared" ref="D9:D26" si="2">(C9-C8)/C8</f>
        <v>8.6536206003540506E-2</v>
      </c>
      <c r="E9" s="48">
        <f t="shared" si="0"/>
        <v>179974.61381214956</v>
      </c>
      <c r="F9" s="68">
        <f t="shared" si="1"/>
        <v>2.4394173563279883E-2</v>
      </c>
    </row>
    <row r="10" spans="1:7" x14ac:dyDescent="0.45">
      <c r="A10">
        <v>1995</v>
      </c>
      <c r="B10">
        <v>4</v>
      </c>
      <c r="C10">
        <v>185437.25</v>
      </c>
      <c r="D10" s="68">
        <f t="shared" si="2"/>
        <v>5.5486851383778998E-2</v>
      </c>
      <c r="E10" s="48">
        <f t="shared" si="0"/>
        <v>187882.31946960744</v>
      </c>
      <c r="F10" s="68">
        <f t="shared" si="1"/>
        <v>1.3185427790842644E-2</v>
      </c>
    </row>
    <row r="11" spans="1:7" x14ac:dyDescent="0.45">
      <c r="A11">
        <v>1996</v>
      </c>
      <c r="B11">
        <v>5</v>
      </c>
      <c r="C11">
        <v>196728.17</v>
      </c>
      <c r="D11" s="68">
        <f t="shared" si="2"/>
        <v>6.0888090176056932E-2</v>
      </c>
      <c r="E11" s="48">
        <f t="shared" si="0"/>
        <v>196137.47306675219</v>
      </c>
      <c r="F11" s="68">
        <f t="shared" si="1"/>
        <v>3.0026047273647607E-3</v>
      </c>
    </row>
    <row r="12" spans="1:7" x14ac:dyDescent="0.45">
      <c r="A12">
        <v>1997</v>
      </c>
      <c r="B12">
        <v>6</v>
      </c>
      <c r="C12">
        <v>206334.07999999999</v>
      </c>
      <c r="D12" s="68">
        <f t="shared" si="2"/>
        <v>4.8828340140611146E-2</v>
      </c>
      <c r="E12" s="48">
        <f t="shared" si="0"/>
        <v>204755.34073462404</v>
      </c>
      <c r="F12" s="68">
        <f t="shared" si="1"/>
        <v>7.6513742440218573E-3</v>
      </c>
    </row>
    <row r="13" spans="1:7" x14ac:dyDescent="0.45">
      <c r="A13">
        <v>1998</v>
      </c>
      <c r="B13">
        <v>7</v>
      </c>
      <c r="C13">
        <v>215657.67</v>
      </c>
      <c r="D13" s="68">
        <f t="shared" si="2"/>
        <v>4.5186863944143528E-2</v>
      </c>
      <c r="E13" s="48">
        <f t="shared" si="0"/>
        <v>213751.8593659233</v>
      </c>
      <c r="F13" s="68">
        <f t="shared" si="1"/>
        <v>8.8372031195399249E-3</v>
      </c>
    </row>
    <row r="14" spans="1:7" x14ac:dyDescent="0.45">
      <c r="A14">
        <v>1999</v>
      </c>
      <c r="B14">
        <v>8</v>
      </c>
      <c r="C14">
        <v>233872</v>
      </c>
      <c r="D14" s="68">
        <f t="shared" si="2"/>
        <v>8.4459458362876619E-2</v>
      </c>
      <c r="E14" s="48">
        <f t="shared" si="0"/>
        <v>223143.66608686617</v>
      </c>
      <c r="F14" s="68">
        <f t="shared" si="1"/>
        <v>4.5872673569875101E-2</v>
      </c>
    </row>
    <row r="15" spans="1:7" x14ac:dyDescent="0.45">
      <c r="A15">
        <v>2000</v>
      </c>
      <c r="B15">
        <v>9</v>
      </c>
      <c r="C15">
        <v>248748.25</v>
      </c>
      <c r="D15" s="68">
        <f t="shared" si="2"/>
        <v>6.3608512348635154E-2</v>
      </c>
      <c r="E15" s="48">
        <f t="shared" si="0"/>
        <v>232948.12902397109</v>
      </c>
      <c r="F15" s="68">
        <f t="shared" si="1"/>
        <v>6.3518521139460909E-2</v>
      </c>
    </row>
    <row r="16" spans="1:7" x14ac:dyDescent="0.45">
      <c r="A16">
        <v>2001</v>
      </c>
      <c r="B16">
        <v>10</v>
      </c>
      <c r="C16">
        <v>255663.75</v>
      </c>
      <c r="D16" s="68">
        <f t="shared" si="2"/>
        <v>2.7801200611461588E-2</v>
      </c>
      <c r="E16" s="48">
        <f t="shared" si="0"/>
        <v>243183.37942267326</v>
      </c>
      <c r="F16" s="68">
        <f t="shared" si="1"/>
        <v>4.88155656690741E-2</v>
      </c>
    </row>
    <row r="17" spans="1:6" x14ac:dyDescent="0.45">
      <c r="A17">
        <v>2002</v>
      </c>
      <c r="B17">
        <v>11</v>
      </c>
      <c r="C17">
        <v>261272.42</v>
      </c>
      <c r="D17" s="68">
        <f t="shared" si="2"/>
        <v>2.1937681818404105E-2</v>
      </c>
      <c r="E17" s="48">
        <f t="shared" si="0"/>
        <v>253868.34517716331</v>
      </c>
      <c r="F17" s="68">
        <f t="shared" si="1"/>
        <v>2.8338524299031258E-2</v>
      </c>
    </row>
    <row r="18" spans="1:6" x14ac:dyDescent="0.45">
      <c r="A18">
        <v>2003</v>
      </c>
      <c r="B18">
        <v>12</v>
      </c>
      <c r="C18">
        <v>272232.5</v>
      </c>
      <c r="D18" s="68">
        <f t="shared" si="2"/>
        <v>4.194885935530427E-2</v>
      </c>
      <c r="E18" s="48">
        <f t="shared" si="0"/>
        <v>265022.78583345655</v>
      </c>
      <c r="F18" s="68">
        <f t="shared" si="1"/>
        <v>2.6483664391810113E-2</v>
      </c>
    </row>
    <row r="19" spans="1:6" x14ac:dyDescent="0.45">
      <c r="A19">
        <v>2004</v>
      </c>
      <c r="B19">
        <v>13</v>
      </c>
      <c r="C19">
        <v>288987.5</v>
      </c>
      <c r="D19" s="68">
        <f t="shared" si="2"/>
        <v>6.154665589156328E-2</v>
      </c>
      <c r="E19" s="48">
        <f t="shared" si="0"/>
        <v>276667.32913042337</v>
      </c>
      <c r="F19" s="68">
        <f t="shared" si="1"/>
        <v>4.2632192982660591E-2</v>
      </c>
    </row>
    <row r="20" spans="1:6" x14ac:dyDescent="0.45">
      <c r="A20">
        <v>2005</v>
      </c>
      <c r="B20">
        <v>14</v>
      </c>
      <c r="C20">
        <v>307826.08</v>
      </c>
      <c r="D20" s="68">
        <f t="shared" si="2"/>
        <v>6.5188217483455227E-2</v>
      </c>
      <c r="E20" s="48">
        <f t="shared" si="0"/>
        <v>288823.50914635573</v>
      </c>
      <c r="F20" s="68">
        <f t="shared" si="1"/>
        <v>6.1731516880065139E-2</v>
      </c>
    </row>
    <row r="21" spans="1:6" x14ac:dyDescent="0.45">
      <c r="A21">
        <v>2006</v>
      </c>
      <c r="B21">
        <v>15</v>
      </c>
      <c r="C21">
        <v>323823.08</v>
      </c>
      <c r="D21" s="68">
        <f t="shared" si="2"/>
        <v>5.1967656541641954E-2</v>
      </c>
      <c r="E21" s="48">
        <f t="shared" si="0"/>
        <v>301513.80612161325</v>
      </c>
      <c r="F21" s="68">
        <f t="shared" si="1"/>
        <v>6.8893402775326476E-2</v>
      </c>
    </row>
    <row r="22" spans="1:6" x14ac:dyDescent="0.45">
      <c r="A22">
        <v>2007</v>
      </c>
      <c r="B22">
        <v>16</v>
      </c>
      <c r="C22">
        <v>334008</v>
      </c>
      <c r="D22" s="68">
        <f t="shared" si="2"/>
        <v>3.1452112678317996E-2</v>
      </c>
      <c r="E22" s="48">
        <f t="shared" si="0"/>
        <v>314761.68803099269</v>
      </c>
      <c r="F22" s="68">
        <f t="shared" si="1"/>
        <v>5.7622308354911583E-2</v>
      </c>
    </row>
    <row r="23" spans="1:6" x14ac:dyDescent="0.45">
      <c r="A23">
        <v>2008</v>
      </c>
      <c r="B23">
        <v>17</v>
      </c>
      <c r="C23">
        <v>328780.33</v>
      </c>
      <c r="D23" s="68">
        <f t="shared" si="2"/>
        <v>-1.5651331704629779E-2</v>
      </c>
      <c r="E23" s="48">
        <f t="shared" si="0"/>
        <v>328591.65398269973</v>
      </c>
      <c r="F23" s="68">
        <f t="shared" si="1"/>
        <v>5.7386650016527446E-4</v>
      </c>
    </row>
    <row r="24" spans="1:6" x14ac:dyDescent="0.45">
      <c r="A24">
        <v>2009</v>
      </c>
      <c r="B24">
        <v>18</v>
      </c>
      <c r="C24">
        <v>303288.92</v>
      </c>
      <c r="D24" s="68">
        <f t="shared" si="2"/>
        <v>-7.7533257540072523E-2</v>
      </c>
      <c r="E24" s="48">
        <f t="shared" si="0"/>
        <v>343029.27952418046</v>
      </c>
      <c r="F24" s="68">
        <f t="shared" si="1"/>
        <v>0.1310313595504263</v>
      </c>
    </row>
    <row r="25" spans="1:6" x14ac:dyDescent="0.45">
      <c r="A25">
        <v>2010</v>
      </c>
      <c r="B25">
        <v>19</v>
      </c>
      <c r="C25">
        <v>323964.17</v>
      </c>
      <c r="D25" s="68">
        <f t="shared" si="2"/>
        <v>6.8170146143156168E-2</v>
      </c>
      <c r="E25" s="48">
        <f t="shared" si="0"/>
        <v>358101.26393859531</v>
      </c>
      <c r="F25" s="68">
        <f t="shared" si="1"/>
        <v>0.10537305387381365</v>
      </c>
    </row>
    <row r="26" spans="1:6" x14ac:dyDescent="0.45">
      <c r="A26">
        <v>2011</v>
      </c>
      <c r="B26">
        <v>20</v>
      </c>
      <c r="C26">
        <v>349717.75</v>
      </c>
      <c r="D26" s="68">
        <f t="shared" si="2"/>
        <v>7.9495149108619073E-2</v>
      </c>
      <c r="E26" s="48">
        <f t="shared" si="0"/>
        <v>373835.47961940081</v>
      </c>
      <c r="F26" s="68">
        <f t="shared" si="1"/>
        <v>6.8963412979183375E-2</v>
      </c>
    </row>
    <row r="27" spans="1:6" x14ac:dyDescent="0.45">
      <c r="A27">
        <v>2012</v>
      </c>
      <c r="B27">
        <v>21</v>
      </c>
      <c r="D27" s="67"/>
      <c r="E27" s="48">
        <f t="shared" si="0"/>
        <v>390261.02361434634</v>
      </c>
    </row>
    <row r="28" spans="1:6" x14ac:dyDescent="0.45">
      <c r="A28">
        <v>2013</v>
      </c>
      <c r="B28">
        <v>22</v>
      </c>
      <c r="E28" s="48">
        <f t="shared" si="0"/>
        <v>407408.27143420593</v>
      </c>
    </row>
    <row r="29" spans="1:6" x14ac:dyDescent="0.45">
      <c r="A29">
        <v>2014</v>
      </c>
      <c r="B29">
        <v>23</v>
      </c>
      <c r="E29" s="48">
        <f t="shared" si="0"/>
        <v>425308.93322575185</v>
      </c>
    </row>
    <row r="30" spans="1:6" x14ac:dyDescent="0.45">
      <c r="A30">
        <v>2015</v>
      </c>
      <c r="B30">
        <v>24</v>
      </c>
      <c r="E30" s="48">
        <f t="shared" si="0"/>
        <v>443996.1124128513</v>
      </c>
    </row>
    <row r="31" spans="1:6" x14ac:dyDescent="0.45">
      <c r="A31">
        <v>2016</v>
      </c>
      <c r="B31">
        <v>25</v>
      </c>
      <c r="E31" s="48">
        <f t="shared" si="0"/>
        <v>463504.36691412784</v>
      </c>
    </row>
    <row r="32" spans="1:6" x14ac:dyDescent="0.45">
      <c r="A32">
        <v>2017</v>
      </c>
      <c r="B32">
        <v>26</v>
      </c>
      <c r="E32" s="48">
        <f t="shared" si="0"/>
        <v>483869.77305040054</v>
      </c>
    </row>
    <row r="33" spans="1:5" x14ac:dyDescent="0.45">
      <c r="A33">
        <v>2018</v>
      </c>
      <c r="B33">
        <v>27</v>
      </c>
      <c r="E33" s="48">
        <f t="shared" si="0"/>
        <v>505129.99226007872</v>
      </c>
    </row>
    <row r="34" spans="1:5" x14ac:dyDescent="0.45">
      <c r="A34">
        <v>2019</v>
      </c>
      <c r="B34">
        <v>28</v>
      </c>
      <c r="E34" s="48">
        <f t="shared" si="0"/>
        <v>527324.34074589284</v>
      </c>
    </row>
    <row r="35" spans="1:5" x14ac:dyDescent="0.45">
      <c r="A35">
        <v>2020</v>
      </c>
      <c r="B35">
        <v>29</v>
      </c>
      <c r="E35" s="48">
        <f t="shared" si="0"/>
        <v>550493.86218175455</v>
      </c>
    </row>
    <row r="36" spans="1:5" x14ac:dyDescent="0.45">
      <c r="A36">
        <v>2021</v>
      </c>
      <c r="B36">
        <v>30</v>
      </c>
      <c r="E36" s="48">
        <f t="shared" si="0"/>
        <v>574681.40361420403</v>
      </c>
    </row>
    <row r="37" spans="1:5" x14ac:dyDescent="0.45">
      <c r="A37">
        <v>2022</v>
      </c>
      <c r="B37">
        <v>31</v>
      </c>
      <c r="E37" s="48">
        <f t="shared" si="0"/>
        <v>599931.69469880743</v>
      </c>
    </row>
    <row r="38" spans="1:5" x14ac:dyDescent="0.45">
      <c r="A38">
        <v>2023</v>
      </c>
      <c r="B38">
        <v>32</v>
      </c>
      <c r="E38" s="48">
        <f t="shared" si="0"/>
        <v>626291.43041803339</v>
      </c>
    </row>
    <row r="39" spans="1:5" x14ac:dyDescent="0.45">
      <c r="A39">
        <v>2024</v>
      </c>
      <c r="B39">
        <v>33</v>
      </c>
      <c r="E39" s="48">
        <f t="shared" si="0"/>
        <v>653809.35743358068</v>
      </c>
    </row>
    <row r="40" spans="1:5" x14ac:dyDescent="0.45">
      <c r="A40">
        <v>2025</v>
      </c>
      <c r="B40">
        <v>34</v>
      </c>
      <c r="E40" s="48">
        <f t="shared" si="0"/>
        <v>682536.36423284397</v>
      </c>
    </row>
    <row r="41" spans="1:5" x14ac:dyDescent="0.45">
      <c r="A41">
        <v>2026</v>
      </c>
      <c r="B41">
        <v>35</v>
      </c>
      <c r="E41" s="48">
        <f t="shared" si="0"/>
        <v>712525.57523622608</v>
      </c>
    </row>
    <row r="42" spans="1:5" x14ac:dyDescent="0.45">
      <c r="A42">
        <v>2027</v>
      </c>
      <c r="B42">
        <v>36</v>
      </c>
      <c r="E42" s="48">
        <f t="shared" si="0"/>
        <v>743832.44903932756</v>
      </c>
    </row>
    <row r="43" spans="1:5" x14ac:dyDescent="0.45">
      <c r="A43">
        <v>2028</v>
      </c>
      <c r="B43">
        <v>37</v>
      </c>
      <c r="E43" s="48">
        <f t="shared" si="0"/>
        <v>776514.88097169134</v>
      </c>
    </row>
    <row r="44" spans="1:5" x14ac:dyDescent="0.45">
      <c r="A44">
        <v>2029</v>
      </c>
      <c r="B44">
        <v>38</v>
      </c>
      <c r="E44" s="48">
        <f t="shared" si="0"/>
        <v>810633.31016176147</v>
      </c>
    </row>
    <row r="45" spans="1:5" x14ac:dyDescent="0.45">
      <c r="A45">
        <v>2030</v>
      </c>
      <c r="B45">
        <v>39</v>
      </c>
      <c r="E45" s="48">
        <f t="shared" si="0"/>
        <v>846250.83130605274</v>
      </c>
    </row>
    <row r="46" spans="1:5" x14ac:dyDescent="0.45">
      <c r="A46">
        <v>2031</v>
      </c>
      <c r="B46">
        <v>40</v>
      </c>
      <c r="E46" s="48">
        <f t="shared" si="0"/>
        <v>883433.31134922162</v>
      </c>
    </row>
    <row r="47" spans="1:5" x14ac:dyDescent="0.45">
      <c r="A47">
        <v>2032</v>
      </c>
      <c r="B47">
        <v>41</v>
      </c>
      <c r="E47" s="48">
        <f t="shared" si="0"/>
        <v>922249.5112908124</v>
      </c>
    </row>
    <row r="48" spans="1:5" x14ac:dyDescent="0.45">
      <c r="A48">
        <v>2033</v>
      </c>
      <c r="B48">
        <v>42</v>
      </c>
      <c r="E48" s="48">
        <f t="shared" si="0"/>
        <v>962771.21334393672</v>
      </c>
    </row>
    <row r="49" spans="1:5" x14ac:dyDescent="0.45">
      <c r="A49">
        <v>2034</v>
      </c>
      <c r="B49">
        <v>43</v>
      </c>
      <c r="E49" s="48">
        <f t="shared" si="0"/>
        <v>1005073.3536810393</v>
      </c>
    </row>
    <row r="50" spans="1:5" x14ac:dyDescent="0.45">
      <c r="A50">
        <v>2035</v>
      </c>
      <c r="B50">
        <v>44</v>
      </c>
      <c r="E50" s="48">
        <f t="shared" si="0"/>
        <v>1049234.1610122295</v>
      </c>
    </row>
    <row r="51" spans="1:5" x14ac:dyDescent="0.45">
      <c r="A51">
        <v>2036</v>
      </c>
      <c r="B51">
        <v>45</v>
      </c>
      <c r="E51" s="48">
        <f t="shared" si="0"/>
        <v>1095335.3012524555</v>
      </c>
    </row>
    <row r="52" spans="1:5" x14ac:dyDescent="0.45">
      <c r="A52">
        <v>2037</v>
      </c>
      <c r="B52">
        <v>46</v>
      </c>
      <c r="E52" s="48">
        <f t="shared" si="0"/>
        <v>1143462.02854505</v>
      </c>
    </row>
    <row r="53" spans="1:5" x14ac:dyDescent="0.45">
      <c r="A53">
        <v>2038</v>
      </c>
      <c r="B53">
        <v>47</v>
      </c>
      <c r="E53" s="48">
        <f t="shared" si="0"/>
        <v>1193703.3429209306</v>
      </c>
    </row>
    <row r="54" spans="1:5" x14ac:dyDescent="0.45">
      <c r="A54">
        <v>2039</v>
      </c>
      <c r="B54">
        <v>48</v>
      </c>
      <c r="E54" s="48">
        <f t="shared" si="0"/>
        <v>1246152.1548850155</v>
      </c>
    </row>
    <row r="55" spans="1:5" x14ac:dyDescent="0.45">
      <c r="A55">
        <v>2040</v>
      </c>
      <c r="B55">
        <v>49</v>
      </c>
      <c r="E55" s="48">
        <f t="shared" si="0"/>
        <v>1300905.4572342171</v>
      </c>
    </row>
    <row r="56" spans="1:5" x14ac:dyDescent="0.45">
      <c r="A56">
        <v>2041</v>
      </c>
      <c r="B56">
        <v>50</v>
      </c>
      <c r="E56" s="48">
        <f t="shared" si="0"/>
        <v>1358064.5044247624</v>
      </c>
    </row>
    <row r="57" spans="1:5" x14ac:dyDescent="0.45">
      <c r="A57">
        <v>2042</v>
      </c>
      <c r="B57">
        <v>51</v>
      </c>
      <c r="E57" s="48">
        <f t="shared" si="0"/>
        <v>1417734.9998205265</v>
      </c>
    </row>
    <row r="58" spans="1:5" x14ac:dyDescent="0.45">
      <c r="A58">
        <v>2043</v>
      </c>
      <c r="B58">
        <v>52</v>
      </c>
      <c r="E58" s="48">
        <f t="shared" si="0"/>
        <v>1480027.2911686744</v>
      </c>
    </row>
    <row r="59" spans="1:5" x14ac:dyDescent="0.45">
      <c r="A59">
        <v>2044</v>
      </c>
      <c r="B59">
        <v>53</v>
      </c>
      <c r="E59" s="48">
        <f t="shared" si="0"/>
        <v>1545056.5746640807</v>
      </c>
    </row>
    <row r="60" spans="1:5" x14ac:dyDescent="0.45">
      <c r="A60">
        <v>2045</v>
      </c>
      <c r="B60">
        <v>54</v>
      </c>
      <c r="E60" s="48">
        <f t="shared" si="0"/>
        <v>1612943.1079799184</v>
      </c>
    </row>
    <row r="61" spans="1:5" x14ac:dyDescent="0.45">
      <c r="A61">
        <v>2046</v>
      </c>
      <c r="B61">
        <v>55</v>
      </c>
      <c r="E61" s="48">
        <f t="shared" si="0"/>
        <v>1683812.4326583603</v>
      </c>
    </row>
    <row r="62" spans="1:5" x14ac:dyDescent="0.45">
      <c r="A62">
        <v>2047</v>
      </c>
      <c r="B62">
        <v>56</v>
      </c>
      <c r="E62" s="48">
        <f t="shared" si="0"/>
        <v>1757795.6062726579</v>
      </c>
    </row>
    <row r="63" spans="1:5" x14ac:dyDescent="0.45">
      <c r="A63">
        <v>2048</v>
      </c>
      <c r="B63">
        <v>57</v>
      </c>
      <c r="E63" s="48">
        <f t="shared" si="0"/>
        <v>1835029.4447899342</v>
      </c>
    </row>
    <row r="64" spans="1:5" x14ac:dyDescent="0.45">
      <c r="A64">
        <v>2049</v>
      </c>
      <c r="B64">
        <v>58</v>
      </c>
      <c r="E64" s="48">
        <f t="shared" si="0"/>
        <v>1915656.7755828928</v>
      </c>
    </row>
    <row r="65" spans="1:5" x14ac:dyDescent="0.45">
      <c r="A65">
        <v>2050</v>
      </c>
      <c r="B65">
        <v>59</v>
      </c>
      <c r="E65" s="48">
        <f t="shared" si="0"/>
        <v>1999826.7015583178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326F-77EB-4E4D-84F2-F98EE100F8F6}">
  <dimension ref="A1:J33"/>
  <sheetViews>
    <sheetView workbookViewId="0">
      <selection activeCell="Q11" sqref="Q11:S11"/>
    </sheetView>
  </sheetViews>
  <sheetFormatPr defaultRowHeight="14.25" x14ac:dyDescent="0.45"/>
  <cols>
    <col min="1" max="1" width="34.86328125" customWidth="1"/>
    <col min="2" max="2" width="19" customWidth="1"/>
    <col min="5" max="5" width="18.59765625" customWidth="1"/>
    <col min="6" max="6" width="15.265625" customWidth="1"/>
    <col min="7" max="7" width="15.3984375" customWidth="1"/>
    <col min="8" max="8" width="15.1328125" customWidth="1"/>
    <col min="9" max="9" width="13.3984375" customWidth="1"/>
    <col min="10" max="10" width="11.73046875" customWidth="1"/>
    <col min="11" max="11" width="18" customWidth="1"/>
  </cols>
  <sheetData>
    <row r="1" spans="1:10" x14ac:dyDescent="0.45">
      <c r="A1" s="61" t="s">
        <v>71</v>
      </c>
    </row>
    <row r="2" spans="1:10" x14ac:dyDescent="0.45">
      <c r="A2" s="4" t="s">
        <v>72</v>
      </c>
      <c r="B2">
        <v>4</v>
      </c>
      <c r="C2" t="s">
        <v>58</v>
      </c>
      <c r="E2" s="4" t="s">
        <v>83</v>
      </c>
      <c r="F2" s="147" t="s">
        <v>85</v>
      </c>
      <c r="G2" s="147"/>
      <c r="H2" s="147"/>
      <c r="I2" s="147"/>
      <c r="J2" s="147"/>
    </row>
    <row r="3" spans="1:10" x14ac:dyDescent="0.45">
      <c r="A3" s="4" t="s">
        <v>51</v>
      </c>
      <c r="B3">
        <v>5</v>
      </c>
      <c r="C3" t="s">
        <v>57</v>
      </c>
      <c r="E3" s="4" t="s">
        <v>84</v>
      </c>
      <c r="F3" s="62" t="s">
        <v>86</v>
      </c>
      <c r="G3" s="62" t="s">
        <v>9</v>
      </c>
      <c r="H3" s="62" t="s">
        <v>78</v>
      </c>
      <c r="I3" s="62" t="s">
        <v>87</v>
      </c>
      <c r="J3" s="62" t="s">
        <v>45</v>
      </c>
    </row>
    <row r="4" spans="1:10" x14ac:dyDescent="0.45">
      <c r="A4" s="4" t="s">
        <v>76</v>
      </c>
      <c r="B4">
        <v>25</v>
      </c>
      <c r="C4" t="s">
        <v>73</v>
      </c>
      <c r="E4">
        <v>1</v>
      </c>
      <c r="F4" s="48">
        <f>B5</f>
        <v>80000</v>
      </c>
      <c r="G4" s="48">
        <f>F4*$B$4</f>
        <v>2000000</v>
      </c>
      <c r="H4" s="48">
        <f>G4*$B$8</f>
        <v>1000000</v>
      </c>
      <c r="I4" s="48">
        <f>G4*$B$9</f>
        <v>800000</v>
      </c>
      <c r="J4" s="48">
        <f>G4-H4-I4</f>
        <v>200000</v>
      </c>
    </row>
    <row r="5" spans="1:10" x14ac:dyDescent="0.45">
      <c r="A5" s="4" t="s">
        <v>74</v>
      </c>
      <c r="B5">
        <v>80000</v>
      </c>
      <c r="C5" t="s">
        <v>75</v>
      </c>
      <c r="E5">
        <v>2</v>
      </c>
      <c r="F5" s="48">
        <f>F4*(1+$B$6)</f>
        <v>126400</v>
      </c>
      <c r="G5" s="48">
        <f t="shared" ref="G5:G8" si="0">F5*$B$4</f>
        <v>3160000</v>
      </c>
      <c r="H5" s="48">
        <f t="shared" ref="H5:H8" si="1">G5*$B$8</f>
        <v>1580000</v>
      </c>
      <c r="I5" s="48">
        <f>G5*38%</f>
        <v>1200800</v>
      </c>
      <c r="J5" s="48">
        <f t="shared" ref="J5:J8" si="2">G5-H5-I5</f>
        <v>379200</v>
      </c>
    </row>
    <row r="6" spans="1:10" x14ac:dyDescent="0.45">
      <c r="A6" s="4" t="s">
        <v>77</v>
      </c>
      <c r="B6" s="63">
        <v>0.57999999999999996</v>
      </c>
      <c r="C6" t="s">
        <v>82</v>
      </c>
      <c r="E6">
        <v>3</v>
      </c>
      <c r="F6" s="48">
        <f t="shared" ref="F6:F8" si="3">F5*(1+$B$6)</f>
        <v>199712</v>
      </c>
      <c r="G6" s="48">
        <f t="shared" si="0"/>
        <v>4992800</v>
      </c>
      <c r="H6" s="48">
        <f t="shared" si="1"/>
        <v>2496400</v>
      </c>
      <c r="I6" s="48">
        <f>G6*36%</f>
        <v>1797408</v>
      </c>
      <c r="J6" s="48">
        <f t="shared" si="2"/>
        <v>698992</v>
      </c>
    </row>
    <row r="7" spans="1:10" x14ac:dyDescent="0.45">
      <c r="E7">
        <v>4</v>
      </c>
      <c r="F7" s="48">
        <f t="shared" si="3"/>
        <v>315544.96000000002</v>
      </c>
      <c r="G7" s="48">
        <f t="shared" si="0"/>
        <v>7888624.0000000009</v>
      </c>
      <c r="H7" s="48">
        <f t="shared" si="1"/>
        <v>3944312.0000000005</v>
      </c>
      <c r="I7" s="48">
        <f>G7*34%</f>
        <v>2682132.1600000006</v>
      </c>
      <c r="J7" s="48">
        <f t="shared" si="2"/>
        <v>1262179.8399999999</v>
      </c>
    </row>
    <row r="8" spans="1:10" x14ac:dyDescent="0.45">
      <c r="A8" s="4" t="s">
        <v>78</v>
      </c>
      <c r="B8" s="54">
        <v>0.5</v>
      </c>
      <c r="C8" t="s">
        <v>80</v>
      </c>
      <c r="E8">
        <v>5</v>
      </c>
      <c r="F8" s="48">
        <f t="shared" si="3"/>
        <v>498561.03680000006</v>
      </c>
      <c r="G8" s="48">
        <f t="shared" si="0"/>
        <v>12464025.920000002</v>
      </c>
      <c r="H8" s="48">
        <f t="shared" si="1"/>
        <v>6232012.9600000009</v>
      </c>
      <c r="I8" s="48">
        <f>G8*32%</f>
        <v>3988488.2944000005</v>
      </c>
      <c r="J8" s="48">
        <f t="shared" si="2"/>
        <v>2243524.6656000004</v>
      </c>
    </row>
    <row r="9" spans="1:10" x14ac:dyDescent="0.45">
      <c r="A9" s="4" t="s">
        <v>79</v>
      </c>
      <c r="B9" s="54">
        <v>0.4</v>
      </c>
      <c r="C9" t="s">
        <v>80</v>
      </c>
      <c r="F9" s="48"/>
      <c r="G9" s="48"/>
      <c r="H9" s="48"/>
      <c r="I9" s="48"/>
      <c r="J9" s="65">
        <f>SUM(J4:J8)</f>
        <v>4783896.5055999998</v>
      </c>
    </row>
    <row r="10" spans="1:10" ht="28.5" x14ac:dyDescent="0.45">
      <c r="A10" s="62" t="s">
        <v>81</v>
      </c>
      <c r="B10" s="54">
        <v>0.02</v>
      </c>
    </row>
    <row r="11" spans="1:10" x14ac:dyDescent="0.45">
      <c r="F11" s="40" t="s">
        <v>88</v>
      </c>
      <c r="G11" s="40" t="s">
        <v>46</v>
      </c>
    </row>
    <row r="12" spans="1:10" x14ac:dyDescent="0.45">
      <c r="A12" s="4" t="s">
        <v>89</v>
      </c>
      <c r="B12" s="54">
        <v>0.05</v>
      </c>
      <c r="G12" s="66">
        <f>J9</f>
        <v>4783896.5055999998</v>
      </c>
    </row>
    <row r="13" spans="1:10" x14ac:dyDescent="0.45">
      <c r="A13" s="4" t="s">
        <v>63</v>
      </c>
      <c r="B13" s="2">
        <f>NPV(B12,J4:J8)</f>
        <v>3934496.097995617</v>
      </c>
      <c r="F13" s="54">
        <v>0.47</v>
      </c>
      <c r="G13" s="64">
        <f t="dataTable" ref="G13:G21" dt2D="0" dtr="0" r1="B6"/>
        <v>3855355.3315999997</v>
      </c>
    </row>
    <row r="14" spans="1:10" x14ac:dyDescent="0.45">
      <c r="F14" s="54">
        <v>0.48</v>
      </c>
      <c r="G14" s="64">
        <v>3933112.2176000001</v>
      </c>
    </row>
    <row r="15" spans="1:10" x14ac:dyDescent="0.45">
      <c r="F15" s="54">
        <v>0.49</v>
      </c>
      <c r="G15" s="64">
        <v>4012155.5235999995</v>
      </c>
    </row>
    <row r="16" spans="1:10" x14ac:dyDescent="0.45">
      <c r="F16" s="54">
        <v>0.5</v>
      </c>
      <c r="G16" s="64">
        <v>4092500</v>
      </c>
    </row>
    <row r="17" spans="6:7" x14ac:dyDescent="0.45">
      <c r="F17" s="54">
        <v>0.51</v>
      </c>
      <c r="G17" s="64">
        <v>4174160.4835999995</v>
      </c>
    </row>
    <row r="18" spans="6:7" x14ac:dyDescent="0.45">
      <c r="F18" s="54">
        <v>0.52</v>
      </c>
      <c r="G18" s="64">
        <v>4257151.8976000007</v>
      </c>
    </row>
    <row r="19" spans="6:7" x14ac:dyDescent="0.45">
      <c r="F19" s="54">
        <v>0.53</v>
      </c>
      <c r="G19" s="64">
        <v>4341489.2516000001</v>
      </c>
    </row>
    <row r="20" spans="6:7" x14ac:dyDescent="0.45">
      <c r="F20" s="54">
        <v>0.54</v>
      </c>
      <c r="G20" s="64">
        <v>4427187.6415999997</v>
      </c>
    </row>
    <row r="21" spans="6:7" x14ac:dyDescent="0.45">
      <c r="F21" s="54">
        <v>0.55000000000000004</v>
      </c>
      <c r="G21" s="64">
        <v>4514262.25</v>
      </c>
    </row>
    <row r="23" spans="6:7" x14ac:dyDescent="0.45">
      <c r="F23" s="40" t="s">
        <v>88</v>
      </c>
      <c r="G23" s="40" t="s">
        <v>46</v>
      </c>
    </row>
    <row r="24" spans="6:7" x14ac:dyDescent="0.45">
      <c r="G24" s="2">
        <f>B13</f>
        <v>3934496.097995617</v>
      </c>
    </row>
    <row r="25" spans="6:7" x14ac:dyDescent="0.45">
      <c r="F25" s="67">
        <v>0.58199999999999996</v>
      </c>
      <c r="G25" s="64">
        <f t="dataTable" ref="G25:G33" dt2D="0" dtr="0" r1="B6"/>
        <v>3934496.097995617</v>
      </c>
    </row>
    <row r="26" spans="6:7" x14ac:dyDescent="0.45">
      <c r="F26" s="67">
        <v>0.58299999999999996</v>
      </c>
      <c r="G26" s="64">
        <v>3934496.097995617</v>
      </c>
    </row>
    <row r="27" spans="6:7" x14ac:dyDescent="0.45">
      <c r="F27" s="67">
        <v>0.58399999999999996</v>
      </c>
      <c r="G27" s="64">
        <v>3934496.097995617</v>
      </c>
    </row>
    <row r="28" spans="6:7" x14ac:dyDescent="0.45">
      <c r="F28" s="67">
        <v>0.58499999999999996</v>
      </c>
      <c r="G28" s="64">
        <v>3934496.097995617</v>
      </c>
    </row>
    <row r="29" spans="6:7" x14ac:dyDescent="0.45">
      <c r="F29" s="67">
        <v>0.58599999999999997</v>
      </c>
      <c r="G29" s="64">
        <v>3934496.097995617</v>
      </c>
    </row>
    <row r="30" spans="6:7" x14ac:dyDescent="0.45">
      <c r="F30" s="67">
        <v>0.58699999999999997</v>
      </c>
      <c r="G30" s="64">
        <v>3934496.097995617</v>
      </c>
    </row>
    <row r="31" spans="6:7" x14ac:dyDescent="0.45">
      <c r="F31" s="67">
        <v>0.58799999999999997</v>
      </c>
      <c r="G31" s="64">
        <v>3934496.097995617</v>
      </c>
    </row>
    <row r="32" spans="6:7" x14ac:dyDescent="0.45">
      <c r="F32" s="67">
        <v>0.58899999999999997</v>
      </c>
      <c r="G32" s="64">
        <v>3934496.097995617</v>
      </c>
    </row>
    <row r="33" spans="6:7" x14ac:dyDescent="0.45">
      <c r="F33" s="67">
        <v>0.59</v>
      </c>
      <c r="G33" s="64">
        <v>3934496.097995617</v>
      </c>
    </row>
  </sheetData>
  <mergeCells count="1">
    <mergeCell ref="F2:J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3957-B12C-443A-870B-F7A3D1939078}">
  <dimension ref="A1:G16"/>
  <sheetViews>
    <sheetView workbookViewId="0">
      <selection activeCell="Q11" sqref="Q11:S11"/>
    </sheetView>
  </sheetViews>
  <sheetFormatPr defaultRowHeight="14.25" x14ac:dyDescent="0.45"/>
  <cols>
    <col min="1" max="7" width="13.265625" customWidth="1"/>
  </cols>
  <sheetData>
    <row r="1" spans="1:7" ht="14.65" thickBot="1" x14ac:dyDescent="0.5">
      <c r="A1" s="152" t="s">
        <v>103</v>
      </c>
      <c r="B1" s="153"/>
      <c r="C1" s="153"/>
      <c r="D1" s="153"/>
      <c r="E1" s="153"/>
      <c r="F1" s="153"/>
      <c r="G1" s="154"/>
    </row>
    <row r="2" spans="1:7" ht="28.9" thickBot="1" x14ac:dyDescent="0.5">
      <c r="A2" s="82" t="s">
        <v>104</v>
      </c>
      <c r="B2" s="83" t="s">
        <v>105</v>
      </c>
      <c r="C2" s="83" t="s">
        <v>106</v>
      </c>
      <c r="D2" s="83" t="s">
        <v>107</v>
      </c>
      <c r="E2" s="83" t="s">
        <v>108</v>
      </c>
      <c r="F2" s="83" t="s">
        <v>109</v>
      </c>
      <c r="G2" s="84" t="s">
        <v>110</v>
      </c>
    </row>
    <row r="3" spans="1:7" ht="14.65" thickTop="1" x14ac:dyDescent="0.45">
      <c r="A3" s="70">
        <v>1</v>
      </c>
      <c r="B3" s="71" t="s">
        <v>111</v>
      </c>
      <c r="C3" s="72">
        <v>1</v>
      </c>
      <c r="D3" s="71">
        <v>250</v>
      </c>
      <c r="E3" s="71">
        <v>100</v>
      </c>
      <c r="F3" s="71">
        <v>100</v>
      </c>
      <c r="G3" s="73">
        <v>60</v>
      </c>
    </row>
    <row r="4" spans="1:7" x14ac:dyDescent="0.45">
      <c r="A4" s="74">
        <v>2</v>
      </c>
      <c r="B4" s="75" t="s">
        <v>111</v>
      </c>
      <c r="C4" s="76">
        <v>0.33</v>
      </c>
      <c r="D4" s="75">
        <v>500</v>
      </c>
      <c r="E4" s="75">
        <v>300</v>
      </c>
      <c r="F4" s="75">
        <v>300</v>
      </c>
      <c r="G4" s="77">
        <v>180</v>
      </c>
    </row>
    <row r="5" spans="1:7" x14ac:dyDescent="0.45">
      <c r="A5" s="74">
        <v>3</v>
      </c>
      <c r="B5" s="75" t="s">
        <v>111</v>
      </c>
      <c r="C5" s="76">
        <v>0.5</v>
      </c>
      <c r="D5" s="75">
        <v>100</v>
      </c>
      <c r="E5" s="75">
        <v>200</v>
      </c>
      <c r="F5" s="75">
        <v>400</v>
      </c>
      <c r="G5" s="77">
        <v>80</v>
      </c>
    </row>
    <row r="6" spans="1:7" x14ac:dyDescent="0.45">
      <c r="A6" s="74">
        <v>4</v>
      </c>
      <c r="B6" s="75" t="s">
        <v>111</v>
      </c>
      <c r="C6" s="76">
        <v>1</v>
      </c>
      <c r="D6" s="75">
        <v>750</v>
      </c>
      <c r="E6" s="75">
        <v>500</v>
      </c>
      <c r="F6" s="75">
        <v>300</v>
      </c>
      <c r="G6" s="77">
        <v>310</v>
      </c>
    </row>
    <row r="7" spans="1:7" x14ac:dyDescent="0.45">
      <c r="A7" s="74">
        <v>5</v>
      </c>
      <c r="B7" s="75" t="s">
        <v>111</v>
      </c>
      <c r="C7" s="76">
        <v>0.75</v>
      </c>
      <c r="D7" s="75">
        <v>200</v>
      </c>
      <c r="E7" s="75">
        <v>400</v>
      </c>
      <c r="F7" s="75">
        <v>800</v>
      </c>
      <c r="G7" s="77">
        <v>220</v>
      </c>
    </row>
    <row r="8" spans="1:7" x14ac:dyDescent="0.45">
      <c r="A8" s="74">
        <v>6</v>
      </c>
      <c r="B8" s="75" t="s">
        <v>112</v>
      </c>
      <c r="C8" s="76">
        <v>0.5</v>
      </c>
      <c r="D8" s="75">
        <v>1000</v>
      </c>
      <c r="E8" s="75">
        <v>300</v>
      </c>
      <c r="F8" s="75">
        <v>300</v>
      </c>
      <c r="G8" s="77">
        <v>180</v>
      </c>
    </row>
    <row r="9" spans="1:7" x14ac:dyDescent="0.45">
      <c r="A9" s="74">
        <v>7</v>
      </c>
      <c r="B9" s="75" t="s">
        <v>112</v>
      </c>
      <c r="C9" s="76">
        <v>1</v>
      </c>
      <c r="D9" s="75">
        <v>750</v>
      </c>
      <c r="E9" s="75">
        <v>750</v>
      </c>
      <c r="F9" s="75">
        <v>300</v>
      </c>
      <c r="G9" s="77">
        <v>410</v>
      </c>
    </row>
    <row r="10" spans="1:7" x14ac:dyDescent="0.45">
      <c r="A10" s="74">
        <v>8</v>
      </c>
      <c r="B10" s="75" t="s">
        <v>112</v>
      </c>
      <c r="C10" s="76">
        <v>1</v>
      </c>
      <c r="D10" s="75">
        <v>800</v>
      </c>
      <c r="E10" s="75">
        <v>700</v>
      </c>
      <c r="F10" s="75">
        <v>600</v>
      </c>
      <c r="G10" s="77">
        <v>280</v>
      </c>
    </row>
    <row r="11" spans="1:7" x14ac:dyDescent="0.45">
      <c r="A11" s="74">
        <v>9</v>
      </c>
      <c r="B11" s="75" t="s">
        <v>112</v>
      </c>
      <c r="C11" s="76">
        <v>0.67</v>
      </c>
      <c r="D11" s="75">
        <v>400</v>
      </c>
      <c r="E11" s="75">
        <v>600</v>
      </c>
      <c r="F11" s="75">
        <v>800</v>
      </c>
      <c r="G11" s="77">
        <v>380</v>
      </c>
    </row>
    <row r="12" spans="1:7" x14ac:dyDescent="0.45">
      <c r="A12" s="74">
        <v>10</v>
      </c>
      <c r="B12" s="75" t="s">
        <v>113</v>
      </c>
      <c r="C12" s="76">
        <v>1</v>
      </c>
      <c r="D12" s="75">
        <v>100</v>
      </c>
      <c r="E12" s="75">
        <v>200</v>
      </c>
      <c r="F12" s="75">
        <v>400</v>
      </c>
      <c r="G12" s="77">
        <v>100</v>
      </c>
    </row>
    <row r="13" spans="1:7" x14ac:dyDescent="0.45">
      <c r="A13" s="74">
        <v>11</v>
      </c>
      <c r="B13" s="75" t="s">
        <v>113</v>
      </c>
      <c r="C13" s="76">
        <v>0.5</v>
      </c>
      <c r="D13" s="75">
        <v>700</v>
      </c>
      <c r="E13" s="75">
        <v>500</v>
      </c>
      <c r="F13" s="75">
        <v>300</v>
      </c>
      <c r="G13" s="77">
        <v>260</v>
      </c>
    </row>
    <row r="14" spans="1:7" ht="14.65" thickBot="1" x14ac:dyDescent="0.5">
      <c r="A14" s="78">
        <v>12</v>
      </c>
      <c r="B14" s="79" t="s">
        <v>113</v>
      </c>
      <c r="C14" s="80">
        <v>1</v>
      </c>
      <c r="D14" s="79">
        <v>1500</v>
      </c>
      <c r="E14" s="79">
        <v>400</v>
      </c>
      <c r="F14" s="79">
        <v>400</v>
      </c>
      <c r="G14" s="81">
        <v>340</v>
      </c>
    </row>
    <row r="15" spans="1:7" x14ac:dyDescent="0.45">
      <c r="C15" s="54"/>
    </row>
    <row r="16" spans="1:7" x14ac:dyDescent="0.45">
      <c r="C16" s="54"/>
    </row>
  </sheetData>
  <mergeCells count="1">
    <mergeCell ref="A1:G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37E4-3232-4131-BB65-B4203DF10226}">
  <dimension ref="A1:M22"/>
  <sheetViews>
    <sheetView workbookViewId="0">
      <selection activeCell="Q11" sqref="Q11:S11"/>
    </sheetView>
  </sheetViews>
  <sheetFormatPr defaultRowHeight="14.25" x14ac:dyDescent="0.45"/>
  <cols>
    <col min="1" max="1" width="21.3984375" customWidth="1"/>
    <col min="2" max="2" width="11.73046875" customWidth="1"/>
    <col min="3" max="3" width="8.86328125" customWidth="1"/>
    <col min="6" max="6" width="11.59765625" bestFit="1" customWidth="1"/>
  </cols>
  <sheetData>
    <row r="1" spans="1:7" ht="44.25" customHeight="1" x14ac:dyDescent="0.45">
      <c r="B1" s="62" t="s">
        <v>115</v>
      </c>
      <c r="C1" s="62" t="s">
        <v>116</v>
      </c>
    </row>
    <row r="2" spans="1:7" x14ac:dyDescent="0.45">
      <c r="A2" s="4" t="s">
        <v>114</v>
      </c>
      <c r="B2" s="7">
        <v>175</v>
      </c>
      <c r="C2" s="7">
        <v>10.000000000000007</v>
      </c>
      <c r="D2" t="s">
        <v>117</v>
      </c>
    </row>
    <row r="3" spans="1:7" x14ac:dyDescent="0.45">
      <c r="B3">
        <v>3000</v>
      </c>
      <c r="C3">
        <v>7000</v>
      </c>
      <c r="D3" t="s">
        <v>128</v>
      </c>
    </row>
    <row r="4" spans="1:7" x14ac:dyDescent="0.45">
      <c r="A4" s="4" t="s">
        <v>121</v>
      </c>
    </row>
    <row r="5" spans="1:7" x14ac:dyDescent="0.45">
      <c r="A5" s="4" t="s">
        <v>130</v>
      </c>
      <c r="B5" s="88">
        <f>SUMPRODUCT(B2:C2,B3:C3)</f>
        <v>595000</v>
      </c>
      <c r="C5" t="s">
        <v>129</v>
      </c>
    </row>
    <row r="11" spans="1:7" x14ac:dyDescent="0.45">
      <c r="A11" s="55" t="s">
        <v>122</v>
      </c>
      <c r="B11" s="21"/>
      <c r="C11" s="21"/>
      <c r="D11" s="60" t="s">
        <v>124</v>
      </c>
      <c r="E11" s="60" t="s">
        <v>125</v>
      </c>
      <c r="F11" s="60" t="s">
        <v>126</v>
      </c>
    </row>
    <row r="12" spans="1:7" x14ac:dyDescent="0.45">
      <c r="A12" s="55" t="s">
        <v>123</v>
      </c>
      <c r="B12" s="86">
        <v>200</v>
      </c>
      <c r="C12" s="86">
        <v>500</v>
      </c>
      <c r="D12" s="75">
        <f>SUMPRODUCT($B$2:$C$2,B12:C12)</f>
        <v>40000</v>
      </c>
      <c r="E12" s="75" t="s">
        <v>127</v>
      </c>
      <c r="F12" s="85">
        <v>40000</v>
      </c>
      <c r="G12" t="str">
        <f ca="1">_xlfn.FORMULATEXT(D12)</f>
        <v>=SUMPRODUCT($B$2:$C$2,B12:C12)</v>
      </c>
    </row>
    <row r="13" spans="1:7" x14ac:dyDescent="0.45">
      <c r="A13" s="55" t="s">
        <v>132</v>
      </c>
      <c r="B13" s="75">
        <v>1</v>
      </c>
      <c r="C13" s="75"/>
      <c r="D13" s="75">
        <f t="shared" ref="D13:D15" si="0">SUMPRODUCT($B$2:$C$2,B13:C13)</f>
        <v>175</v>
      </c>
      <c r="E13" s="75" t="s">
        <v>133</v>
      </c>
      <c r="F13" s="75">
        <v>10</v>
      </c>
      <c r="G13" t="str">
        <f t="shared" ref="G13:G15" ca="1" si="1">_xlfn.FORMULATEXT(D13)</f>
        <v>=SUMPRODUCT($B$2:$C$2,B13:C13)</v>
      </c>
    </row>
    <row r="14" spans="1:7" x14ac:dyDescent="0.45">
      <c r="A14" s="55" t="s">
        <v>131</v>
      </c>
      <c r="B14" s="75"/>
      <c r="C14" s="75">
        <v>1</v>
      </c>
      <c r="D14" s="75">
        <f t="shared" si="0"/>
        <v>10.000000000000007</v>
      </c>
      <c r="E14" s="75" t="s">
        <v>133</v>
      </c>
      <c r="F14" s="75">
        <v>10</v>
      </c>
      <c r="G14" t="str">
        <f t="shared" ca="1" si="1"/>
        <v>=SUMPRODUCT($B$2:$C$2,B14:C14)</v>
      </c>
    </row>
    <row r="15" spans="1:7" x14ac:dyDescent="0.45">
      <c r="A15" s="21"/>
      <c r="B15" s="75">
        <v>1</v>
      </c>
      <c r="C15" s="75">
        <v>-1</v>
      </c>
      <c r="D15" s="75">
        <f t="shared" si="0"/>
        <v>165</v>
      </c>
      <c r="E15" s="75" t="s">
        <v>133</v>
      </c>
      <c r="F15" s="75">
        <v>0</v>
      </c>
      <c r="G15" t="str">
        <f t="shared" ca="1" si="1"/>
        <v>=SUMPRODUCT($B$2:$C$2,B15:C15)</v>
      </c>
    </row>
    <row r="20" spans="13:13" x14ac:dyDescent="0.45">
      <c r="M20" t="s">
        <v>118</v>
      </c>
    </row>
    <row r="21" spans="13:13" x14ac:dyDescent="0.45">
      <c r="M21" t="s">
        <v>119</v>
      </c>
    </row>
    <row r="22" spans="13:13" x14ac:dyDescent="0.45">
      <c r="M22" t="s">
        <v>120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4E4D9-2EBB-4187-9C01-8F8A2404CE90}">
  <dimension ref="A1:F28"/>
  <sheetViews>
    <sheetView workbookViewId="0">
      <selection activeCell="Q11" sqref="Q11:S11"/>
    </sheetView>
  </sheetViews>
  <sheetFormatPr defaultRowHeight="14.25" x14ac:dyDescent="0.45"/>
  <cols>
    <col min="1" max="1" width="16.1328125" customWidth="1"/>
    <col min="2" max="2" width="13.59765625" customWidth="1"/>
    <col min="3" max="3" width="12.73046875" customWidth="1"/>
  </cols>
  <sheetData>
    <row r="1" spans="1:6" x14ac:dyDescent="0.45">
      <c r="B1" s="90" t="s">
        <v>135</v>
      </c>
      <c r="C1" s="90" t="s">
        <v>136</v>
      </c>
    </row>
    <row r="2" spans="1:6" x14ac:dyDescent="0.45">
      <c r="A2" s="4" t="s">
        <v>134</v>
      </c>
      <c r="B2" s="89">
        <v>0</v>
      </c>
      <c r="C2" s="89">
        <v>80</v>
      </c>
      <c r="D2" t="s">
        <v>137</v>
      </c>
    </row>
    <row r="3" spans="1:6" x14ac:dyDescent="0.45">
      <c r="A3" s="4" t="s">
        <v>138</v>
      </c>
      <c r="B3">
        <v>3</v>
      </c>
      <c r="C3">
        <v>6</v>
      </c>
    </row>
    <row r="4" spans="1:6" x14ac:dyDescent="0.45">
      <c r="A4" s="4"/>
    </row>
    <row r="5" spans="1:6" x14ac:dyDescent="0.45">
      <c r="A5" s="4" t="s">
        <v>139</v>
      </c>
    </row>
    <row r="6" spans="1:6" x14ac:dyDescent="0.45">
      <c r="A6" s="4" t="s">
        <v>46</v>
      </c>
      <c r="B6" s="87">
        <f>SUMPRODUCT(B2:C2,B3:C3)</f>
        <v>480</v>
      </c>
    </row>
    <row r="8" spans="1:6" x14ac:dyDescent="0.45">
      <c r="A8" s="55" t="s">
        <v>120</v>
      </c>
      <c r="B8" s="21"/>
      <c r="C8" s="21"/>
      <c r="D8" s="21" t="s">
        <v>124</v>
      </c>
      <c r="E8" s="21" t="s">
        <v>125</v>
      </c>
      <c r="F8" s="21" t="s">
        <v>126</v>
      </c>
    </row>
    <row r="9" spans="1:6" x14ac:dyDescent="0.45">
      <c r="A9" s="21" t="s">
        <v>140</v>
      </c>
      <c r="B9" s="21">
        <v>2</v>
      </c>
      <c r="C9" s="21">
        <v>1</v>
      </c>
      <c r="D9" s="21">
        <f>SUMPRODUCT($B$2:$C$2,B9:C9)</f>
        <v>80</v>
      </c>
      <c r="E9" s="21" t="s">
        <v>127</v>
      </c>
      <c r="F9" s="21">
        <v>120</v>
      </c>
    </row>
    <row r="10" spans="1:6" x14ac:dyDescent="0.45">
      <c r="A10" s="21" t="s">
        <v>141</v>
      </c>
      <c r="B10" s="21">
        <v>2</v>
      </c>
      <c r="C10" s="21">
        <v>3</v>
      </c>
      <c r="D10" s="21">
        <f>SUMPRODUCT($B$2:$C$2,B10:C10)</f>
        <v>240</v>
      </c>
      <c r="E10" s="21" t="s">
        <v>127</v>
      </c>
      <c r="F10" s="21">
        <v>240</v>
      </c>
    </row>
    <row r="28" spans="1:1" x14ac:dyDescent="0.45">
      <c r="A28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D7D-D9F5-4D8C-BFE7-596E1D26BAA2}">
  <dimension ref="A1:J21"/>
  <sheetViews>
    <sheetView workbookViewId="0">
      <selection activeCell="Q11" sqref="Q11:S11"/>
    </sheetView>
  </sheetViews>
  <sheetFormatPr defaultRowHeight="14.25" x14ac:dyDescent="0.45"/>
  <cols>
    <col min="1" max="1" width="20" customWidth="1"/>
    <col min="2" max="2" width="10.265625" customWidth="1"/>
    <col min="3" max="3" width="12.59765625" customWidth="1"/>
    <col min="4" max="4" width="16.1328125" customWidth="1"/>
    <col min="7" max="7" width="23.265625" customWidth="1"/>
  </cols>
  <sheetData>
    <row r="1" spans="1:10" ht="29.25" customHeight="1" x14ac:dyDescent="0.45">
      <c r="B1" s="62" t="s">
        <v>142</v>
      </c>
      <c r="C1" s="62" t="s">
        <v>143</v>
      </c>
    </row>
    <row r="2" spans="1:10" x14ac:dyDescent="0.45">
      <c r="A2" s="4" t="s">
        <v>134</v>
      </c>
      <c r="B2" s="89">
        <v>560</v>
      </c>
      <c r="C2" s="89">
        <v>1200</v>
      </c>
      <c r="D2" t="s">
        <v>145</v>
      </c>
      <c r="F2" s="4" t="s">
        <v>158</v>
      </c>
    </row>
    <row r="3" spans="1:10" x14ac:dyDescent="0.45">
      <c r="F3" t="s">
        <v>159</v>
      </c>
    </row>
    <row r="4" spans="1:10" x14ac:dyDescent="0.45">
      <c r="A4" s="4" t="s">
        <v>149</v>
      </c>
      <c r="D4" s="4" t="s">
        <v>150</v>
      </c>
    </row>
    <row r="5" spans="1:10" x14ac:dyDescent="0.45">
      <c r="A5" s="4" t="s">
        <v>9</v>
      </c>
      <c r="B5" s="2">
        <v>300</v>
      </c>
      <c r="C5" s="2">
        <v>450</v>
      </c>
      <c r="D5" s="2">
        <f>SUMPRODUCT($B$2:$C$2,B5:C5)</f>
        <v>708000</v>
      </c>
    </row>
    <row r="6" spans="1:10" x14ac:dyDescent="0.45">
      <c r="A6" s="4" t="s">
        <v>3</v>
      </c>
    </row>
    <row r="7" spans="1:10" x14ac:dyDescent="0.45">
      <c r="A7" s="92" t="s">
        <v>151</v>
      </c>
      <c r="B7" s="2">
        <v>150</v>
      </c>
      <c r="C7" s="2">
        <v>225</v>
      </c>
      <c r="D7" s="2">
        <f>SUMPRODUCT($B$2:$C$2,B7:C7)</f>
        <v>354000</v>
      </c>
      <c r="E7" t="str">
        <f ca="1">_xlfn.FORMULATEXT(D7)</f>
        <v>=SUMPRODUCT($B$2:$C$2,B7:C7)</v>
      </c>
    </row>
    <row r="8" spans="1:10" x14ac:dyDescent="0.45">
      <c r="A8" s="92" t="s">
        <v>154</v>
      </c>
      <c r="B8">
        <v>5</v>
      </c>
      <c r="C8">
        <v>6</v>
      </c>
      <c r="D8" s="2">
        <f>SUMPRODUCT($B$2:$C$2,B8:C8)*I8</f>
        <v>110000</v>
      </c>
      <c r="E8" t="str">
        <f t="shared" ref="E8:E9" ca="1" si="0">_xlfn.FORMULATEXT(D8)</f>
        <v>=SUMPRODUCT($B$2:$C$2,B8:C8)*I8</v>
      </c>
      <c r="I8" s="2">
        <v>11</v>
      </c>
      <c r="J8" t="s">
        <v>157</v>
      </c>
    </row>
    <row r="9" spans="1:10" x14ac:dyDescent="0.45">
      <c r="A9" s="92" t="s">
        <v>155</v>
      </c>
      <c r="B9">
        <v>1</v>
      </c>
      <c r="C9">
        <v>2</v>
      </c>
      <c r="D9" s="2">
        <f>SUMPRODUCT($B$2:$C$2,B9:C9)*I9</f>
        <v>44400</v>
      </c>
      <c r="E9" t="str">
        <f t="shared" ca="1" si="0"/>
        <v>=SUMPRODUCT($B$2:$C$2,B9:C9)*I9</v>
      </c>
      <c r="I9" s="2">
        <v>15</v>
      </c>
      <c r="J9" t="s">
        <v>156</v>
      </c>
    </row>
    <row r="10" spans="1:10" x14ac:dyDescent="0.45">
      <c r="A10" s="4" t="s">
        <v>45</v>
      </c>
      <c r="D10" s="93">
        <f>D5-D7-D8-D9</f>
        <v>199600</v>
      </c>
      <c r="E10" t="str">
        <f ca="1">_xlfn.FORMULATEXT(D10)</f>
        <v>=D5-D7-D8-D9</v>
      </c>
    </row>
    <row r="13" spans="1:10" x14ac:dyDescent="0.45">
      <c r="A13" s="55" t="s">
        <v>144</v>
      </c>
      <c r="B13" s="21"/>
      <c r="C13" s="21"/>
      <c r="D13" s="21" t="s">
        <v>124</v>
      </c>
      <c r="E13" s="21" t="s">
        <v>125</v>
      </c>
      <c r="F13" s="21" t="s">
        <v>126</v>
      </c>
      <c r="G13" s="91" t="s">
        <v>148</v>
      </c>
    </row>
    <row r="14" spans="1:10" x14ac:dyDescent="0.45">
      <c r="A14" s="55" t="s">
        <v>146</v>
      </c>
      <c r="B14" s="21">
        <v>1</v>
      </c>
      <c r="C14" s="21"/>
      <c r="D14" s="21">
        <f>SUMPRODUCT($B$2:$C$2,B14:C14)</f>
        <v>560</v>
      </c>
      <c r="E14" s="21" t="s">
        <v>127</v>
      </c>
      <c r="F14" s="21">
        <v>600</v>
      </c>
      <c r="G14" t="str">
        <f ca="1">_xlfn.FORMULATEXT(D14)</f>
        <v>=SUMPRODUCT($B$2:$C$2,B14:C14)</v>
      </c>
    </row>
    <row r="15" spans="1:10" x14ac:dyDescent="0.45">
      <c r="A15" s="55" t="s">
        <v>147</v>
      </c>
      <c r="B15" s="21"/>
      <c r="C15" s="21">
        <v>1</v>
      </c>
      <c r="D15" s="21">
        <f>SUMPRODUCT($B$2:$C$2,B15:C15)</f>
        <v>1200</v>
      </c>
      <c r="E15" s="21" t="s">
        <v>127</v>
      </c>
      <c r="F15" s="21">
        <v>1200</v>
      </c>
      <c r="G15" t="str">
        <f ca="1">_xlfn.FORMULATEXT(D15)</f>
        <v>=SUMPRODUCT($B$2:$C$2,B15:C15)</v>
      </c>
    </row>
    <row r="16" spans="1:10" x14ac:dyDescent="0.45">
      <c r="A16" s="55" t="s">
        <v>152</v>
      </c>
      <c r="B16" s="21">
        <v>5</v>
      </c>
      <c r="C16" s="21">
        <v>6</v>
      </c>
      <c r="D16" s="21">
        <f t="shared" ref="D16:D17" si="1">SUMPRODUCT($B$2:$C$2,B16:C16)</f>
        <v>10000</v>
      </c>
      <c r="E16" s="21" t="s">
        <v>127</v>
      </c>
      <c r="F16" s="21">
        <v>10000</v>
      </c>
    </row>
    <row r="17" spans="1:6" x14ac:dyDescent="0.45">
      <c r="A17" s="55" t="s">
        <v>153</v>
      </c>
      <c r="B17" s="21">
        <v>1</v>
      </c>
      <c r="C17" s="21">
        <v>2</v>
      </c>
      <c r="D17" s="21">
        <f t="shared" si="1"/>
        <v>2960</v>
      </c>
      <c r="E17" s="21" t="s">
        <v>127</v>
      </c>
      <c r="F17" s="21">
        <v>3000</v>
      </c>
    </row>
    <row r="18" spans="1:6" x14ac:dyDescent="0.45">
      <c r="A18" s="21"/>
      <c r="B18" s="21"/>
      <c r="C18" s="21"/>
      <c r="D18" s="21"/>
      <c r="E18" s="21"/>
      <c r="F18" s="21"/>
    </row>
    <row r="19" spans="1:6" x14ac:dyDescent="0.45">
      <c r="A19" s="21"/>
      <c r="B19" s="21"/>
      <c r="C19" s="21"/>
      <c r="D19" s="21"/>
      <c r="E19" s="21"/>
      <c r="F19" s="21"/>
    </row>
    <row r="20" spans="1:6" x14ac:dyDescent="0.45">
      <c r="A20" s="21"/>
      <c r="B20" s="21"/>
      <c r="C20" s="21"/>
      <c r="D20" s="21"/>
      <c r="E20" s="21"/>
      <c r="F20" s="21"/>
    </row>
    <row r="21" spans="1:6" x14ac:dyDescent="0.45">
      <c r="A21" s="21"/>
      <c r="B21" s="21"/>
      <c r="C21" s="21"/>
      <c r="D21" s="21"/>
      <c r="E21" s="21"/>
      <c r="F21" s="2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3814-86A5-432A-8822-9DFB4433C6FB}">
  <dimension ref="A1:F16"/>
  <sheetViews>
    <sheetView workbookViewId="0">
      <selection activeCell="Q11" sqref="Q11:S11"/>
    </sheetView>
  </sheetViews>
  <sheetFormatPr defaultRowHeight="14.25" x14ac:dyDescent="0.45"/>
  <cols>
    <col min="1" max="1" width="20" customWidth="1"/>
    <col min="2" max="2" width="19" customWidth="1"/>
    <col min="3" max="3" width="15.265625" customWidth="1"/>
    <col min="4" max="4" width="15.86328125" customWidth="1"/>
  </cols>
  <sheetData>
    <row r="1" spans="1:6" ht="29.25" customHeight="1" x14ac:dyDescent="0.45">
      <c r="B1" s="95" t="s">
        <v>164</v>
      </c>
      <c r="C1" s="4" t="s">
        <v>165</v>
      </c>
    </row>
    <row r="2" spans="1:6" x14ac:dyDescent="0.45">
      <c r="A2" t="s">
        <v>134</v>
      </c>
      <c r="B2" s="89">
        <v>260</v>
      </c>
      <c r="C2" s="89">
        <v>35</v>
      </c>
      <c r="D2" t="s">
        <v>117</v>
      </c>
    </row>
    <row r="3" spans="1:6" x14ac:dyDescent="0.45">
      <c r="A3" t="s">
        <v>163</v>
      </c>
      <c r="B3" s="2">
        <v>12</v>
      </c>
      <c r="C3" s="2">
        <v>20</v>
      </c>
    </row>
    <row r="5" spans="1:6" x14ac:dyDescent="0.45">
      <c r="A5" s="4" t="s">
        <v>149</v>
      </c>
    </row>
    <row r="6" spans="1:6" x14ac:dyDescent="0.45">
      <c r="A6" s="4" t="s">
        <v>45</v>
      </c>
      <c r="B6" s="94">
        <f>SUMPRODUCT(B2:C2,B3:C3)</f>
        <v>3820</v>
      </c>
    </row>
    <row r="7" spans="1:6" x14ac:dyDescent="0.45">
      <c r="A7" s="4" t="s">
        <v>3</v>
      </c>
    </row>
    <row r="8" spans="1:6" x14ac:dyDescent="0.45">
      <c r="A8" s="92" t="s">
        <v>151</v>
      </c>
      <c r="B8">
        <v>9</v>
      </c>
      <c r="C8">
        <v>36</v>
      </c>
    </row>
    <row r="9" spans="1:6" x14ac:dyDescent="0.45">
      <c r="A9" s="92" t="s">
        <v>162</v>
      </c>
      <c r="B9">
        <v>4</v>
      </c>
      <c r="C9">
        <v>6</v>
      </c>
    </row>
    <row r="10" spans="1:6" x14ac:dyDescent="0.45">
      <c r="A10" s="4"/>
    </row>
    <row r="12" spans="1:6" x14ac:dyDescent="0.45">
      <c r="A12" s="55" t="s">
        <v>144</v>
      </c>
      <c r="B12" s="21"/>
      <c r="C12" s="21"/>
      <c r="D12" s="21" t="s">
        <v>124</v>
      </c>
      <c r="E12" s="21" t="s">
        <v>125</v>
      </c>
      <c r="F12" s="21" t="s">
        <v>126</v>
      </c>
    </row>
    <row r="13" spans="1:6" x14ac:dyDescent="0.45">
      <c r="A13" s="55" t="s">
        <v>160</v>
      </c>
      <c r="B13" s="21">
        <v>4</v>
      </c>
      <c r="C13" s="21">
        <v>6</v>
      </c>
      <c r="D13" s="21">
        <f>SUMPRODUCT($B$2:$C$2,B13:C13)</f>
        <v>1250</v>
      </c>
      <c r="E13" s="21" t="s">
        <v>127</v>
      </c>
      <c r="F13" s="21">
        <v>1250</v>
      </c>
    </row>
    <row r="14" spans="1:6" x14ac:dyDescent="0.45">
      <c r="A14" s="55" t="s">
        <v>161</v>
      </c>
      <c r="B14" s="21">
        <v>9</v>
      </c>
      <c r="C14" s="21">
        <v>36</v>
      </c>
      <c r="D14" s="21">
        <f>SUMPRODUCT($B$2:$C$2,B14:C14)</f>
        <v>3600</v>
      </c>
      <c r="E14" s="21" t="s">
        <v>127</v>
      </c>
      <c r="F14" s="21">
        <v>3600</v>
      </c>
    </row>
    <row r="15" spans="1:6" x14ac:dyDescent="0.45">
      <c r="A15" s="21"/>
      <c r="B15" s="21"/>
      <c r="C15" s="21"/>
      <c r="D15" s="21"/>
      <c r="E15" s="21"/>
      <c r="F15" s="21"/>
    </row>
    <row r="16" spans="1:6" x14ac:dyDescent="0.45">
      <c r="A16" s="21"/>
      <c r="B16" s="21"/>
      <c r="C16" s="21"/>
      <c r="D16" s="21"/>
      <c r="E16" s="21"/>
      <c r="F16" s="2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D0A4-4822-49E1-8609-AB80E46E07EA}">
  <dimension ref="A1:M20"/>
  <sheetViews>
    <sheetView workbookViewId="0">
      <selection activeCell="Q11" sqref="Q11:S11"/>
    </sheetView>
  </sheetViews>
  <sheetFormatPr defaultRowHeight="14.25" x14ac:dyDescent="0.45"/>
  <cols>
    <col min="1" max="1" width="25.265625" customWidth="1"/>
    <col min="2" max="2" width="12.1328125" customWidth="1"/>
    <col min="5" max="5" width="15.3984375" customWidth="1"/>
    <col min="6" max="6" width="11.3984375" customWidth="1"/>
    <col min="9" max="9" width="11.3984375" customWidth="1"/>
  </cols>
  <sheetData>
    <row r="1" spans="1:13" x14ac:dyDescent="0.45">
      <c r="B1" t="s">
        <v>171</v>
      </c>
      <c r="C1" t="s">
        <v>172</v>
      </c>
      <c r="D1" t="s">
        <v>173</v>
      </c>
      <c r="E1" t="s">
        <v>175</v>
      </c>
      <c r="F1" t="s">
        <v>176</v>
      </c>
    </row>
    <row r="2" spans="1:13" x14ac:dyDescent="0.45">
      <c r="A2" s="4" t="s">
        <v>134</v>
      </c>
      <c r="B2" s="96">
        <v>50000</v>
      </c>
      <c r="C2" s="96">
        <v>0</v>
      </c>
      <c r="D2" s="96">
        <v>0</v>
      </c>
      <c r="E2" s="96">
        <v>175000</v>
      </c>
      <c r="F2" s="96">
        <v>25000</v>
      </c>
      <c r="G2" t="s">
        <v>180</v>
      </c>
    </row>
    <row r="3" spans="1:13" x14ac:dyDescent="0.45">
      <c r="A3" s="4" t="s">
        <v>179</v>
      </c>
      <c r="B3" s="67">
        <v>5.2999999999999999E-2</v>
      </c>
      <c r="C3" s="67">
        <v>6.8000000000000005E-2</v>
      </c>
      <c r="D3" s="67">
        <v>4.9000000000000002E-2</v>
      </c>
      <c r="E3" s="67">
        <v>8.4000000000000005E-2</v>
      </c>
      <c r="F3" s="67">
        <v>0.11799999999999999</v>
      </c>
    </row>
    <row r="4" spans="1:13" x14ac:dyDescent="0.45">
      <c r="A4" s="4"/>
    </row>
    <row r="5" spans="1:13" x14ac:dyDescent="0.45">
      <c r="A5" s="4" t="s">
        <v>177</v>
      </c>
    </row>
    <row r="6" spans="1:13" x14ac:dyDescent="0.45">
      <c r="A6" s="4" t="s">
        <v>178</v>
      </c>
      <c r="B6" s="93">
        <f>SUMPRODUCT(B2:F2,B3:F3)</f>
        <v>20300</v>
      </c>
      <c r="C6" t="str">
        <f ca="1">_xlfn.FORMULATEXT(B6)</f>
        <v>=SUMPRODUCT(B2:F2,B3:F3)</v>
      </c>
    </row>
    <row r="10" spans="1:13" x14ac:dyDescent="0.45">
      <c r="A10" s="55" t="s">
        <v>120</v>
      </c>
      <c r="B10" s="75"/>
      <c r="C10" s="75"/>
      <c r="D10" s="75"/>
      <c r="E10" s="75"/>
      <c r="F10" s="75"/>
      <c r="G10" s="60" t="s">
        <v>124</v>
      </c>
      <c r="H10" s="60" t="s">
        <v>125</v>
      </c>
      <c r="I10" s="60" t="s">
        <v>126</v>
      </c>
    </row>
    <row r="11" spans="1:13" x14ac:dyDescent="0.45">
      <c r="A11" s="55" t="s">
        <v>174</v>
      </c>
      <c r="B11" s="75">
        <v>1</v>
      </c>
      <c r="C11" s="75">
        <v>1</v>
      </c>
      <c r="D11" s="75">
        <v>1</v>
      </c>
      <c r="E11" s="75">
        <v>1</v>
      </c>
      <c r="F11" s="75">
        <v>1</v>
      </c>
      <c r="G11" s="21">
        <f>SUMPRODUCT($B$2:$F$2,B11:F11)</f>
        <v>250000</v>
      </c>
      <c r="H11" s="75" t="s">
        <v>127</v>
      </c>
      <c r="I11" s="97">
        <v>250000</v>
      </c>
    </row>
    <row r="12" spans="1:13" x14ac:dyDescent="0.45">
      <c r="A12" s="55" t="s">
        <v>181</v>
      </c>
      <c r="B12" s="75">
        <v>1</v>
      </c>
      <c r="C12" s="75"/>
      <c r="D12" s="75"/>
      <c r="E12" s="75"/>
      <c r="F12" s="75"/>
      <c r="G12" s="21">
        <f>SUMPRODUCT($B$2:$F$2,B12:F12)</f>
        <v>50000</v>
      </c>
      <c r="H12" s="75" t="s">
        <v>133</v>
      </c>
      <c r="I12" s="98">
        <f>20%*I11</f>
        <v>50000</v>
      </c>
    </row>
    <row r="13" spans="1:13" x14ac:dyDescent="0.45">
      <c r="A13" s="55" t="s">
        <v>182</v>
      </c>
      <c r="B13" s="75"/>
      <c r="C13" s="75">
        <v>1</v>
      </c>
      <c r="D13" s="75">
        <v>1</v>
      </c>
      <c r="E13" s="75">
        <v>1</v>
      </c>
      <c r="F13" s="75"/>
      <c r="G13" s="21">
        <f>SUMPRODUCT($B$2:$F$2,B13:F13)</f>
        <v>175000</v>
      </c>
      <c r="H13" s="75" t="s">
        <v>133</v>
      </c>
      <c r="I13" s="98">
        <f>40%*I11</f>
        <v>100000</v>
      </c>
    </row>
    <row r="14" spans="1:13" x14ac:dyDescent="0.45">
      <c r="A14" s="55" t="s">
        <v>183</v>
      </c>
      <c r="B14" s="76">
        <v>-0.5</v>
      </c>
      <c r="C14" s="75"/>
      <c r="D14" s="75"/>
      <c r="E14" s="75"/>
      <c r="F14" s="75">
        <v>1</v>
      </c>
      <c r="G14" s="21">
        <f>SUMPRODUCT($B$2:$F$2,B14:F14)</f>
        <v>0</v>
      </c>
      <c r="H14" s="75" t="s">
        <v>127</v>
      </c>
      <c r="I14" s="21">
        <v>0</v>
      </c>
    </row>
    <row r="16" spans="1:13" x14ac:dyDescent="0.45">
      <c r="M16" t="s">
        <v>166</v>
      </c>
    </row>
    <row r="17" spans="13:13" x14ac:dyDescent="0.45">
      <c r="M17" t="s">
        <v>167</v>
      </c>
    </row>
    <row r="18" spans="13:13" x14ac:dyDescent="0.45">
      <c r="M18" t="s">
        <v>168</v>
      </c>
    </row>
    <row r="19" spans="13:13" x14ac:dyDescent="0.45">
      <c r="M19" t="s">
        <v>169</v>
      </c>
    </row>
    <row r="20" spans="13:13" x14ac:dyDescent="0.45">
      <c r="M20" t="s">
        <v>170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B844-E5AD-4BA8-BF80-4A94422673B6}">
  <dimension ref="A1:R24"/>
  <sheetViews>
    <sheetView workbookViewId="0">
      <selection activeCell="Q11" sqref="Q11:S11"/>
    </sheetView>
  </sheetViews>
  <sheetFormatPr defaultRowHeight="14.25" x14ac:dyDescent="0.45"/>
  <cols>
    <col min="1" max="1" width="30.73046875" customWidth="1"/>
    <col min="2" max="2" width="11.73046875" customWidth="1"/>
    <col min="3" max="3" width="13.3984375" customWidth="1"/>
    <col min="4" max="4" width="12.265625" customWidth="1"/>
    <col min="14" max="14" width="14.86328125" customWidth="1"/>
    <col min="15" max="15" width="18.73046875" customWidth="1"/>
    <col min="16" max="16" width="15.3984375" customWidth="1"/>
    <col min="17" max="17" width="15.1328125" customWidth="1"/>
    <col min="18" max="18" width="17.1328125" customWidth="1"/>
  </cols>
  <sheetData>
    <row r="1" spans="1:7" ht="28.5" x14ac:dyDescent="0.45">
      <c r="B1" s="62" t="s">
        <v>200</v>
      </c>
      <c r="C1" s="62" t="s">
        <v>201</v>
      </c>
      <c r="D1" s="62" t="s">
        <v>202</v>
      </c>
    </row>
    <row r="2" spans="1:7" x14ac:dyDescent="0.45">
      <c r="A2" s="4" t="s">
        <v>134</v>
      </c>
      <c r="B2" s="89">
        <v>0.25</v>
      </c>
      <c r="C2" s="89">
        <v>4.4999999999999991</v>
      </c>
      <c r="D2" s="89">
        <v>0</v>
      </c>
    </row>
    <row r="3" spans="1:7" x14ac:dyDescent="0.45">
      <c r="A3" s="4" t="s">
        <v>203</v>
      </c>
      <c r="B3" s="2">
        <v>0.09</v>
      </c>
      <c r="C3" s="2">
        <v>0.12</v>
      </c>
      <c r="D3" s="2">
        <v>0.18</v>
      </c>
    </row>
    <row r="4" spans="1:7" x14ac:dyDescent="0.45">
      <c r="A4" s="4"/>
    </row>
    <row r="5" spans="1:7" x14ac:dyDescent="0.45">
      <c r="A5" s="4" t="s">
        <v>198</v>
      </c>
    </row>
    <row r="6" spans="1:7" x14ac:dyDescent="0.45">
      <c r="A6" s="4" t="s">
        <v>199</v>
      </c>
      <c r="B6" s="87">
        <f>SUMPRODUCT(B2:D2,B3:D3)</f>
        <v>0.56249999999999989</v>
      </c>
    </row>
    <row r="10" spans="1:7" x14ac:dyDescent="0.45">
      <c r="A10" s="55" t="s">
        <v>120</v>
      </c>
      <c r="B10" s="21"/>
      <c r="C10" s="21"/>
      <c r="D10" s="21"/>
      <c r="E10" s="60" t="s">
        <v>124</v>
      </c>
      <c r="F10" s="60" t="s">
        <v>125</v>
      </c>
      <c r="G10" s="60" t="s">
        <v>126</v>
      </c>
    </row>
    <row r="11" spans="1:7" x14ac:dyDescent="0.45">
      <c r="A11" s="21" t="s">
        <v>204</v>
      </c>
      <c r="B11" s="103">
        <v>1</v>
      </c>
      <c r="C11" s="21">
        <v>1</v>
      </c>
      <c r="D11" s="21">
        <v>1</v>
      </c>
      <c r="E11" s="21">
        <f>SUMPRODUCT($B$2:$D$2,B11:D11)</f>
        <v>4.7499999999999991</v>
      </c>
      <c r="F11" s="75" t="s">
        <v>127</v>
      </c>
      <c r="G11" s="21">
        <v>6</v>
      </c>
    </row>
    <row r="12" spans="1:7" ht="15.75" x14ac:dyDescent="0.45">
      <c r="A12" s="16" t="s">
        <v>189</v>
      </c>
      <c r="B12" s="103">
        <v>3</v>
      </c>
      <c r="C12" s="21">
        <v>4</v>
      </c>
      <c r="D12" s="21">
        <v>2</v>
      </c>
      <c r="E12" s="21">
        <f t="shared" ref="E12:E16" si="0">SUMPRODUCT($B$2:$D$2,B12:D12)</f>
        <v>18.749999999999996</v>
      </c>
      <c r="F12" s="75" t="s">
        <v>133</v>
      </c>
      <c r="G12" s="21">
        <v>5</v>
      </c>
    </row>
    <row r="13" spans="1:7" ht="15.75" x14ac:dyDescent="0.45">
      <c r="A13" s="16" t="s">
        <v>190</v>
      </c>
      <c r="B13" s="103">
        <v>0.5</v>
      </c>
      <c r="C13" s="21">
        <v>1</v>
      </c>
      <c r="D13" s="21">
        <v>1</v>
      </c>
      <c r="E13" s="21">
        <f t="shared" si="0"/>
        <v>4.6249999999999991</v>
      </c>
      <c r="F13" s="75" t="s">
        <v>133</v>
      </c>
      <c r="G13" s="21">
        <v>2</v>
      </c>
    </row>
    <row r="14" spans="1:7" ht="15.75" x14ac:dyDescent="0.45">
      <c r="A14" s="16" t="s">
        <v>191</v>
      </c>
      <c r="B14" s="103">
        <v>4</v>
      </c>
      <c r="C14" s="21">
        <v>2</v>
      </c>
      <c r="D14" s="21">
        <v>6</v>
      </c>
      <c r="E14" s="21">
        <f t="shared" si="0"/>
        <v>9.9999999999999982</v>
      </c>
      <c r="F14" s="75" t="s">
        <v>133</v>
      </c>
      <c r="G14" s="21">
        <v>10</v>
      </c>
    </row>
    <row r="15" spans="1:7" ht="15.75" x14ac:dyDescent="0.45">
      <c r="A15" s="16" t="s">
        <v>192</v>
      </c>
      <c r="B15" s="103">
        <v>1</v>
      </c>
      <c r="C15" s="21">
        <v>1.5</v>
      </c>
      <c r="D15" s="21">
        <v>2</v>
      </c>
      <c r="E15" s="21">
        <f t="shared" si="0"/>
        <v>6.9999999999999982</v>
      </c>
      <c r="F15" s="75" t="s">
        <v>133</v>
      </c>
      <c r="G15" s="21">
        <v>7</v>
      </c>
    </row>
    <row r="16" spans="1:7" ht="15.75" x14ac:dyDescent="0.45">
      <c r="A16" s="16" t="s">
        <v>193</v>
      </c>
      <c r="B16" s="103">
        <v>0.5</v>
      </c>
      <c r="C16" s="21">
        <v>1.5</v>
      </c>
      <c r="D16" s="21">
        <v>0.5</v>
      </c>
      <c r="E16" s="21">
        <f t="shared" si="0"/>
        <v>6.8749999999999982</v>
      </c>
      <c r="F16" s="75" t="s">
        <v>133</v>
      </c>
      <c r="G16" s="21">
        <v>6</v>
      </c>
    </row>
    <row r="17" spans="14:18" ht="14.65" thickBot="1" x14ac:dyDescent="0.5">
      <c r="N17" s="99"/>
      <c r="O17" s="99"/>
      <c r="P17" s="99"/>
      <c r="Q17" s="99"/>
      <c r="R17" s="99"/>
    </row>
    <row r="18" spans="14:18" ht="47.65" thickBot="1" x14ac:dyDescent="0.5">
      <c r="N18" s="100" t="s">
        <v>184</v>
      </c>
      <c r="O18" s="100" t="s">
        <v>185</v>
      </c>
      <c r="P18" s="100" t="s">
        <v>186</v>
      </c>
      <c r="Q18" s="100" t="s">
        <v>187</v>
      </c>
      <c r="R18" s="100" t="s">
        <v>188</v>
      </c>
    </row>
    <row r="19" spans="14:18" ht="16.149999999999999" thickBot="1" x14ac:dyDescent="0.5">
      <c r="N19" s="101" t="s">
        <v>189</v>
      </c>
      <c r="O19" s="101">
        <v>3</v>
      </c>
      <c r="P19" s="101">
        <v>4</v>
      </c>
      <c r="Q19" s="101">
        <v>2</v>
      </c>
      <c r="R19" s="101">
        <v>5</v>
      </c>
    </row>
    <row r="20" spans="14:18" ht="16.149999999999999" thickBot="1" x14ac:dyDescent="0.5">
      <c r="N20" s="101" t="s">
        <v>190</v>
      </c>
      <c r="O20" s="101">
        <v>0.5</v>
      </c>
      <c r="P20" s="101">
        <v>1</v>
      </c>
      <c r="Q20" s="101">
        <v>1</v>
      </c>
      <c r="R20" s="101">
        <v>2</v>
      </c>
    </row>
    <row r="21" spans="14:18" ht="16.149999999999999" thickBot="1" x14ac:dyDescent="0.5">
      <c r="N21" s="101" t="s">
        <v>191</v>
      </c>
      <c r="O21" s="101">
        <v>4</v>
      </c>
      <c r="P21" s="101">
        <v>2</v>
      </c>
      <c r="Q21" s="101">
        <v>6</v>
      </c>
      <c r="R21" s="101">
        <v>10</v>
      </c>
    </row>
    <row r="22" spans="14:18" ht="16.149999999999999" thickBot="1" x14ac:dyDescent="0.5">
      <c r="N22" s="101" t="s">
        <v>192</v>
      </c>
      <c r="O22" s="101">
        <v>1</v>
      </c>
      <c r="P22" s="101">
        <v>1.5</v>
      </c>
      <c r="Q22" s="101">
        <v>2</v>
      </c>
      <c r="R22" s="101">
        <v>7</v>
      </c>
    </row>
    <row r="23" spans="14:18" ht="16.149999999999999" thickBot="1" x14ac:dyDescent="0.5">
      <c r="N23" s="101" t="s">
        <v>193</v>
      </c>
      <c r="O23" s="101">
        <v>0.5</v>
      </c>
      <c r="P23" s="101">
        <v>1.5</v>
      </c>
      <c r="Q23" s="101">
        <v>0.5</v>
      </c>
      <c r="R23" s="101">
        <v>6</v>
      </c>
    </row>
    <row r="24" spans="14:18" ht="16.149999999999999" thickBot="1" x14ac:dyDescent="0.5">
      <c r="N24" s="101" t="s">
        <v>194</v>
      </c>
      <c r="O24" s="101" t="s">
        <v>195</v>
      </c>
      <c r="P24" s="101" t="s">
        <v>196</v>
      </c>
      <c r="Q24" s="101" t="s">
        <v>197</v>
      </c>
      <c r="R24" s="10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D1B7-50D0-4C88-AA4E-0E84D1351F35}">
  <dimension ref="A2:S24"/>
  <sheetViews>
    <sheetView workbookViewId="0">
      <selection activeCell="Q11" sqref="Q11:S11"/>
    </sheetView>
  </sheetViews>
  <sheetFormatPr defaultRowHeight="14.25" x14ac:dyDescent="0.45"/>
  <cols>
    <col min="1" max="1" width="17.1328125" customWidth="1"/>
  </cols>
  <sheetData>
    <row r="2" spans="1:19" ht="79.5" customHeight="1" x14ac:dyDescent="0.45">
      <c r="B2" s="1" t="s">
        <v>209</v>
      </c>
    </row>
    <row r="3" spans="1:19" x14ac:dyDescent="0.45">
      <c r="A3" s="4" t="s">
        <v>5</v>
      </c>
      <c r="B3" s="4" t="s">
        <v>206</v>
      </c>
      <c r="C3" s="4" t="s">
        <v>207</v>
      </c>
      <c r="D3" s="4" t="s">
        <v>208</v>
      </c>
      <c r="E3" s="4" t="s">
        <v>210</v>
      </c>
      <c r="F3" s="4" t="s">
        <v>211</v>
      </c>
      <c r="G3" s="4" t="s">
        <v>213</v>
      </c>
      <c r="H3" s="4" t="s">
        <v>214</v>
      </c>
      <c r="I3" s="4" t="s">
        <v>215</v>
      </c>
      <c r="J3" s="4" t="s">
        <v>216</v>
      </c>
      <c r="K3" s="4" t="s">
        <v>217</v>
      </c>
      <c r="L3" s="4" t="s">
        <v>218</v>
      </c>
      <c r="M3" s="4" t="s">
        <v>219</v>
      </c>
      <c r="N3" s="4" t="s">
        <v>220</v>
      </c>
      <c r="O3" s="4" t="s">
        <v>221</v>
      </c>
      <c r="P3" s="4" t="s">
        <v>212</v>
      </c>
    </row>
    <row r="4" spans="1:19" x14ac:dyDescent="0.45">
      <c r="A4" s="4"/>
      <c r="B4" s="7">
        <v>400</v>
      </c>
      <c r="C4" s="7">
        <v>0</v>
      </c>
      <c r="D4" s="7">
        <v>300</v>
      </c>
      <c r="E4" s="7">
        <v>500</v>
      </c>
      <c r="F4" s="7">
        <v>0</v>
      </c>
      <c r="G4" s="7">
        <v>0</v>
      </c>
      <c r="H4" s="7">
        <v>0</v>
      </c>
      <c r="I4" s="7">
        <v>100</v>
      </c>
      <c r="J4" s="7">
        <v>0</v>
      </c>
      <c r="K4" s="7">
        <v>0</v>
      </c>
      <c r="L4" s="7">
        <v>800</v>
      </c>
      <c r="M4" s="7">
        <v>0</v>
      </c>
      <c r="N4" s="7">
        <v>0</v>
      </c>
      <c r="O4" s="7">
        <v>0</v>
      </c>
      <c r="P4" s="7">
        <v>400</v>
      </c>
      <c r="Q4" t="s">
        <v>222</v>
      </c>
    </row>
    <row r="5" spans="1:19" x14ac:dyDescent="0.45">
      <c r="A5" s="4"/>
      <c r="B5">
        <v>5</v>
      </c>
      <c r="C5">
        <v>8</v>
      </c>
      <c r="D5">
        <v>6</v>
      </c>
      <c r="E5">
        <v>0</v>
      </c>
      <c r="F5">
        <v>4</v>
      </c>
      <c r="G5">
        <v>12</v>
      </c>
      <c r="H5">
        <v>4</v>
      </c>
      <c r="I5">
        <v>0</v>
      </c>
      <c r="J5">
        <v>7</v>
      </c>
      <c r="K5">
        <v>7</v>
      </c>
      <c r="L5">
        <v>2</v>
      </c>
      <c r="M5">
        <v>5</v>
      </c>
      <c r="N5">
        <v>12</v>
      </c>
      <c r="O5">
        <v>7</v>
      </c>
      <c r="P5">
        <v>0</v>
      </c>
      <c r="Q5" t="s">
        <v>224</v>
      </c>
    </row>
    <row r="6" spans="1:19" x14ac:dyDescent="0.45">
      <c r="A6" s="4"/>
    </row>
    <row r="7" spans="1:19" x14ac:dyDescent="0.45">
      <c r="A7" s="4" t="s">
        <v>205</v>
      </c>
    </row>
    <row r="8" spans="1:19" x14ac:dyDescent="0.45">
      <c r="A8" s="4" t="s">
        <v>223</v>
      </c>
      <c r="B8" s="87">
        <f>SUMPRODUCT(B4:P4,B5:P5)</f>
        <v>5400</v>
      </c>
      <c r="C8" t="str">
        <f ca="1">_xlfn.FORMULATEXT(B8)</f>
        <v>=SUMPRODUCT(B4:P4,B5:P5)</v>
      </c>
    </row>
    <row r="9" spans="1:19" x14ac:dyDescent="0.45">
      <c r="A9" s="4"/>
    </row>
    <row r="11" spans="1:19" x14ac:dyDescent="0.45">
      <c r="A11" s="55" t="s">
        <v>144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60" t="s">
        <v>124</v>
      </c>
      <c r="R11" s="60" t="s">
        <v>125</v>
      </c>
      <c r="S11" s="60" t="s">
        <v>126</v>
      </c>
    </row>
    <row r="12" spans="1:19" x14ac:dyDescent="0.45">
      <c r="A12" s="21" t="s">
        <v>225</v>
      </c>
      <c r="B12" s="21">
        <v>1</v>
      </c>
      <c r="C12" s="21"/>
      <c r="D12" s="21"/>
      <c r="E12" s="21">
        <v>1</v>
      </c>
      <c r="F12" s="21"/>
      <c r="G12" s="21"/>
      <c r="H12" s="21">
        <v>1</v>
      </c>
      <c r="I12" s="21"/>
      <c r="J12" s="21"/>
      <c r="K12" s="21">
        <v>1</v>
      </c>
      <c r="L12" s="21"/>
      <c r="M12" s="21"/>
      <c r="N12" s="21">
        <v>1</v>
      </c>
      <c r="O12" s="21"/>
      <c r="P12" s="21"/>
      <c r="Q12" s="75">
        <f>SUMPRODUCT($B$4:$P$4,B12:P12)</f>
        <v>900</v>
      </c>
      <c r="R12" s="75" t="s">
        <v>127</v>
      </c>
      <c r="S12" s="75">
        <v>900</v>
      </c>
    </row>
    <row r="13" spans="1:19" x14ac:dyDescent="0.45">
      <c r="A13" s="21" t="s">
        <v>227</v>
      </c>
      <c r="B13" s="21"/>
      <c r="C13" s="21">
        <v>1</v>
      </c>
      <c r="D13" s="21"/>
      <c r="E13" s="21"/>
      <c r="F13" s="21">
        <v>1</v>
      </c>
      <c r="G13" s="21"/>
      <c r="H13" s="21"/>
      <c r="I13" s="21">
        <v>1</v>
      </c>
      <c r="J13" s="21"/>
      <c r="K13" s="21"/>
      <c r="L13" s="21">
        <v>1</v>
      </c>
      <c r="M13" s="21"/>
      <c r="N13" s="21"/>
      <c r="O13" s="21">
        <v>1</v>
      </c>
      <c r="P13" s="21"/>
      <c r="Q13" s="75">
        <f t="shared" ref="Q13:Q19" si="0">SUMPRODUCT($B$4:$P$4,B13:P13)</f>
        <v>900</v>
      </c>
      <c r="R13" s="75" t="s">
        <v>127</v>
      </c>
      <c r="S13" s="75">
        <v>900</v>
      </c>
    </row>
    <row r="14" spans="1:19" x14ac:dyDescent="0.45">
      <c r="A14" s="21" t="s">
        <v>226</v>
      </c>
      <c r="B14" s="21"/>
      <c r="C14" s="21"/>
      <c r="D14" s="21">
        <v>1</v>
      </c>
      <c r="E14" s="21"/>
      <c r="F14" s="21"/>
      <c r="G14" s="21">
        <v>1</v>
      </c>
      <c r="H14" s="21"/>
      <c r="I14" s="21"/>
      <c r="J14" s="21">
        <v>1</v>
      </c>
      <c r="K14" s="21"/>
      <c r="L14" s="21"/>
      <c r="M14" s="21">
        <v>1</v>
      </c>
      <c r="N14" s="21"/>
      <c r="O14" s="21"/>
      <c r="P14" s="21">
        <v>1</v>
      </c>
      <c r="Q14" s="75">
        <f t="shared" si="0"/>
        <v>700</v>
      </c>
      <c r="R14" s="75" t="s">
        <v>127</v>
      </c>
      <c r="S14" s="75">
        <v>900</v>
      </c>
    </row>
    <row r="15" spans="1:19" x14ac:dyDescent="0.45">
      <c r="A15" s="21" t="s">
        <v>228</v>
      </c>
      <c r="B15" s="21">
        <v>1</v>
      </c>
      <c r="C15" s="21">
        <v>1</v>
      </c>
      <c r="D15" s="21">
        <v>1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75">
        <f t="shared" si="0"/>
        <v>700</v>
      </c>
      <c r="R15" s="75" t="s">
        <v>233</v>
      </c>
      <c r="S15" s="75">
        <v>700</v>
      </c>
    </row>
    <row r="16" spans="1:19" x14ac:dyDescent="0.45">
      <c r="A16" s="21" t="s">
        <v>229</v>
      </c>
      <c r="B16" s="21"/>
      <c r="C16" s="21"/>
      <c r="D16" s="21"/>
      <c r="E16" s="21">
        <v>1</v>
      </c>
      <c r="F16" s="21">
        <v>1</v>
      </c>
      <c r="G16" s="21">
        <v>1</v>
      </c>
      <c r="H16" s="21"/>
      <c r="I16" s="21"/>
      <c r="J16" s="21"/>
      <c r="K16" s="21"/>
      <c r="L16" s="21"/>
      <c r="M16" s="21"/>
      <c r="N16" s="21"/>
      <c r="O16" s="21"/>
      <c r="P16" s="21"/>
      <c r="Q16" s="75">
        <f t="shared" si="0"/>
        <v>500</v>
      </c>
      <c r="R16" s="75" t="s">
        <v>233</v>
      </c>
      <c r="S16" s="75">
        <v>500</v>
      </c>
    </row>
    <row r="17" spans="1:19" x14ac:dyDescent="0.45">
      <c r="A17" s="21" t="s">
        <v>230</v>
      </c>
      <c r="B17" s="21"/>
      <c r="C17" s="21"/>
      <c r="D17" s="21"/>
      <c r="E17" s="21"/>
      <c r="F17" s="21"/>
      <c r="G17" s="21"/>
      <c r="H17" s="21">
        <v>1</v>
      </c>
      <c r="I17" s="21">
        <v>1</v>
      </c>
      <c r="J17" s="21">
        <v>1</v>
      </c>
      <c r="K17" s="21"/>
      <c r="L17" s="21"/>
      <c r="M17" s="21"/>
      <c r="N17" s="21"/>
      <c r="O17" s="21"/>
      <c r="P17" s="21"/>
      <c r="Q17" s="75">
        <f t="shared" si="0"/>
        <v>100</v>
      </c>
      <c r="R17" s="75" t="s">
        <v>233</v>
      </c>
      <c r="S17" s="75">
        <v>100</v>
      </c>
    </row>
    <row r="18" spans="1:19" x14ac:dyDescent="0.45">
      <c r="A18" s="21" t="s">
        <v>231</v>
      </c>
      <c r="B18" s="21"/>
      <c r="C18" s="21"/>
      <c r="D18" s="21"/>
      <c r="E18" s="21"/>
      <c r="F18" s="21"/>
      <c r="G18" s="21"/>
      <c r="H18" s="21"/>
      <c r="I18" s="21"/>
      <c r="J18" s="21"/>
      <c r="K18" s="21">
        <v>1</v>
      </c>
      <c r="L18" s="21">
        <v>1</v>
      </c>
      <c r="M18" s="21">
        <v>1</v>
      </c>
      <c r="N18" s="21"/>
      <c r="O18" s="21"/>
      <c r="P18" s="21"/>
      <c r="Q18" s="75">
        <f t="shared" si="0"/>
        <v>800</v>
      </c>
      <c r="R18" s="75" t="s">
        <v>233</v>
      </c>
      <c r="S18" s="75">
        <v>800</v>
      </c>
    </row>
    <row r="19" spans="1:19" x14ac:dyDescent="0.45">
      <c r="A19" s="21" t="s">
        <v>232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>
        <v>1</v>
      </c>
      <c r="O19" s="21">
        <v>1</v>
      </c>
      <c r="P19" s="21">
        <v>1</v>
      </c>
      <c r="Q19" s="75">
        <f t="shared" si="0"/>
        <v>400</v>
      </c>
      <c r="R19" s="75" t="s">
        <v>233</v>
      </c>
      <c r="S19" s="75">
        <v>400</v>
      </c>
    </row>
    <row r="22" spans="1:19" x14ac:dyDescent="0.45">
      <c r="B22" t="s">
        <v>234</v>
      </c>
    </row>
    <row r="23" spans="1:19" x14ac:dyDescent="0.45">
      <c r="B23" t="s">
        <v>235</v>
      </c>
      <c r="I23" t="s">
        <v>237</v>
      </c>
    </row>
    <row r="24" spans="1:19" x14ac:dyDescent="0.45">
      <c r="B24" t="s">
        <v>236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7DEB-2B30-497E-BF2E-2C23DC533B5E}">
  <dimension ref="A1:F18"/>
  <sheetViews>
    <sheetView workbookViewId="0">
      <selection activeCell="Q11" sqref="Q11:S11"/>
    </sheetView>
  </sheetViews>
  <sheetFormatPr defaultRowHeight="14.25" x14ac:dyDescent="0.45"/>
  <cols>
    <col min="1" max="1" width="27.265625" customWidth="1"/>
    <col min="2" max="2" width="16.3984375" customWidth="1"/>
    <col min="3" max="3" width="14.59765625" customWidth="1"/>
  </cols>
  <sheetData>
    <row r="1" spans="1:6" x14ac:dyDescent="0.45">
      <c r="B1" s="40" t="s">
        <v>242</v>
      </c>
      <c r="C1" s="40" t="s">
        <v>243</v>
      </c>
    </row>
    <row r="2" spans="1:6" x14ac:dyDescent="0.45">
      <c r="A2" t="s">
        <v>114</v>
      </c>
      <c r="B2" t="s">
        <v>238</v>
      </c>
      <c r="C2" t="s">
        <v>239</v>
      </c>
    </row>
    <row r="3" spans="1:6" x14ac:dyDescent="0.45">
      <c r="B3" s="7">
        <v>4</v>
      </c>
      <c r="C3" s="7">
        <v>12</v>
      </c>
    </row>
    <row r="4" spans="1:6" x14ac:dyDescent="0.45">
      <c r="A4" t="s">
        <v>241</v>
      </c>
      <c r="B4" s="104">
        <v>20</v>
      </c>
      <c r="C4" s="104">
        <v>10</v>
      </c>
    </row>
    <row r="5" spans="1:6" x14ac:dyDescent="0.45">
      <c r="A5" t="s">
        <v>244</v>
      </c>
      <c r="B5">
        <v>1.5</v>
      </c>
      <c r="C5">
        <v>3</v>
      </c>
    </row>
    <row r="6" spans="1:6" x14ac:dyDescent="0.45">
      <c r="A6" t="s">
        <v>245</v>
      </c>
      <c r="B6">
        <v>3</v>
      </c>
      <c r="C6">
        <v>1</v>
      </c>
    </row>
    <row r="8" spans="1:6" x14ac:dyDescent="0.45">
      <c r="A8" t="s">
        <v>240</v>
      </c>
    </row>
    <row r="9" spans="1:6" x14ac:dyDescent="0.45">
      <c r="A9" t="s">
        <v>46</v>
      </c>
      <c r="B9" s="87">
        <f>SUMPRODUCT(B3:C3,B4:C4)</f>
        <v>200</v>
      </c>
    </row>
    <row r="12" spans="1:6" x14ac:dyDescent="0.45">
      <c r="A12" s="55" t="s">
        <v>144</v>
      </c>
      <c r="B12" s="21"/>
      <c r="C12" s="21"/>
      <c r="D12" s="60" t="s">
        <v>124</v>
      </c>
      <c r="E12" s="60" t="s">
        <v>125</v>
      </c>
      <c r="F12" s="60" t="s">
        <v>126</v>
      </c>
    </row>
    <row r="13" spans="1:6" x14ac:dyDescent="0.45">
      <c r="A13" s="21" t="s">
        <v>246</v>
      </c>
      <c r="B13" s="21">
        <v>1.5</v>
      </c>
      <c r="C13" s="21">
        <v>3</v>
      </c>
      <c r="D13" s="21">
        <f>SUMPRODUCT($B$3:$C$3,B13:C13)</f>
        <v>42</v>
      </c>
      <c r="E13" s="55" t="s">
        <v>127</v>
      </c>
      <c r="F13" s="21">
        <v>42</v>
      </c>
    </row>
    <row r="14" spans="1:6" x14ac:dyDescent="0.45">
      <c r="A14" s="21" t="s">
        <v>247</v>
      </c>
      <c r="B14" s="21">
        <v>3</v>
      </c>
      <c r="C14" s="21">
        <v>1</v>
      </c>
      <c r="D14" s="21">
        <f>SUMPRODUCT($B$3:$C$3,B14:C14)</f>
        <v>24</v>
      </c>
      <c r="E14" s="55" t="s">
        <v>127</v>
      </c>
      <c r="F14" s="21">
        <v>24</v>
      </c>
    </row>
    <row r="15" spans="1:6" x14ac:dyDescent="0.45">
      <c r="A15" s="21"/>
      <c r="B15" s="21"/>
      <c r="C15" s="21"/>
      <c r="D15" s="21"/>
      <c r="E15" s="21"/>
      <c r="F15" s="21"/>
    </row>
    <row r="18" spans="1:1" x14ac:dyDescent="0.45">
      <c r="A18" t="s">
        <v>248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456B-CB27-44E6-8534-54E4BC57AA0D}">
  <dimension ref="A1:P29"/>
  <sheetViews>
    <sheetView topLeftCell="A3" workbookViewId="0">
      <selection activeCell="Q11" sqref="Q11:S11"/>
    </sheetView>
  </sheetViews>
  <sheetFormatPr defaultRowHeight="14.25" x14ac:dyDescent="0.45"/>
  <cols>
    <col min="1" max="1" width="12.265625" customWidth="1"/>
    <col min="2" max="2" width="14.3984375" customWidth="1"/>
    <col min="5" max="5" width="12" customWidth="1"/>
    <col min="13" max="13" width="19.73046875" customWidth="1"/>
    <col min="14" max="14" width="18.59765625" customWidth="1"/>
    <col min="15" max="15" width="21.1328125" customWidth="1"/>
    <col min="16" max="16" width="14" customWidth="1"/>
  </cols>
  <sheetData>
    <row r="1" spans="1:16" x14ac:dyDescent="0.45">
      <c r="A1" t="s">
        <v>264</v>
      </c>
      <c r="B1" s="4"/>
      <c r="G1" s="4" t="s">
        <v>249</v>
      </c>
      <c r="M1" s="4" t="s">
        <v>265</v>
      </c>
    </row>
    <row r="2" spans="1:16" ht="14.65" thickBot="1" x14ac:dyDescent="0.5">
      <c r="C2" s="156" t="s">
        <v>258</v>
      </c>
      <c r="D2" s="156"/>
      <c r="E2" s="156"/>
      <c r="G2" s="4" t="s">
        <v>250</v>
      </c>
    </row>
    <row r="3" spans="1:16" x14ac:dyDescent="0.45">
      <c r="A3" t="s">
        <v>251</v>
      </c>
      <c r="B3" s="105"/>
      <c r="C3" s="106" t="s">
        <v>254</v>
      </c>
      <c r="D3" s="106" t="s">
        <v>255</v>
      </c>
      <c r="E3" s="107" t="s">
        <v>256</v>
      </c>
      <c r="F3" s="4" t="s">
        <v>260</v>
      </c>
      <c r="M3" s="55" t="s">
        <v>266</v>
      </c>
      <c r="N3" s="55" t="s">
        <v>268</v>
      </c>
      <c r="O3" s="55" t="s">
        <v>270</v>
      </c>
      <c r="P3" s="55" t="s">
        <v>271</v>
      </c>
    </row>
    <row r="4" spans="1:16" x14ac:dyDescent="0.45">
      <c r="A4" s="155" t="s">
        <v>257</v>
      </c>
      <c r="B4" s="108" t="s">
        <v>259</v>
      </c>
      <c r="C4" s="21">
        <v>5</v>
      </c>
      <c r="D4" s="21">
        <v>4</v>
      </c>
      <c r="E4" s="109">
        <v>3</v>
      </c>
      <c r="F4">
        <v>100</v>
      </c>
      <c r="M4" s="21" t="s">
        <v>259</v>
      </c>
      <c r="N4" s="21" t="s">
        <v>269</v>
      </c>
      <c r="O4" s="21">
        <v>5</v>
      </c>
      <c r="P4" s="113">
        <v>0</v>
      </c>
    </row>
    <row r="5" spans="1:16" x14ac:dyDescent="0.45">
      <c r="A5" s="155"/>
      <c r="B5" s="108" t="s">
        <v>252</v>
      </c>
      <c r="C5" s="21">
        <v>8</v>
      </c>
      <c r="D5" s="21">
        <v>4</v>
      </c>
      <c r="E5" s="109">
        <v>3</v>
      </c>
      <c r="F5">
        <v>300</v>
      </c>
      <c r="M5" s="21" t="s">
        <v>259</v>
      </c>
      <c r="N5" s="21" t="s">
        <v>255</v>
      </c>
      <c r="O5" s="21">
        <v>4</v>
      </c>
      <c r="P5" s="113">
        <v>0</v>
      </c>
    </row>
    <row r="6" spans="1:16" ht="14.65" thickBot="1" x14ac:dyDescent="0.5">
      <c r="A6" s="155"/>
      <c r="B6" s="110" t="s">
        <v>253</v>
      </c>
      <c r="C6" s="111">
        <v>9</v>
      </c>
      <c r="D6" s="111">
        <v>7</v>
      </c>
      <c r="E6" s="112">
        <v>5</v>
      </c>
      <c r="F6">
        <v>300</v>
      </c>
      <c r="M6" s="21" t="s">
        <v>259</v>
      </c>
      <c r="N6" s="21" t="s">
        <v>256</v>
      </c>
      <c r="O6" s="21">
        <v>3</v>
      </c>
      <c r="P6" s="113">
        <v>100</v>
      </c>
    </row>
    <row r="7" spans="1:16" x14ac:dyDescent="0.45">
      <c r="B7" s="4" t="s">
        <v>0</v>
      </c>
      <c r="C7">
        <v>300</v>
      </c>
      <c r="D7">
        <v>200</v>
      </c>
      <c r="E7">
        <v>200</v>
      </c>
      <c r="M7" s="21" t="s">
        <v>252</v>
      </c>
      <c r="N7" s="21" t="s">
        <v>269</v>
      </c>
      <c r="O7" s="21">
        <v>8</v>
      </c>
      <c r="P7" s="113">
        <v>0</v>
      </c>
    </row>
    <row r="8" spans="1:16" x14ac:dyDescent="0.45">
      <c r="M8" s="21" t="s">
        <v>252</v>
      </c>
      <c r="N8" s="21" t="s">
        <v>255</v>
      </c>
      <c r="O8" s="21">
        <v>4</v>
      </c>
      <c r="P8" s="113">
        <v>200</v>
      </c>
    </row>
    <row r="9" spans="1:16" x14ac:dyDescent="0.45">
      <c r="M9" s="21" t="s">
        <v>252</v>
      </c>
      <c r="N9" s="21" t="s">
        <v>256</v>
      </c>
      <c r="O9" s="21">
        <v>3</v>
      </c>
      <c r="P9" s="113">
        <v>100</v>
      </c>
    </row>
    <row r="10" spans="1:16" x14ac:dyDescent="0.45">
      <c r="M10" s="21" t="s">
        <v>267</v>
      </c>
      <c r="N10" s="21" t="s">
        <v>269</v>
      </c>
      <c r="O10" s="21">
        <v>9</v>
      </c>
      <c r="P10" s="113">
        <v>300</v>
      </c>
    </row>
    <row r="11" spans="1:16" ht="14.65" thickBot="1" x14ac:dyDescent="0.5">
      <c r="C11" s="156" t="s">
        <v>258</v>
      </c>
      <c r="D11" s="156"/>
      <c r="E11" s="156"/>
      <c r="M11" s="21" t="s">
        <v>267</v>
      </c>
      <c r="N11" s="21" t="s">
        <v>255</v>
      </c>
      <c r="O11" s="21">
        <v>7</v>
      </c>
      <c r="P11" s="113">
        <v>0</v>
      </c>
    </row>
    <row r="12" spans="1:16" x14ac:dyDescent="0.45">
      <c r="A12" t="s">
        <v>251</v>
      </c>
      <c r="B12" s="105"/>
      <c r="C12" s="106" t="s">
        <v>254</v>
      </c>
      <c r="D12" s="106" t="s">
        <v>255</v>
      </c>
      <c r="E12" s="107" t="s">
        <v>256</v>
      </c>
      <c r="F12" s="4" t="s">
        <v>260</v>
      </c>
      <c r="M12" s="21" t="s">
        <v>267</v>
      </c>
      <c r="N12" s="21" t="s">
        <v>256</v>
      </c>
      <c r="O12" s="21">
        <v>5</v>
      </c>
      <c r="P12" s="113">
        <v>0</v>
      </c>
    </row>
    <row r="13" spans="1:16" x14ac:dyDescent="0.45">
      <c r="A13" s="155" t="s">
        <v>257</v>
      </c>
      <c r="B13" s="108" t="s">
        <v>259</v>
      </c>
      <c r="C13" s="113">
        <v>100</v>
      </c>
      <c r="D13" s="113">
        <v>0</v>
      </c>
      <c r="E13" s="114">
        <v>0</v>
      </c>
      <c r="F13">
        <f>SUM(C13:E13)</f>
        <v>100</v>
      </c>
    </row>
    <row r="14" spans="1:16" x14ac:dyDescent="0.45">
      <c r="A14" s="155"/>
      <c r="B14" s="108" t="s">
        <v>252</v>
      </c>
      <c r="C14" s="113">
        <v>0</v>
      </c>
      <c r="D14" s="113">
        <v>200</v>
      </c>
      <c r="E14" s="114">
        <v>100</v>
      </c>
      <c r="F14">
        <f t="shared" ref="F14:F15" si="0">SUM(C14:E14)</f>
        <v>300</v>
      </c>
    </row>
    <row r="15" spans="1:16" ht="14.65" thickBot="1" x14ac:dyDescent="0.5">
      <c r="A15" s="155"/>
      <c r="B15" s="110" t="s">
        <v>253</v>
      </c>
      <c r="C15" s="115">
        <v>200</v>
      </c>
      <c r="D15" s="115">
        <v>0</v>
      </c>
      <c r="E15" s="116">
        <v>100</v>
      </c>
      <c r="F15">
        <f t="shared" si="0"/>
        <v>300</v>
      </c>
    </row>
    <row r="16" spans="1:16" x14ac:dyDescent="0.45">
      <c r="B16" s="4" t="s">
        <v>0</v>
      </c>
      <c r="C16">
        <f>SUM(C13:C15)</f>
        <v>300</v>
      </c>
      <c r="D16">
        <f t="shared" ref="D16:E16" si="1">SUM(D13:D15)</f>
        <v>200</v>
      </c>
      <c r="E16">
        <f t="shared" si="1"/>
        <v>200</v>
      </c>
      <c r="M16" s="4" t="s">
        <v>272</v>
      </c>
    </row>
    <row r="17" spans="1:16" x14ac:dyDescent="0.45">
      <c r="M17" s="21" t="s">
        <v>273</v>
      </c>
      <c r="N17" s="75" t="s">
        <v>274</v>
      </c>
      <c r="O17" s="75" t="s">
        <v>125</v>
      </c>
      <c r="P17" s="75" t="s">
        <v>275</v>
      </c>
    </row>
    <row r="18" spans="1:16" x14ac:dyDescent="0.45">
      <c r="M18" s="21" t="s">
        <v>259</v>
      </c>
      <c r="N18" s="21">
        <f>SUMIF($M$4:$M$12,M18,$P$4:$P$12)</f>
        <v>100</v>
      </c>
      <c r="O18" s="75" t="s">
        <v>127</v>
      </c>
      <c r="P18" s="21">
        <v>100</v>
      </c>
    </row>
    <row r="19" spans="1:16" x14ac:dyDescent="0.45">
      <c r="A19" t="s">
        <v>198</v>
      </c>
      <c r="M19" s="21" t="s">
        <v>252</v>
      </c>
      <c r="N19" s="21">
        <f t="shared" ref="N19:N20" si="2">SUMIF($M$4:$M$12,M19,$P$4:$P$12)</f>
        <v>300</v>
      </c>
      <c r="O19" s="75" t="s">
        <v>127</v>
      </c>
      <c r="P19" s="21">
        <v>300</v>
      </c>
    </row>
    <row r="20" spans="1:16" x14ac:dyDescent="0.45">
      <c r="A20" t="s">
        <v>261</v>
      </c>
      <c r="B20" s="87">
        <f>SUMPRODUCT(C4:E6,C13:E15)</f>
        <v>3900</v>
      </c>
      <c r="M20" s="21" t="s">
        <v>267</v>
      </c>
      <c r="N20" s="21">
        <f t="shared" si="2"/>
        <v>300</v>
      </c>
      <c r="O20" s="75" t="s">
        <v>127</v>
      </c>
      <c r="P20" s="21">
        <v>300</v>
      </c>
    </row>
    <row r="22" spans="1:16" x14ac:dyDescent="0.45">
      <c r="B22" t="s">
        <v>262</v>
      </c>
      <c r="M22" s="50" t="s">
        <v>276</v>
      </c>
    </row>
    <row r="23" spans="1:16" x14ac:dyDescent="0.45">
      <c r="B23" t="s">
        <v>263</v>
      </c>
      <c r="M23" s="21" t="s">
        <v>277</v>
      </c>
      <c r="N23" s="21" t="s">
        <v>278</v>
      </c>
      <c r="O23" s="75" t="s">
        <v>125</v>
      </c>
      <c r="P23" s="21" t="s">
        <v>279</v>
      </c>
    </row>
    <row r="24" spans="1:16" x14ac:dyDescent="0.45">
      <c r="M24" s="21" t="s">
        <v>269</v>
      </c>
      <c r="N24" s="21">
        <f>SUMIF($N$4:$N$12,M24,$P$4:$P$12)</f>
        <v>300</v>
      </c>
      <c r="O24" s="75" t="s">
        <v>133</v>
      </c>
      <c r="P24" s="21">
        <v>300</v>
      </c>
    </row>
    <row r="25" spans="1:16" x14ac:dyDescent="0.45">
      <c r="M25" s="21" t="s">
        <v>255</v>
      </c>
      <c r="N25" s="21">
        <f t="shared" ref="N25:N26" si="3">SUMIF($N$4:$N$12,M25,$P$4:$P$12)</f>
        <v>200</v>
      </c>
      <c r="O25" s="75" t="s">
        <v>133</v>
      </c>
      <c r="P25" s="21">
        <v>200</v>
      </c>
    </row>
    <row r="26" spans="1:16" x14ac:dyDescent="0.45">
      <c r="M26" s="21" t="s">
        <v>256</v>
      </c>
      <c r="N26" s="21">
        <f t="shared" si="3"/>
        <v>200</v>
      </c>
      <c r="O26" s="75" t="s">
        <v>133</v>
      </c>
      <c r="P26" s="21">
        <v>200</v>
      </c>
    </row>
    <row r="29" spans="1:16" x14ac:dyDescent="0.45">
      <c r="M29" t="s">
        <v>280</v>
      </c>
      <c r="N29" s="87">
        <f>SUMPRODUCT(O4:O12,P4:P12)</f>
        <v>4100</v>
      </c>
    </row>
  </sheetData>
  <mergeCells count="4">
    <mergeCell ref="A4:A6"/>
    <mergeCell ref="C2:E2"/>
    <mergeCell ref="C11:E11"/>
    <mergeCell ref="A13:A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F14F-943A-4D83-80B9-36BBDC92E27C}">
  <dimension ref="B3:F21"/>
  <sheetViews>
    <sheetView workbookViewId="0">
      <selection activeCell="Q11" sqref="Q11:S11"/>
    </sheetView>
  </sheetViews>
  <sheetFormatPr defaultRowHeight="14.25" x14ac:dyDescent="0.45"/>
  <cols>
    <col min="2" max="2" width="21.86328125" customWidth="1"/>
    <col min="3" max="3" width="14.86328125" customWidth="1"/>
    <col min="4" max="4" width="13.3984375" customWidth="1"/>
    <col min="5" max="5" width="15.3984375" customWidth="1"/>
    <col min="6" max="6" width="12.1328125" customWidth="1"/>
  </cols>
  <sheetData>
    <row r="3" spans="2:6" x14ac:dyDescent="0.45">
      <c r="B3" s="4" t="s">
        <v>287</v>
      </c>
    </row>
    <row r="4" spans="2:6" x14ac:dyDescent="0.45">
      <c r="B4" s="99"/>
      <c r="C4" s="99"/>
      <c r="D4" s="99"/>
      <c r="E4" s="99"/>
      <c r="F4" s="99"/>
    </row>
    <row r="5" spans="2:6" x14ac:dyDescent="0.45">
      <c r="B5" t="s">
        <v>290</v>
      </c>
      <c r="C5" s="4" t="s">
        <v>281</v>
      </c>
      <c r="D5" s="4" t="s">
        <v>282</v>
      </c>
      <c r="E5" s="4" t="s">
        <v>283</v>
      </c>
      <c r="F5" s="4" t="s">
        <v>288</v>
      </c>
    </row>
    <row r="6" spans="2:6" x14ac:dyDescent="0.45">
      <c r="B6" s="55" t="s">
        <v>284</v>
      </c>
      <c r="C6" s="118">
        <v>10</v>
      </c>
      <c r="D6" s="118">
        <v>4</v>
      </c>
      <c r="E6" s="118">
        <v>9</v>
      </c>
      <c r="F6">
        <v>80</v>
      </c>
    </row>
    <row r="7" spans="2:6" x14ac:dyDescent="0.45">
      <c r="B7" s="55" t="s">
        <v>285</v>
      </c>
      <c r="C7" s="118">
        <v>12</v>
      </c>
      <c r="D7" s="118">
        <v>6</v>
      </c>
      <c r="E7" s="118">
        <v>8</v>
      </c>
      <c r="F7">
        <v>40</v>
      </c>
    </row>
    <row r="8" spans="2:6" x14ac:dyDescent="0.45">
      <c r="B8" s="55" t="s">
        <v>286</v>
      </c>
      <c r="C8" s="118">
        <v>8</v>
      </c>
      <c r="D8" s="118">
        <v>9</v>
      </c>
      <c r="E8" s="118">
        <v>5</v>
      </c>
      <c r="F8">
        <v>30</v>
      </c>
    </row>
    <row r="9" spans="2:6" ht="28.5" x14ac:dyDescent="0.45">
      <c r="B9" s="62" t="s">
        <v>289</v>
      </c>
      <c r="C9">
        <v>50</v>
      </c>
      <c r="D9">
        <v>40</v>
      </c>
      <c r="E9">
        <v>60</v>
      </c>
    </row>
    <row r="12" spans="2:6" x14ac:dyDescent="0.45">
      <c r="B12" t="s">
        <v>291</v>
      </c>
      <c r="C12" s="4" t="s">
        <v>281</v>
      </c>
      <c r="D12" s="4" t="s">
        <v>282</v>
      </c>
      <c r="E12" s="4" t="s">
        <v>283</v>
      </c>
      <c r="F12" s="4" t="s">
        <v>288</v>
      </c>
    </row>
    <row r="13" spans="2:6" x14ac:dyDescent="0.45">
      <c r="B13" s="55" t="s">
        <v>284</v>
      </c>
      <c r="C13" s="113">
        <v>40</v>
      </c>
      <c r="D13" s="113">
        <v>40</v>
      </c>
      <c r="E13" s="113">
        <v>0</v>
      </c>
      <c r="F13">
        <f>SUM(C13:E13)</f>
        <v>80</v>
      </c>
    </row>
    <row r="14" spans="2:6" x14ac:dyDescent="0.45">
      <c r="B14" s="55" t="s">
        <v>285</v>
      </c>
      <c r="C14" s="113">
        <v>0</v>
      </c>
      <c r="D14" s="113">
        <v>0</v>
      </c>
      <c r="E14" s="113">
        <v>40</v>
      </c>
      <c r="F14">
        <f t="shared" ref="F14:F15" si="0">SUM(C14:E14)</f>
        <v>40</v>
      </c>
    </row>
    <row r="15" spans="2:6" x14ac:dyDescent="0.45">
      <c r="B15" s="55" t="s">
        <v>286</v>
      </c>
      <c r="C15" s="113">
        <v>10</v>
      </c>
      <c r="D15" s="113">
        <v>0</v>
      </c>
      <c r="E15" s="113">
        <v>20</v>
      </c>
      <c r="F15">
        <f t="shared" si="0"/>
        <v>30</v>
      </c>
    </row>
    <row r="16" spans="2:6" ht="28.5" x14ac:dyDescent="0.45">
      <c r="B16" s="62" t="s">
        <v>289</v>
      </c>
      <c r="C16">
        <f>SUM(C13:C15)</f>
        <v>50</v>
      </c>
      <c r="D16">
        <f t="shared" ref="D16:E16" si="1">SUM(D13:D15)</f>
        <v>40</v>
      </c>
      <c r="E16">
        <f t="shared" si="1"/>
        <v>60</v>
      </c>
    </row>
    <row r="18" spans="2:5" x14ac:dyDescent="0.45">
      <c r="B18" t="s">
        <v>198</v>
      </c>
    </row>
    <row r="19" spans="2:5" x14ac:dyDescent="0.45">
      <c r="B19" t="s">
        <v>261</v>
      </c>
      <c r="C19" s="117">
        <f>SUMPRODUCT(C6:E8,C13:E15)</f>
        <v>1060</v>
      </c>
    </row>
    <row r="21" spans="2:5" ht="76.5" customHeight="1" x14ac:dyDescent="0.45">
      <c r="B21" s="157" t="s">
        <v>292</v>
      </c>
      <c r="C21" s="157"/>
      <c r="D21" s="157"/>
      <c r="E21" s="157"/>
    </row>
  </sheetData>
  <mergeCells count="1">
    <mergeCell ref="B21:E2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067F-C2C8-446B-8C43-3D22F79D7239}">
  <dimension ref="A1:H25"/>
  <sheetViews>
    <sheetView workbookViewId="0">
      <selection activeCell="Q11" sqref="Q11:S11"/>
    </sheetView>
  </sheetViews>
  <sheetFormatPr defaultRowHeight="14.25" x14ac:dyDescent="0.45"/>
  <cols>
    <col min="1" max="1" width="22.73046875" customWidth="1"/>
    <col min="2" max="2" width="10.59765625" bestFit="1" customWidth="1"/>
    <col min="3" max="3" width="13.73046875" customWidth="1"/>
    <col min="4" max="6" width="10.59765625" bestFit="1" customWidth="1"/>
  </cols>
  <sheetData>
    <row r="1" spans="1:8" x14ac:dyDescent="0.45">
      <c r="A1" t="s">
        <v>300</v>
      </c>
    </row>
    <row r="3" spans="1:8" x14ac:dyDescent="0.45">
      <c r="A3" s="4" t="s">
        <v>301</v>
      </c>
    </row>
    <row r="4" spans="1:8" x14ac:dyDescent="0.45">
      <c r="A4" s="21"/>
      <c r="B4" s="55" t="s">
        <v>293</v>
      </c>
      <c r="C4" s="55" t="s">
        <v>294</v>
      </c>
      <c r="D4" s="55" t="s">
        <v>295</v>
      </c>
      <c r="E4" s="55" t="s">
        <v>296</v>
      </c>
    </row>
    <row r="5" spans="1:8" x14ac:dyDescent="0.45">
      <c r="A5" s="55" t="s">
        <v>297</v>
      </c>
      <c r="B5" s="121">
        <v>800</v>
      </c>
      <c r="C5" s="121">
        <v>1100</v>
      </c>
      <c r="D5" s="121">
        <v>1200</v>
      </c>
      <c r="E5" s="121">
        <v>1000</v>
      </c>
      <c r="F5" s="119">
        <v>1</v>
      </c>
    </row>
    <row r="6" spans="1:8" x14ac:dyDescent="0.45">
      <c r="A6" s="55" t="s">
        <v>298</v>
      </c>
      <c r="B6" s="121">
        <v>500</v>
      </c>
      <c r="C6" s="121">
        <v>1600</v>
      </c>
      <c r="D6" s="121">
        <v>1300</v>
      </c>
      <c r="E6" s="121">
        <v>800</v>
      </c>
      <c r="F6" s="119">
        <v>1</v>
      </c>
    </row>
    <row r="7" spans="1:8" x14ac:dyDescent="0.45">
      <c r="A7" s="55" t="s">
        <v>299</v>
      </c>
      <c r="B7" s="121">
        <v>500</v>
      </c>
      <c r="C7" s="121">
        <v>1000</v>
      </c>
      <c r="D7" s="121">
        <v>2300</v>
      </c>
      <c r="E7" s="121">
        <v>1500</v>
      </c>
      <c r="F7" s="119">
        <v>1</v>
      </c>
    </row>
    <row r="8" spans="1:8" x14ac:dyDescent="0.45">
      <c r="B8" s="120">
        <v>1</v>
      </c>
      <c r="C8" s="120">
        <v>1</v>
      </c>
      <c r="D8" s="120">
        <v>1</v>
      </c>
      <c r="E8" s="120">
        <v>1</v>
      </c>
    </row>
    <row r="10" spans="1:8" x14ac:dyDescent="0.45">
      <c r="A10" s="4"/>
    </row>
    <row r="13" spans="1:8" x14ac:dyDescent="0.45">
      <c r="A13" s="4" t="s">
        <v>302</v>
      </c>
    </row>
    <row r="14" spans="1:8" x14ac:dyDescent="0.45">
      <c r="A14" s="21"/>
      <c r="B14" s="55" t="s">
        <v>293</v>
      </c>
      <c r="C14" s="55" t="s">
        <v>294</v>
      </c>
      <c r="D14" s="55" t="s">
        <v>295</v>
      </c>
      <c r="E14" s="55" t="s">
        <v>296</v>
      </c>
      <c r="F14" t="s">
        <v>303</v>
      </c>
      <c r="G14" t="s">
        <v>125</v>
      </c>
      <c r="H14" t="s">
        <v>304</v>
      </c>
    </row>
    <row r="15" spans="1:8" x14ac:dyDescent="0.45">
      <c r="A15" s="55" t="s">
        <v>297</v>
      </c>
      <c r="B15" s="123">
        <v>0</v>
      </c>
      <c r="C15" s="123">
        <v>1</v>
      </c>
      <c r="D15" s="123">
        <v>0</v>
      </c>
      <c r="E15" s="123">
        <v>0</v>
      </c>
      <c r="F15" s="122">
        <f>SUM(B15:E15)</f>
        <v>1</v>
      </c>
      <c r="G15" s="90" t="s">
        <v>233</v>
      </c>
      <c r="H15" s="90">
        <v>1</v>
      </c>
    </row>
    <row r="16" spans="1:8" x14ac:dyDescent="0.45">
      <c r="A16" s="55" t="s">
        <v>298</v>
      </c>
      <c r="B16" s="123">
        <v>0</v>
      </c>
      <c r="C16" s="123">
        <v>0</v>
      </c>
      <c r="D16" s="123">
        <v>0</v>
      </c>
      <c r="E16" s="123">
        <v>1</v>
      </c>
      <c r="F16" s="122">
        <f t="shared" ref="F16:F17" si="0">SUM(B16:E16)</f>
        <v>1</v>
      </c>
      <c r="G16" s="90" t="s">
        <v>233</v>
      </c>
      <c r="H16" s="90">
        <v>1</v>
      </c>
    </row>
    <row r="17" spans="1:8" x14ac:dyDescent="0.45">
      <c r="A17" s="55" t="s">
        <v>299</v>
      </c>
      <c r="B17" s="123">
        <v>1</v>
      </c>
      <c r="C17" s="123">
        <v>0</v>
      </c>
      <c r="D17" s="123">
        <v>0</v>
      </c>
      <c r="E17" s="123">
        <v>0</v>
      </c>
      <c r="F17" s="122">
        <f t="shared" si="0"/>
        <v>1</v>
      </c>
      <c r="G17" s="90" t="s">
        <v>233</v>
      </c>
      <c r="H17" s="90">
        <v>1</v>
      </c>
    </row>
    <row r="18" spans="1:8" x14ac:dyDescent="0.45">
      <c r="B18" s="122">
        <f>SUM(B15:B17)</f>
        <v>1</v>
      </c>
      <c r="C18" s="122">
        <f t="shared" ref="C18:E18" si="1">SUM(C15:C17)</f>
        <v>1</v>
      </c>
      <c r="D18" s="122">
        <f t="shared" si="1"/>
        <v>0</v>
      </c>
      <c r="E18" s="122">
        <f t="shared" si="1"/>
        <v>1</v>
      </c>
    </row>
    <row r="19" spans="1:8" x14ac:dyDescent="0.45">
      <c r="B19" s="90" t="s">
        <v>127</v>
      </c>
      <c r="C19" s="90" t="s">
        <v>127</v>
      </c>
      <c r="D19" s="90" t="s">
        <v>127</v>
      </c>
      <c r="E19" s="90" t="s">
        <v>127</v>
      </c>
    </row>
    <row r="20" spans="1:8" x14ac:dyDescent="0.45">
      <c r="B20">
        <v>1</v>
      </c>
      <c r="C20">
        <v>1</v>
      </c>
      <c r="D20">
        <v>1</v>
      </c>
      <c r="E20">
        <v>1</v>
      </c>
    </row>
    <row r="22" spans="1:8" x14ac:dyDescent="0.45">
      <c r="A22" s="4" t="s">
        <v>305</v>
      </c>
    </row>
    <row r="23" spans="1:8" x14ac:dyDescent="0.45">
      <c r="A23" s="4" t="s">
        <v>306</v>
      </c>
      <c r="B23" s="117">
        <f>SUMPRODUCT(B5:E7,B15:E17)</f>
        <v>2400</v>
      </c>
    </row>
    <row r="25" spans="1:8" x14ac:dyDescent="0.45">
      <c r="A25" t="s">
        <v>307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BD5A-E39A-4146-83DA-9E0D50DCCFEB}">
  <dimension ref="A2:H23"/>
  <sheetViews>
    <sheetView workbookViewId="0">
      <selection activeCell="Q11" sqref="Q11:S11"/>
    </sheetView>
  </sheetViews>
  <sheetFormatPr defaultRowHeight="14.25" x14ac:dyDescent="0.45"/>
  <cols>
    <col min="1" max="1" width="14.1328125" customWidth="1"/>
    <col min="2" max="2" width="12.86328125" customWidth="1"/>
    <col min="3" max="3" width="13.59765625" customWidth="1"/>
    <col min="4" max="4" width="10.59765625" customWidth="1"/>
    <col min="6" max="6" width="13.1328125" customWidth="1"/>
  </cols>
  <sheetData>
    <row r="2" spans="1:8" x14ac:dyDescent="0.45">
      <c r="A2" t="s">
        <v>316</v>
      </c>
    </row>
    <row r="3" spans="1:8" ht="15" customHeight="1" x14ac:dyDescent="0.45">
      <c r="B3" t="s">
        <v>318</v>
      </c>
      <c r="F3" s="124"/>
    </row>
    <row r="4" spans="1:8" ht="29.25" customHeight="1" x14ac:dyDescent="0.45">
      <c r="A4" s="21" t="s">
        <v>317</v>
      </c>
      <c r="B4" s="125" t="s">
        <v>308</v>
      </c>
      <c r="C4" s="55" t="s">
        <v>309</v>
      </c>
      <c r="D4" s="55" t="s">
        <v>310</v>
      </c>
      <c r="E4" s="55" t="s">
        <v>311</v>
      </c>
    </row>
    <row r="5" spans="1:8" x14ac:dyDescent="0.45">
      <c r="A5" s="55" t="s">
        <v>312</v>
      </c>
      <c r="B5" s="126">
        <v>1500</v>
      </c>
      <c r="C5" s="126">
        <v>1730</v>
      </c>
      <c r="D5" s="126">
        <v>1940</v>
      </c>
      <c r="E5" s="126">
        <v>2070</v>
      </c>
      <c r="F5" s="124"/>
    </row>
    <row r="6" spans="1:8" x14ac:dyDescent="0.45">
      <c r="A6" s="55" t="s">
        <v>313</v>
      </c>
      <c r="B6" s="126">
        <v>460</v>
      </c>
      <c r="C6" s="126">
        <v>810</v>
      </c>
      <c r="D6" s="126">
        <v>1020</v>
      </c>
      <c r="E6" s="126">
        <v>1270</v>
      </c>
      <c r="F6" s="124"/>
    </row>
    <row r="7" spans="1:8" x14ac:dyDescent="0.45">
      <c r="A7" s="55" t="s">
        <v>314</v>
      </c>
      <c r="B7" s="126">
        <v>1500</v>
      </c>
      <c r="C7" s="126">
        <v>1850</v>
      </c>
      <c r="D7" s="126">
        <v>2080</v>
      </c>
      <c r="E7" s="126" t="s">
        <v>323</v>
      </c>
      <c r="F7" s="124"/>
    </row>
    <row r="8" spans="1:8" x14ac:dyDescent="0.45">
      <c r="A8" s="55" t="s">
        <v>315</v>
      </c>
      <c r="B8" s="126">
        <v>960</v>
      </c>
      <c r="C8" s="126">
        <v>610</v>
      </c>
      <c r="D8" s="126">
        <v>400</v>
      </c>
      <c r="E8" s="126">
        <v>330</v>
      </c>
    </row>
    <row r="12" spans="1:8" x14ac:dyDescent="0.45">
      <c r="A12" s="4" t="s">
        <v>319</v>
      </c>
    </row>
    <row r="13" spans="1:8" x14ac:dyDescent="0.45">
      <c r="A13" s="21" t="s">
        <v>317</v>
      </c>
      <c r="B13" s="125" t="s">
        <v>308</v>
      </c>
      <c r="C13" s="55" t="s">
        <v>309</v>
      </c>
      <c r="D13" s="55" t="s">
        <v>310</v>
      </c>
      <c r="E13" s="55" t="s">
        <v>311</v>
      </c>
      <c r="G13" s="128" t="s">
        <v>125</v>
      </c>
      <c r="H13" s="128" t="s">
        <v>322</v>
      </c>
    </row>
    <row r="14" spans="1:8" x14ac:dyDescent="0.45">
      <c r="A14" s="55" t="s">
        <v>312</v>
      </c>
      <c r="B14" s="127">
        <v>0</v>
      </c>
      <c r="C14" s="127">
        <v>0</v>
      </c>
      <c r="D14" s="127">
        <v>1</v>
      </c>
      <c r="E14" s="127">
        <v>0</v>
      </c>
      <c r="F14">
        <f>SUM(B14:E14)</f>
        <v>1</v>
      </c>
      <c r="G14" t="s">
        <v>233</v>
      </c>
      <c r="H14">
        <v>1</v>
      </c>
    </row>
    <row r="15" spans="1:8" x14ac:dyDescent="0.45">
      <c r="A15" s="55" t="s">
        <v>313</v>
      </c>
      <c r="B15" s="127">
        <v>1</v>
      </c>
      <c r="C15" s="127">
        <v>0</v>
      </c>
      <c r="D15" s="127">
        <v>0</v>
      </c>
      <c r="E15" s="127">
        <v>0</v>
      </c>
      <c r="F15">
        <f t="shared" ref="F15:F17" si="0">SUM(B15:E15)</f>
        <v>1</v>
      </c>
      <c r="G15" t="s">
        <v>233</v>
      </c>
      <c r="H15">
        <v>1</v>
      </c>
    </row>
    <row r="16" spans="1:8" x14ac:dyDescent="0.45">
      <c r="A16" s="55" t="s">
        <v>314</v>
      </c>
      <c r="B16" s="127">
        <v>0</v>
      </c>
      <c r="C16" s="127">
        <v>1</v>
      </c>
      <c r="D16" s="127">
        <v>0</v>
      </c>
      <c r="E16" s="127">
        <v>0</v>
      </c>
      <c r="F16">
        <f t="shared" si="0"/>
        <v>1</v>
      </c>
      <c r="G16" t="s">
        <v>233</v>
      </c>
      <c r="H16">
        <v>1</v>
      </c>
    </row>
    <row r="17" spans="1:8" x14ac:dyDescent="0.45">
      <c r="A17" s="55" t="s">
        <v>315</v>
      </c>
      <c r="B17" s="127">
        <v>0</v>
      </c>
      <c r="C17" s="127">
        <v>0</v>
      </c>
      <c r="D17" s="127">
        <v>0</v>
      </c>
      <c r="E17" s="127">
        <v>1</v>
      </c>
      <c r="F17">
        <f t="shared" si="0"/>
        <v>1</v>
      </c>
      <c r="G17" t="s">
        <v>233</v>
      </c>
      <c r="H17">
        <v>1</v>
      </c>
    </row>
    <row r="18" spans="1:8" x14ac:dyDescent="0.45">
      <c r="B18">
        <f>SUM(B14:B17)</f>
        <v>1</v>
      </c>
      <c r="C18">
        <f t="shared" ref="C18:E18" si="1">SUM(C14:C17)</f>
        <v>1</v>
      </c>
      <c r="D18">
        <f t="shared" si="1"/>
        <v>1</v>
      </c>
      <c r="E18">
        <f t="shared" si="1"/>
        <v>1</v>
      </c>
    </row>
    <row r="19" spans="1:8" x14ac:dyDescent="0.45">
      <c r="B19" t="s">
        <v>127</v>
      </c>
      <c r="C19" t="s">
        <v>127</v>
      </c>
      <c r="D19" t="s">
        <v>127</v>
      </c>
      <c r="E19" t="s">
        <v>127</v>
      </c>
    </row>
    <row r="20" spans="1:8" x14ac:dyDescent="0.45">
      <c r="B20">
        <v>1</v>
      </c>
      <c r="C20">
        <v>1</v>
      </c>
      <c r="D20">
        <v>1</v>
      </c>
      <c r="E20">
        <v>1</v>
      </c>
    </row>
    <row r="22" spans="1:8" x14ac:dyDescent="0.45">
      <c r="A22" s="4" t="s">
        <v>320</v>
      </c>
    </row>
    <row r="23" spans="1:8" x14ac:dyDescent="0.45">
      <c r="A23" s="4" t="s">
        <v>321</v>
      </c>
      <c r="B23" s="129">
        <f>SUMPRODUCT(B5:E8,B14:E17)</f>
        <v>4580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7657-7FF7-4CAB-A1FB-D83637580957}">
  <dimension ref="A4:H22"/>
  <sheetViews>
    <sheetView workbookViewId="0">
      <selection activeCell="Q11" sqref="Q11:S11"/>
    </sheetView>
  </sheetViews>
  <sheetFormatPr defaultRowHeight="14.25" x14ac:dyDescent="0.45"/>
  <cols>
    <col min="1" max="1" width="14.1328125" customWidth="1"/>
    <col min="2" max="3" width="13.86328125" customWidth="1"/>
    <col min="4" max="4" width="11.265625" customWidth="1"/>
    <col min="5" max="5" width="13.3984375" customWidth="1"/>
    <col min="8" max="8" width="13" customWidth="1"/>
  </cols>
  <sheetData>
    <row r="4" spans="1:8" x14ac:dyDescent="0.45">
      <c r="A4" s="21"/>
      <c r="B4" s="55" t="s">
        <v>324</v>
      </c>
      <c r="C4" s="55" t="s">
        <v>325</v>
      </c>
      <c r="D4" s="55" t="s">
        <v>326</v>
      </c>
      <c r="E4" s="55" t="s">
        <v>327</v>
      </c>
    </row>
    <row r="5" spans="1:8" x14ac:dyDescent="0.45">
      <c r="A5" s="55" t="s">
        <v>328</v>
      </c>
      <c r="B5" s="75">
        <v>80</v>
      </c>
      <c r="C5" s="75">
        <v>85</v>
      </c>
      <c r="D5" s="75">
        <v>95</v>
      </c>
      <c r="E5" s="75">
        <v>40</v>
      </c>
    </row>
    <row r="6" spans="1:8" x14ac:dyDescent="0.45">
      <c r="A6" s="55" t="s">
        <v>329</v>
      </c>
      <c r="B6" s="75">
        <v>85</v>
      </c>
      <c r="C6" s="75">
        <v>30</v>
      </c>
      <c r="D6" s="75">
        <v>75</v>
      </c>
      <c r="E6" s="75">
        <v>65</v>
      </c>
    </row>
    <row r="7" spans="1:8" x14ac:dyDescent="0.45">
      <c r="A7" s="55" t="s">
        <v>330</v>
      </c>
      <c r="B7" s="75">
        <v>90</v>
      </c>
      <c r="C7" s="75">
        <v>55</v>
      </c>
      <c r="D7" s="75">
        <v>80</v>
      </c>
      <c r="E7" s="75">
        <v>70</v>
      </c>
    </row>
    <row r="8" spans="1:8" x14ac:dyDescent="0.45">
      <c r="A8" s="55" t="s">
        <v>331</v>
      </c>
      <c r="B8" s="75">
        <v>55</v>
      </c>
      <c r="C8" s="75">
        <v>80</v>
      </c>
      <c r="D8" s="75">
        <v>65</v>
      </c>
      <c r="E8" s="75">
        <v>50</v>
      </c>
    </row>
    <row r="12" spans="1:8" x14ac:dyDescent="0.45">
      <c r="A12" s="21"/>
      <c r="B12" s="55" t="s">
        <v>324</v>
      </c>
      <c r="C12" s="55" t="s">
        <v>325</v>
      </c>
      <c r="D12" s="55" t="s">
        <v>326</v>
      </c>
      <c r="E12" s="55" t="s">
        <v>327</v>
      </c>
      <c r="F12" s="90"/>
      <c r="G12" s="130" t="s">
        <v>125</v>
      </c>
      <c r="H12" s="130" t="s">
        <v>120</v>
      </c>
    </row>
    <row r="13" spans="1:8" x14ac:dyDescent="0.45">
      <c r="A13" s="55" t="s">
        <v>328</v>
      </c>
      <c r="B13" s="127">
        <v>0</v>
      </c>
      <c r="C13" s="127">
        <v>0</v>
      </c>
      <c r="D13" s="127">
        <v>1</v>
      </c>
      <c r="E13" s="127">
        <v>0</v>
      </c>
      <c r="F13" s="90">
        <f>SUM(B13:E13)</f>
        <v>1</v>
      </c>
      <c r="G13" s="90" t="s">
        <v>233</v>
      </c>
      <c r="H13" s="90">
        <v>1</v>
      </c>
    </row>
    <row r="14" spans="1:8" x14ac:dyDescent="0.45">
      <c r="A14" s="55" t="s">
        <v>329</v>
      </c>
      <c r="B14" s="127">
        <v>1</v>
      </c>
      <c r="C14" s="127">
        <v>0</v>
      </c>
      <c r="D14" s="127">
        <v>0</v>
      </c>
      <c r="E14" s="127">
        <v>0</v>
      </c>
      <c r="F14" s="90">
        <f t="shared" ref="F14:F16" si="0">SUM(B14:E14)</f>
        <v>1</v>
      </c>
      <c r="G14" s="90" t="s">
        <v>233</v>
      </c>
      <c r="H14" s="90">
        <v>1</v>
      </c>
    </row>
    <row r="15" spans="1:8" x14ac:dyDescent="0.45">
      <c r="A15" s="55" t="s">
        <v>330</v>
      </c>
      <c r="B15" s="127">
        <v>0</v>
      </c>
      <c r="C15" s="127">
        <v>0</v>
      </c>
      <c r="D15" s="127">
        <v>0</v>
      </c>
      <c r="E15" s="127">
        <v>1</v>
      </c>
      <c r="F15" s="90">
        <f t="shared" si="0"/>
        <v>1</v>
      </c>
      <c r="G15" s="90" t="s">
        <v>233</v>
      </c>
      <c r="H15" s="90">
        <v>1</v>
      </c>
    </row>
    <row r="16" spans="1:8" x14ac:dyDescent="0.45">
      <c r="A16" s="55" t="s">
        <v>331</v>
      </c>
      <c r="B16" s="127">
        <v>0</v>
      </c>
      <c r="C16" s="127">
        <v>1</v>
      </c>
      <c r="D16" s="127">
        <v>0</v>
      </c>
      <c r="E16" s="127">
        <v>0</v>
      </c>
      <c r="F16" s="90">
        <f t="shared" si="0"/>
        <v>1</v>
      </c>
      <c r="G16" s="90" t="s">
        <v>233</v>
      </c>
      <c r="H16" s="90">
        <v>1</v>
      </c>
    </row>
    <row r="17" spans="1:5" x14ac:dyDescent="0.45">
      <c r="B17" s="90">
        <f>SUM(B13:B16)</f>
        <v>1</v>
      </c>
      <c r="C17" s="90">
        <f t="shared" ref="C17:E17" si="1">SUM(C13:C16)</f>
        <v>1</v>
      </c>
      <c r="D17" s="90">
        <f t="shared" si="1"/>
        <v>1</v>
      </c>
      <c r="E17" s="90">
        <f t="shared" si="1"/>
        <v>1</v>
      </c>
    </row>
    <row r="18" spans="1:5" x14ac:dyDescent="0.45">
      <c r="B18" s="90" t="s">
        <v>233</v>
      </c>
      <c r="C18" s="90" t="s">
        <v>233</v>
      </c>
      <c r="D18" s="90" t="s">
        <v>233</v>
      </c>
      <c r="E18" s="90" t="s">
        <v>233</v>
      </c>
    </row>
    <row r="19" spans="1:5" x14ac:dyDescent="0.45">
      <c r="B19" s="90">
        <v>1</v>
      </c>
      <c r="C19" s="90">
        <v>1</v>
      </c>
      <c r="D19" s="90">
        <v>1</v>
      </c>
      <c r="E19" s="90">
        <v>1</v>
      </c>
    </row>
    <row r="21" spans="1:5" x14ac:dyDescent="0.45">
      <c r="A21" t="s">
        <v>240</v>
      </c>
    </row>
    <row r="22" spans="1:5" ht="33.75" customHeight="1" x14ac:dyDescent="0.45">
      <c r="A22" s="1" t="s">
        <v>332</v>
      </c>
      <c r="B22" s="87">
        <f>SUMPRODUCT(B5:E8,B13:E16)</f>
        <v>330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8827-8091-4C6B-B485-074B71483116}">
  <dimension ref="A3:G22"/>
  <sheetViews>
    <sheetView workbookViewId="0">
      <selection activeCell="Q11" sqref="Q11:S11"/>
    </sheetView>
  </sheetViews>
  <sheetFormatPr defaultRowHeight="14.25" x14ac:dyDescent="0.45"/>
  <cols>
    <col min="1" max="1" width="26.73046875" customWidth="1"/>
    <col min="2" max="2" width="12.3984375" customWidth="1"/>
  </cols>
  <sheetData>
    <row r="3" spans="1:7" x14ac:dyDescent="0.45">
      <c r="A3" s="60" t="s">
        <v>338</v>
      </c>
      <c r="B3" s="75" t="s">
        <v>335</v>
      </c>
      <c r="C3" s="75" t="s">
        <v>336</v>
      </c>
      <c r="D3" s="75" t="s">
        <v>337</v>
      </c>
      <c r="E3" s="131" t="s">
        <v>339</v>
      </c>
      <c r="F3" s="4" t="s">
        <v>340</v>
      </c>
    </row>
    <row r="4" spans="1:7" x14ac:dyDescent="0.45">
      <c r="A4" s="75" t="s">
        <v>333</v>
      </c>
      <c r="B4" s="75">
        <v>22</v>
      </c>
      <c r="C4" s="75">
        <v>14</v>
      </c>
      <c r="D4" s="75">
        <v>30</v>
      </c>
      <c r="E4" s="91">
        <v>100</v>
      </c>
      <c r="F4" s="91">
        <v>6</v>
      </c>
    </row>
    <row r="5" spans="1:7" x14ac:dyDescent="0.45">
      <c r="A5" s="75" t="s">
        <v>334</v>
      </c>
      <c r="B5" s="75">
        <v>16</v>
      </c>
      <c r="C5" s="75">
        <v>20</v>
      </c>
      <c r="D5" s="75">
        <v>24</v>
      </c>
      <c r="E5" s="91">
        <v>120</v>
      </c>
      <c r="F5" s="91">
        <v>6.25</v>
      </c>
    </row>
    <row r="6" spans="1:7" x14ac:dyDescent="0.45">
      <c r="A6" t="s">
        <v>341</v>
      </c>
      <c r="B6">
        <v>80</v>
      </c>
      <c r="C6">
        <v>60</v>
      </c>
      <c r="D6">
        <v>70</v>
      </c>
    </row>
    <row r="9" spans="1:7" ht="28.5" x14ac:dyDescent="0.45">
      <c r="A9" s="133" t="s">
        <v>345</v>
      </c>
      <c r="B9" s="75" t="s">
        <v>335</v>
      </c>
      <c r="C9" s="75" t="s">
        <v>336</v>
      </c>
      <c r="D9" s="75" t="s">
        <v>337</v>
      </c>
      <c r="E9" s="131" t="s">
        <v>339</v>
      </c>
      <c r="F9" s="4" t="s">
        <v>340</v>
      </c>
    </row>
    <row r="10" spans="1:7" x14ac:dyDescent="0.45">
      <c r="A10" s="75" t="s">
        <v>333</v>
      </c>
      <c r="B10" s="126">
        <f>B4+$F$4</f>
        <v>28</v>
      </c>
      <c r="C10" s="126">
        <f t="shared" ref="C10:D10" si="0">C4+$F$4</f>
        <v>20</v>
      </c>
      <c r="D10" s="126">
        <f t="shared" si="0"/>
        <v>36</v>
      </c>
      <c r="E10" s="91">
        <v>100</v>
      </c>
      <c r="F10" s="91">
        <v>6</v>
      </c>
    </row>
    <row r="11" spans="1:7" x14ac:dyDescent="0.45">
      <c r="A11" s="75" t="s">
        <v>334</v>
      </c>
      <c r="B11" s="126">
        <f>B5+$F$5</f>
        <v>22.25</v>
      </c>
      <c r="C11" s="126">
        <f t="shared" ref="C11:D11" si="1">C5+$F$5</f>
        <v>26.25</v>
      </c>
      <c r="D11" s="126">
        <f t="shared" si="1"/>
        <v>30.25</v>
      </c>
      <c r="E11" s="91">
        <v>120</v>
      </c>
      <c r="F11" s="91">
        <v>6.25</v>
      </c>
    </row>
    <row r="12" spans="1:7" x14ac:dyDescent="0.45">
      <c r="A12" s="4" t="s">
        <v>341</v>
      </c>
      <c r="B12">
        <v>80</v>
      </c>
      <c r="C12">
        <v>60</v>
      </c>
      <c r="D12">
        <v>70</v>
      </c>
    </row>
    <row r="14" spans="1:7" x14ac:dyDescent="0.45">
      <c r="A14" t="s">
        <v>342</v>
      </c>
      <c r="B14" s="75" t="s">
        <v>335</v>
      </c>
      <c r="C14" s="75" t="s">
        <v>336</v>
      </c>
      <c r="D14" s="75" t="s">
        <v>337</v>
      </c>
      <c r="F14" s="90" t="s">
        <v>125</v>
      </c>
    </row>
    <row r="15" spans="1:7" x14ac:dyDescent="0.45">
      <c r="A15" s="75" t="s">
        <v>333</v>
      </c>
      <c r="B15" s="132">
        <v>30</v>
      </c>
      <c r="C15" s="132">
        <v>60</v>
      </c>
      <c r="D15" s="132">
        <v>0</v>
      </c>
      <c r="E15" s="90">
        <f>SUM(B15:D15)</f>
        <v>90</v>
      </c>
      <c r="F15" s="90" t="s">
        <v>127</v>
      </c>
      <c r="G15" s="91"/>
    </row>
    <row r="16" spans="1:7" x14ac:dyDescent="0.45">
      <c r="A16" s="75" t="s">
        <v>334</v>
      </c>
      <c r="B16" s="132">
        <v>50</v>
      </c>
      <c r="C16" s="132">
        <v>0</v>
      </c>
      <c r="D16" s="132">
        <v>70</v>
      </c>
      <c r="E16" s="90">
        <f>SUM(B16:D16)</f>
        <v>120</v>
      </c>
      <c r="F16" s="90" t="s">
        <v>127</v>
      </c>
      <c r="G16" s="91"/>
    </row>
    <row r="17" spans="1:4" x14ac:dyDescent="0.45">
      <c r="B17" s="90">
        <f>SUM(B15:B16)</f>
        <v>80</v>
      </c>
      <c r="C17" s="90">
        <f t="shared" ref="C17:D17" si="2">SUM(C15:C16)</f>
        <v>60</v>
      </c>
      <c r="D17" s="90">
        <f t="shared" si="2"/>
        <v>70</v>
      </c>
    </row>
    <row r="18" spans="1:4" x14ac:dyDescent="0.45">
      <c r="B18" s="90" t="s">
        <v>133</v>
      </c>
      <c r="C18" s="90" t="s">
        <v>133</v>
      </c>
      <c r="D18" s="90" t="s">
        <v>133</v>
      </c>
    </row>
    <row r="19" spans="1:4" x14ac:dyDescent="0.45">
      <c r="B19" s="90">
        <v>80</v>
      </c>
      <c r="C19" s="90">
        <v>60</v>
      </c>
      <c r="D19" s="90">
        <v>70</v>
      </c>
    </row>
    <row r="21" spans="1:4" x14ac:dyDescent="0.45">
      <c r="A21" t="s">
        <v>343</v>
      </c>
    </row>
    <row r="22" spans="1:4" ht="28.5" x14ac:dyDescent="0.45">
      <c r="A22" s="1" t="s">
        <v>344</v>
      </c>
      <c r="B22" s="87">
        <f>SUMPRODUCT(B10:D11,B15:D16)</f>
        <v>5270</v>
      </c>
      <c r="D22">
        <v>5270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0415-158B-45B3-9141-EAB0E37C9F87}">
  <dimension ref="B3:H35"/>
  <sheetViews>
    <sheetView workbookViewId="0">
      <selection activeCell="Q11" sqref="Q11:S11"/>
    </sheetView>
  </sheetViews>
  <sheetFormatPr defaultRowHeight="14.25" x14ac:dyDescent="0.45"/>
  <cols>
    <col min="2" max="2" width="15" customWidth="1"/>
    <col min="3" max="3" width="11.3984375" customWidth="1"/>
  </cols>
  <sheetData>
    <row r="3" spans="2:3" ht="42.75" x14ac:dyDescent="0.45">
      <c r="B3" s="21" t="s">
        <v>346</v>
      </c>
      <c r="C3" s="134" t="s">
        <v>347</v>
      </c>
    </row>
    <row r="4" spans="2:3" x14ac:dyDescent="0.45">
      <c r="B4" s="21">
        <v>1</v>
      </c>
      <c r="C4" s="21">
        <v>60</v>
      </c>
    </row>
    <row r="5" spans="2:3" x14ac:dyDescent="0.45">
      <c r="B5" s="21">
        <v>2</v>
      </c>
      <c r="C5" s="21">
        <v>105</v>
      </c>
    </row>
    <row r="6" spans="2:3" x14ac:dyDescent="0.45">
      <c r="B6" s="21">
        <v>3</v>
      </c>
      <c r="C6" s="21">
        <v>70</v>
      </c>
    </row>
    <row r="7" spans="2:3" x14ac:dyDescent="0.45">
      <c r="B7" s="21" t="s">
        <v>303</v>
      </c>
      <c r="C7" s="21">
        <v>235</v>
      </c>
    </row>
    <row r="10" spans="2:3" ht="28.5" x14ac:dyDescent="0.45">
      <c r="B10" s="134" t="s">
        <v>348</v>
      </c>
      <c r="C10" s="134" t="s">
        <v>349</v>
      </c>
    </row>
    <row r="11" spans="2:3" x14ac:dyDescent="0.45">
      <c r="B11" s="134" t="s">
        <v>189</v>
      </c>
      <c r="C11" s="134">
        <v>45</v>
      </c>
    </row>
    <row r="12" spans="2:3" x14ac:dyDescent="0.45">
      <c r="B12" s="134" t="s">
        <v>190</v>
      </c>
      <c r="C12" s="134">
        <v>90</v>
      </c>
    </row>
    <row r="13" spans="2:3" x14ac:dyDescent="0.45">
      <c r="B13" s="134" t="s">
        <v>191</v>
      </c>
      <c r="C13" s="134">
        <v>35</v>
      </c>
    </row>
    <row r="14" spans="2:3" x14ac:dyDescent="0.45">
      <c r="B14" s="134" t="s">
        <v>303</v>
      </c>
      <c r="C14" s="134">
        <v>170</v>
      </c>
    </row>
    <row r="18" spans="2:8" x14ac:dyDescent="0.45">
      <c r="C18" t="s">
        <v>318</v>
      </c>
    </row>
    <row r="19" spans="2:8" x14ac:dyDescent="0.45">
      <c r="B19" s="75" t="s">
        <v>317</v>
      </c>
      <c r="C19" s="75" t="s">
        <v>189</v>
      </c>
      <c r="D19" s="75" t="s">
        <v>190</v>
      </c>
      <c r="E19" s="75" t="s">
        <v>191</v>
      </c>
    </row>
    <row r="20" spans="2:8" x14ac:dyDescent="0.45">
      <c r="B20" s="75">
        <v>1</v>
      </c>
      <c r="C20" s="75">
        <v>5</v>
      </c>
      <c r="D20" s="75">
        <v>8</v>
      </c>
      <c r="E20" s="75">
        <v>6</v>
      </c>
    </row>
    <row r="21" spans="2:8" x14ac:dyDescent="0.45">
      <c r="B21" s="75">
        <v>2</v>
      </c>
      <c r="C21" s="75">
        <v>10</v>
      </c>
      <c r="D21" s="75">
        <v>9</v>
      </c>
      <c r="E21" s="75">
        <v>12</v>
      </c>
    </row>
    <row r="22" spans="2:8" x14ac:dyDescent="0.45">
      <c r="B22" s="75">
        <v>3</v>
      </c>
      <c r="C22" s="75">
        <v>7</v>
      </c>
      <c r="D22" s="75">
        <v>6</v>
      </c>
      <c r="E22" s="75">
        <v>10</v>
      </c>
    </row>
    <row r="25" spans="2:8" ht="42.75" x14ac:dyDescent="0.45">
      <c r="B25" s="62" t="s">
        <v>350</v>
      </c>
      <c r="C25" t="s">
        <v>318</v>
      </c>
    </row>
    <row r="26" spans="2:8" x14ac:dyDescent="0.45">
      <c r="B26" s="75" t="s">
        <v>317</v>
      </c>
      <c r="C26" s="75" t="s">
        <v>189</v>
      </c>
      <c r="D26" s="75" t="s">
        <v>190</v>
      </c>
      <c r="E26" s="75" t="s">
        <v>191</v>
      </c>
      <c r="H26" s="90" t="s">
        <v>352</v>
      </c>
    </row>
    <row r="27" spans="2:8" x14ac:dyDescent="0.45">
      <c r="B27" s="75">
        <v>1</v>
      </c>
      <c r="C27" s="132">
        <v>0</v>
      </c>
      <c r="D27" s="132">
        <v>60</v>
      </c>
      <c r="E27" s="132">
        <v>0</v>
      </c>
      <c r="F27" s="90">
        <f>SUM(C27:E27)</f>
        <v>60</v>
      </c>
      <c r="G27" s="90" t="s">
        <v>127</v>
      </c>
      <c r="H27" s="75">
        <v>60</v>
      </c>
    </row>
    <row r="28" spans="2:8" x14ac:dyDescent="0.45">
      <c r="B28" s="75">
        <v>2</v>
      </c>
      <c r="C28" s="132">
        <v>45</v>
      </c>
      <c r="D28" s="132">
        <v>30</v>
      </c>
      <c r="E28" s="132">
        <v>30</v>
      </c>
      <c r="F28" s="90">
        <f t="shared" ref="F28:F29" si="0">SUM(C28:E28)</f>
        <v>105</v>
      </c>
      <c r="G28" s="90" t="s">
        <v>127</v>
      </c>
      <c r="H28" s="75">
        <v>105</v>
      </c>
    </row>
    <row r="29" spans="2:8" x14ac:dyDescent="0.45">
      <c r="B29" s="75">
        <v>3</v>
      </c>
      <c r="C29" s="132">
        <v>0</v>
      </c>
      <c r="D29" s="132">
        <v>0</v>
      </c>
      <c r="E29" s="132">
        <v>5</v>
      </c>
      <c r="F29" s="90">
        <f t="shared" si="0"/>
        <v>5</v>
      </c>
      <c r="G29" s="90" t="s">
        <v>127</v>
      </c>
      <c r="H29" s="75">
        <v>70</v>
      </c>
    </row>
    <row r="30" spans="2:8" x14ac:dyDescent="0.45">
      <c r="C30" s="90">
        <f>SUM(C27:C29)</f>
        <v>45</v>
      </c>
      <c r="D30" s="90">
        <f t="shared" ref="D30:E30" si="1">SUM(D27:D29)</f>
        <v>90</v>
      </c>
      <c r="E30" s="90">
        <f t="shared" si="1"/>
        <v>35</v>
      </c>
    </row>
    <row r="31" spans="2:8" x14ac:dyDescent="0.45">
      <c r="C31" s="90" t="s">
        <v>233</v>
      </c>
      <c r="D31" s="90" t="s">
        <v>233</v>
      </c>
      <c r="E31" s="90" t="s">
        <v>233</v>
      </c>
    </row>
    <row r="32" spans="2:8" ht="28.5" x14ac:dyDescent="0.45">
      <c r="B32" s="1" t="s">
        <v>353</v>
      </c>
      <c r="C32" s="135">
        <v>45</v>
      </c>
      <c r="D32" s="135">
        <v>90</v>
      </c>
      <c r="E32" s="135">
        <v>35</v>
      </c>
    </row>
    <row r="34" spans="2:3" x14ac:dyDescent="0.45">
      <c r="B34" t="s">
        <v>240</v>
      </c>
    </row>
    <row r="35" spans="2:3" x14ac:dyDescent="0.45">
      <c r="B35" t="s">
        <v>351</v>
      </c>
      <c r="C35" s="87">
        <f>SUMPRODUCT(C20:E22,C27:E29)</f>
        <v>1610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84D65-F8B7-419D-A4ED-C123AFB5C5AA}">
  <dimension ref="A1:H19"/>
  <sheetViews>
    <sheetView workbookViewId="0">
      <selection activeCell="Q11" sqref="Q11:S11"/>
    </sheetView>
  </sheetViews>
  <sheetFormatPr defaultRowHeight="14.25" x14ac:dyDescent="0.45"/>
  <cols>
    <col min="1" max="1" width="18.3984375" customWidth="1"/>
    <col min="2" max="2" width="9.73046875" customWidth="1"/>
  </cols>
  <sheetData>
    <row r="1" spans="1:8" x14ac:dyDescent="0.45">
      <c r="A1" s="4" t="s">
        <v>354</v>
      </c>
    </row>
    <row r="3" spans="1:8" x14ac:dyDescent="0.45">
      <c r="A3" t="s">
        <v>114</v>
      </c>
      <c r="B3" t="s">
        <v>355</v>
      </c>
      <c r="C3" t="s">
        <v>356</v>
      </c>
    </row>
    <row r="4" spans="1:8" x14ac:dyDescent="0.45">
      <c r="B4" s="89">
        <v>4</v>
      </c>
      <c r="C4" s="89">
        <v>1</v>
      </c>
      <c r="D4" t="s">
        <v>357</v>
      </c>
    </row>
    <row r="5" spans="1:8" x14ac:dyDescent="0.45">
      <c r="B5">
        <v>8200</v>
      </c>
      <c r="C5">
        <v>5100</v>
      </c>
      <c r="D5" t="s">
        <v>358</v>
      </c>
    </row>
    <row r="7" spans="1:8" x14ac:dyDescent="0.45">
      <c r="A7" t="s">
        <v>177</v>
      </c>
    </row>
    <row r="8" spans="1:8" x14ac:dyDescent="0.45">
      <c r="A8" t="s">
        <v>359</v>
      </c>
      <c r="B8" s="136">
        <f>SUMPRODUCT(B4:C4,B5:C5)</f>
        <v>37900</v>
      </c>
      <c r="C8" t="str">
        <f ca="1">_xlfn.FORMULATEXT(B8)</f>
        <v>=SUMPRODUCT(B4:C4,B5:C5)</v>
      </c>
    </row>
    <row r="12" spans="1:8" x14ac:dyDescent="0.45">
      <c r="A12" s="21" t="s">
        <v>144</v>
      </c>
      <c r="B12" s="21"/>
      <c r="C12" s="21"/>
      <c r="D12" s="21" t="s">
        <v>124</v>
      </c>
      <c r="E12" s="21" t="s">
        <v>125</v>
      </c>
      <c r="F12" s="21" t="s">
        <v>126</v>
      </c>
    </row>
    <row r="13" spans="1:8" x14ac:dyDescent="0.45">
      <c r="A13" s="21" t="s">
        <v>174</v>
      </c>
      <c r="B13" s="21">
        <v>390</v>
      </c>
      <c r="C13" s="21">
        <v>240</v>
      </c>
      <c r="D13" s="75">
        <f>SUMPRODUCT(B4:C4,B13:C13)</f>
        <v>1800</v>
      </c>
      <c r="E13" s="75" t="s">
        <v>127</v>
      </c>
      <c r="F13" s="75">
        <v>1800</v>
      </c>
      <c r="H13" t="str">
        <f ca="1">_xlfn.FORMULATEXT(D13)</f>
        <v>=SUMPRODUCT(B4:C4,B13:C13)</v>
      </c>
    </row>
    <row r="14" spans="1:8" x14ac:dyDescent="0.45">
      <c r="A14" s="21" t="s">
        <v>360</v>
      </c>
      <c r="B14" s="21"/>
      <c r="C14" s="21">
        <v>1</v>
      </c>
      <c r="D14" s="75">
        <f>SUMPRODUCT(B4:C4,B14:C14)</f>
        <v>1</v>
      </c>
      <c r="E14" s="75" t="s">
        <v>127</v>
      </c>
      <c r="F14" s="75">
        <v>6</v>
      </c>
    </row>
    <row r="15" spans="1:8" x14ac:dyDescent="0.45">
      <c r="A15" s="21" t="s">
        <v>361</v>
      </c>
      <c r="B15" s="21">
        <v>1</v>
      </c>
      <c r="C15" s="21"/>
      <c r="D15" s="75">
        <f>SUMPRODUCT(B4:C4,B15:C15)</f>
        <v>4</v>
      </c>
      <c r="E15" s="75" t="s">
        <v>133</v>
      </c>
      <c r="F15" s="75">
        <v>2</v>
      </c>
    </row>
    <row r="16" spans="1:8" x14ac:dyDescent="0.45">
      <c r="A16" s="21"/>
      <c r="B16" s="21"/>
      <c r="C16" s="21"/>
      <c r="D16" s="75"/>
      <c r="E16" s="75"/>
      <c r="F16" s="75"/>
    </row>
    <row r="19" spans="1:2" x14ac:dyDescent="0.45">
      <c r="A19" t="s">
        <v>362</v>
      </c>
      <c r="B19" t="s">
        <v>363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3169-9CB6-4EBA-9D15-1F6B8CD3F416}">
  <dimension ref="A1:G18"/>
  <sheetViews>
    <sheetView topLeftCell="A2" workbookViewId="0">
      <selection activeCell="Q11" sqref="Q11:S11"/>
    </sheetView>
  </sheetViews>
  <sheetFormatPr defaultRowHeight="14.25" x14ac:dyDescent="0.45"/>
  <cols>
    <col min="1" max="1" width="13.3984375" customWidth="1"/>
    <col min="2" max="2" width="14.3984375" customWidth="1"/>
    <col min="3" max="3" width="17.265625" customWidth="1"/>
  </cols>
  <sheetData>
    <row r="1" spans="1:7" x14ac:dyDescent="0.45">
      <c r="A1" t="s">
        <v>364</v>
      </c>
    </row>
    <row r="3" spans="1:7" x14ac:dyDescent="0.45">
      <c r="A3" t="s">
        <v>114</v>
      </c>
      <c r="B3" t="s">
        <v>365</v>
      </c>
      <c r="C3" t="s">
        <v>366</v>
      </c>
    </row>
    <row r="4" spans="1:7" x14ac:dyDescent="0.45">
      <c r="B4" s="138">
        <v>44</v>
      </c>
      <c r="C4" s="138">
        <v>20</v>
      </c>
    </row>
    <row r="5" spans="1:7" x14ac:dyDescent="0.45">
      <c r="B5" s="137">
        <v>85</v>
      </c>
      <c r="C5" s="137">
        <v>1.5</v>
      </c>
    </row>
    <row r="8" spans="1:7" x14ac:dyDescent="0.45">
      <c r="A8" t="s">
        <v>367</v>
      </c>
    </row>
    <row r="9" spans="1:7" x14ac:dyDescent="0.45">
      <c r="A9" t="s">
        <v>46</v>
      </c>
      <c r="B9" s="87">
        <f>SUMPRODUCT(B4:C4,B5:C5)</f>
        <v>3770</v>
      </c>
      <c r="C9" t="str">
        <f ca="1">_xlfn.FORMULATEXT(B9)</f>
        <v>=SUMPRODUCT(B4:C4,B5:C5)</v>
      </c>
    </row>
    <row r="11" spans="1:7" x14ac:dyDescent="0.45">
      <c r="A11" s="21" t="s">
        <v>144</v>
      </c>
      <c r="B11" s="21"/>
      <c r="C11" s="21"/>
      <c r="D11" s="75" t="s">
        <v>124</v>
      </c>
      <c r="E11" s="75" t="s">
        <v>125</v>
      </c>
      <c r="F11" s="75" t="s">
        <v>126</v>
      </c>
    </row>
    <row r="12" spans="1:7" x14ac:dyDescent="0.45">
      <c r="A12" s="75" t="s">
        <v>189</v>
      </c>
      <c r="B12" s="21">
        <v>30</v>
      </c>
      <c r="C12" s="21">
        <v>0.5</v>
      </c>
      <c r="D12" s="75">
        <f>SUMPRODUCT($B$4:$C$4,B12:C12)</f>
        <v>1330</v>
      </c>
      <c r="E12" s="75" t="s">
        <v>127</v>
      </c>
      <c r="F12" s="75">
        <v>2000</v>
      </c>
      <c r="G12" t="str">
        <f ca="1">_xlfn.FORMULATEXT(D12)</f>
        <v>=SUMPRODUCT($B$4:$C$4,B12:C12)</v>
      </c>
    </row>
    <row r="13" spans="1:7" x14ac:dyDescent="0.45">
      <c r="A13" s="75" t="s">
        <v>190</v>
      </c>
      <c r="B13" s="21">
        <v>18</v>
      </c>
      <c r="C13" s="21">
        <v>0.4</v>
      </c>
      <c r="D13" s="75">
        <f t="shared" ref="D13:D14" si="0">SUMPRODUCT($B$4:$C$4,B13:C13)</f>
        <v>800</v>
      </c>
      <c r="E13" s="75" t="s">
        <v>127</v>
      </c>
      <c r="F13" s="75">
        <v>800</v>
      </c>
      <c r="G13" t="str">
        <f t="shared" ref="G13:G14" ca="1" si="1">_xlfn.FORMULATEXT(D13)</f>
        <v>=SUMPRODUCT($B$4:$C$4,B13:C13)</v>
      </c>
    </row>
    <row r="14" spans="1:7" x14ac:dyDescent="0.45">
      <c r="A14" s="75" t="s">
        <v>191</v>
      </c>
      <c r="B14" s="21">
        <v>2</v>
      </c>
      <c r="C14" s="21">
        <v>0.1</v>
      </c>
      <c r="D14" s="75">
        <f t="shared" si="0"/>
        <v>90</v>
      </c>
      <c r="E14" s="75" t="s">
        <v>127</v>
      </c>
      <c r="F14" s="75">
        <v>200</v>
      </c>
      <c r="G14" t="str">
        <f t="shared" ca="1" si="1"/>
        <v>=SUMPRODUCT($B$4:$C$4,B14:C14)</v>
      </c>
    </row>
    <row r="15" spans="1:7" x14ac:dyDescent="0.45">
      <c r="A15" s="21"/>
      <c r="B15" s="21"/>
      <c r="C15" s="21"/>
      <c r="D15" s="75"/>
      <c r="E15" s="75"/>
      <c r="F15" s="75"/>
    </row>
    <row r="17" spans="2:2" x14ac:dyDescent="0.45">
      <c r="B17" t="s">
        <v>362</v>
      </c>
    </row>
    <row r="18" spans="2:2" x14ac:dyDescent="0.45">
      <c r="B18" t="s">
        <v>368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6603-0C3A-4DEE-804A-C093C391676A}">
  <dimension ref="A1:G16"/>
  <sheetViews>
    <sheetView workbookViewId="0">
      <selection activeCell="Q11" sqref="Q11:S11"/>
    </sheetView>
  </sheetViews>
  <sheetFormatPr defaultRowHeight="14.25" x14ac:dyDescent="0.45"/>
  <cols>
    <col min="1" max="1" width="13.59765625" customWidth="1"/>
    <col min="2" max="2" width="16" customWidth="1"/>
    <col min="3" max="3" width="13.86328125" customWidth="1"/>
  </cols>
  <sheetData>
    <row r="1" spans="1:7" x14ac:dyDescent="0.45">
      <c r="A1" t="s">
        <v>369</v>
      </c>
    </row>
    <row r="3" spans="1:7" x14ac:dyDescent="0.45">
      <c r="A3" t="s">
        <v>114</v>
      </c>
      <c r="B3" t="s">
        <v>370</v>
      </c>
      <c r="C3" t="s">
        <v>371</v>
      </c>
    </row>
    <row r="4" spans="1:7" x14ac:dyDescent="0.45">
      <c r="B4" s="89">
        <v>2</v>
      </c>
      <c r="C4" s="89">
        <v>6</v>
      </c>
    </row>
    <row r="5" spans="1:7" x14ac:dyDescent="0.45">
      <c r="B5" s="139">
        <v>5</v>
      </c>
      <c r="C5" s="139">
        <v>7</v>
      </c>
    </row>
    <row r="7" spans="1:7" x14ac:dyDescent="0.45">
      <c r="A7" t="s">
        <v>177</v>
      </c>
    </row>
    <row r="8" spans="1:7" x14ac:dyDescent="0.45">
      <c r="A8" t="s">
        <v>45</v>
      </c>
      <c r="B8" s="87">
        <f>SUMPRODUCT(B4:C4,B5:C5)</f>
        <v>52</v>
      </c>
    </row>
    <row r="11" spans="1:7" x14ac:dyDescent="0.45">
      <c r="A11" s="21" t="s">
        <v>144</v>
      </c>
      <c r="B11" s="21"/>
      <c r="C11" s="21"/>
      <c r="D11" s="75" t="s">
        <v>124</v>
      </c>
      <c r="E11" s="75" t="s">
        <v>125</v>
      </c>
      <c r="F11" s="75" t="s">
        <v>126</v>
      </c>
    </row>
    <row r="12" spans="1:7" x14ac:dyDescent="0.45">
      <c r="A12" s="21" t="s">
        <v>374</v>
      </c>
      <c r="B12" s="21">
        <v>1</v>
      </c>
      <c r="C12" s="21"/>
      <c r="D12" s="21">
        <f>SUMPRODUCT($B$4:$C$4,B12:C12)</f>
        <v>2</v>
      </c>
      <c r="E12" s="21" t="s">
        <v>127</v>
      </c>
      <c r="F12" s="21">
        <v>4</v>
      </c>
      <c r="G12" t="s">
        <v>373</v>
      </c>
    </row>
    <row r="13" spans="1:7" x14ac:dyDescent="0.45">
      <c r="A13" s="21" t="s">
        <v>375</v>
      </c>
      <c r="B13" s="21"/>
      <c r="C13" s="21">
        <v>1</v>
      </c>
      <c r="D13" s="21">
        <f t="shared" ref="D13:D14" si="0">SUMPRODUCT($B$4:$C$4,B13:C13)</f>
        <v>6</v>
      </c>
      <c r="E13" s="21" t="s">
        <v>127</v>
      </c>
      <c r="F13" s="21">
        <v>6</v>
      </c>
      <c r="G13" t="s">
        <v>373</v>
      </c>
    </row>
    <row r="14" spans="1:7" x14ac:dyDescent="0.45">
      <c r="A14" s="21" t="s">
        <v>376</v>
      </c>
      <c r="B14" s="21">
        <v>3</v>
      </c>
      <c r="C14" s="21">
        <v>1.5</v>
      </c>
      <c r="D14" s="21">
        <f t="shared" si="0"/>
        <v>15</v>
      </c>
      <c r="E14" s="21" t="s">
        <v>127</v>
      </c>
      <c r="F14" s="21">
        <v>15</v>
      </c>
      <c r="G14" t="s">
        <v>372</v>
      </c>
    </row>
    <row r="15" spans="1:7" x14ac:dyDescent="0.45">
      <c r="A15" s="21"/>
      <c r="B15" s="21"/>
      <c r="C15" s="21"/>
      <c r="D15" s="21"/>
      <c r="E15" s="21"/>
      <c r="F15" s="21"/>
    </row>
    <row r="16" spans="1:7" x14ac:dyDescent="0.45">
      <c r="A16" s="21"/>
      <c r="B16" s="21"/>
      <c r="C16" s="21"/>
      <c r="D16" s="21"/>
      <c r="E16" s="21"/>
      <c r="F16" s="21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B64C-4FED-445D-A8DD-C517E32821F4}">
  <dimension ref="A2:K28"/>
  <sheetViews>
    <sheetView workbookViewId="0">
      <selection activeCell="Q11" sqref="Q11:S11"/>
    </sheetView>
  </sheetViews>
  <sheetFormatPr defaultRowHeight="14.25" x14ac:dyDescent="0.45"/>
  <cols>
    <col min="1" max="1" width="18.1328125" customWidth="1"/>
    <col min="2" max="8" width="4.73046875" customWidth="1"/>
  </cols>
  <sheetData>
    <row r="2" spans="1:11" x14ac:dyDescent="0.45">
      <c r="K2" t="s">
        <v>377</v>
      </c>
    </row>
    <row r="3" spans="1:11" x14ac:dyDescent="0.45">
      <c r="K3" t="s">
        <v>378</v>
      </c>
    </row>
    <row r="4" spans="1:11" x14ac:dyDescent="0.45">
      <c r="K4" t="s">
        <v>379</v>
      </c>
    </row>
    <row r="10" spans="1:11" x14ac:dyDescent="0.45">
      <c r="A10" t="s">
        <v>114</v>
      </c>
      <c r="B10" s="75" t="s">
        <v>171</v>
      </c>
      <c r="C10" s="75" t="s">
        <v>172</v>
      </c>
      <c r="D10" s="75" t="s">
        <v>173</v>
      </c>
      <c r="E10" s="75" t="s">
        <v>175</v>
      </c>
      <c r="F10" s="75" t="s">
        <v>176</v>
      </c>
      <c r="G10" s="75" t="s">
        <v>380</v>
      </c>
      <c r="H10" s="75" t="s">
        <v>381</v>
      </c>
    </row>
    <row r="11" spans="1:11" x14ac:dyDescent="0.45">
      <c r="A11" t="s">
        <v>382</v>
      </c>
      <c r="B11" s="132">
        <v>0</v>
      </c>
      <c r="C11" s="132">
        <v>0</v>
      </c>
      <c r="D11" s="132">
        <v>1</v>
      </c>
      <c r="E11" s="132">
        <v>1</v>
      </c>
      <c r="F11" s="132">
        <v>1</v>
      </c>
      <c r="G11" s="132">
        <v>1</v>
      </c>
      <c r="H11" s="132">
        <v>0</v>
      </c>
    </row>
    <row r="12" spans="1:11" x14ac:dyDescent="0.45">
      <c r="B12">
        <v>50</v>
      </c>
      <c r="C12">
        <v>80</v>
      </c>
      <c r="D12">
        <v>90</v>
      </c>
      <c r="E12">
        <v>120</v>
      </c>
      <c r="F12">
        <v>110</v>
      </c>
      <c r="G12">
        <v>40</v>
      </c>
      <c r="H12">
        <v>75</v>
      </c>
    </row>
    <row r="14" spans="1:11" x14ac:dyDescent="0.45">
      <c r="A14" t="s">
        <v>121</v>
      </c>
    </row>
    <row r="15" spans="1:11" x14ac:dyDescent="0.45">
      <c r="A15" t="s">
        <v>383</v>
      </c>
      <c r="B15" s="158">
        <f>SUMPRODUCT(B11:H11,B12:H12)</f>
        <v>360</v>
      </c>
      <c r="C15" s="158"/>
      <c r="D15" s="158"/>
      <c r="E15" s="158"/>
      <c r="F15" t="s">
        <v>384</v>
      </c>
      <c r="I15" t="str">
        <f ca="1">_xlfn.FORMULATEXT(B15)</f>
        <v>=SUMPRODUCT(B11:H11,B12:H12)</v>
      </c>
    </row>
    <row r="18" spans="1:11" x14ac:dyDescent="0.45">
      <c r="A18" s="55" t="s">
        <v>144</v>
      </c>
      <c r="B18" s="21"/>
      <c r="C18" s="21"/>
      <c r="D18" s="21"/>
      <c r="E18" s="21"/>
      <c r="F18" s="21"/>
      <c r="G18" s="21"/>
      <c r="H18" s="21"/>
      <c r="I18" s="60" t="s">
        <v>124</v>
      </c>
      <c r="J18" s="60" t="s">
        <v>125</v>
      </c>
      <c r="K18" s="60" t="s">
        <v>126</v>
      </c>
    </row>
    <row r="19" spans="1:11" x14ac:dyDescent="0.45">
      <c r="A19" s="21" t="s">
        <v>385</v>
      </c>
      <c r="B19" s="21">
        <v>1</v>
      </c>
      <c r="C19" s="21"/>
      <c r="D19" s="21"/>
      <c r="E19" s="21">
        <v>1</v>
      </c>
      <c r="F19" s="21">
        <v>1</v>
      </c>
      <c r="G19" s="21"/>
      <c r="H19" s="21"/>
      <c r="I19" s="75">
        <f>SUMPRODUCT($B$11:$H$11,B19:H19)</f>
        <v>2</v>
      </c>
      <c r="J19" s="75" t="s">
        <v>133</v>
      </c>
      <c r="K19" s="75">
        <v>2</v>
      </c>
    </row>
    <row r="20" spans="1:11" x14ac:dyDescent="0.45">
      <c r="A20" s="21" t="s">
        <v>386</v>
      </c>
      <c r="B20" s="21"/>
      <c r="C20" s="21">
        <v>1</v>
      </c>
      <c r="D20" s="21">
        <v>1</v>
      </c>
      <c r="E20" s="21"/>
      <c r="F20" s="21"/>
      <c r="G20" s="21"/>
      <c r="H20" s="21"/>
      <c r="I20" s="75">
        <f>SUMPRODUCT($B$11:$H$11,B20:H20)</f>
        <v>1</v>
      </c>
      <c r="J20" s="75" t="s">
        <v>127</v>
      </c>
      <c r="K20" s="75">
        <v>1</v>
      </c>
    </row>
    <row r="21" spans="1:11" x14ac:dyDescent="0.45">
      <c r="A21" s="21" t="s">
        <v>387</v>
      </c>
      <c r="B21" s="21"/>
      <c r="C21" s="21"/>
      <c r="D21" s="21"/>
      <c r="E21" s="21"/>
      <c r="F21" s="21"/>
      <c r="G21" s="21">
        <v>1</v>
      </c>
      <c r="H21" s="21">
        <v>1</v>
      </c>
      <c r="I21" s="75">
        <f>SUMPRODUCT($B$11:$H$11,B21:H21)</f>
        <v>1</v>
      </c>
      <c r="J21" s="75" t="s">
        <v>233</v>
      </c>
      <c r="K21" s="75">
        <v>1</v>
      </c>
    </row>
    <row r="22" spans="1:11" x14ac:dyDescent="0.45">
      <c r="A22" s="21" t="s">
        <v>174</v>
      </c>
      <c r="B22" s="21">
        <v>480</v>
      </c>
      <c r="C22" s="21">
        <v>540</v>
      </c>
      <c r="D22" s="21">
        <v>680</v>
      </c>
      <c r="E22" s="21">
        <v>1000</v>
      </c>
      <c r="F22" s="21">
        <v>700</v>
      </c>
      <c r="G22" s="21">
        <v>510</v>
      </c>
      <c r="H22" s="21">
        <v>900</v>
      </c>
      <c r="I22" s="75">
        <f>SUMPRODUCT($B$11:$H$11,B22:H22)</f>
        <v>2890</v>
      </c>
      <c r="J22" s="75" t="s">
        <v>127</v>
      </c>
      <c r="K22" s="75">
        <v>3000</v>
      </c>
    </row>
    <row r="23" spans="1:11" x14ac:dyDescent="0.4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x14ac:dyDescent="0.4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4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8" spans="1:11" x14ac:dyDescent="0.45">
      <c r="A28" t="s">
        <v>388</v>
      </c>
    </row>
  </sheetData>
  <mergeCells count="1">
    <mergeCell ref="B15:E15"/>
  </mergeCells>
  <phoneticPr fontId="16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2643-35A5-4489-AC87-3F9C98152265}">
  <dimension ref="A3:J22"/>
  <sheetViews>
    <sheetView workbookViewId="0">
      <selection activeCell="Q11" sqref="Q11:S11"/>
    </sheetView>
  </sheetViews>
  <sheetFormatPr defaultRowHeight="14.25" x14ac:dyDescent="0.45"/>
  <cols>
    <col min="1" max="1" width="15" customWidth="1"/>
    <col min="9" max="9" width="8" customWidth="1"/>
  </cols>
  <sheetData>
    <row r="3" spans="1:10" x14ac:dyDescent="0.45">
      <c r="A3" t="s">
        <v>389</v>
      </c>
      <c r="B3" t="s">
        <v>390</v>
      </c>
      <c r="C3" t="s">
        <v>391</v>
      </c>
      <c r="D3" t="s">
        <v>392</v>
      </c>
      <c r="E3" t="s">
        <v>393</v>
      </c>
      <c r="F3" t="s">
        <v>394</v>
      </c>
      <c r="G3" t="s">
        <v>395</v>
      </c>
    </row>
    <row r="4" spans="1:10" ht="28.5" x14ac:dyDescent="0.45">
      <c r="B4" s="140">
        <v>1</v>
      </c>
      <c r="C4" s="140">
        <v>0</v>
      </c>
      <c r="D4" s="140">
        <v>1</v>
      </c>
      <c r="E4" s="140">
        <v>0</v>
      </c>
      <c r="F4" s="140">
        <v>1</v>
      </c>
      <c r="G4" s="140">
        <v>0</v>
      </c>
      <c r="I4" s="1" t="s">
        <v>396</v>
      </c>
    </row>
    <row r="7" spans="1:10" x14ac:dyDescent="0.45">
      <c r="A7" t="s">
        <v>320</v>
      </c>
    </row>
    <row r="8" spans="1:10" ht="28.5" x14ac:dyDescent="0.45">
      <c r="A8" s="1" t="s">
        <v>397</v>
      </c>
      <c r="B8" s="87">
        <f>SUM(B4:G4)</f>
        <v>3</v>
      </c>
    </row>
    <row r="11" spans="1:10" x14ac:dyDescent="0.45">
      <c r="A11" s="55" t="s">
        <v>120</v>
      </c>
      <c r="B11" s="21"/>
      <c r="C11" s="21"/>
      <c r="D11" s="21"/>
      <c r="E11" s="21"/>
      <c r="F11" s="21"/>
      <c r="G11" s="21"/>
      <c r="H11" s="75" t="s">
        <v>124</v>
      </c>
      <c r="I11" s="75" t="s">
        <v>125</v>
      </c>
      <c r="J11" s="75" t="s">
        <v>126</v>
      </c>
    </row>
    <row r="12" spans="1:10" x14ac:dyDescent="0.45">
      <c r="A12" s="21" t="s">
        <v>398</v>
      </c>
      <c r="B12" s="21">
        <v>1</v>
      </c>
      <c r="C12" s="21"/>
      <c r="D12" s="21"/>
      <c r="E12" s="21"/>
      <c r="F12" s="21"/>
      <c r="G12" s="21">
        <v>1</v>
      </c>
      <c r="H12" s="75">
        <f>SUMPRODUCT($B$4:$G$4,B12:G12)</f>
        <v>1</v>
      </c>
      <c r="I12" s="75" t="s">
        <v>133</v>
      </c>
      <c r="J12" s="75">
        <v>1</v>
      </c>
    </row>
    <row r="13" spans="1:10" x14ac:dyDescent="0.45">
      <c r="A13" s="21" t="s">
        <v>399</v>
      </c>
      <c r="B13" s="21"/>
      <c r="C13" s="21">
        <v>1</v>
      </c>
      <c r="D13" s="21">
        <v>1</v>
      </c>
      <c r="E13" s="21"/>
      <c r="F13" s="21"/>
      <c r="G13" s="21"/>
      <c r="H13" s="75">
        <f t="shared" ref="H13:H19" si="0">SUMPRODUCT($B$4:$G$4,B13:G13)</f>
        <v>1</v>
      </c>
      <c r="I13" s="75" t="s">
        <v>133</v>
      </c>
      <c r="J13" s="75">
        <v>1</v>
      </c>
    </row>
    <row r="14" spans="1:10" x14ac:dyDescent="0.45">
      <c r="A14" s="21" t="s">
        <v>400</v>
      </c>
      <c r="B14" s="21">
        <v>1</v>
      </c>
      <c r="C14" s="21">
        <v>1</v>
      </c>
      <c r="D14" s="21"/>
      <c r="E14" s="21"/>
      <c r="F14" s="21"/>
      <c r="G14" s="21"/>
      <c r="H14" s="75">
        <f t="shared" si="0"/>
        <v>1</v>
      </c>
      <c r="I14" s="75" t="s">
        <v>133</v>
      </c>
      <c r="J14" s="75">
        <v>1</v>
      </c>
    </row>
    <row r="15" spans="1:10" x14ac:dyDescent="0.45">
      <c r="A15" s="21" t="s">
        <v>401</v>
      </c>
      <c r="B15" s="21">
        <v>1</v>
      </c>
      <c r="C15" s="21">
        <v>1</v>
      </c>
      <c r="D15" s="21"/>
      <c r="E15" s="21"/>
      <c r="F15" s="21">
        <v>1</v>
      </c>
      <c r="G15" s="21">
        <v>1</v>
      </c>
      <c r="H15" s="75">
        <f t="shared" si="0"/>
        <v>2</v>
      </c>
      <c r="I15" s="75" t="s">
        <v>133</v>
      </c>
      <c r="J15" s="75">
        <v>1</v>
      </c>
    </row>
    <row r="16" spans="1:10" x14ac:dyDescent="0.45">
      <c r="A16" s="21" t="s">
        <v>402</v>
      </c>
      <c r="B16" s="21"/>
      <c r="C16" s="21"/>
      <c r="D16" s="21">
        <v>1</v>
      </c>
      <c r="E16" s="21">
        <v>1</v>
      </c>
      <c r="F16" s="21"/>
      <c r="G16" s="21"/>
      <c r="H16" s="75">
        <f t="shared" si="0"/>
        <v>1</v>
      </c>
      <c r="I16" s="75" t="s">
        <v>133</v>
      </c>
      <c r="J16" s="75">
        <v>1</v>
      </c>
    </row>
    <row r="17" spans="1:10" x14ac:dyDescent="0.45">
      <c r="A17" s="21" t="s">
        <v>403</v>
      </c>
      <c r="B17" s="21"/>
      <c r="C17" s="21"/>
      <c r="D17" s="21">
        <v>1</v>
      </c>
      <c r="E17" s="21">
        <v>1</v>
      </c>
      <c r="F17" s="21"/>
      <c r="G17" s="21">
        <v>1</v>
      </c>
      <c r="H17" s="75">
        <f t="shared" si="0"/>
        <v>1</v>
      </c>
      <c r="I17" s="75" t="s">
        <v>133</v>
      </c>
      <c r="J17" s="75">
        <v>1</v>
      </c>
    </row>
    <row r="18" spans="1:10" x14ac:dyDescent="0.45">
      <c r="A18" s="21" t="s">
        <v>404</v>
      </c>
      <c r="B18" s="21"/>
      <c r="C18" s="21">
        <v>1</v>
      </c>
      <c r="D18" s="21"/>
      <c r="E18" s="21"/>
      <c r="F18" s="21">
        <v>1</v>
      </c>
      <c r="G18" s="21"/>
      <c r="H18" s="75">
        <f t="shared" si="0"/>
        <v>1</v>
      </c>
      <c r="I18" s="75" t="s">
        <v>133</v>
      </c>
      <c r="J18" s="75">
        <v>1</v>
      </c>
    </row>
    <row r="19" spans="1:10" x14ac:dyDescent="0.45">
      <c r="A19" s="21" t="s">
        <v>405</v>
      </c>
      <c r="B19" s="21"/>
      <c r="C19" s="21"/>
      <c r="D19" s="21"/>
      <c r="E19" s="21">
        <v>1</v>
      </c>
      <c r="F19" s="21">
        <v>1</v>
      </c>
      <c r="G19" s="21"/>
      <c r="H19" s="75">
        <f t="shared" si="0"/>
        <v>1</v>
      </c>
      <c r="I19" s="75" t="s">
        <v>133</v>
      </c>
      <c r="J19" s="75">
        <v>1</v>
      </c>
    </row>
    <row r="22" spans="1:10" x14ac:dyDescent="0.45">
      <c r="A22" s="4" t="s">
        <v>406</v>
      </c>
    </row>
  </sheetData>
  <phoneticPr fontId="16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AF85-37BE-40F5-A7EB-93B610D751E5}">
  <dimension ref="A1:F20"/>
  <sheetViews>
    <sheetView workbookViewId="0">
      <selection activeCell="Q11" sqref="Q11:S11"/>
    </sheetView>
  </sheetViews>
  <sheetFormatPr defaultRowHeight="14.25" x14ac:dyDescent="0.45"/>
  <cols>
    <col min="1" max="1" width="19" customWidth="1"/>
    <col min="2" max="2" width="9.59765625" bestFit="1" customWidth="1"/>
  </cols>
  <sheetData>
    <row r="1" spans="1:6" x14ac:dyDescent="0.45">
      <c r="A1" s="4" t="s">
        <v>407</v>
      </c>
    </row>
    <row r="2" spans="1:6" x14ac:dyDescent="0.45">
      <c r="B2" s="90" t="s">
        <v>135</v>
      </c>
      <c r="C2" s="90" t="s">
        <v>136</v>
      </c>
    </row>
    <row r="3" spans="1:6" x14ac:dyDescent="0.45">
      <c r="B3" s="141">
        <v>0.93023256126453513</v>
      </c>
      <c r="C3" s="141">
        <v>6.9767438735465051E-2</v>
      </c>
    </row>
    <row r="5" spans="1:6" x14ac:dyDescent="0.45">
      <c r="A5" s="21" t="s">
        <v>410</v>
      </c>
      <c r="B5" s="21"/>
      <c r="C5" s="21"/>
      <c r="D5" s="21"/>
    </row>
    <row r="6" spans="1:6" x14ac:dyDescent="0.45">
      <c r="A6" s="21"/>
      <c r="B6" s="75" t="s">
        <v>411</v>
      </c>
      <c r="C6" s="75" t="s">
        <v>412</v>
      </c>
      <c r="D6" s="75" t="s">
        <v>413</v>
      </c>
    </row>
    <row r="7" spans="1:6" x14ac:dyDescent="0.45">
      <c r="A7" s="21" t="s">
        <v>414</v>
      </c>
      <c r="B7" s="75">
        <f>B3^2</f>
        <v>0.86533261803677708</v>
      </c>
      <c r="C7" s="75">
        <f>B3*C3</f>
        <v>6.4899943227758189E-2</v>
      </c>
      <c r="D7" s="75">
        <f>C3^2</f>
        <v>4.8674955077068691E-3</v>
      </c>
    </row>
    <row r="8" spans="1:6" x14ac:dyDescent="0.45">
      <c r="A8" s="21"/>
      <c r="B8" s="75" t="str">
        <f ca="1">_xlfn.FORMULATEXT(B7)</f>
        <v>=B3^2</v>
      </c>
      <c r="C8" s="75" t="str">
        <f t="shared" ref="C8:D8" ca="1" si="0">_xlfn.FORMULATEXT(C7)</f>
        <v>=B3*C3</v>
      </c>
      <c r="D8" s="75" t="str">
        <f t="shared" ca="1" si="0"/>
        <v>=C3^2</v>
      </c>
    </row>
    <row r="9" spans="1:6" x14ac:dyDescent="0.45">
      <c r="A9" s="21"/>
      <c r="B9" s="75">
        <v>0.16</v>
      </c>
      <c r="C9" s="75">
        <v>0.2</v>
      </c>
      <c r="D9" s="75">
        <v>0.9</v>
      </c>
    </row>
    <row r="12" spans="1:6" x14ac:dyDescent="0.45">
      <c r="A12" s="4" t="s">
        <v>409</v>
      </c>
    </row>
    <row r="13" spans="1:6" x14ac:dyDescent="0.45">
      <c r="A13" s="4" t="s">
        <v>416</v>
      </c>
      <c r="B13" s="144">
        <f>SUMPRODUCT(B7:D7,B9:D9)</f>
        <v>0.15581395348837215</v>
      </c>
    </row>
    <row r="15" spans="1:6" x14ac:dyDescent="0.45">
      <c r="A15" s="55" t="s">
        <v>408</v>
      </c>
      <c r="B15" s="21"/>
      <c r="C15" s="21"/>
      <c r="D15" s="75" t="s">
        <v>124</v>
      </c>
      <c r="E15" s="75" t="s">
        <v>125</v>
      </c>
      <c r="F15" s="75" t="s">
        <v>126</v>
      </c>
    </row>
    <row r="16" spans="1:6" x14ac:dyDescent="0.45">
      <c r="A16" s="55" t="s">
        <v>415</v>
      </c>
      <c r="B16" s="21">
        <v>1</v>
      </c>
      <c r="C16" s="21">
        <v>1</v>
      </c>
      <c r="D16" s="143">
        <f>SUMPRODUCT($B$3:$C$3,B16:C16)</f>
        <v>1.0000000000000002</v>
      </c>
      <c r="E16" s="75" t="s">
        <v>233</v>
      </c>
      <c r="F16" s="76">
        <v>1</v>
      </c>
    </row>
    <row r="17" spans="1:6" x14ac:dyDescent="0.45">
      <c r="A17" s="21"/>
      <c r="B17" s="142">
        <v>0.11</v>
      </c>
      <c r="C17" s="142">
        <v>0.08</v>
      </c>
      <c r="D17" s="143">
        <f>SUMPRODUCT($B$3:$C$3,B17:C17)</f>
        <v>0.10790697683793607</v>
      </c>
      <c r="E17" s="75" t="s">
        <v>133</v>
      </c>
      <c r="F17" s="76">
        <v>0.09</v>
      </c>
    </row>
    <row r="18" spans="1:6" x14ac:dyDescent="0.45">
      <c r="A18" s="21"/>
      <c r="B18" s="21"/>
      <c r="C18" s="21"/>
      <c r="D18" s="75"/>
      <c r="E18" s="75"/>
      <c r="F18" s="75"/>
    </row>
    <row r="19" spans="1:6" x14ac:dyDescent="0.45">
      <c r="A19" s="21"/>
      <c r="B19" s="21"/>
      <c r="C19" s="21"/>
      <c r="D19" s="75"/>
      <c r="E19" s="75"/>
      <c r="F19" s="75"/>
    </row>
    <row r="20" spans="1:6" x14ac:dyDescent="0.45">
      <c r="A20" s="21"/>
      <c r="B20" s="21"/>
      <c r="C20" s="21"/>
      <c r="D20" s="75"/>
      <c r="E20" s="75"/>
      <c r="F20" s="75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73913-AA23-42C8-8A23-D778BD15EC09}">
  <dimension ref="A1:F20"/>
  <sheetViews>
    <sheetView workbookViewId="0">
      <selection activeCell="Q11" sqref="Q11:S11"/>
    </sheetView>
  </sheetViews>
  <sheetFormatPr defaultRowHeight="14.25" x14ac:dyDescent="0.45"/>
  <cols>
    <col min="1" max="1" width="17.1328125" customWidth="1"/>
  </cols>
  <sheetData>
    <row r="1" spans="1:6" x14ac:dyDescent="0.45">
      <c r="A1" s="4" t="s">
        <v>389</v>
      </c>
      <c r="B1" s="90" t="s">
        <v>417</v>
      </c>
      <c r="C1" s="90" t="s">
        <v>418</v>
      </c>
      <c r="D1" s="90" t="s">
        <v>419</v>
      </c>
      <c r="E1" s="90" t="s">
        <v>420</v>
      </c>
    </row>
    <row r="2" spans="1:6" x14ac:dyDescent="0.45">
      <c r="B2" s="140">
        <v>10</v>
      </c>
      <c r="C2" s="140">
        <v>15</v>
      </c>
      <c r="D2" s="145">
        <f>4-0.1*B2</f>
        <v>3</v>
      </c>
      <c r="E2" s="145">
        <f>5-0.02*C2</f>
        <v>4.7</v>
      </c>
    </row>
    <row r="4" spans="1:6" x14ac:dyDescent="0.45">
      <c r="A4" s="4" t="s">
        <v>421</v>
      </c>
    </row>
    <row r="5" spans="1:6" x14ac:dyDescent="0.45">
      <c r="A5" t="s">
        <v>422</v>
      </c>
      <c r="B5" s="94">
        <f>B2*D2+C2*E2</f>
        <v>100.5</v>
      </c>
      <c r="C5" t="s">
        <v>423</v>
      </c>
    </row>
    <row r="12" spans="1:6" x14ac:dyDescent="0.45">
      <c r="A12" s="55" t="s">
        <v>144</v>
      </c>
      <c r="B12" s="75"/>
      <c r="C12" s="75"/>
      <c r="D12" s="60" t="s">
        <v>124</v>
      </c>
      <c r="E12" s="60" t="s">
        <v>125</v>
      </c>
      <c r="F12" s="60" t="s">
        <v>126</v>
      </c>
    </row>
    <row r="13" spans="1:6" x14ac:dyDescent="0.45">
      <c r="A13" s="21" t="s">
        <v>372</v>
      </c>
      <c r="B13" s="75">
        <v>1</v>
      </c>
      <c r="C13" s="75">
        <v>2</v>
      </c>
      <c r="D13" s="75">
        <f>SUMPRODUCT(B2:C2,B13:C13)</f>
        <v>40</v>
      </c>
      <c r="E13" s="75" t="s">
        <v>127</v>
      </c>
      <c r="F13" s="75">
        <v>40</v>
      </c>
    </row>
    <row r="14" spans="1:6" x14ac:dyDescent="0.45">
      <c r="A14" s="21"/>
      <c r="B14" s="75"/>
      <c r="C14" s="75"/>
      <c r="D14" s="75"/>
      <c r="E14" s="75"/>
      <c r="F14" s="75"/>
    </row>
    <row r="15" spans="1:6" x14ac:dyDescent="0.45">
      <c r="A15" s="21"/>
      <c r="B15" s="21"/>
      <c r="C15" s="21"/>
      <c r="D15" s="21"/>
      <c r="E15" s="21"/>
      <c r="F15" s="21"/>
    </row>
    <row r="16" spans="1:6" x14ac:dyDescent="0.45">
      <c r="A16" s="21"/>
      <c r="B16" s="21"/>
      <c r="C16" s="21"/>
      <c r="D16" s="21"/>
      <c r="E16" s="21"/>
      <c r="F16" s="21"/>
    </row>
    <row r="17" spans="1:6" x14ac:dyDescent="0.45">
      <c r="A17" s="21"/>
      <c r="B17" s="21"/>
      <c r="C17" s="21"/>
      <c r="D17" s="21"/>
      <c r="E17" s="21"/>
      <c r="F17" s="21"/>
    </row>
    <row r="19" spans="1:6" x14ac:dyDescent="0.45">
      <c r="A19" t="s">
        <v>234</v>
      </c>
    </row>
    <row r="20" spans="1:6" x14ac:dyDescent="0.45">
      <c r="A20" s="4" t="s">
        <v>424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4E9D-64AC-4D88-9DD0-885A1EEB0BC5}">
  <dimension ref="A1:C13"/>
  <sheetViews>
    <sheetView workbookViewId="0">
      <selection activeCell="Q11" sqref="Q11:S11"/>
    </sheetView>
  </sheetViews>
  <sheetFormatPr defaultRowHeight="14.25" x14ac:dyDescent="0.45"/>
  <cols>
    <col min="1" max="1" width="16.73046875" customWidth="1"/>
    <col min="2" max="2" width="25.265625" customWidth="1"/>
    <col min="3" max="3" width="14.86328125" customWidth="1"/>
    <col min="4" max="4" width="13.265625" customWidth="1"/>
  </cols>
  <sheetData>
    <row r="1" spans="1:3" x14ac:dyDescent="0.45">
      <c r="B1" t="s">
        <v>425</v>
      </c>
      <c r="C1" t="s">
        <v>426</v>
      </c>
    </row>
    <row r="2" spans="1:3" x14ac:dyDescent="0.45">
      <c r="B2" s="89">
        <v>16000</v>
      </c>
      <c r="C2">
        <f>-0.0001*B2+4</f>
        <v>2.4</v>
      </c>
    </row>
    <row r="4" spans="1:3" x14ac:dyDescent="0.45">
      <c r="A4" t="s">
        <v>3</v>
      </c>
    </row>
    <row r="5" spans="1:3" x14ac:dyDescent="0.45">
      <c r="A5" s="146" t="s">
        <v>428</v>
      </c>
      <c r="B5" s="2">
        <v>1500</v>
      </c>
    </row>
    <row r="6" spans="1:3" ht="28.5" x14ac:dyDescent="0.45">
      <c r="A6" s="1" t="s">
        <v>429</v>
      </c>
      <c r="B6" s="2">
        <v>0.8</v>
      </c>
    </row>
    <row r="7" spans="1:3" x14ac:dyDescent="0.45">
      <c r="A7" t="s">
        <v>261</v>
      </c>
      <c r="B7">
        <f>B5+B2*B6</f>
        <v>14300</v>
      </c>
    </row>
    <row r="8" spans="1:3" x14ac:dyDescent="0.45">
      <c r="A8" t="s">
        <v>427</v>
      </c>
    </row>
    <row r="9" spans="1:3" x14ac:dyDescent="0.45">
      <c r="A9" t="s">
        <v>45</v>
      </c>
      <c r="B9" s="117">
        <f>B2*C2-B7</f>
        <v>24100</v>
      </c>
    </row>
    <row r="13" spans="1:3" x14ac:dyDescent="0.45">
      <c r="A13" t="s">
        <v>144</v>
      </c>
      <c r="B13" t="s">
        <v>430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FF08-F1EC-4628-8816-E873DBCDEBE6}">
  <dimension ref="A2:F15"/>
  <sheetViews>
    <sheetView workbookViewId="0">
      <selection activeCell="Q11" sqref="Q11:S11"/>
    </sheetView>
  </sheetViews>
  <sheetFormatPr defaultRowHeight="14.25" x14ac:dyDescent="0.45"/>
  <cols>
    <col min="1" max="1" width="28.73046875" customWidth="1"/>
    <col min="2" max="2" width="19.265625" customWidth="1"/>
    <col min="3" max="3" width="16.3984375" customWidth="1"/>
  </cols>
  <sheetData>
    <row r="2" spans="1:6" x14ac:dyDescent="0.45">
      <c r="A2" t="s">
        <v>114</v>
      </c>
      <c r="B2" s="90" t="s">
        <v>431</v>
      </c>
      <c r="C2" s="90" t="s">
        <v>432</v>
      </c>
    </row>
    <row r="3" spans="1:6" x14ac:dyDescent="0.45">
      <c r="B3" s="89">
        <v>35</v>
      </c>
      <c r="C3" s="89">
        <v>50</v>
      </c>
    </row>
    <row r="4" spans="1:6" x14ac:dyDescent="0.45">
      <c r="A4" t="s">
        <v>435</v>
      </c>
      <c r="B4" s="2">
        <v>80</v>
      </c>
      <c r="C4" s="2">
        <v>45</v>
      </c>
    </row>
    <row r="5" spans="1:6" x14ac:dyDescent="0.45">
      <c r="A5" t="s">
        <v>433</v>
      </c>
    </row>
    <row r="6" spans="1:6" x14ac:dyDescent="0.45">
      <c r="A6" t="s">
        <v>434</v>
      </c>
    </row>
    <row r="8" spans="1:6" x14ac:dyDescent="0.45">
      <c r="A8" t="s">
        <v>177</v>
      </c>
    </row>
    <row r="9" spans="1:6" x14ac:dyDescent="0.45">
      <c r="A9" t="s">
        <v>45</v>
      </c>
      <c r="B9" s="117">
        <f>SUMPRODUCT(B3:C3,B4:C4)</f>
        <v>5050</v>
      </c>
    </row>
    <row r="12" spans="1:6" x14ac:dyDescent="0.45">
      <c r="A12" s="55" t="s">
        <v>144</v>
      </c>
      <c r="B12" s="21"/>
      <c r="C12" s="21"/>
      <c r="D12" s="75" t="s">
        <v>124</v>
      </c>
      <c r="E12" s="75" t="s">
        <v>125</v>
      </c>
      <c r="F12" s="75" t="s">
        <v>126</v>
      </c>
    </row>
    <row r="13" spans="1:6" x14ac:dyDescent="0.45">
      <c r="A13" s="21" t="s">
        <v>436</v>
      </c>
      <c r="B13" s="21">
        <v>3</v>
      </c>
      <c r="C13" s="21">
        <v>5</v>
      </c>
      <c r="D13" s="75">
        <f>SUMPRODUCT($B$3:$C$3,B13:C13)</f>
        <v>355</v>
      </c>
      <c r="E13" s="75" t="s">
        <v>127</v>
      </c>
      <c r="F13" s="75">
        <v>360</v>
      </c>
    </row>
    <row r="14" spans="1:6" x14ac:dyDescent="0.45">
      <c r="A14" s="21" t="s">
        <v>437</v>
      </c>
      <c r="B14" s="21">
        <v>4</v>
      </c>
      <c r="C14" s="21">
        <v>2</v>
      </c>
      <c r="D14" s="75">
        <f>SUMPRODUCT($B$3:$C$3,B14:C14)</f>
        <v>240</v>
      </c>
      <c r="E14" s="75" t="s">
        <v>127</v>
      </c>
      <c r="F14" s="75">
        <v>240</v>
      </c>
    </row>
    <row r="15" spans="1:6" x14ac:dyDescent="0.45">
      <c r="A15" s="21"/>
      <c r="B15" s="21"/>
      <c r="C15" s="21"/>
      <c r="D15" s="75"/>
      <c r="E15" s="75"/>
      <c r="F15" s="75"/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F4B9-15B9-4F8C-BA84-C14F24746959}">
  <dimension ref="A1:B11"/>
  <sheetViews>
    <sheetView workbookViewId="0">
      <selection activeCell="Q11" sqref="Q11:S11"/>
    </sheetView>
  </sheetViews>
  <sheetFormatPr defaultRowHeight="14.25" x14ac:dyDescent="0.45"/>
  <cols>
    <col min="1" max="1" width="12.73046875" customWidth="1"/>
    <col min="2" max="2" width="11.59765625" bestFit="1" customWidth="1"/>
  </cols>
  <sheetData>
    <row r="1" spans="1:2" x14ac:dyDescent="0.45">
      <c r="B1" t="s">
        <v>438</v>
      </c>
    </row>
    <row r="2" spans="1:2" x14ac:dyDescent="0.45">
      <c r="B2" s="89">
        <v>3.7999999953757966</v>
      </c>
    </row>
    <row r="4" spans="1:2" x14ac:dyDescent="0.45">
      <c r="A4" s="4" t="s">
        <v>279</v>
      </c>
      <c r="B4">
        <f>-10000*B2+70000</f>
        <v>32000.000046242036</v>
      </c>
    </row>
    <row r="6" spans="1:2" x14ac:dyDescent="0.45">
      <c r="A6" t="s">
        <v>3</v>
      </c>
    </row>
    <row r="7" spans="1:2" x14ac:dyDescent="0.45">
      <c r="A7" s="146" t="s">
        <v>428</v>
      </c>
      <c r="B7" s="2">
        <v>2500</v>
      </c>
    </row>
    <row r="8" spans="1:2" x14ac:dyDescent="0.45">
      <c r="A8" s="146" t="s">
        <v>439</v>
      </c>
      <c r="B8" s="2">
        <v>0.6</v>
      </c>
    </row>
    <row r="10" spans="1:2" x14ac:dyDescent="0.45">
      <c r="A10" t="s">
        <v>367</v>
      </c>
    </row>
    <row r="11" spans="1:2" x14ac:dyDescent="0.45">
      <c r="A11" t="s">
        <v>45</v>
      </c>
      <c r="B11" s="117">
        <f>B4*B2-B7-B4*B8</f>
        <v>99900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NCAA T-Shirt</vt:lpstr>
      <vt:lpstr>the 19th hole</vt:lpstr>
      <vt:lpstr>NPV value</vt:lpstr>
      <vt:lpstr>Microsoft</vt:lpstr>
      <vt:lpstr>Toy Company</vt:lpstr>
      <vt:lpstr>Bluejay Natural Gas</vt:lpstr>
      <vt:lpstr>LP Marketing</vt:lpstr>
      <vt:lpstr>LP Assignment</vt:lpstr>
      <vt:lpstr>LP Template and Var</vt:lpstr>
      <vt:lpstr>LP Furniture Comp</vt:lpstr>
      <vt:lpstr>LP Investment Allocation</vt:lpstr>
      <vt:lpstr>Assesment Feed Mix</vt:lpstr>
      <vt:lpstr>Bus Company</vt:lpstr>
      <vt:lpstr>Linear Programming Assesment</vt:lpstr>
      <vt:lpstr>Transportation prob template</vt:lpstr>
      <vt:lpstr>Construction Project</vt:lpstr>
      <vt:lpstr>New Hire Assignment</vt:lpstr>
      <vt:lpstr>MLB Umpire Assignment</vt:lpstr>
      <vt:lpstr>College Professors</vt:lpstr>
      <vt:lpstr>TranspAnd Assignment Problems</vt:lpstr>
      <vt:lpstr>Assignment Problem Assesment</vt:lpstr>
      <vt:lpstr>Princess Bride</vt:lpstr>
      <vt:lpstr>Bolsa de Cafe</vt:lpstr>
      <vt:lpstr>As ART Posters</vt:lpstr>
      <vt:lpstr>Binary Investment</vt:lpstr>
      <vt:lpstr>Horizon Wireless</vt:lpstr>
      <vt:lpstr>Non-Linear Template</vt:lpstr>
      <vt:lpstr>Non-Linear Example 2</vt:lpstr>
      <vt:lpstr>NonLinear Assesment1</vt:lpstr>
      <vt:lpstr>Int Ass</vt:lpstr>
      <vt:lpstr>NLin 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Bogomolnaja</dc:creator>
  <cp:lastModifiedBy>Viktorija Bogomolnaja</cp:lastModifiedBy>
  <dcterms:created xsi:type="dcterms:W3CDTF">2015-06-05T18:17:20Z</dcterms:created>
  <dcterms:modified xsi:type="dcterms:W3CDTF">2026-06-13T11:25:29Z</dcterms:modified>
</cp:coreProperties>
</file>