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cant\Documents\AmmerBatch\data\exp_raw\"/>
    </mc:Choice>
  </mc:AlternateContent>
  <bookViews>
    <workbookView xWindow="0" yWindow="735" windowWidth="29400" windowHeight="16680" activeTab="2"/>
  </bookViews>
  <sheets>
    <sheet name="info" sheetId="1" r:id="rId1"/>
    <sheet name="t (days)" sheetId="8" r:id="rId2"/>
    <sheet name="NO3 (mg L)" sheetId="7" r:id="rId3"/>
    <sheet name="DOC (mg L)" sheetId="2" r:id="rId4"/>
    <sheet name="SO4 (mg L)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3" l="1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D5" i="3"/>
  <c r="C5" i="3"/>
  <c r="B5" i="3"/>
  <c r="L4" i="3"/>
  <c r="K4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H2" i="3"/>
  <c r="G2" i="3"/>
  <c r="F2" i="3"/>
  <c r="E2" i="3"/>
  <c r="D2" i="3"/>
  <c r="C2" i="3"/>
  <c r="B2" i="3"/>
  <c r="M1" i="3"/>
  <c r="L1" i="3"/>
  <c r="K1" i="3"/>
  <c r="J1" i="3"/>
  <c r="I1" i="3"/>
  <c r="H1" i="3"/>
  <c r="G1" i="3"/>
  <c r="F1" i="3"/>
  <c r="E1" i="3"/>
  <c r="D1" i="3"/>
  <c r="C1" i="3"/>
  <c r="B1" i="3"/>
  <c r="M16" i="7" l="1"/>
  <c r="L16" i="7"/>
  <c r="K16" i="7"/>
  <c r="J16" i="7"/>
  <c r="I16" i="7"/>
  <c r="H16" i="7"/>
  <c r="G16" i="7"/>
  <c r="F16" i="7"/>
  <c r="E16" i="7"/>
  <c r="D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M7" i="7"/>
  <c r="L7" i="7"/>
  <c r="K7" i="7"/>
  <c r="J7" i="7"/>
  <c r="I7" i="7"/>
  <c r="H7" i="7"/>
  <c r="G7" i="7"/>
  <c r="F7" i="7"/>
  <c r="E7" i="7"/>
  <c r="D7" i="7"/>
  <c r="C7" i="7"/>
  <c r="B7" i="7"/>
  <c r="M6" i="7"/>
  <c r="L6" i="7"/>
  <c r="K6" i="7"/>
  <c r="J6" i="7"/>
  <c r="I6" i="7"/>
  <c r="H6" i="7"/>
  <c r="G6" i="7"/>
  <c r="F6" i="7"/>
  <c r="E6" i="7"/>
  <c r="D6" i="7"/>
  <c r="C6" i="7"/>
  <c r="B6" i="7"/>
  <c r="L5" i="7"/>
  <c r="K5" i="7"/>
  <c r="J5" i="7"/>
  <c r="I5" i="7"/>
  <c r="H5" i="7"/>
  <c r="G5" i="7"/>
  <c r="F5" i="7"/>
  <c r="E5" i="7"/>
  <c r="D5" i="7"/>
  <c r="C5" i="7"/>
  <c r="B5" i="7"/>
  <c r="L4" i="7"/>
  <c r="K4" i="7"/>
  <c r="J4" i="7"/>
  <c r="I4" i="7"/>
  <c r="H4" i="7"/>
  <c r="G4" i="7"/>
  <c r="F4" i="7"/>
  <c r="E4" i="7"/>
  <c r="D4" i="7"/>
  <c r="C4" i="7"/>
  <c r="B4" i="7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I2" i="7"/>
  <c r="H2" i="7"/>
  <c r="G2" i="7"/>
  <c r="F2" i="7"/>
  <c r="E2" i="7"/>
  <c r="D2" i="7"/>
  <c r="C2" i="7"/>
  <c r="B2" i="7"/>
  <c r="M1" i="7"/>
  <c r="L1" i="7"/>
  <c r="K1" i="7"/>
  <c r="J1" i="7"/>
  <c r="H1" i="7"/>
  <c r="G1" i="7"/>
  <c r="F1" i="7"/>
  <c r="E1" i="7"/>
  <c r="D1" i="7"/>
  <c r="C1" i="7"/>
  <c r="B1" i="7"/>
</calcChain>
</file>

<file path=xl/sharedStrings.xml><?xml version="1.0" encoding="utf-8"?>
<sst xmlns="http://schemas.openxmlformats.org/spreadsheetml/2006/main" count="87" uniqueCount="29">
  <si>
    <t>Name</t>
  </si>
  <si>
    <t>Short ID</t>
  </si>
  <si>
    <t>TOC %</t>
  </si>
  <si>
    <t>Sample</t>
  </si>
  <si>
    <t>C1</t>
  </si>
  <si>
    <t>T1</t>
  </si>
  <si>
    <t>T2</t>
  </si>
  <si>
    <t>T4</t>
  </si>
  <si>
    <t>T7</t>
  </si>
  <si>
    <t>t</t>
  </si>
  <si>
    <t>dry weight (g)</t>
  </si>
  <si>
    <t>Facies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</si>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</sst>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Aptos Narrow"/>
    </font>
    <font>
      <sz val="12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6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6" fillId="2" borderId="7" xfId="0" applyNumberFormat="1" applyFont="1" applyFill="1" applyBorder="1" applyAlignment="1">
      <alignment horizontal="center"/>
    </xf>
    <xf numFmtId="1" fontId="6" fillId="2" borderId="8" xfId="0" applyNumberFormat="1" applyFont="1" applyFill="1" applyBorder="1" applyAlignment="1">
      <alignment horizontal="center"/>
    </xf>
    <xf numFmtId="1" fontId="6" fillId="2" borderId="9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0" borderId="2" xfId="0" applyNumberFormat="1" applyFont="1" applyBorder="1"/>
    <xf numFmtId="1" fontId="3" fillId="0" borderId="2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K9" sqref="K9"/>
    </sheetView>
  </sheetViews>
  <sheetFormatPr defaultColWidth="8.85546875" defaultRowHeight="15"/>
  <cols>
    <col min="5" max="5" width="7.140625" bestFit="1" customWidth="1"/>
    <col min="6" max="6" width="14" bestFit="1" customWidth="1"/>
  </cols>
  <sheetData>
    <row r="1" spans="1:6" ht="15.75">
      <c r="A1" s="3" t="s">
        <v>3</v>
      </c>
      <c r="B1" s="2" t="s">
        <v>0</v>
      </c>
      <c r="C1" s="2" t="s">
        <v>1</v>
      </c>
      <c r="D1" s="19" t="s">
        <v>11</v>
      </c>
      <c r="E1" s="2" t="s">
        <v>2</v>
      </c>
      <c r="F1" s="17" t="s">
        <v>10</v>
      </c>
    </row>
    <row r="2" spans="1:6" ht="15.75">
      <c r="A2" s="19" t="s">
        <v>12</v>
      </c>
      <c r="B2" s="1"/>
      <c r="C2" s="2">
        <v>23</v>
      </c>
      <c r="D2" s="19" t="s">
        <v>4</v>
      </c>
      <c r="E2" s="2">
        <v>1.3</v>
      </c>
      <c r="F2" s="18">
        <v>15</v>
      </c>
    </row>
    <row r="3" spans="1:6" ht="15.75">
      <c r="A3" s="19" t="s">
        <v>13</v>
      </c>
      <c r="B3" s="1"/>
      <c r="C3" s="2">
        <v>2</v>
      </c>
      <c r="D3" s="19" t="s">
        <v>6</v>
      </c>
      <c r="E3" s="2">
        <v>0.65</v>
      </c>
      <c r="F3" s="18">
        <v>15</v>
      </c>
    </row>
    <row r="4" spans="1:6" ht="15.75">
      <c r="A4" s="19" t="s">
        <v>14</v>
      </c>
      <c r="B4" s="1"/>
      <c r="C4" s="2">
        <v>4</v>
      </c>
      <c r="D4" s="19" t="s">
        <v>6</v>
      </c>
      <c r="E4" s="2">
        <v>2.9</v>
      </c>
      <c r="F4" s="18">
        <v>15</v>
      </c>
    </row>
    <row r="5" spans="1:6" ht="15.75">
      <c r="A5" s="19" t="s">
        <v>15</v>
      </c>
      <c r="B5" s="1"/>
      <c r="C5" s="2">
        <v>7</v>
      </c>
      <c r="D5" s="20" t="s">
        <v>6</v>
      </c>
      <c r="E5" s="2">
        <v>2.06</v>
      </c>
      <c r="F5" s="18">
        <v>15</v>
      </c>
    </row>
    <row r="6" spans="1:6" ht="15.75">
      <c r="A6" s="19" t="s">
        <v>16</v>
      </c>
      <c r="B6" s="1"/>
      <c r="C6" s="2">
        <v>21</v>
      </c>
      <c r="D6" s="20" t="s">
        <v>6</v>
      </c>
      <c r="E6" s="2">
        <v>40.1</v>
      </c>
      <c r="F6" s="18">
        <v>15</v>
      </c>
    </row>
    <row r="7" spans="1:6" ht="15.75">
      <c r="A7" s="19" t="s">
        <v>17</v>
      </c>
      <c r="B7" s="1"/>
      <c r="C7" s="2">
        <v>17</v>
      </c>
      <c r="D7" s="19" t="s">
        <v>6</v>
      </c>
      <c r="E7" s="2">
        <v>24.6</v>
      </c>
      <c r="F7" s="18">
        <v>15</v>
      </c>
    </row>
    <row r="8" spans="1:6" ht="15.75">
      <c r="A8" s="19" t="s">
        <v>18</v>
      </c>
      <c r="B8" s="1"/>
      <c r="C8" s="2">
        <v>24</v>
      </c>
      <c r="D8" s="19" t="s">
        <v>28</v>
      </c>
      <c r="E8" s="2">
        <v>0.89</v>
      </c>
      <c r="F8" s="18">
        <v>15</v>
      </c>
    </row>
    <row r="9" spans="1:6" ht="15.75">
      <c r="A9" s="19" t="s">
        <v>19</v>
      </c>
      <c r="B9" s="1"/>
      <c r="C9" s="2">
        <v>3</v>
      </c>
      <c r="D9" s="19" t="s">
        <v>28</v>
      </c>
      <c r="E9" s="2">
        <v>0.53</v>
      </c>
      <c r="F9" s="18">
        <v>15</v>
      </c>
    </row>
    <row r="10" spans="1:6" ht="15.75">
      <c r="A10" s="19" t="s">
        <v>20</v>
      </c>
      <c r="B10" s="1"/>
      <c r="C10" s="2">
        <v>9</v>
      </c>
      <c r="D10" s="19" t="s">
        <v>5</v>
      </c>
      <c r="E10" s="2">
        <v>3.49</v>
      </c>
      <c r="F10" s="18">
        <v>15</v>
      </c>
    </row>
    <row r="11" spans="1:6" ht="15.75">
      <c r="A11" s="19" t="s">
        <v>21</v>
      </c>
      <c r="B11" s="1"/>
      <c r="C11" s="2">
        <v>22</v>
      </c>
      <c r="D11" s="19" t="s">
        <v>5</v>
      </c>
      <c r="E11" s="2">
        <v>29.5</v>
      </c>
      <c r="F11" s="18">
        <v>15</v>
      </c>
    </row>
    <row r="12" spans="1:6" ht="15.75">
      <c r="A12" s="19" t="s">
        <v>22</v>
      </c>
      <c r="B12" s="1"/>
      <c r="C12" s="2">
        <v>1</v>
      </c>
      <c r="D12" s="19" t="s">
        <v>8</v>
      </c>
      <c r="E12" s="2">
        <v>0.45</v>
      </c>
      <c r="F12" s="18">
        <v>15</v>
      </c>
    </row>
    <row r="13" spans="1:6" ht="15.75">
      <c r="A13" s="19" t="s">
        <v>23</v>
      </c>
      <c r="B13" s="1"/>
      <c r="C13" s="2">
        <v>11</v>
      </c>
      <c r="D13" s="19" t="s">
        <v>8</v>
      </c>
      <c r="E13" s="2">
        <v>19.600000000000001</v>
      </c>
      <c r="F13" s="18">
        <v>15</v>
      </c>
    </row>
    <row r="14" spans="1:6" ht="15.75">
      <c r="A14" s="19" t="s">
        <v>24</v>
      </c>
      <c r="B14" s="1"/>
      <c r="C14" s="2">
        <v>18</v>
      </c>
      <c r="D14" s="19" t="s">
        <v>8</v>
      </c>
      <c r="E14" s="2">
        <v>20.100000000000001</v>
      </c>
      <c r="F14" s="18">
        <v>15</v>
      </c>
    </row>
    <row r="15" spans="1:6" ht="15.75">
      <c r="A15" s="19" t="s">
        <v>25</v>
      </c>
      <c r="B15" s="1"/>
      <c r="C15" s="2">
        <v>20</v>
      </c>
      <c r="D15" s="19" t="s">
        <v>28</v>
      </c>
      <c r="E15" s="2">
        <v>30.8</v>
      </c>
      <c r="F15" s="18">
        <v>15</v>
      </c>
    </row>
    <row r="16" spans="1:6" ht="15.75">
      <c r="A16" s="19" t="s">
        <v>26</v>
      </c>
      <c r="B16" s="1"/>
      <c r="C16" s="2">
        <v>6</v>
      </c>
      <c r="D16" s="19" t="s">
        <v>7</v>
      </c>
      <c r="E16" s="2">
        <v>4.9000000000000004</v>
      </c>
      <c r="F16" s="18">
        <v>15</v>
      </c>
    </row>
    <row r="17" spans="1:6" ht="15.75">
      <c r="A17" s="19" t="s">
        <v>27</v>
      </c>
      <c r="B17" s="1"/>
      <c r="C17" s="2">
        <v>15</v>
      </c>
      <c r="D17" s="19" t="s">
        <v>7</v>
      </c>
      <c r="E17" s="2">
        <v>25.4</v>
      </c>
      <c r="F17" s="18">
        <v>15</v>
      </c>
    </row>
    <row r="18" spans="1:6" ht="15.75">
      <c r="A18" s="4"/>
      <c r="B18" s="1"/>
      <c r="C18" s="2"/>
      <c r="D18" s="2"/>
      <c r="E18" s="2"/>
      <c r="F18" s="18"/>
    </row>
    <row r="19" spans="1:6" ht="15.75">
      <c r="A19" s="4"/>
      <c r="B19" s="1"/>
      <c r="C19" s="2"/>
      <c r="D19" s="2"/>
      <c r="E19" s="2"/>
      <c r="F19" s="18"/>
    </row>
    <row r="20" spans="1:6" ht="15.75">
      <c r="A20" s="4"/>
      <c r="B20" s="1"/>
      <c r="C20" s="2"/>
      <c r="D20" s="2"/>
      <c r="E20" s="2"/>
      <c r="F20" s="18"/>
    </row>
    <row r="21" spans="1:6" ht="15.75">
      <c r="A21" s="4"/>
      <c r="B21" s="1"/>
      <c r="C21" s="2"/>
      <c r="D21" s="2"/>
      <c r="E21" s="2"/>
      <c r="F21" s="18"/>
    </row>
    <row r="22" spans="1:6" ht="15.75">
      <c r="A22" s="4"/>
      <c r="B22" s="1"/>
      <c r="C22" s="2"/>
      <c r="D22" s="2"/>
      <c r="E22" s="2"/>
      <c r="F22" s="18"/>
    </row>
    <row r="23" spans="1:6" ht="15.75">
      <c r="A23" s="4"/>
      <c r="B23" s="1"/>
      <c r="C23" s="2"/>
      <c r="D23" s="2"/>
      <c r="E23" s="2"/>
      <c r="F23" s="18"/>
    </row>
    <row r="24" spans="1:6" ht="15.75">
      <c r="A24" s="4"/>
      <c r="B24" s="1"/>
      <c r="C24" s="2"/>
      <c r="D24" s="2"/>
      <c r="E24" s="2"/>
      <c r="F24" s="18"/>
    </row>
    <row r="25" spans="1:6" ht="15.75">
      <c r="A25" s="4"/>
      <c r="B25" s="1"/>
      <c r="C25" s="2"/>
      <c r="D25" s="2"/>
      <c r="E25" s="2"/>
      <c r="F2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B13" sqref="B13"/>
    </sheetView>
  </sheetViews>
  <sheetFormatPr defaultColWidth="8.85546875" defaultRowHeight="15"/>
  <sheetData>
    <row r="1" spans="1:24">
      <c r="A1" t="s">
        <v>9</v>
      </c>
    </row>
    <row r="2" spans="1:24">
      <c r="A2" s="21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24">
      <c r="A3" s="21">
        <v>5</v>
      </c>
    </row>
    <row r="4" spans="1:24">
      <c r="A4" s="21">
        <v>9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>
      <c r="A5" s="21">
        <v>16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>
      <c r="A6" s="21">
        <v>23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>
      <c r="A7" s="21">
        <v>30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>
      <c r="A8" s="21">
        <v>56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>
      <c r="A9" s="21">
        <v>72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>
      <c r="A10" s="21">
        <v>83</v>
      </c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>
      <c r="A11" s="21">
        <v>99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4">
      <c r="A12" s="21">
        <v>126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4">
      <c r="A13" s="21">
        <v>150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O5" sqref="O5"/>
    </sheetView>
  </sheetViews>
  <sheetFormatPr defaultColWidth="8.85546875" defaultRowHeight="15"/>
  <sheetData>
    <row r="1" spans="1:15" ht="15.75">
      <c r="A1" s="19" t="s">
        <v>12</v>
      </c>
      <c r="B1" s="22">
        <f>28.49*5</f>
        <v>142.44999999999999</v>
      </c>
      <c r="C1" s="22">
        <f>26.984*5</f>
        <v>134.92000000000002</v>
      </c>
      <c r="D1" s="22">
        <f>27.119*5</f>
        <v>135.595</v>
      </c>
      <c r="E1" s="22">
        <f>27.329*5</f>
        <v>136.64500000000001</v>
      </c>
      <c r="F1" s="22">
        <f>27.039*5</f>
        <v>135.19499999999999</v>
      </c>
      <c r="G1" s="22">
        <f>27.207*5</f>
        <v>136.035</v>
      </c>
      <c r="H1" s="22">
        <f>5*27.144</f>
        <v>135.72</v>
      </c>
      <c r="I1" s="22">
        <v>136</v>
      </c>
      <c r="J1" s="23">
        <f>27.194*5</f>
        <v>135.97</v>
      </c>
      <c r="K1" s="23">
        <f>5*26.382</f>
        <v>131.91</v>
      </c>
      <c r="L1" s="23">
        <f>5*25.781</f>
        <v>128.905</v>
      </c>
      <c r="M1" s="24">
        <f>5*27.226</f>
        <v>136.13</v>
      </c>
      <c r="N1" s="5"/>
      <c r="O1" s="5"/>
    </row>
    <row r="2" spans="1:15" ht="15.75">
      <c r="A2" s="19" t="s">
        <v>13</v>
      </c>
      <c r="B2" s="22">
        <f>30.387*5</f>
        <v>151.935</v>
      </c>
      <c r="C2" s="22">
        <f>24.75*5</f>
        <v>123.75</v>
      </c>
      <c r="D2" s="22">
        <f>24.388*5</f>
        <v>121.94000000000001</v>
      </c>
      <c r="E2" s="22">
        <f>24.891*5</f>
        <v>124.45499999999998</v>
      </c>
      <c r="F2" s="22">
        <f>24.628*5</f>
        <v>123.14</v>
      </c>
      <c r="G2" s="22">
        <f>24.91*5</f>
        <v>124.55</v>
      </c>
      <c r="H2" s="22">
        <f>5*24.396</f>
        <v>121.98</v>
      </c>
      <c r="I2" s="22">
        <f>25.077*5</f>
        <v>125.38500000000001</v>
      </c>
      <c r="J2" s="22">
        <f>23.963*5</f>
        <v>119.815</v>
      </c>
      <c r="K2" s="22">
        <f>5*23.11</f>
        <v>115.55</v>
      </c>
      <c r="L2" s="22">
        <f>5*22.253</f>
        <v>111.265</v>
      </c>
      <c r="M2" s="25">
        <f>5*22.415</f>
        <v>112.07499999999999</v>
      </c>
      <c r="N2" s="5"/>
      <c r="O2" s="5"/>
    </row>
    <row r="3" spans="1:15" ht="15.75">
      <c r="A3" s="19" t="s">
        <v>14</v>
      </c>
      <c r="B3" s="22">
        <f>30.355*5</f>
        <v>151.77500000000001</v>
      </c>
      <c r="C3" s="22">
        <f>25.033*5</f>
        <v>125.16500000000001</v>
      </c>
      <c r="D3" s="22">
        <f>24.698*5</f>
        <v>123.49000000000001</v>
      </c>
      <c r="E3" s="22">
        <f>24.865*5</f>
        <v>124.32499999999999</v>
      </c>
      <c r="F3" s="22">
        <f>24.475*5</f>
        <v>122.375</v>
      </c>
      <c r="G3" s="22">
        <f>24.303*5</f>
        <v>121.515</v>
      </c>
      <c r="H3" s="22">
        <f>5*24.147</f>
        <v>120.73499999999999</v>
      </c>
      <c r="I3" s="22">
        <f>24.639*5</f>
        <v>123.19499999999999</v>
      </c>
      <c r="J3" s="23">
        <f>23.606*5</f>
        <v>118.03</v>
      </c>
      <c r="K3" s="23">
        <f>5*22.589</f>
        <v>112.94499999999999</v>
      </c>
      <c r="L3" s="23">
        <f>5*21.442</f>
        <v>107.21000000000001</v>
      </c>
      <c r="M3" s="24">
        <f>5*21.354</f>
        <v>106.77</v>
      </c>
      <c r="N3" s="5"/>
      <c r="O3" s="5"/>
    </row>
    <row r="4" spans="1:15" ht="15.75">
      <c r="A4" s="19" t="s">
        <v>15</v>
      </c>
      <c r="B4" s="22">
        <f>36.602*5</f>
        <v>183.01</v>
      </c>
      <c r="C4" s="22">
        <f>26.746*5</f>
        <v>133.72999999999999</v>
      </c>
      <c r="D4" s="22">
        <f>26.239*5</f>
        <v>131.19499999999999</v>
      </c>
      <c r="E4" s="22">
        <f>26.535*5</f>
        <v>132.67500000000001</v>
      </c>
      <c r="F4" s="22">
        <f>25.85*5</f>
        <v>129.25</v>
      </c>
      <c r="G4" s="22">
        <f>25.621*5</f>
        <v>128.10499999999999</v>
      </c>
      <c r="H4" s="22">
        <f>5*25.285</f>
        <v>126.425</v>
      </c>
      <c r="I4" s="22">
        <f>25.912*5</f>
        <v>129.56</v>
      </c>
      <c r="J4" s="23">
        <f>24.767*5</f>
        <v>123.83499999999999</v>
      </c>
      <c r="K4" s="23">
        <f>5*23.612</f>
        <v>118.05999999999999</v>
      </c>
      <c r="L4" s="23">
        <f>5*22.404</f>
        <v>112.02</v>
      </c>
      <c r="M4" s="26"/>
      <c r="N4" s="5"/>
      <c r="O4" s="5"/>
    </row>
    <row r="5" spans="1:15" ht="15.75">
      <c r="A5" s="19" t="s">
        <v>16</v>
      </c>
      <c r="B5" s="22">
        <f>40.759*5</f>
        <v>203.79500000000002</v>
      </c>
      <c r="C5" s="22">
        <f>27.335*5</f>
        <v>136.67500000000001</v>
      </c>
      <c r="D5" s="22">
        <f>26.539*5</f>
        <v>132.69499999999999</v>
      </c>
      <c r="E5" s="22">
        <f>26.28*5</f>
        <v>131.4</v>
      </c>
      <c r="F5" s="22">
        <f>25.771*5</f>
        <v>128.85500000000002</v>
      </c>
      <c r="G5" s="22">
        <f>25.84*5</f>
        <v>129.19999999999999</v>
      </c>
      <c r="H5" s="22">
        <f>5*25.517</f>
        <v>127.58499999999999</v>
      </c>
      <c r="I5" s="22">
        <f>26.366*5</f>
        <v>131.82999999999998</v>
      </c>
      <c r="J5" s="23">
        <f>25.482*5</f>
        <v>127.41</v>
      </c>
      <c r="K5" s="23">
        <f>5*24.305</f>
        <v>121.52500000000001</v>
      </c>
      <c r="L5" s="23">
        <f>5*23.773</f>
        <v>118.86499999999999</v>
      </c>
      <c r="M5" s="26"/>
      <c r="N5" s="5"/>
      <c r="O5" s="5"/>
    </row>
    <row r="6" spans="1:15" ht="15.75">
      <c r="A6" s="19" t="s">
        <v>17</v>
      </c>
      <c r="B6" s="22">
        <f>33.162*5</f>
        <v>165.81</v>
      </c>
      <c r="C6" s="22">
        <f>27.402*5</f>
        <v>137.01</v>
      </c>
      <c r="D6" s="22">
        <f>27.053*5</f>
        <v>135.26500000000001</v>
      </c>
      <c r="E6" s="22">
        <f>27.437*5</f>
        <v>137.185</v>
      </c>
      <c r="F6" s="22">
        <f>26.771*5</f>
        <v>133.85500000000002</v>
      </c>
      <c r="G6" s="22">
        <f>26.794*5</f>
        <v>133.97</v>
      </c>
      <c r="H6" s="22">
        <f>5*26.455</f>
        <v>132.27499999999998</v>
      </c>
      <c r="I6" s="22">
        <f>26.882*5</f>
        <v>134.41</v>
      </c>
      <c r="J6" s="23">
        <f>26.038*5</f>
        <v>130.19</v>
      </c>
      <c r="K6" s="23">
        <f>5*24.905</f>
        <v>124.52500000000001</v>
      </c>
      <c r="L6" s="23">
        <f>5*23.976</f>
        <v>119.88</v>
      </c>
      <c r="M6" s="26">
        <f>5*23.901</f>
        <v>119.505</v>
      </c>
      <c r="N6" s="5"/>
      <c r="O6" s="5"/>
    </row>
    <row r="7" spans="1:15" ht="15.75">
      <c r="A7" s="19" t="s">
        <v>18</v>
      </c>
      <c r="B7" s="22">
        <f>31.666*5</f>
        <v>158.33000000000001</v>
      </c>
      <c r="C7" s="22">
        <f>25.964*5</f>
        <v>129.82</v>
      </c>
      <c r="D7" s="22">
        <f>25.86*5</f>
        <v>129.30000000000001</v>
      </c>
      <c r="E7" s="22">
        <f>25.779*5</f>
        <v>128.89500000000001</v>
      </c>
      <c r="F7" s="22">
        <f>25.361*5</f>
        <v>126.80500000000001</v>
      </c>
      <c r="G7" s="22">
        <f>24.853*5</f>
        <v>124.26500000000001</v>
      </c>
      <c r="H7" s="22">
        <f>5*21.274</f>
        <v>106.37</v>
      </c>
      <c r="I7" s="22">
        <f>19.642*5</f>
        <v>98.21</v>
      </c>
      <c r="J7" s="23">
        <f>17.41*5</f>
        <v>87.05</v>
      </c>
      <c r="K7" s="23">
        <f>5*15.12</f>
        <v>75.599999999999994</v>
      </c>
      <c r="L7" s="23">
        <f>5*12.228</f>
        <v>61.14</v>
      </c>
      <c r="M7" s="24">
        <f>5*8.708</f>
        <v>43.54</v>
      </c>
      <c r="N7" s="5"/>
      <c r="O7" s="5"/>
    </row>
    <row r="8" spans="1:15" ht="15.75">
      <c r="A8" s="19" t="s">
        <v>19</v>
      </c>
      <c r="B8" s="22">
        <f>34.879*5</f>
        <v>174.39499999999998</v>
      </c>
      <c r="C8" s="22">
        <f>26.413*5</f>
        <v>132.065</v>
      </c>
      <c r="D8" s="22">
        <f>26.393*5</f>
        <v>131.965</v>
      </c>
      <c r="E8" s="22">
        <f>25.971*5</f>
        <v>129.85499999999999</v>
      </c>
      <c r="F8" s="22">
        <f>25.613*5</f>
        <v>128.065</v>
      </c>
      <c r="G8" s="22">
        <f>25.181*5</f>
        <v>125.905</v>
      </c>
      <c r="H8" s="22">
        <f>5*24.641</f>
        <v>123.20499999999998</v>
      </c>
      <c r="I8" s="22">
        <f>25.24*5</f>
        <v>126.19999999999999</v>
      </c>
      <c r="J8" s="23">
        <f>24.193*5</f>
        <v>120.965</v>
      </c>
      <c r="K8" s="23">
        <f>5*23.204</f>
        <v>116.02000000000001</v>
      </c>
      <c r="L8" s="23">
        <f>5*22.122</f>
        <v>110.61</v>
      </c>
      <c r="M8" s="24">
        <f>5*20.63</f>
        <v>103.14999999999999</v>
      </c>
      <c r="N8" s="5"/>
      <c r="O8" s="5"/>
    </row>
    <row r="9" spans="1:15" ht="15.75">
      <c r="A9" s="19" t="s">
        <v>20</v>
      </c>
      <c r="B9" s="22">
        <f>34.75*5</f>
        <v>173.75</v>
      </c>
      <c r="C9" s="22">
        <f>26.631*5</f>
        <v>133.155</v>
      </c>
      <c r="D9" s="22">
        <f>26.783*5</f>
        <v>133.91500000000002</v>
      </c>
      <c r="E9" s="22">
        <f>26.577*5</f>
        <v>132.88500000000002</v>
      </c>
      <c r="F9" s="22">
        <f>26.266*5</f>
        <v>131.32999999999998</v>
      </c>
      <c r="G9" s="22">
        <f>26.41*5</f>
        <v>132.05000000000001</v>
      </c>
      <c r="H9" s="22">
        <f>5*26.209</f>
        <v>131.04499999999999</v>
      </c>
      <c r="I9" s="22">
        <f>27.165*5</f>
        <v>135.82499999999999</v>
      </c>
      <c r="J9" s="22">
        <f>5*25.958</f>
        <v>129.79</v>
      </c>
      <c r="K9" s="22">
        <f>5*25.157</f>
        <v>125.785</v>
      </c>
      <c r="L9" s="22">
        <f>5*24.859</f>
        <v>124.29500000000002</v>
      </c>
      <c r="M9" s="25">
        <f>5*25.502</f>
        <v>127.50999999999999</v>
      </c>
      <c r="N9" s="5"/>
      <c r="O9" s="5"/>
    </row>
    <row r="10" spans="1:15" ht="15.75">
      <c r="A10" s="19" t="s">
        <v>21</v>
      </c>
      <c r="B10" s="27">
        <f>39.052*5</f>
        <v>195.26</v>
      </c>
      <c r="C10" s="22">
        <f>28.591*5</f>
        <v>142.95500000000001</v>
      </c>
      <c r="D10" s="22">
        <f>28.188*5</f>
        <v>140.94</v>
      </c>
      <c r="E10" s="22">
        <f>28.059*5</f>
        <v>140.29500000000002</v>
      </c>
      <c r="F10" s="22">
        <f>27.676*5</f>
        <v>138.38</v>
      </c>
      <c r="G10" s="22">
        <f>27.667*5</f>
        <v>138.33500000000001</v>
      </c>
      <c r="H10" s="22">
        <f>5*27.398</f>
        <v>136.99</v>
      </c>
      <c r="I10" s="22">
        <f>28.352*5</f>
        <v>141.76</v>
      </c>
      <c r="J10" s="22">
        <f>5*27.362</f>
        <v>136.81</v>
      </c>
      <c r="K10" s="22">
        <f>5*26.438</f>
        <v>132.19</v>
      </c>
      <c r="L10" s="22">
        <f>5*25.919</f>
        <v>129.595</v>
      </c>
      <c r="M10" s="25">
        <f>5*26.604</f>
        <v>133.01999999999998</v>
      </c>
      <c r="N10" s="5"/>
      <c r="O10" s="5"/>
    </row>
    <row r="11" spans="1:15" ht="15.75">
      <c r="A11" s="19" t="s">
        <v>22</v>
      </c>
      <c r="B11" s="22">
        <f>34.879*5</f>
        <v>174.39499999999998</v>
      </c>
      <c r="C11" s="22">
        <f>27.046*5</f>
        <v>135.22999999999999</v>
      </c>
      <c r="D11" s="22">
        <f>26.684*5</f>
        <v>133.42000000000002</v>
      </c>
      <c r="E11" s="22">
        <f>26.663*5</f>
        <v>133.315</v>
      </c>
      <c r="F11" s="22">
        <f>25.779*5</f>
        <v>128.89500000000001</v>
      </c>
      <c r="G11" s="22">
        <f>25.175*5</f>
        <v>125.875</v>
      </c>
      <c r="H11" s="22">
        <f>5*23.438</f>
        <v>117.19</v>
      </c>
      <c r="I11" s="22">
        <f>23.199*5</f>
        <v>115.995</v>
      </c>
      <c r="J11" s="22">
        <f>5*21.75</f>
        <v>108.75</v>
      </c>
      <c r="K11" s="22">
        <f>5*20.311</f>
        <v>101.55500000000001</v>
      </c>
      <c r="L11" s="22">
        <f>5*18.309</f>
        <v>91.545000000000002</v>
      </c>
      <c r="M11" s="25">
        <f>5*16.486</f>
        <v>82.43</v>
      </c>
      <c r="N11" s="5"/>
      <c r="O11" s="5"/>
    </row>
    <row r="12" spans="1:15" ht="15.75">
      <c r="A12" s="19" t="s">
        <v>23</v>
      </c>
      <c r="B12" s="22">
        <f>33.689*5</f>
        <v>168.44499999999999</v>
      </c>
      <c r="C12" s="22">
        <f>26.481*5</f>
        <v>132.405</v>
      </c>
      <c r="D12" s="22">
        <f>26.445*5</f>
        <v>132.22499999999999</v>
      </c>
      <c r="E12" s="22">
        <f>26.393*5</f>
        <v>131.965</v>
      </c>
      <c r="F12" s="22">
        <f>25.696*5</f>
        <v>128.48000000000002</v>
      </c>
      <c r="G12" s="22">
        <f>25.214*5</f>
        <v>126.07</v>
      </c>
      <c r="H12" s="22">
        <f>5*23.796</f>
        <v>118.97999999999999</v>
      </c>
      <c r="I12" s="22">
        <f>24.231*5</f>
        <v>121.155</v>
      </c>
      <c r="J12" s="22">
        <f>5*22.937</f>
        <v>114.685</v>
      </c>
      <c r="K12" s="22">
        <f>5*21.694</f>
        <v>108.47</v>
      </c>
      <c r="L12" s="22">
        <f>5*20.321</f>
        <v>101.605</v>
      </c>
      <c r="M12" s="25">
        <f>5*19.415</f>
        <v>97.074999999999989</v>
      </c>
      <c r="N12" s="5"/>
      <c r="O12" s="5"/>
    </row>
    <row r="13" spans="1:15" ht="15.75">
      <c r="A13" s="19" t="s">
        <v>24</v>
      </c>
      <c r="B13" s="22">
        <f>34.27*5</f>
        <v>171.35000000000002</v>
      </c>
      <c r="C13" s="22">
        <f>25.955*5</f>
        <v>129.77499999999998</v>
      </c>
      <c r="D13" s="22">
        <f>25.828*5</f>
        <v>129.13999999999999</v>
      </c>
      <c r="E13" s="22">
        <f>25.908*5</f>
        <v>129.54000000000002</v>
      </c>
      <c r="F13" s="22">
        <f>25.361*5</f>
        <v>126.80500000000001</v>
      </c>
      <c r="G13" s="22">
        <f>25.396*5</f>
        <v>126.98</v>
      </c>
      <c r="H13" s="22">
        <f>5*24.078</f>
        <v>120.39</v>
      </c>
      <c r="I13" s="22">
        <f>23.847*5</f>
        <v>119.23500000000001</v>
      </c>
      <c r="J13" s="22">
        <f>5*22.753</f>
        <v>113.765</v>
      </c>
      <c r="K13" s="22">
        <f>5*21.608</f>
        <v>108.04</v>
      </c>
      <c r="L13" s="22">
        <f>5*20.128</f>
        <v>100.64</v>
      </c>
      <c r="M13" s="25">
        <f>5*18.814</f>
        <v>94.07</v>
      </c>
      <c r="N13" s="5"/>
      <c r="O13" s="5"/>
    </row>
    <row r="14" spans="1:15" ht="15.75">
      <c r="A14" s="19" t="s">
        <v>25</v>
      </c>
      <c r="B14" s="22">
        <f>34.861*5</f>
        <v>174.30499999999998</v>
      </c>
      <c r="C14" s="22">
        <f>25.793*5</f>
        <v>128.965</v>
      </c>
      <c r="D14" s="22">
        <f>25.477*5</f>
        <v>127.38500000000001</v>
      </c>
      <c r="E14" s="22">
        <f>25.278*5</f>
        <v>126.38999999999999</v>
      </c>
      <c r="F14" s="22">
        <f>24.658*5</f>
        <v>123.29</v>
      </c>
      <c r="G14" s="22">
        <f>24.467*5</f>
        <v>122.33499999999999</v>
      </c>
      <c r="H14" s="22">
        <f>5*23.838</f>
        <v>119.19</v>
      </c>
      <c r="I14" s="22">
        <f>24.346*5</f>
        <v>121.73</v>
      </c>
      <c r="J14" s="22">
        <f>5*22.961</f>
        <v>114.80499999999999</v>
      </c>
      <c r="K14" s="22">
        <f>5*21.82</f>
        <v>109.1</v>
      </c>
      <c r="L14" s="22">
        <f>5*20.155</f>
        <v>100.77500000000001</v>
      </c>
      <c r="M14" s="25">
        <f>5*18.605</f>
        <v>93.025000000000006</v>
      </c>
      <c r="N14" s="5"/>
      <c r="O14" s="5"/>
    </row>
    <row r="15" spans="1:15" ht="15.75">
      <c r="A15" s="19" t="s">
        <v>26</v>
      </c>
      <c r="B15" s="22">
        <f>38.869*5</f>
        <v>194.345</v>
      </c>
      <c r="C15" s="22">
        <f>29.993*5</f>
        <v>149.965</v>
      </c>
      <c r="D15" s="22">
        <f>30.136*5</f>
        <v>150.68</v>
      </c>
      <c r="E15" s="22">
        <f>29.507*5</f>
        <v>147.535</v>
      </c>
      <c r="F15" s="22">
        <f>28.92*5</f>
        <v>144.60000000000002</v>
      </c>
      <c r="G15" s="22">
        <f>28.838*5</f>
        <v>144.19</v>
      </c>
      <c r="H15" s="22">
        <f>5*28.772</f>
        <v>143.85999999999999</v>
      </c>
      <c r="I15" s="22">
        <f>29.771*5</f>
        <v>148.85500000000002</v>
      </c>
      <c r="J15" s="22">
        <f>5*28.57</f>
        <v>142.85</v>
      </c>
      <c r="K15" s="22">
        <f>5*27.968</f>
        <v>139.84</v>
      </c>
      <c r="L15" s="22">
        <f>5*27.119</f>
        <v>135.595</v>
      </c>
      <c r="M15" s="25">
        <f>5*27</f>
        <v>135</v>
      </c>
      <c r="N15" s="5"/>
      <c r="O15" s="5"/>
    </row>
    <row r="16" spans="1:15" ht="15.75">
      <c r="A16" s="19" t="s">
        <v>27</v>
      </c>
      <c r="B16" s="22">
        <f>32.308*5</f>
        <v>161.54</v>
      </c>
      <c r="C16" s="22">
        <v>148</v>
      </c>
      <c r="D16" s="22">
        <f>29.482*5</f>
        <v>147.41</v>
      </c>
      <c r="E16" s="22">
        <f>27.393*5</f>
        <v>136.965</v>
      </c>
      <c r="F16" s="22">
        <f>26.902*5</f>
        <v>134.51</v>
      </c>
      <c r="G16" s="22">
        <f>26.809*5</f>
        <v>134.04500000000002</v>
      </c>
      <c r="H16" s="22">
        <f>5*26.825</f>
        <v>134.125</v>
      </c>
      <c r="I16" s="22">
        <f>28.145*5</f>
        <v>140.72499999999999</v>
      </c>
      <c r="J16" s="22">
        <f>5*26.789</f>
        <v>133.94499999999999</v>
      </c>
      <c r="K16" s="22">
        <f>5*26.04</f>
        <v>130.19999999999999</v>
      </c>
      <c r="L16" s="22">
        <f>5*25.301</f>
        <v>126.505</v>
      </c>
      <c r="M16" s="25">
        <f>5*25.283</f>
        <v>126.41500000000001</v>
      </c>
      <c r="N16" s="5"/>
      <c r="O16" s="5"/>
    </row>
    <row r="17" spans="1:15" ht="15.75">
      <c r="A17" s="4"/>
      <c r="B17" s="5"/>
      <c r="C17" s="6"/>
      <c r="D17" s="5"/>
      <c r="E17" s="6"/>
      <c r="F17" s="6"/>
      <c r="G17" s="6"/>
      <c r="H17" s="6"/>
      <c r="I17" s="5"/>
      <c r="J17" s="5"/>
      <c r="K17" s="5"/>
      <c r="L17" s="5"/>
      <c r="M17" s="5"/>
      <c r="N17" s="5"/>
      <c r="O17" s="5"/>
    </row>
    <row r="18" spans="1:15" ht="15.75">
      <c r="A18" s="4"/>
      <c r="B18" s="5"/>
      <c r="C18" s="6"/>
      <c r="D18" s="5"/>
      <c r="E18" s="6"/>
      <c r="F18" s="6"/>
      <c r="G18" s="6"/>
      <c r="H18" s="6"/>
      <c r="I18" s="5"/>
      <c r="J18" s="5"/>
      <c r="K18" s="5"/>
      <c r="L18" s="5"/>
      <c r="M18" s="5"/>
      <c r="N18" s="5"/>
      <c r="O18" s="5"/>
    </row>
    <row r="19" spans="1:15" ht="15.75">
      <c r="A19" s="4"/>
      <c r="B19" s="5"/>
      <c r="C19" s="6"/>
      <c r="D19" s="5"/>
      <c r="E19" s="6"/>
      <c r="F19" s="6"/>
      <c r="G19" s="6"/>
      <c r="H19" s="6"/>
      <c r="I19" s="5"/>
      <c r="J19" s="5"/>
      <c r="K19" s="5"/>
      <c r="L19" s="5"/>
      <c r="M19" s="5"/>
      <c r="N19" s="5"/>
      <c r="O19" s="5"/>
    </row>
    <row r="20" spans="1:15" ht="15.75">
      <c r="A20" s="4"/>
      <c r="B20" s="5"/>
      <c r="C20" s="6"/>
      <c r="D20" s="5"/>
      <c r="E20" s="6"/>
      <c r="F20" s="6"/>
      <c r="G20" s="6"/>
      <c r="H20" s="6"/>
      <c r="I20" s="5"/>
      <c r="J20" s="5"/>
      <c r="K20" s="5"/>
      <c r="L20" s="5"/>
      <c r="M20" s="5"/>
      <c r="N20" s="5"/>
      <c r="O20" s="5"/>
    </row>
    <row r="21" spans="1:15" ht="15.75">
      <c r="A21" s="4"/>
      <c r="B21" s="5"/>
      <c r="C21" s="6"/>
      <c r="D21" s="5"/>
      <c r="E21" s="6"/>
      <c r="F21" s="6"/>
      <c r="G21" s="6"/>
      <c r="H21" s="6"/>
      <c r="I21" s="5"/>
      <c r="J21" s="5"/>
      <c r="K21" s="5"/>
      <c r="L21" s="5"/>
      <c r="M21" s="5"/>
      <c r="N21" s="5"/>
      <c r="O21" s="5"/>
    </row>
    <row r="22" spans="1:15" ht="15.75">
      <c r="A22" s="4"/>
      <c r="B22" s="5"/>
      <c r="C22" s="6"/>
      <c r="D22" s="5"/>
      <c r="E22" s="6"/>
      <c r="F22" s="6"/>
      <c r="G22" s="6"/>
      <c r="H22" s="6"/>
      <c r="I22" s="5"/>
      <c r="J22" s="5"/>
      <c r="K22" s="5"/>
      <c r="L22" s="5"/>
      <c r="M22" s="5"/>
      <c r="N22" s="5"/>
      <c r="O22" s="5"/>
    </row>
    <row r="23" spans="1:15" ht="15.75">
      <c r="A23" s="4"/>
      <c r="B23" s="5"/>
      <c r="C23" s="6"/>
      <c r="D23" s="5"/>
      <c r="E23" s="6"/>
      <c r="F23" s="6"/>
      <c r="G23" s="6"/>
      <c r="H23" s="6"/>
      <c r="I23" s="5"/>
      <c r="J23" s="5"/>
      <c r="K23" s="5"/>
      <c r="L23" s="5"/>
      <c r="M23" s="5"/>
      <c r="N23" s="5"/>
      <c r="O23" s="5"/>
    </row>
    <row r="24" spans="1:15" ht="15.75">
      <c r="A24" s="4"/>
      <c r="B24" s="5"/>
      <c r="C24" s="6"/>
      <c r="D24" s="5"/>
      <c r="E24" s="6"/>
      <c r="F24" s="6"/>
      <c r="G24" s="6"/>
      <c r="H24" s="6"/>
      <c r="I24" s="5"/>
      <c r="J24" s="5"/>
      <c r="K24" s="5"/>
      <c r="L24" s="5"/>
      <c r="M24" s="5"/>
      <c r="N24" s="5"/>
      <c r="O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R8" sqref="R8"/>
    </sheetView>
  </sheetViews>
  <sheetFormatPr defaultColWidth="8.85546875" defaultRowHeight="15"/>
  <sheetData>
    <row r="1" spans="1:15" ht="16.5" thickBot="1">
      <c r="A1" s="19" t="s">
        <v>12</v>
      </c>
      <c r="B1" s="23">
        <v>4.9195682802011103</v>
      </c>
      <c r="C1" s="23">
        <v>4.375767926</v>
      </c>
      <c r="D1" s="28">
        <v>3.992047119</v>
      </c>
      <c r="E1" s="29">
        <v>2.7543171045313901</v>
      </c>
      <c r="F1" s="29">
        <v>6.45777912651638</v>
      </c>
      <c r="G1" s="30">
        <v>4.9510436827405204</v>
      </c>
      <c r="H1" s="25">
        <v>4.8005175990582298</v>
      </c>
      <c r="I1" s="22">
        <v>11.8069539997747</v>
      </c>
      <c r="J1" s="7"/>
      <c r="K1" s="7"/>
      <c r="L1" s="7"/>
      <c r="M1" s="7"/>
      <c r="N1" s="7"/>
      <c r="O1" s="7"/>
    </row>
    <row r="2" spans="1:15" ht="15.75">
      <c r="A2" s="19" t="s">
        <v>13</v>
      </c>
      <c r="B2" s="23">
        <v>3.3808011447126498</v>
      </c>
      <c r="C2" s="23">
        <v>4.4235119899999997</v>
      </c>
      <c r="D2" s="31">
        <v>3.9275944379999999</v>
      </c>
      <c r="E2" s="29">
        <v>3.0633707677878199</v>
      </c>
      <c r="F2" s="29">
        <v>6.6108676306941101</v>
      </c>
      <c r="G2" s="30">
        <v>5.4095950416328398</v>
      </c>
      <c r="H2" s="25">
        <v>4.85133597617682</v>
      </c>
      <c r="I2" s="22">
        <v>3.7184947352793301</v>
      </c>
      <c r="J2" s="7"/>
      <c r="K2" s="7"/>
      <c r="L2" s="7"/>
      <c r="M2" s="7"/>
      <c r="N2" s="7"/>
      <c r="O2" s="7"/>
    </row>
    <row r="3" spans="1:15" ht="15.75">
      <c r="A3" s="19" t="s">
        <v>14</v>
      </c>
      <c r="B3" s="23">
        <v>3.7270879113242401</v>
      </c>
      <c r="C3" s="23">
        <v>4.8859401309999999</v>
      </c>
      <c r="D3" s="29">
        <v>3.5541947199999999</v>
      </c>
      <c r="E3" s="29">
        <v>3.4601938458052599</v>
      </c>
      <c r="F3" s="29">
        <v>6.7636311828582496</v>
      </c>
      <c r="G3" s="30">
        <v>5.6201313851768102</v>
      </c>
      <c r="H3" s="25">
        <v>5.7383301633253598</v>
      </c>
      <c r="I3" s="22">
        <v>3.3985773288877401</v>
      </c>
      <c r="J3" s="7"/>
      <c r="K3" s="7"/>
      <c r="L3" s="7"/>
      <c r="M3" s="7"/>
      <c r="N3" s="7"/>
      <c r="O3" s="7"/>
    </row>
    <row r="4" spans="1:15" ht="15.75">
      <c r="A4" s="19" t="s">
        <v>15</v>
      </c>
      <c r="B4" s="23">
        <v>3.3440276532450501</v>
      </c>
      <c r="C4" s="23">
        <v>3.8887640430000001</v>
      </c>
      <c r="D4" s="29">
        <v>4.8</v>
      </c>
      <c r="E4" s="29">
        <v>2.8837243296550099</v>
      </c>
      <c r="F4" s="29">
        <v>7.1</v>
      </c>
      <c r="G4" s="30">
        <v>5.6961181531382596</v>
      </c>
      <c r="H4" s="25">
        <v>5.4316887674038998</v>
      </c>
      <c r="I4" s="22">
        <v>3.5716815090518499</v>
      </c>
      <c r="J4" s="7"/>
      <c r="K4" s="7"/>
      <c r="L4" s="7"/>
      <c r="M4" s="7"/>
      <c r="N4" s="7"/>
      <c r="O4" s="7"/>
    </row>
    <row r="5" spans="1:15" ht="15.75">
      <c r="A5" s="19" t="s">
        <v>16</v>
      </c>
      <c r="B5" s="23">
        <v>4.1001023701391004</v>
      </c>
      <c r="C5" s="23">
        <v>4.0519888340000003</v>
      </c>
      <c r="D5" s="29">
        <v>5.0096127729999997</v>
      </c>
      <c r="E5" s="29">
        <v>4.08335669060836</v>
      </c>
      <c r="F5" s="29">
        <v>7.1149765211019904</v>
      </c>
      <c r="G5" s="30">
        <v>6.1017494749354997</v>
      </c>
      <c r="H5" s="25">
        <v>6.4260901528227699</v>
      </c>
      <c r="I5" s="22">
        <v>11.3086742224317</v>
      </c>
      <c r="J5" s="7"/>
      <c r="K5" s="7"/>
      <c r="L5" s="7"/>
      <c r="M5" s="7"/>
      <c r="N5" s="7"/>
      <c r="O5" s="7"/>
    </row>
    <row r="6" spans="1:15" ht="16.5" thickBot="1">
      <c r="A6" s="19" t="s">
        <v>17</v>
      </c>
      <c r="B6" s="23">
        <v>4.3219898779774599</v>
      </c>
      <c r="C6" s="23">
        <v>5.2</v>
      </c>
      <c r="D6" s="32">
        <v>6.5329118419999999</v>
      </c>
      <c r="E6" s="29">
        <v>5.31360302343034</v>
      </c>
      <c r="F6" s="29">
        <v>7.8481404753078801</v>
      </c>
      <c r="G6" s="30">
        <v>7.27841963691559</v>
      </c>
      <c r="H6" s="25">
        <v>7.3625947497757203</v>
      </c>
      <c r="I6" s="22">
        <v>24.736353372574602</v>
      </c>
      <c r="J6" s="7"/>
      <c r="K6" s="7"/>
      <c r="L6" s="7"/>
      <c r="M6" s="7"/>
      <c r="N6" s="7"/>
      <c r="O6" s="7"/>
    </row>
    <row r="7" spans="1:15" ht="15.75">
      <c r="A7" s="19" t="s">
        <v>18</v>
      </c>
      <c r="B7" s="23">
        <v>6.2191793988968298</v>
      </c>
      <c r="C7" s="23">
        <v>8.3904915310000003</v>
      </c>
      <c r="D7" s="31">
        <v>7.1812639550000004</v>
      </c>
      <c r="E7" s="29">
        <v>5.5732600600592797</v>
      </c>
      <c r="F7" s="29">
        <v>9.0212533501282905</v>
      </c>
      <c r="G7" s="30">
        <v>7.8081919102845703</v>
      </c>
      <c r="H7" s="25">
        <v>8.2620530960358707</v>
      </c>
      <c r="I7" s="22">
        <v>5.2511627780086299</v>
      </c>
      <c r="J7" s="7"/>
      <c r="K7" s="7"/>
      <c r="L7" s="7"/>
      <c r="M7" s="7"/>
      <c r="N7" s="7"/>
      <c r="O7" s="7"/>
    </row>
    <row r="8" spans="1:15" ht="16.5" thickBot="1">
      <c r="A8" s="19" t="s">
        <v>19</v>
      </c>
      <c r="B8" s="23">
        <v>6.3424054256391802</v>
      </c>
      <c r="C8" s="23">
        <v>8.0255363420000005</v>
      </c>
      <c r="D8" s="32">
        <v>7.6835690349999997</v>
      </c>
      <c r="E8" s="29">
        <v>6.2498920323347802</v>
      </c>
      <c r="F8" s="29">
        <v>9.6089471195860501</v>
      </c>
      <c r="G8" s="30">
        <v>8.5145676503858301</v>
      </c>
      <c r="H8" s="25">
        <v>10.0458127555624</v>
      </c>
      <c r="I8" s="22">
        <v>7.1304552968838699</v>
      </c>
      <c r="J8" s="7"/>
      <c r="K8" s="7"/>
      <c r="L8" s="7"/>
      <c r="M8" s="7"/>
      <c r="N8" s="7"/>
      <c r="O8" s="7"/>
    </row>
    <row r="9" spans="1:15" ht="15.75">
      <c r="A9" s="19" t="s">
        <v>20</v>
      </c>
      <c r="B9" s="23">
        <v>3.6593704250424399</v>
      </c>
      <c r="C9" s="23">
        <v>6.5431968439999997</v>
      </c>
      <c r="D9" s="31">
        <v>4.8210543970000002</v>
      </c>
      <c r="E9" s="29">
        <v>4.0356803445101797</v>
      </c>
      <c r="F9" s="29">
        <v>6.8301741340845599</v>
      </c>
      <c r="G9" s="30">
        <v>5.9406636271496804</v>
      </c>
      <c r="H9" s="25">
        <v>7.4158751830151202</v>
      </c>
      <c r="I9" s="22">
        <v>14.181991772376</v>
      </c>
      <c r="J9" s="7"/>
      <c r="K9" s="7"/>
      <c r="L9" s="7"/>
      <c r="M9" s="7"/>
      <c r="N9" s="7"/>
      <c r="O9" s="7"/>
    </row>
    <row r="10" spans="1:15" ht="16.5" thickBot="1">
      <c r="A10" s="19" t="s">
        <v>21</v>
      </c>
      <c r="B10" s="23">
        <v>3.52972828563126</v>
      </c>
      <c r="C10" s="23">
        <v>5.1080961819999997</v>
      </c>
      <c r="D10" s="32">
        <v>4.7086411249999998</v>
      </c>
      <c r="E10" s="29">
        <v>3.7907334617951798</v>
      </c>
      <c r="F10" s="29">
        <v>8.4230889046772504</v>
      </c>
      <c r="G10" s="30">
        <v>6.6834504878747198</v>
      </c>
      <c r="H10" s="25">
        <v>7.6189178737281296</v>
      </c>
      <c r="I10" s="22">
        <v>14.9928123575241</v>
      </c>
      <c r="J10" s="7"/>
      <c r="K10" s="7"/>
      <c r="L10" s="7"/>
      <c r="M10" s="7"/>
      <c r="N10" s="7"/>
      <c r="O10" s="7"/>
    </row>
    <row r="11" spans="1:15" ht="15.75">
      <c r="A11" s="19" t="s">
        <v>22</v>
      </c>
      <c r="B11" s="23">
        <v>3.6</v>
      </c>
      <c r="C11" s="23">
        <v>6.8751317619999996</v>
      </c>
      <c r="D11" s="31">
        <v>5.7734817029999999</v>
      </c>
      <c r="E11" s="29">
        <v>4.4676814039638204</v>
      </c>
      <c r="F11" s="29">
        <v>8.0524630802941406</v>
      </c>
      <c r="G11" s="30">
        <v>6.4766505734628197</v>
      </c>
      <c r="H11" s="25">
        <v>7.9695300531821802</v>
      </c>
      <c r="I11" s="22">
        <v>12.020156613280999</v>
      </c>
      <c r="J11" s="7"/>
      <c r="K11" s="7"/>
      <c r="L11" s="7"/>
      <c r="M11" s="7"/>
      <c r="N11" s="7"/>
      <c r="O11" s="7"/>
    </row>
    <row r="12" spans="1:15" ht="15.75">
      <c r="A12" s="19" t="s">
        <v>23</v>
      </c>
      <c r="B12" s="23">
        <v>4.2467197104969303</v>
      </c>
      <c r="C12" s="23">
        <v>6.5674117089999999</v>
      </c>
      <c r="D12" s="29">
        <v>5.3912044049999999</v>
      </c>
      <c r="E12" s="29">
        <v>4.1934546444845502</v>
      </c>
      <c r="F12" s="29">
        <v>8.5639375496766199</v>
      </c>
      <c r="G12" s="30">
        <v>6.7439577637175798</v>
      </c>
      <c r="H12" s="25">
        <v>6.4853333782297504</v>
      </c>
      <c r="I12" s="22">
        <v>5.1415730031101496</v>
      </c>
      <c r="J12" s="7"/>
      <c r="K12" s="7"/>
      <c r="L12" s="7"/>
      <c r="M12" s="7"/>
      <c r="N12" s="7"/>
      <c r="O12" s="7"/>
    </row>
    <row r="13" spans="1:15" ht="16.5" thickBot="1">
      <c r="A13" s="19" t="s">
        <v>24</v>
      </c>
      <c r="B13" s="23">
        <v>4.9940318506604102</v>
      </c>
      <c r="C13" s="23">
        <v>7.0157656370000003</v>
      </c>
      <c r="D13" s="32">
        <v>5.3491261139999997</v>
      </c>
      <c r="E13" s="29">
        <v>4.3107847981370604</v>
      </c>
      <c r="F13" s="29">
        <v>8.66550310681151</v>
      </c>
      <c r="G13" s="30">
        <v>7.50923945289082</v>
      </c>
      <c r="H13" s="25">
        <v>7.2500710911293504</v>
      </c>
      <c r="I13" s="22">
        <v>10.636987635238899</v>
      </c>
      <c r="J13" s="7"/>
      <c r="K13" s="7"/>
      <c r="L13" s="7"/>
      <c r="M13" s="7"/>
      <c r="N13" s="7"/>
      <c r="O13" s="7"/>
    </row>
    <row r="14" spans="1:15" ht="16.5" thickBot="1">
      <c r="A14" s="19" t="s">
        <v>25</v>
      </c>
      <c r="B14" s="23">
        <v>4.5146199120460002</v>
      </c>
      <c r="C14" s="23">
        <v>6.5272099810000004</v>
      </c>
      <c r="D14" s="33">
        <v>5.7205049189999997</v>
      </c>
      <c r="E14" s="29">
        <v>4.6429393713585903</v>
      </c>
      <c r="F14" s="29">
        <v>8.4847936814790703</v>
      </c>
      <c r="G14" s="30">
        <v>7.5493870026466698</v>
      </c>
      <c r="H14" s="25">
        <v>7.8506973757262299</v>
      </c>
      <c r="I14" s="23">
        <v>12.7516125633801</v>
      </c>
      <c r="J14" s="7"/>
      <c r="K14" s="7"/>
      <c r="L14" s="7"/>
      <c r="M14" s="7"/>
      <c r="N14" s="7"/>
      <c r="O14" s="7"/>
    </row>
    <row r="15" spans="1:15" ht="15.75">
      <c r="A15" s="19" t="s">
        <v>26</v>
      </c>
      <c r="B15" s="23">
        <v>3.4946779787090101</v>
      </c>
      <c r="C15" s="23">
        <v>5.1800190229999998</v>
      </c>
      <c r="D15" s="34">
        <v>4.5097616589999996</v>
      </c>
      <c r="E15" s="29">
        <v>3.66490722879381</v>
      </c>
      <c r="F15" s="29">
        <v>8.3641642728805401</v>
      </c>
      <c r="G15" s="30">
        <v>7.0608298302141304</v>
      </c>
      <c r="H15" s="25">
        <v>6.7124195857475497</v>
      </c>
      <c r="I15" s="23">
        <v>4.8662934753447997</v>
      </c>
      <c r="J15" s="7"/>
      <c r="K15" s="7"/>
      <c r="L15" s="7"/>
      <c r="M15" s="7"/>
      <c r="N15" s="7"/>
      <c r="O15" s="7"/>
    </row>
    <row r="16" spans="1:15" ht="15.75">
      <c r="A16" s="19" t="s">
        <v>27</v>
      </c>
      <c r="B16" s="23">
        <v>3.43990270826774</v>
      </c>
      <c r="C16" s="35">
        <v>5.2</v>
      </c>
      <c r="D16" s="29">
        <v>4.2274112779999999</v>
      </c>
      <c r="E16" s="29">
        <v>3.2966618722225598</v>
      </c>
      <c r="F16" s="29">
        <v>7.2497232894018202</v>
      </c>
      <c r="G16" s="30">
        <v>6.1088410649208598</v>
      </c>
      <c r="H16" s="25">
        <v>6.6688719681107296</v>
      </c>
      <c r="I16" s="23">
        <v>3.6465066988168502</v>
      </c>
      <c r="J16" s="7"/>
      <c r="K16" s="8"/>
      <c r="L16" s="7"/>
      <c r="M16" s="7"/>
      <c r="N16" s="7"/>
      <c r="O16" s="7"/>
    </row>
    <row r="17" spans="1:15" ht="15.75">
      <c r="A17" s="2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  <c r="M17" s="7"/>
      <c r="N17" s="7"/>
      <c r="O17" s="7"/>
    </row>
    <row r="18" spans="1:15" ht="15.75">
      <c r="A18" s="2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</row>
    <row r="19" spans="1:15" ht="15.75">
      <c r="A19" s="2"/>
      <c r="B19" s="7"/>
      <c r="C19" s="7"/>
      <c r="D19" s="7"/>
      <c r="E19" s="7"/>
      <c r="F19" s="7"/>
      <c r="G19" s="7"/>
      <c r="H19" s="7"/>
      <c r="I19" s="7"/>
      <c r="J19" s="7"/>
      <c r="K19" s="8"/>
      <c r="L19" s="7"/>
      <c r="M19" s="7"/>
      <c r="N19" s="7"/>
      <c r="O19" s="7"/>
    </row>
    <row r="20" spans="1:15" ht="15.75">
      <c r="A20" s="2"/>
      <c r="B20" s="7"/>
      <c r="C20" s="7"/>
      <c r="D20" s="7"/>
      <c r="E20" s="7"/>
      <c r="F20" s="7"/>
      <c r="G20" s="7"/>
      <c r="H20" s="7"/>
      <c r="I20" s="7"/>
      <c r="J20" s="7"/>
      <c r="K20" s="8"/>
      <c r="L20" s="7"/>
      <c r="M20" s="7"/>
      <c r="N20" s="7"/>
      <c r="O20" s="7"/>
    </row>
    <row r="21" spans="1:15" ht="15.75">
      <c r="A21" s="2"/>
      <c r="B21" s="7"/>
      <c r="C21" s="7"/>
      <c r="D21" s="7"/>
      <c r="E21" s="7"/>
      <c r="F21" s="7"/>
      <c r="G21" s="7"/>
      <c r="H21" s="7"/>
      <c r="I21" s="7"/>
      <c r="J21" s="7"/>
      <c r="K21" s="8"/>
      <c r="L21" s="7"/>
      <c r="M21" s="7"/>
      <c r="N21" s="7"/>
      <c r="O21" s="7"/>
    </row>
    <row r="22" spans="1:15" ht="15.75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5.75">
      <c r="A23" s="2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</row>
    <row r="24" spans="1:15" ht="15.75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I32" sqref="I32"/>
    </sheetView>
  </sheetViews>
  <sheetFormatPr defaultColWidth="8.85546875" defaultRowHeight="15"/>
  <sheetData>
    <row r="1" spans="1:15" ht="15.75">
      <c r="A1" s="19" t="s">
        <v>12</v>
      </c>
      <c r="B1" s="22">
        <f>4.671*5</f>
        <v>23.355</v>
      </c>
      <c r="C1" s="22">
        <f>4.831*5</f>
        <v>24.155000000000001</v>
      </c>
      <c r="D1" s="22">
        <f>5*4.736</f>
        <v>23.68</v>
      </c>
      <c r="E1" s="22">
        <f>5*4.778</f>
        <v>23.889999999999997</v>
      </c>
      <c r="F1" s="27">
        <f>5*4.74</f>
        <v>23.700000000000003</v>
      </c>
      <c r="G1" s="22">
        <f>4.781*5</f>
        <v>23.904999999999998</v>
      </c>
      <c r="H1" s="22">
        <f>5*4.875</f>
        <v>24.375</v>
      </c>
      <c r="I1" s="22">
        <f>5*5.143</f>
        <v>25.715</v>
      </c>
      <c r="J1" s="22">
        <f>5*4.998</f>
        <v>24.990000000000002</v>
      </c>
      <c r="K1" s="22">
        <f>5*4.878</f>
        <v>24.39</v>
      </c>
      <c r="L1" s="22">
        <f>5*4.884</f>
        <v>24.42</v>
      </c>
      <c r="M1" s="22">
        <f>5*5.411</f>
        <v>27.055</v>
      </c>
      <c r="N1" s="1"/>
      <c r="O1" s="1"/>
    </row>
    <row r="2" spans="1:15" ht="15.75">
      <c r="A2" s="19" t="s">
        <v>13</v>
      </c>
      <c r="B2" s="22">
        <f>3.97*5</f>
        <v>19.850000000000001</v>
      </c>
      <c r="C2" s="22">
        <f>3.792*5</f>
        <v>18.96</v>
      </c>
      <c r="D2" s="22">
        <f>5*3.745</f>
        <v>18.725000000000001</v>
      </c>
      <c r="E2" s="22">
        <f>5*4.301</f>
        <v>21.505000000000003</v>
      </c>
      <c r="F2" s="22">
        <f>5*4.519</f>
        <v>22.594999999999999</v>
      </c>
      <c r="G2" s="22">
        <f>4.643*5</f>
        <v>23.215</v>
      </c>
      <c r="H2" s="22">
        <f>5*4.962</f>
        <v>24.81</v>
      </c>
      <c r="I2" s="22">
        <f>5*5.591</f>
        <v>27.955000000000002</v>
      </c>
      <c r="J2" s="22">
        <f>5*5.56</f>
        <v>27.799999999999997</v>
      </c>
      <c r="K2" s="22">
        <f>5*5.711</f>
        <v>28.555</v>
      </c>
      <c r="L2" s="22">
        <f>5*5.916</f>
        <v>29.580000000000002</v>
      </c>
      <c r="M2" s="22">
        <f>5*7.337</f>
        <v>36.685000000000002</v>
      </c>
      <c r="N2" s="1"/>
      <c r="O2" s="1"/>
    </row>
    <row r="3" spans="1:15" ht="15.75">
      <c r="A3" s="19" t="s">
        <v>14</v>
      </c>
      <c r="B3" s="22">
        <f>4.145*5</f>
        <v>20.724999999999998</v>
      </c>
      <c r="C3" s="22">
        <f>4.056*5</f>
        <v>20.28</v>
      </c>
      <c r="D3" s="22">
        <f>5*4.089</f>
        <v>20.445</v>
      </c>
      <c r="E3" s="22">
        <f>5*4.324</f>
        <v>21.619999999999997</v>
      </c>
      <c r="F3" s="22">
        <f>5*4.305</f>
        <v>21.524999999999999</v>
      </c>
      <c r="G3" s="22">
        <f>4.344*5</f>
        <v>21.720000000000002</v>
      </c>
      <c r="H3" s="22">
        <f>5*4.599</f>
        <v>22.995000000000001</v>
      </c>
      <c r="I3" s="22">
        <f>5*4.904</f>
        <v>24.52</v>
      </c>
      <c r="J3" s="22">
        <f>5*4.875</f>
        <v>24.375</v>
      </c>
      <c r="K3" s="22">
        <f>5*5.007</f>
        <v>25.034999999999997</v>
      </c>
      <c r="L3" s="22">
        <f>5*5.246</f>
        <v>26.230000000000004</v>
      </c>
      <c r="M3" s="22">
        <f>5*6.858</f>
        <v>34.29</v>
      </c>
      <c r="N3" s="1"/>
      <c r="O3" s="1"/>
    </row>
    <row r="4" spans="1:15" ht="15.75">
      <c r="A4" s="19" t="s">
        <v>15</v>
      </c>
      <c r="B4" s="22">
        <f>3.99*5</f>
        <v>19.950000000000003</v>
      </c>
      <c r="C4" s="22">
        <f>3.651*5</f>
        <v>18.254999999999999</v>
      </c>
      <c r="D4" s="22">
        <f>5*3.426</f>
        <v>17.130000000000003</v>
      </c>
      <c r="E4" s="22">
        <f>5*3.419</f>
        <v>17.094999999999999</v>
      </c>
      <c r="F4" s="22">
        <f>5*3.413</f>
        <v>17.064999999999998</v>
      </c>
      <c r="G4" s="22">
        <f>3.437*5</f>
        <v>17.184999999999999</v>
      </c>
      <c r="H4" s="22">
        <f>5*3.643</f>
        <v>18.215</v>
      </c>
      <c r="I4" s="22">
        <f>5*3.917</f>
        <v>19.585000000000001</v>
      </c>
      <c r="J4" s="22">
        <f>5*3.914</f>
        <v>19.57</v>
      </c>
      <c r="K4" s="22">
        <f>5*3.97</f>
        <v>19.850000000000001</v>
      </c>
      <c r="L4" s="22">
        <f>5*4.332</f>
        <v>21.66</v>
      </c>
      <c r="M4" s="36"/>
      <c r="N4" s="1"/>
      <c r="O4" s="1"/>
    </row>
    <row r="5" spans="1:15" ht="15.75">
      <c r="A5" s="19" t="s">
        <v>16</v>
      </c>
      <c r="B5" s="22">
        <f>3.663*5</f>
        <v>18.314999999999998</v>
      </c>
      <c r="C5" s="22">
        <f>3.363*5</f>
        <v>16.815000000000001</v>
      </c>
      <c r="D5" s="22">
        <f>5*3.152</f>
        <v>15.760000000000002</v>
      </c>
      <c r="E5" s="22">
        <f>5*3.1</f>
        <v>15.5</v>
      </c>
      <c r="F5" s="22">
        <f>5*3.129</f>
        <v>15.645</v>
      </c>
      <c r="G5" s="22">
        <f>3.243*5</f>
        <v>16.215</v>
      </c>
      <c r="H5" s="22">
        <f>5*3.449</f>
        <v>17.244999999999997</v>
      </c>
      <c r="I5" s="22">
        <f>5*3.725</f>
        <v>18.625</v>
      </c>
      <c r="J5" s="22">
        <f>5*3.728</f>
        <v>18.64</v>
      </c>
      <c r="K5" s="22">
        <f>5*3.686</f>
        <v>18.43</v>
      </c>
      <c r="L5" s="22">
        <f>5*3.861</f>
        <v>19.305</v>
      </c>
      <c r="M5" s="36"/>
      <c r="N5" s="1"/>
      <c r="O5" s="1"/>
    </row>
    <row r="6" spans="1:15" ht="15.75">
      <c r="A6" s="19" t="s">
        <v>17</v>
      </c>
      <c r="B6" s="22">
        <f>4.092*5</f>
        <v>20.459999999999997</v>
      </c>
      <c r="C6" s="22">
        <f>4.285*5</f>
        <v>21.425000000000001</v>
      </c>
      <c r="D6" s="22">
        <f>5*4.248</f>
        <v>21.240000000000002</v>
      </c>
      <c r="E6" s="22">
        <f>5*4.532</f>
        <v>22.66</v>
      </c>
      <c r="F6" s="22">
        <f>5*4.612</f>
        <v>23.060000000000002</v>
      </c>
      <c r="G6" s="22">
        <f>4.77*5</f>
        <v>23.849999999999998</v>
      </c>
      <c r="H6" s="22">
        <f>5*5.118</f>
        <v>25.590000000000003</v>
      </c>
      <c r="I6" s="22">
        <f>5*5.472</f>
        <v>27.360000000000003</v>
      </c>
      <c r="J6" s="22">
        <f>5*5.503</f>
        <v>27.515000000000001</v>
      </c>
      <c r="K6" s="22">
        <f>5*5.466</f>
        <v>27.330000000000002</v>
      </c>
      <c r="L6" s="22">
        <f>5*5.719</f>
        <v>28.595000000000002</v>
      </c>
      <c r="M6" s="22">
        <f>5*6.359</f>
        <v>31.795000000000002</v>
      </c>
      <c r="N6" s="1"/>
      <c r="O6" s="1"/>
    </row>
    <row r="7" spans="1:15" ht="15.75">
      <c r="A7" s="19" t="s">
        <v>18</v>
      </c>
      <c r="B7" s="22">
        <f>4.137*5</f>
        <v>20.684999999999999</v>
      </c>
      <c r="C7" s="22">
        <f>4.338*5</f>
        <v>21.69</v>
      </c>
      <c r="D7" s="22">
        <f>5*4.36</f>
        <v>21.8</v>
      </c>
      <c r="E7" s="22">
        <f>5*4.57</f>
        <v>22.85</v>
      </c>
      <c r="F7" s="22">
        <f>5*4.725</f>
        <v>23.625</v>
      </c>
      <c r="G7" s="22">
        <f>4.844*5</f>
        <v>24.220000000000002</v>
      </c>
      <c r="H7" s="22">
        <f>5*5.33</f>
        <v>26.65</v>
      </c>
      <c r="I7" s="22">
        <f>5*5.783</f>
        <v>28.915000000000003</v>
      </c>
      <c r="J7" s="22">
        <f>5*5.841</f>
        <v>29.205000000000002</v>
      </c>
      <c r="K7" s="22">
        <f>5*6.038</f>
        <v>30.19</v>
      </c>
      <c r="L7" s="22">
        <f>5*6.456</f>
        <v>32.28</v>
      </c>
      <c r="M7" s="22">
        <f>5*7.628</f>
        <v>38.14</v>
      </c>
      <c r="N7" s="1"/>
      <c r="O7" s="1"/>
    </row>
    <row r="8" spans="1:15" ht="15.75">
      <c r="A8" s="19" t="s">
        <v>19</v>
      </c>
      <c r="B8" s="22">
        <f>4.054*5</f>
        <v>20.270000000000003</v>
      </c>
      <c r="C8" s="22">
        <f>4.291*5</f>
        <v>21.455000000000002</v>
      </c>
      <c r="D8" s="22">
        <f>5*4.37</f>
        <v>21.85</v>
      </c>
      <c r="E8" s="22">
        <f>5*4.627</f>
        <v>23.134999999999998</v>
      </c>
      <c r="F8" s="22">
        <f>5*4.833</f>
        <v>24.164999999999999</v>
      </c>
      <c r="G8" s="22">
        <f>5.06*5</f>
        <v>25.299999999999997</v>
      </c>
      <c r="H8" s="22">
        <f>5*5.66</f>
        <v>28.3</v>
      </c>
      <c r="I8" s="22">
        <f>5*6.224</f>
        <v>31.12</v>
      </c>
      <c r="J8" s="22">
        <f>5*6.305</f>
        <v>31.524999999999999</v>
      </c>
      <c r="K8" s="22">
        <f>5*6.517</f>
        <v>32.585000000000001</v>
      </c>
      <c r="L8" s="22">
        <f>5*6.878</f>
        <v>34.39</v>
      </c>
      <c r="M8" s="22">
        <f>5*7.917</f>
        <v>39.585000000000001</v>
      </c>
      <c r="N8" s="1"/>
      <c r="O8" s="1"/>
    </row>
    <row r="9" spans="1:15" ht="15.75">
      <c r="A9" s="19" t="s">
        <v>20</v>
      </c>
      <c r="B9" s="22">
        <f>3.801*5</f>
        <v>19.005000000000003</v>
      </c>
      <c r="C9" s="22">
        <f>3.65*5</f>
        <v>18.25</v>
      </c>
      <c r="D9" s="22">
        <f>5*3.588</f>
        <v>17.940000000000001</v>
      </c>
      <c r="E9" s="22">
        <f>5*3.616</f>
        <v>18.080000000000002</v>
      </c>
      <c r="F9" s="22">
        <f>5*3.693</f>
        <v>18.465</v>
      </c>
      <c r="G9" s="22">
        <f>3.804*5</f>
        <v>19.02</v>
      </c>
      <c r="H9" s="22">
        <f>5*4.019</f>
        <v>20.094999999999999</v>
      </c>
      <c r="I9" s="22">
        <f>5*4.308</f>
        <v>21.54</v>
      </c>
      <c r="J9" s="22">
        <f>5*4.219</f>
        <v>21.095000000000002</v>
      </c>
      <c r="K9" s="22">
        <f>5*4.167</f>
        <v>20.835000000000001</v>
      </c>
      <c r="L9" s="22">
        <f>5*4.328</f>
        <v>21.64</v>
      </c>
      <c r="M9" s="22">
        <f>5*4.794</f>
        <v>23.97</v>
      </c>
      <c r="N9" s="1"/>
      <c r="O9" s="1"/>
    </row>
    <row r="10" spans="1:15" ht="15.75">
      <c r="A10" s="19" t="s">
        <v>21</v>
      </c>
      <c r="B10" s="22">
        <f>3.794*5</f>
        <v>18.97</v>
      </c>
      <c r="C10" s="22">
        <f>3.639*5</f>
        <v>18.195</v>
      </c>
      <c r="D10" s="22">
        <f>5*3.468</f>
        <v>17.34</v>
      </c>
      <c r="E10" s="22">
        <f>5*3.506</f>
        <v>17.529999999999998</v>
      </c>
      <c r="F10" s="22">
        <f>5*3.605</f>
        <v>18.024999999999999</v>
      </c>
      <c r="G10" s="22">
        <f>3.71*5</f>
        <v>18.55</v>
      </c>
      <c r="H10" s="22">
        <f>5*4.004</f>
        <v>20.019999999999996</v>
      </c>
      <c r="I10" s="22">
        <f>5*4.323</f>
        <v>21.615000000000002</v>
      </c>
      <c r="J10" s="22">
        <f>5*4.307</f>
        <v>21.535000000000004</v>
      </c>
      <c r="K10" s="22">
        <f>5*4.274</f>
        <v>21.37</v>
      </c>
      <c r="L10" s="22">
        <f>5*4.466</f>
        <v>22.330000000000002</v>
      </c>
      <c r="M10" s="22">
        <f>5*5.027</f>
        <v>25.135000000000002</v>
      </c>
      <c r="N10" s="1"/>
      <c r="O10" s="1"/>
    </row>
    <row r="11" spans="1:15" ht="15.75">
      <c r="A11" s="19" t="s">
        <v>22</v>
      </c>
      <c r="B11" s="22">
        <f>4.402*5</f>
        <v>22.01</v>
      </c>
      <c r="C11" s="22">
        <f>4.739*5</f>
        <v>23.695</v>
      </c>
      <c r="D11" s="22">
        <f>5*4.723</f>
        <v>23.614999999999998</v>
      </c>
      <c r="E11" s="22">
        <f>5*5.01</f>
        <v>25.049999999999997</v>
      </c>
      <c r="F11" s="22">
        <f>5*5.123</f>
        <v>25.615000000000002</v>
      </c>
      <c r="G11" s="22">
        <f>5.304*5</f>
        <v>26.520000000000003</v>
      </c>
      <c r="H11" s="22">
        <f>5*5.71</f>
        <v>28.55</v>
      </c>
      <c r="I11" s="22">
        <f>5*6.163</f>
        <v>30.815000000000001</v>
      </c>
      <c r="J11" s="22">
        <f>5*6.169</f>
        <v>30.844999999999999</v>
      </c>
      <c r="K11" s="22">
        <f>5*6.329</f>
        <v>31.645</v>
      </c>
      <c r="L11" s="22">
        <f>5*6.448</f>
        <v>32.24</v>
      </c>
      <c r="M11" s="22">
        <f>5*7.333</f>
        <v>36.664999999999999</v>
      </c>
      <c r="N11" s="1"/>
      <c r="O11" s="1"/>
    </row>
    <row r="12" spans="1:15" ht="15.75">
      <c r="A12" s="19" t="s">
        <v>23</v>
      </c>
      <c r="B12" s="22">
        <f>4.352*5</f>
        <v>21.76</v>
      </c>
      <c r="C12" s="22">
        <f>4.458*5</f>
        <v>22.29</v>
      </c>
      <c r="D12" s="22">
        <f>5*4.418</f>
        <v>22.09</v>
      </c>
      <c r="E12" s="22">
        <f>5*4.571</f>
        <v>22.854999999999997</v>
      </c>
      <c r="F12" s="22">
        <f>5*4.641</f>
        <v>23.204999999999998</v>
      </c>
      <c r="G12" s="22">
        <f>4.766*5</f>
        <v>23.83</v>
      </c>
      <c r="H12" s="22">
        <f>5*5.091</f>
        <v>25.455000000000002</v>
      </c>
      <c r="I12" s="22">
        <f>5*5.547</f>
        <v>27.734999999999999</v>
      </c>
      <c r="J12" s="22">
        <f>5*5.487</f>
        <v>27.435000000000002</v>
      </c>
      <c r="K12" s="22">
        <f>5*5.614</f>
        <v>28.07</v>
      </c>
      <c r="L12" s="22">
        <f>5*5.728</f>
        <v>28.64</v>
      </c>
      <c r="M12" s="22">
        <f>5*6.429</f>
        <v>32.145000000000003</v>
      </c>
      <c r="N12" s="1"/>
      <c r="O12" s="1"/>
    </row>
    <row r="13" spans="1:15" ht="15.75">
      <c r="A13" s="19" t="s">
        <v>24</v>
      </c>
      <c r="B13" s="22">
        <f>4.117*5</f>
        <v>20.585000000000001</v>
      </c>
      <c r="C13" s="22">
        <f>4.173*5</f>
        <v>20.865000000000002</v>
      </c>
      <c r="D13" s="22">
        <f>5*4.147</f>
        <v>20.734999999999999</v>
      </c>
      <c r="E13" s="22">
        <f>5*4.268</f>
        <v>21.34</v>
      </c>
      <c r="F13" s="22">
        <f>5*4.332</f>
        <v>21.66</v>
      </c>
      <c r="G13" s="22">
        <f>4.421*5</f>
        <v>22.105</v>
      </c>
      <c r="H13" s="22">
        <f>5*4.68</f>
        <v>23.4</v>
      </c>
      <c r="I13" s="22">
        <f>5*5.007</f>
        <v>25.034999999999997</v>
      </c>
      <c r="J13" s="22">
        <f>5*5.05</f>
        <v>25.25</v>
      </c>
      <c r="K13" s="22">
        <f>5*5.191</f>
        <v>25.954999999999998</v>
      </c>
      <c r="L13" s="22">
        <f>5*5.29</f>
        <v>26.45</v>
      </c>
      <c r="M13" s="22">
        <f>5*5.838</f>
        <v>29.19</v>
      </c>
      <c r="N13" s="1"/>
      <c r="O13" s="1"/>
    </row>
    <row r="14" spans="1:15" ht="15.75">
      <c r="A14" s="19" t="s">
        <v>25</v>
      </c>
      <c r="B14" s="22">
        <f>3.888*5</f>
        <v>19.439999999999998</v>
      </c>
      <c r="C14" s="22">
        <f>5*4.343</f>
        <v>21.715</v>
      </c>
      <c r="D14" s="22">
        <f>5*4.44</f>
        <v>22.200000000000003</v>
      </c>
      <c r="E14" s="22">
        <f>5*4.856</f>
        <v>24.28</v>
      </c>
      <c r="F14" s="22">
        <f>5*5.088</f>
        <v>25.44</v>
      </c>
      <c r="G14" s="22">
        <f>5.372*5</f>
        <v>26.86</v>
      </c>
      <c r="H14" s="22">
        <f>5*5.973</f>
        <v>29.864999999999998</v>
      </c>
      <c r="I14" s="27">
        <f>5*6.579</f>
        <v>32.894999999999996</v>
      </c>
      <c r="J14" s="22">
        <f>5*6.596</f>
        <v>32.980000000000004</v>
      </c>
      <c r="K14" s="22">
        <f>5*6.874</f>
        <v>34.369999999999997</v>
      </c>
      <c r="L14" s="22">
        <f>5*7.137</f>
        <v>35.684999999999995</v>
      </c>
      <c r="M14" s="22">
        <f>5*8.01</f>
        <v>40.049999999999997</v>
      </c>
      <c r="N14" s="1"/>
      <c r="O14" s="1"/>
    </row>
    <row r="15" spans="1:15" ht="15.75">
      <c r="A15" s="19" t="s">
        <v>26</v>
      </c>
      <c r="B15" s="22">
        <f>3.91*5</f>
        <v>19.55</v>
      </c>
      <c r="C15" s="22">
        <f>5*3.724</f>
        <v>18.62</v>
      </c>
      <c r="D15" s="22">
        <f>5*3.666</f>
        <v>18.329999999999998</v>
      </c>
      <c r="E15" s="22">
        <f>5*4.026</f>
        <v>20.13</v>
      </c>
      <c r="F15" s="22">
        <f>5*4.138</f>
        <v>20.689999999999998</v>
      </c>
      <c r="G15" s="22">
        <f>4.295*5</f>
        <v>21.475000000000001</v>
      </c>
      <c r="H15" s="22">
        <f>5*4.681</f>
        <v>23.405000000000001</v>
      </c>
      <c r="I15" s="22">
        <f>5*5.045</f>
        <v>25.225000000000001</v>
      </c>
      <c r="J15" s="22">
        <f>5*4.986</f>
        <v>24.93</v>
      </c>
      <c r="K15" s="22">
        <f>5*5.158</f>
        <v>25.790000000000003</v>
      </c>
      <c r="L15" s="22">
        <f>5*5.112</f>
        <v>25.560000000000002</v>
      </c>
      <c r="M15" s="22">
        <f>5*5.536</f>
        <v>27.68</v>
      </c>
      <c r="N15" s="1"/>
      <c r="O15" s="1"/>
    </row>
    <row r="16" spans="1:15" ht="15.75">
      <c r="A16" s="19" t="s">
        <v>27</v>
      </c>
      <c r="B16" s="22">
        <f>3.809*5</f>
        <v>19.045000000000002</v>
      </c>
      <c r="C16" s="22">
        <f>5*3.736</f>
        <v>18.68</v>
      </c>
      <c r="D16" s="22">
        <f>5*4.042</f>
        <v>20.21</v>
      </c>
      <c r="E16" s="36">
        <f>5*3.873</f>
        <v>19.365000000000002</v>
      </c>
      <c r="F16" s="22">
        <f>5*3.932</f>
        <v>19.66</v>
      </c>
      <c r="G16" s="22">
        <f>4.049*5</f>
        <v>20.245000000000001</v>
      </c>
      <c r="H16" s="22">
        <f>5*4.466</f>
        <v>22.330000000000002</v>
      </c>
      <c r="I16" s="22">
        <f>5*4.943</f>
        <v>24.714999999999996</v>
      </c>
      <c r="J16" s="22">
        <f>5*4.836</f>
        <v>24.18</v>
      </c>
      <c r="K16" s="22">
        <f>5*5.012</f>
        <v>25.06</v>
      </c>
      <c r="L16" s="22">
        <f>5*5.063</f>
        <v>25.314999999999998</v>
      </c>
      <c r="M16" s="22">
        <f>5*5.592</f>
        <v>27.959999999999997</v>
      </c>
      <c r="N16" s="1"/>
      <c r="O16" s="1"/>
    </row>
    <row r="17" spans="1:15" ht="15.75">
      <c r="A17" s="2"/>
      <c r="B17" s="12"/>
      <c r="C17" s="14"/>
      <c r="D17" s="11"/>
      <c r="E17" s="9"/>
      <c r="F17" s="11"/>
      <c r="G17" s="11"/>
      <c r="H17" s="9"/>
      <c r="I17" s="11"/>
      <c r="J17" s="6"/>
      <c r="K17" s="1"/>
      <c r="L17" s="1"/>
      <c r="M17" s="1"/>
      <c r="N17" s="1"/>
      <c r="O17" s="1"/>
    </row>
    <row r="18" spans="1:15" ht="15.75">
      <c r="A18" s="2"/>
      <c r="B18" s="12"/>
      <c r="C18" s="14"/>
      <c r="D18" s="11"/>
      <c r="E18" s="15"/>
      <c r="F18" s="11"/>
      <c r="G18" s="11"/>
      <c r="H18" s="9"/>
      <c r="I18" s="11"/>
      <c r="J18" s="6"/>
      <c r="K18" s="1"/>
      <c r="L18" s="1"/>
      <c r="M18" s="1"/>
      <c r="N18" s="1"/>
      <c r="O18" s="1"/>
    </row>
    <row r="19" spans="1:15" ht="15.75">
      <c r="A19" s="2"/>
      <c r="B19" s="12"/>
      <c r="C19" s="14"/>
      <c r="D19" s="11"/>
      <c r="E19" s="9"/>
      <c r="F19" s="16"/>
      <c r="G19" s="11"/>
      <c r="H19" s="9"/>
      <c r="I19" s="11"/>
      <c r="J19" s="6"/>
      <c r="K19" s="1"/>
      <c r="L19" s="1"/>
      <c r="M19" s="1"/>
      <c r="N19" s="1"/>
      <c r="O19" s="1"/>
    </row>
    <row r="20" spans="1:15" ht="15.75">
      <c r="A20" s="2"/>
      <c r="B20" s="12"/>
      <c r="C20" s="13"/>
      <c r="D20" s="11"/>
      <c r="E20" s="9"/>
      <c r="F20" s="16"/>
      <c r="G20" s="11"/>
      <c r="H20" s="9"/>
      <c r="I20" s="11"/>
      <c r="J20" s="6"/>
      <c r="K20" s="1"/>
      <c r="L20" s="1"/>
      <c r="M20" s="1"/>
      <c r="N20" s="1"/>
      <c r="O20" s="1"/>
    </row>
    <row r="21" spans="1:15" ht="15.75">
      <c r="A21" s="2"/>
      <c r="B21" s="6"/>
      <c r="C21" s="14"/>
      <c r="D21" s="11"/>
      <c r="E21" s="9"/>
      <c r="F21" s="16"/>
      <c r="G21" s="11"/>
      <c r="H21" s="9"/>
      <c r="I21" s="11"/>
      <c r="J21" s="6"/>
      <c r="K21" s="1"/>
      <c r="L21" s="1"/>
      <c r="M21" s="1"/>
      <c r="N21" s="1"/>
      <c r="O21" s="1"/>
    </row>
    <row r="22" spans="1:15" ht="15.75">
      <c r="A22" s="2"/>
      <c r="B22" s="12"/>
      <c r="C22" s="14"/>
      <c r="D22" s="11"/>
      <c r="E22" s="9"/>
      <c r="F22" s="10"/>
      <c r="G22" s="11"/>
      <c r="H22" s="9"/>
      <c r="I22" s="11"/>
      <c r="J22" s="6"/>
      <c r="K22" s="1"/>
      <c r="L22" s="1"/>
      <c r="M22" s="1"/>
      <c r="N22" s="1"/>
      <c r="O22" s="1"/>
    </row>
    <row r="23" spans="1:15" ht="15.75">
      <c r="A23" s="2"/>
      <c r="B23" s="6"/>
      <c r="C23" s="14"/>
      <c r="D23" s="11"/>
      <c r="E23" s="9"/>
      <c r="F23" s="16"/>
      <c r="G23" s="11"/>
      <c r="H23" s="9"/>
      <c r="I23" s="11"/>
      <c r="J23" s="6"/>
      <c r="K23" s="1"/>
      <c r="L23" s="1"/>
      <c r="M23" s="1"/>
      <c r="N23" s="1"/>
      <c r="O23" s="1"/>
    </row>
    <row r="24" spans="1:15" ht="15.75">
      <c r="A24" s="2"/>
      <c r="B24" s="6"/>
      <c r="C24" s="13"/>
      <c r="D24" s="11"/>
      <c r="E24" s="9"/>
      <c r="F24" s="16"/>
      <c r="G24" s="11"/>
      <c r="H24" s="9"/>
      <c r="I24" s="11"/>
      <c r="J24" s="6"/>
      <c r="K24" s="1"/>
      <c r="L24" s="1"/>
      <c r="M24" s="1"/>
      <c r="N24" s="1"/>
      <c r="O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t (days)</vt:lpstr>
      <vt:lpstr>NO3 (mg L)</vt:lpstr>
      <vt:lpstr>DOC (mg L)</vt:lpstr>
      <vt:lpstr>SO4 (mg 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vcant</dc:creator>
  <cp:lastModifiedBy>vcant</cp:lastModifiedBy>
  <dcterms:created xsi:type="dcterms:W3CDTF">2024-12-13T10:35:09Z</dcterms:created>
  <dcterms:modified xsi:type="dcterms:W3CDTF">2025-04-28T13:12:36Z</dcterms:modified>
</cp:coreProperties>
</file>