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cant\Documents\AmmerBatch\data\exp_raw\"/>
    </mc:Choice>
  </mc:AlternateContent>
  <bookViews>
    <workbookView xWindow="0" yWindow="0" windowWidth="28800" windowHeight="11610"/>
  </bookViews>
  <sheets>
    <sheet name="info" sheetId="1" r:id="rId1"/>
    <sheet name="t (days)" sheetId="8" r:id="rId2"/>
    <sheet name="NO3 (mg L)" sheetId="7" r:id="rId3"/>
    <sheet name="DOC (mg L)" sheetId="2" r:id="rId4"/>
    <sheet name="SO4 (mg L)" sheetId="3" r:id="rId5"/>
    <sheet name="NH4 (mg L)" sheetId="4" r:id="rId6"/>
    <sheet name="N2O (ppm)" sheetId="5" r:id="rId7"/>
    <sheet name="NO2- (mg L)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7" l="1"/>
  <c r="I24" i="7"/>
  <c r="H24" i="7"/>
  <c r="G24" i="7"/>
  <c r="F24" i="7"/>
  <c r="E24" i="7"/>
  <c r="D24" i="7"/>
  <c r="C24" i="7"/>
  <c r="B24" i="7"/>
  <c r="O23" i="7"/>
  <c r="N23" i="7"/>
  <c r="M23" i="7"/>
  <c r="L23" i="7"/>
  <c r="J23" i="7"/>
  <c r="I23" i="7"/>
  <c r="H23" i="7"/>
  <c r="G23" i="7"/>
  <c r="F23" i="7"/>
  <c r="E23" i="7"/>
  <c r="D23" i="7"/>
  <c r="C23" i="7"/>
  <c r="B23" i="7"/>
  <c r="O22" i="7"/>
  <c r="N22" i="7"/>
  <c r="J22" i="7"/>
  <c r="I22" i="7"/>
  <c r="H22" i="7"/>
  <c r="G22" i="7"/>
  <c r="F22" i="7"/>
  <c r="E22" i="7"/>
  <c r="D22" i="7"/>
  <c r="C22" i="7"/>
  <c r="B22" i="7"/>
  <c r="O21" i="7"/>
  <c r="N21" i="7"/>
  <c r="M21" i="7"/>
  <c r="L21" i="7"/>
  <c r="J21" i="7"/>
  <c r="I21" i="7"/>
  <c r="H21" i="7"/>
  <c r="G21" i="7"/>
  <c r="F21" i="7"/>
  <c r="E21" i="7"/>
  <c r="D21" i="7"/>
  <c r="C21" i="7"/>
  <c r="B21" i="7"/>
  <c r="O20" i="7"/>
  <c r="N20" i="7"/>
  <c r="M20" i="7"/>
  <c r="L20" i="7"/>
  <c r="J20" i="7"/>
  <c r="I20" i="7"/>
  <c r="H20" i="7"/>
  <c r="G20" i="7"/>
  <c r="F20" i="7"/>
  <c r="E20" i="7"/>
  <c r="D20" i="7"/>
  <c r="C20" i="7"/>
  <c r="B20" i="7"/>
  <c r="N19" i="7"/>
  <c r="L19" i="7"/>
  <c r="J19" i="7"/>
  <c r="I19" i="7"/>
  <c r="H19" i="7"/>
  <c r="G19" i="7"/>
  <c r="F19" i="7"/>
  <c r="E19" i="7"/>
  <c r="D19" i="7"/>
  <c r="C19" i="7"/>
  <c r="B19" i="7"/>
  <c r="O18" i="7"/>
  <c r="N18" i="7"/>
  <c r="L18" i="7"/>
  <c r="J18" i="7"/>
  <c r="I18" i="7"/>
  <c r="H18" i="7"/>
  <c r="G18" i="7"/>
  <c r="F18" i="7"/>
  <c r="E18" i="7"/>
  <c r="D18" i="7"/>
  <c r="C18" i="7"/>
  <c r="B18" i="7"/>
  <c r="O17" i="7"/>
  <c r="N17" i="7"/>
  <c r="J17" i="7"/>
  <c r="I17" i="7"/>
  <c r="G17" i="7"/>
  <c r="F17" i="7"/>
  <c r="E17" i="7"/>
  <c r="D17" i="7"/>
  <c r="C17" i="7"/>
  <c r="B17" i="7"/>
  <c r="M16" i="7"/>
  <c r="J16" i="7"/>
  <c r="I16" i="7"/>
  <c r="H16" i="7"/>
  <c r="G16" i="7"/>
  <c r="F16" i="7"/>
  <c r="E16" i="7"/>
  <c r="D16" i="7"/>
  <c r="C16" i="7"/>
  <c r="B16" i="7"/>
  <c r="O15" i="7"/>
  <c r="N15" i="7"/>
  <c r="M15" i="7"/>
  <c r="L15" i="7"/>
  <c r="J15" i="7"/>
  <c r="I15" i="7"/>
  <c r="H15" i="7"/>
  <c r="G15" i="7"/>
  <c r="F15" i="7"/>
  <c r="E15" i="7"/>
  <c r="D15" i="7"/>
  <c r="C15" i="7"/>
  <c r="B15" i="7"/>
  <c r="N14" i="7"/>
  <c r="M14" i="7"/>
  <c r="L14" i="7"/>
  <c r="I14" i="7"/>
  <c r="H14" i="7"/>
  <c r="G14" i="7"/>
  <c r="F14" i="7"/>
  <c r="E14" i="7"/>
  <c r="D14" i="7"/>
  <c r="C14" i="7"/>
  <c r="B14" i="7"/>
  <c r="N13" i="7"/>
  <c r="M13" i="7"/>
  <c r="L13" i="7"/>
  <c r="J13" i="7"/>
  <c r="I13" i="7"/>
  <c r="G13" i="7"/>
  <c r="F13" i="7"/>
  <c r="E13" i="7"/>
  <c r="D13" i="7"/>
  <c r="C13" i="7"/>
  <c r="B13" i="7"/>
  <c r="O12" i="7"/>
  <c r="N12" i="7"/>
  <c r="M12" i="7"/>
  <c r="L12" i="7"/>
  <c r="J12" i="7"/>
  <c r="G12" i="7"/>
  <c r="F12" i="7"/>
  <c r="E12" i="7"/>
  <c r="D12" i="7"/>
  <c r="C12" i="7"/>
  <c r="B12" i="7"/>
  <c r="N11" i="7"/>
  <c r="M11" i="7"/>
  <c r="L11" i="7"/>
  <c r="J11" i="7"/>
  <c r="I11" i="7"/>
  <c r="H11" i="7"/>
  <c r="G11" i="7"/>
  <c r="F11" i="7"/>
  <c r="E11" i="7"/>
  <c r="D11" i="7"/>
  <c r="C11" i="7"/>
  <c r="B11" i="7"/>
  <c r="O10" i="7"/>
  <c r="N10" i="7"/>
  <c r="J10" i="7"/>
  <c r="I10" i="7"/>
  <c r="H10" i="7"/>
  <c r="G10" i="7"/>
  <c r="E10" i="7"/>
  <c r="D10" i="7"/>
  <c r="C10" i="7"/>
  <c r="B10" i="7"/>
  <c r="O9" i="7"/>
  <c r="N9" i="7"/>
  <c r="M9" i="7"/>
  <c r="L9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L7" i="7"/>
  <c r="J7" i="7"/>
  <c r="I7" i="7"/>
  <c r="H7" i="7"/>
  <c r="G7" i="7"/>
  <c r="F7" i="7"/>
  <c r="E7" i="7"/>
  <c r="D7" i="7"/>
  <c r="B7" i="7"/>
  <c r="N6" i="7"/>
  <c r="J6" i="7"/>
  <c r="I6" i="7"/>
  <c r="H6" i="7"/>
  <c r="F6" i="7"/>
  <c r="E6" i="7"/>
  <c r="D6" i="7"/>
  <c r="C6" i="7"/>
  <c r="B6" i="7"/>
  <c r="N5" i="7"/>
  <c r="L5" i="7"/>
  <c r="J5" i="7"/>
  <c r="I5" i="7"/>
  <c r="H5" i="7"/>
  <c r="G5" i="7"/>
  <c r="F5" i="7"/>
  <c r="E5" i="7"/>
  <c r="D5" i="7"/>
  <c r="C5" i="7"/>
  <c r="B5" i="7"/>
  <c r="O4" i="7"/>
  <c r="N4" i="7"/>
  <c r="M4" i="7"/>
  <c r="J4" i="7"/>
  <c r="I4" i="7"/>
  <c r="H4" i="7"/>
  <c r="G4" i="7"/>
  <c r="F4" i="7"/>
  <c r="E4" i="7"/>
  <c r="D4" i="7"/>
  <c r="C4" i="7"/>
  <c r="B4" i="7"/>
  <c r="O3" i="7"/>
  <c r="N3" i="7"/>
  <c r="M3" i="7"/>
  <c r="L3" i="7"/>
  <c r="J3" i="7"/>
  <c r="I3" i="7"/>
  <c r="H3" i="7"/>
  <c r="G3" i="7"/>
  <c r="F3" i="7"/>
  <c r="E3" i="7"/>
  <c r="D3" i="7"/>
  <c r="C3" i="7"/>
  <c r="B3" i="7"/>
  <c r="O2" i="7"/>
  <c r="N2" i="7"/>
  <c r="L2" i="7"/>
  <c r="J2" i="7"/>
  <c r="I2" i="7"/>
  <c r="H2" i="7"/>
  <c r="G2" i="7"/>
  <c r="F2" i="7"/>
  <c r="E2" i="7"/>
  <c r="D2" i="7"/>
  <c r="C2" i="7"/>
  <c r="B2" i="7"/>
  <c r="O1" i="7"/>
  <c r="N1" i="7"/>
  <c r="M1" i="7"/>
  <c r="L1" i="7"/>
  <c r="J1" i="7"/>
  <c r="I1" i="7"/>
  <c r="H1" i="7"/>
  <c r="G1" i="7"/>
  <c r="F1" i="7"/>
  <c r="E1" i="7"/>
  <c r="D1" i="7"/>
  <c r="C1" i="7"/>
  <c r="B1" i="7"/>
  <c r="C24" i="6"/>
  <c r="C23" i="6"/>
  <c r="B23" i="6"/>
  <c r="C22" i="6"/>
  <c r="B22" i="6"/>
  <c r="C21" i="6"/>
  <c r="B21" i="6"/>
  <c r="C20" i="6"/>
  <c r="B20" i="6"/>
  <c r="C19" i="6"/>
  <c r="B19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1" i="6"/>
  <c r="B1" i="6"/>
  <c r="H24" i="4"/>
  <c r="G24" i="4"/>
  <c r="F24" i="4"/>
  <c r="E24" i="4"/>
  <c r="C24" i="4"/>
  <c r="H23" i="4"/>
  <c r="G23" i="4"/>
  <c r="E23" i="4"/>
  <c r="C23" i="4"/>
  <c r="B23" i="4"/>
  <c r="H22" i="4"/>
  <c r="G22" i="4"/>
  <c r="E22" i="4"/>
  <c r="D22" i="4"/>
  <c r="C22" i="4"/>
  <c r="B22" i="4"/>
  <c r="H21" i="4"/>
  <c r="G21" i="4"/>
  <c r="E21" i="4"/>
  <c r="D21" i="4"/>
  <c r="C21" i="4"/>
  <c r="B21" i="4"/>
  <c r="H20" i="4"/>
  <c r="G20" i="4"/>
  <c r="F20" i="4"/>
  <c r="E20" i="4"/>
  <c r="C20" i="4"/>
  <c r="B20" i="4"/>
  <c r="H19" i="4"/>
  <c r="G19" i="4"/>
  <c r="F19" i="4"/>
  <c r="E19" i="4"/>
  <c r="C19" i="4"/>
  <c r="B19" i="4"/>
  <c r="H18" i="4"/>
  <c r="G18" i="4"/>
  <c r="F18" i="4"/>
  <c r="E18" i="4"/>
  <c r="D18" i="4"/>
  <c r="C18" i="4"/>
  <c r="B18" i="4"/>
  <c r="H17" i="4"/>
  <c r="G17" i="4"/>
  <c r="E17" i="4"/>
  <c r="D17" i="4"/>
  <c r="C17" i="4"/>
  <c r="B17" i="4"/>
  <c r="H16" i="4"/>
  <c r="G16" i="4"/>
  <c r="F16" i="4"/>
  <c r="E16" i="4"/>
  <c r="D16" i="4"/>
  <c r="C16" i="4"/>
  <c r="B16" i="4"/>
  <c r="H15" i="4"/>
  <c r="G15" i="4"/>
  <c r="E15" i="4"/>
  <c r="D15" i="4"/>
  <c r="C15" i="4"/>
  <c r="B15" i="4"/>
  <c r="H14" i="4"/>
  <c r="G14" i="4"/>
  <c r="F14" i="4"/>
  <c r="E14" i="4"/>
  <c r="D14" i="4"/>
  <c r="C14" i="4"/>
  <c r="B14" i="4"/>
  <c r="H13" i="4"/>
  <c r="G13" i="4"/>
  <c r="F13" i="4"/>
  <c r="E13" i="4"/>
  <c r="D13" i="4"/>
  <c r="C13" i="4"/>
  <c r="B13" i="4"/>
  <c r="H12" i="4"/>
  <c r="G12" i="4"/>
  <c r="E12" i="4"/>
  <c r="D12" i="4"/>
  <c r="C12" i="4"/>
  <c r="B12" i="4"/>
  <c r="H11" i="4"/>
  <c r="G11" i="4"/>
  <c r="E11" i="4"/>
  <c r="D11" i="4"/>
  <c r="C11" i="4"/>
  <c r="B11" i="4"/>
  <c r="H10" i="4"/>
  <c r="G10" i="4"/>
  <c r="F10" i="4"/>
  <c r="E10" i="4"/>
  <c r="D10" i="4"/>
  <c r="B10" i="4"/>
  <c r="H9" i="4"/>
  <c r="G9" i="4"/>
  <c r="E9" i="4"/>
  <c r="D9" i="4"/>
  <c r="C9" i="4"/>
  <c r="B9" i="4"/>
  <c r="H8" i="4"/>
  <c r="G8" i="4"/>
  <c r="E8" i="4"/>
  <c r="D8" i="4"/>
  <c r="C8" i="4"/>
  <c r="B8" i="4"/>
  <c r="E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E4" i="4"/>
  <c r="D4" i="4"/>
  <c r="C4" i="4"/>
  <c r="B4" i="4"/>
  <c r="H3" i="4"/>
  <c r="G3" i="4"/>
  <c r="D3" i="4"/>
  <c r="B3" i="4"/>
  <c r="H2" i="4"/>
  <c r="G2" i="4"/>
  <c r="E2" i="4"/>
  <c r="D2" i="4"/>
  <c r="C2" i="4"/>
  <c r="B2" i="4"/>
  <c r="I24" i="3"/>
  <c r="H24" i="3"/>
  <c r="G24" i="3"/>
  <c r="E24" i="3"/>
  <c r="D24" i="3"/>
  <c r="C24" i="3"/>
  <c r="B24" i="3"/>
  <c r="I23" i="3"/>
  <c r="G23" i="3"/>
  <c r="E23" i="3"/>
  <c r="D23" i="3"/>
  <c r="C23" i="3"/>
  <c r="B23" i="3"/>
  <c r="I22" i="3"/>
  <c r="H22" i="3"/>
  <c r="G22" i="3"/>
  <c r="E22" i="3"/>
  <c r="D22" i="3"/>
  <c r="C22" i="3"/>
  <c r="B22" i="3"/>
  <c r="I21" i="3"/>
  <c r="H21" i="3"/>
  <c r="G21" i="3"/>
  <c r="E21" i="3"/>
  <c r="D21" i="3"/>
  <c r="C21" i="3"/>
  <c r="B21" i="3"/>
  <c r="I20" i="3"/>
  <c r="H20" i="3"/>
  <c r="G20" i="3"/>
  <c r="D20" i="3"/>
  <c r="C20" i="3"/>
  <c r="B20" i="3"/>
  <c r="H19" i="3"/>
  <c r="G19" i="3"/>
  <c r="D19" i="3"/>
  <c r="C19" i="3"/>
  <c r="B19" i="3"/>
  <c r="H18" i="3"/>
  <c r="G18" i="3"/>
  <c r="F18" i="3"/>
  <c r="E18" i="3"/>
  <c r="D18" i="3"/>
  <c r="C18" i="3"/>
  <c r="B18" i="3"/>
  <c r="I17" i="3"/>
  <c r="G17" i="3"/>
  <c r="F17" i="3"/>
  <c r="E17" i="3"/>
  <c r="D17" i="3"/>
  <c r="C17" i="3"/>
  <c r="B17" i="3"/>
  <c r="I16" i="3"/>
  <c r="G16" i="3"/>
  <c r="F16" i="3"/>
  <c r="E16" i="3"/>
  <c r="D16" i="3"/>
  <c r="C16" i="3"/>
  <c r="B16" i="3"/>
  <c r="I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I12" i="3"/>
  <c r="H12" i="3"/>
  <c r="G12" i="3"/>
  <c r="F12" i="3"/>
  <c r="E12" i="3"/>
  <c r="D12" i="3"/>
  <c r="C12" i="3"/>
  <c r="B12" i="3"/>
  <c r="I11" i="3"/>
  <c r="H11" i="3"/>
  <c r="G11" i="3"/>
  <c r="F11" i="3"/>
  <c r="E11" i="3"/>
  <c r="D11" i="3"/>
  <c r="C11" i="3"/>
  <c r="B11" i="3"/>
  <c r="H10" i="3"/>
  <c r="F10" i="3"/>
  <c r="E10" i="3"/>
  <c r="D10" i="3"/>
  <c r="C10" i="3"/>
  <c r="B10" i="3"/>
  <c r="I9" i="3"/>
  <c r="H9" i="3"/>
  <c r="F9" i="3"/>
  <c r="E9" i="3"/>
  <c r="D9" i="3"/>
  <c r="C9" i="3"/>
  <c r="B9" i="3"/>
  <c r="I8" i="3"/>
  <c r="H8" i="3"/>
  <c r="F8" i="3"/>
  <c r="E8" i="3"/>
  <c r="D8" i="3"/>
  <c r="C8" i="3"/>
  <c r="B8" i="3"/>
  <c r="I7" i="3"/>
  <c r="F7" i="3"/>
  <c r="E7" i="3"/>
  <c r="B7" i="3"/>
  <c r="I6" i="3"/>
  <c r="H6" i="3"/>
  <c r="F6" i="3"/>
  <c r="E6" i="3"/>
  <c r="D6" i="3"/>
  <c r="C6" i="3"/>
  <c r="B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I2" i="3"/>
  <c r="H2" i="3"/>
  <c r="G2" i="3"/>
  <c r="F2" i="3"/>
  <c r="E2" i="3"/>
  <c r="D2" i="3"/>
  <c r="C2" i="3"/>
  <c r="B2" i="3"/>
  <c r="I1" i="3"/>
  <c r="H1" i="3"/>
  <c r="F1" i="3"/>
  <c r="E1" i="3"/>
  <c r="D1" i="3"/>
  <c r="C1" i="3"/>
</calcChain>
</file>

<file path=xl/sharedStrings.xml><?xml version="1.0" encoding="utf-8"?>
<sst xmlns="http://schemas.openxmlformats.org/spreadsheetml/2006/main" count="199" uniqueCount="40">
  <si>
    <t>Name</t>
  </si>
  <si>
    <t>Short ID</t>
  </si>
  <si>
    <t>Fazies</t>
  </si>
  <si>
    <t>TOC %</t>
  </si>
  <si>
    <t>Sample</t>
  </si>
  <si>
    <t>A301</t>
  </si>
  <si>
    <t>C1</t>
  </si>
  <si>
    <t>A302</t>
  </si>
  <si>
    <t>T1</t>
  </si>
  <si>
    <t>A303</t>
  </si>
  <si>
    <t>T2</t>
  </si>
  <si>
    <t>A306</t>
  </si>
  <si>
    <t>T4</t>
  </si>
  <si>
    <t>A308</t>
  </si>
  <si>
    <t>T9</t>
  </si>
  <si>
    <t>A310</t>
  </si>
  <si>
    <t>T8</t>
  </si>
  <si>
    <t>A402</t>
  </si>
  <si>
    <t>C2</t>
  </si>
  <si>
    <t>A403</t>
  </si>
  <si>
    <t>A405</t>
  </si>
  <si>
    <t>A406</t>
  </si>
  <si>
    <t>A502</t>
  </si>
  <si>
    <t>A503</t>
  </si>
  <si>
    <t>T6</t>
  </si>
  <si>
    <t>A504</t>
  </si>
  <si>
    <t>A507</t>
  </si>
  <si>
    <t>A508</t>
  </si>
  <si>
    <t>A509</t>
  </si>
  <si>
    <t>T7</t>
  </si>
  <si>
    <t>A510</t>
  </si>
  <si>
    <t>A603</t>
  </si>
  <si>
    <t>A604</t>
  </si>
  <si>
    <t>A904</t>
  </si>
  <si>
    <t>A905</t>
  </si>
  <si>
    <t>A906</t>
  </si>
  <si>
    <t>A907</t>
  </si>
  <si>
    <t>A908</t>
  </si>
  <si>
    <t>t</t>
  </si>
  <si>
    <t>dry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</si>
</sst>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2" sqref="F2"/>
    </sheetView>
  </sheetViews>
  <sheetFormatPr defaultRowHeight="15" x14ac:dyDescent="0.25"/>
  <sheetData>
    <row r="1" spans="1:6" ht="15.75" x14ac:dyDescent="0.25">
      <c r="A1" s="3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8" t="s">
        <v>39</v>
      </c>
    </row>
    <row r="2" spans="1:6" ht="15.75" x14ac:dyDescent="0.25">
      <c r="A2" s="4" t="s">
        <v>5</v>
      </c>
      <c r="B2" s="1"/>
      <c r="C2" s="2">
        <v>23</v>
      </c>
      <c r="D2" s="2" t="s">
        <v>6</v>
      </c>
      <c r="E2" s="5">
        <v>1.3</v>
      </c>
      <c r="F2" s="27">
        <v>12.135000000000019</v>
      </c>
    </row>
    <row r="3" spans="1:6" ht="15.75" x14ac:dyDescent="0.25">
      <c r="A3" s="4" t="s">
        <v>7</v>
      </c>
      <c r="B3" s="1"/>
      <c r="C3" s="2">
        <v>2</v>
      </c>
      <c r="D3" s="2" t="s">
        <v>8</v>
      </c>
      <c r="E3" s="5">
        <v>0.65</v>
      </c>
      <c r="F3" s="27">
        <v>22.545000000000016</v>
      </c>
    </row>
    <row r="4" spans="1:6" ht="15.75" x14ac:dyDescent="0.25">
      <c r="A4" s="4" t="s">
        <v>9</v>
      </c>
      <c r="B4" s="1"/>
      <c r="C4" s="2">
        <v>4</v>
      </c>
      <c r="D4" s="2" t="s">
        <v>10</v>
      </c>
      <c r="E4" s="5">
        <v>2.9</v>
      </c>
      <c r="F4" s="27">
        <v>12.605000000000018</v>
      </c>
    </row>
    <row r="5" spans="1:6" ht="15.75" x14ac:dyDescent="0.25">
      <c r="A5" s="4" t="s">
        <v>11</v>
      </c>
      <c r="B5" s="1"/>
      <c r="C5" s="2">
        <v>7</v>
      </c>
      <c r="D5" s="2" t="s">
        <v>12</v>
      </c>
      <c r="E5" s="5">
        <v>2.06</v>
      </c>
      <c r="F5" s="27">
        <v>13.975000000000023</v>
      </c>
    </row>
    <row r="6" spans="1:6" ht="15.75" x14ac:dyDescent="0.25">
      <c r="A6" s="4" t="s">
        <v>13</v>
      </c>
      <c r="B6" s="1"/>
      <c r="C6" s="2">
        <v>21</v>
      </c>
      <c r="D6" s="2" t="s">
        <v>14</v>
      </c>
      <c r="E6" s="5">
        <v>40.1</v>
      </c>
      <c r="F6" s="27">
        <v>5.1450000000000244</v>
      </c>
    </row>
    <row r="7" spans="1:6" ht="15.75" x14ac:dyDescent="0.25">
      <c r="A7" s="4" t="s">
        <v>15</v>
      </c>
      <c r="B7" s="1"/>
      <c r="C7" s="2">
        <v>17</v>
      </c>
      <c r="D7" s="2" t="s">
        <v>16</v>
      </c>
      <c r="E7" s="5">
        <v>24.6</v>
      </c>
      <c r="F7" s="27">
        <v>5.5650000000000261</v>
      </c>
    </row>
    <row r="8" spans="1:6" ht="15.75" x14ac:dyDescent="0.25">
      <c r="A8" s="4" t="s">
        <v>17</v>
      </c>
      <c r="B8" s="1"/>
      <c r="C8" s="2">
        <v>24</v>
      </c>
      <c r="D8" s="2" t="s">
        <v>18</v>
      </c>
      <c r="E8" s="5">
        <v>0.89</v>
      </c>
      <c r="F8" s="27">
        <v>17.325000000000017</v>
      </c>
    </row>
    <row r="9" spans="1:6" ht="15.75" x14ac:dyDescent="0.25">
      <c r="A9" s="4" t="s">
        <v>19</v>
      </c>
      <c r="B9" s="1"/>
      <c r="C9" s="2">
        <v>3</v>
      </c>
      <c r="D9" s="2" t="s">
        <v>8</v>
      </c>
      <c r="E9" s="5">
        <v>0.53</v>
      </c>
      <c r="F9" s="27">
        <v>19.115000000000023</v>
      </c>
    </row>
    <row r="10" spans="1:6" ht="15.75" x14ac:dyDescent="0.25">
      <c r="A10" s="4" t="s">
        <v>20</v>
      </c>
      <c r="B10" s="1"/>
      <c r="C10" s="2">
        <v>9</v>
      </c>
      <c r="D10" s="2" t="s">
        <v>12</v>
      </c>
      <c r="E10" s="5">
        <v>3.49</v>
      </c>
      <c r="F10" s="27">
        <v>13.135000000000019</v>
      </c>
    </row>
    <row r="11" spans="1:6" ht="15.75" x14ac:dyDescent="0.25">
      <c r="A11" s="4" t="s">
        <v>21</v>
      </c>
      <c r="B11" s="1"/>
      <c r="C11" s="2">
        <v>22</v>
      </c>
      <c r="D11" s="2" t="s">
        <v>14</v>
      </c>
      <c r="E11" s="5">
        <v>29.5</v>
      </c>
      <c r="F11" s="27">
        <v>3.8150000000000261</v>
      </c>
    </row>
    <row r="12" spans="1:6" ht="15.75" x14ac:dyDescent="0.25">
      <c r="A12" s="4" t="s">
        <v>22</v>
      </c>
      <c r="B12" s="1"/>
      <c r="C12" s="2">
        <v>1</v>
      </c>
      <c r="D12" s="2" t="s">
        <v>8</v>
      </c>
      <c r="E12" s="5">
        <v>0.45</v>
      </c>
      <c r="F12" s="27">
        <v>20.995000000000019</v>
      </c>
    </row>
    <row r="13" spans="1:6" ht="15.75" x14ac:dyDescent="0.25">
      <c r="A13" s="4" t="s">
        <v>23</v>
      </c>
      <c r="B13" s="1"/>
      <c r="C13" s="2">
        <v>11</v>
      </c>
      <c r="D13" s="2" t="s">
        <v>24</v>
      </c>
      <c r="E13" s="5">
        <v>19.600000000000001</v>
      </c>
      <c r="F13" s="27">
        <v>3.3450000000000131</v>
      </c>
    </row>
    <row r="14" spans="1:6" ht="15.75" x14ac:dyDescent="0.25">
      <c r="A14" s="4" t="s">
        <v>25</v>
      </c>
      <c r="B14" s="1"/>
      <c r="C14" s="2">
        <v>18</v>
      </c>
      <c r="D14" s="2" t="s">
        <v>16</v>
      </c>
      <c r="E14" s="5">
        <v>20.100000000000001</v>
      </c>
      <c r="F14" s="27">
        <v>7.0950000000000131</v>
      </c>
    </row>
    <row r="15" spans="1:6" ht="15.75" x14ac:dyDescent="0.25">
      <c r="A15" s="4" t="s">
        <v>26</v>
      </c>
      <c r="B15" s="1"/>
      <c r="C15" s="2">
        <v>20</v>
      </c>
      <c r="D15" s="2" t="s">
        <v>14</v>
      </c>
      <c r="E15" s="5">
        <v>30.8</v>
      </c>
      <c r="F15" s="27">
        <v>3.555000000000021</v>
      </c>
    </row>
    <row r="16" spans="1:6" ht="15.75" x14ac:dyDescent="0.25">
      <c r="A16" s="4" t="s">
        <v>27</v>
      </c>
      <c r="B16" s="1"/>
      <c r="C16" s="2">
        <v>6</v>
      </c>
      <c r="D16" s="2" t="s">
        <v>10</v>
      </c>
      <c r="E16" s="5">
        <v>4.9000000000000004</v>
      </c>
      <c r="F16" s="27">
        <v>13.625000000000014</v>
      </c>
    </row>
    <row r="17" spans="1:6" ht="15.75" x14ac:dyDescent="0.25">
      <c r="A17" s="4" t="s">
        <v>28</v>
      </c>
      <c r="B17" s="1"/>
      <c r="C17" s="2">
        <v>15</v>
      </c>
      <c r="D17" s="2" t="s">
        <v>29</v>
      </c>
      <c r="E17" s="5">
        <v>25.4</v>
      </c>
      <c r="F17" s="27">
        <v>5.7650000000000148</v>
      </c>
    </row>
    <row r="18" spans="1:6" ht="15.75" x14ac:dyDescent="0.25">
      <c r="A18" s="4" t="s">
        <v>30</v>
      </c>
      <c r="B18" s="1"/>
      <c r="C18" s="2">
        <v>12</v>
      </c>
      <c r="D18" s="2" t="s">
        <v>24</v>
      </c>
      <c r="E18" s="5">
        <v>11.2</v>
      </c>
      <c r="F18" s="27">
        <v>5.8750000000000142</v>
      </c>
    </row>
    <row r="19" spans="1:6" ht="15.75" x14ac:dyDescent="0.25">
      <c r="A19" s="4" t="s">
        <v>31</v>
      </c>
      <c r="B19" s="1"/>
      <c r="C19" s="2">
        <v>13</v>
      </c>
      <c r="D19" s="2" t="s">
        <v>29</v>
      </c>
      <c r="E19" s="5">
        <v>8.5</v>
      </c>
      <c r="F19" s="27">
        <v>8.9750000000000227</v>
      </c>
    </row>
    <row r="20" spans="1:6" ht="15.75" x14ac:dyDescent="0.25">
      <c r="A20" s="4" t="s">
        <v>32</v>
      </c>
      <c r="B20" s="1"/>
      <c r="C20" s="2">
        <v>14</v>
      </c>
      <c r="D20" s="2" t="s">
        <v>29</v>
      </c>
      <c r="E20" s="5">
        <v>15.4</v>
      </c>
      <c r="F20" s="27">
        <v>4.9350000000000165</v>
      </c>
    </row>
    <row r="21" spans="1:6" ht="15.75" x14ac:dyDescent="0.25">
      <c r="A21" s="4" t="s">
        <v>33</v>
      </c>
      <c r="B21" s="1"/>
      <c r="C21" s="2">
        <v>16</v>
      </c>
      <c r="D21" s="2" t="s">
        <v>29</v>
      </c>
      <c r="E21" s="5">
        <v>9.4</v>
      </c>
      <c r="F21" s="27">
        <v>6.2650000000000148</v>
      </c>
    </row>
    <row r="22" spans="1:6" ht="15.75" x14ac:dyDescent="0.25">
      <c r="A22" s="4" t="s">
        <v>34</v>
      </c>
      <c r="B22" s="1"/>
      <c r="C22" s="2">
        <v>8</v>
      </c>
      <c r="D22" s="2" t="s">
        <v>12</v>
      </c>
      <c r="E22" s="5">
        <v>6.5</v>
      </c>
      <c r="F22" s="27">
        <v>7.285000000000025</v>
      </c>
    </row>
    <row r="23" spans="1:6" ht="15.75" x14ac:dyDescent="0.25">
      <c r="A23" s="4" t="s">
        <v>35</v>
      </c>
      <c r="B23" s="1"/>
      <c r="C23" s="2">
        <v>10</v>
      </c>
      <c r="D23" s="2" t="s">
        <v>24</v>
      </c>
      <c r="E23" s="5">
        <v>9.1</v>
      </c>
      <c r="F23" s="27">
        <v>12.185000000000016</v>
      </c>
    </row>
    <row r="24" spans="1:6" ht="15.75" x14ac:dyDescent="0.25">
      <c r="A24" s="4" t="s">
        <v>36</v>
      </c>
      <c r="B24" s="1"/>
      <c r="C24" s="2">
        <v>5</v>
      </c>
      <c r="D24" s="2" t="s">
        <v>10</v>
      </c>
      <c r="E24" s="5">
        <v>3.4</v>
      </c>
      <c r="F24" s="27">
        <v>15.115000000000023</v>
      </c>
    </row>
    <row r="25" spans="1:6" ht="15.75" x14ac:dyDescent="0.25">
      <c r="A25" s="4" t="s">
        <v>37</v>
      </c>
      <c r="B25" s="1"/>
      <c r="C25" s="2">
        <v>19</v>
      </c>
      <c r="D25" s="2" t="s">
        <v>16</v>
      </c>
      <c r="E25" s="5">
        <v>30.5</v>
      </c>
      <c r="F25" s="27">
        <v>1.4750000000000227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D7" sqref="D7"/>
    </sheetView>
  </sheetViews>
  <sheetFormatPr defaultRowHeight="15" x14ac:dyDescent="0.25"/>
  <sheetData>
    <row r="1" spans="1:1" x14ac:dyDescent="0.25">
      <c r="A1" t="s">
        <v>38</v>
      </c>
    </row>
    <row r="2" spans="1:1" x14ac:dyDescent="0.25">
      <c r="A2">
        <v>0</v>
      </c>
    </row>
    <row r="3" spans="1:1" x14ac:dyDescent="0.25">
      <c r="A3">
        <v>3</v>
      </c>
    </row>
    <row r="4" spans="1:1" x14ac:dyDescent="0.25">
      <c r="A4">
        <v>5</v>
      </c>
    </row>
    <row r="5" spans="1:1" x14ac:dyDescent="0.25">
      <c r="A5">
        <v>14</v>
      </c>
    </row>
    <row r="6" spans="1:1" x14ac:dyDescent="0.25">
      <c r="A6">
        <v>25</v>
      </c>
    </row>
    <row r="7" spans="1:1" x14ac:dyDescent="0.25">
      <c r="A7">
        <v>37</v>
      </c>
    </row>
    <row r="8" spans="1:1" x14ac:dyDescent="0.25">
      <c r="A8">
        <v>51</v>
      </c>
    </row>
    <row r="9" spans="1:1" x14ac:dyDescent="0.25">
      <c r="A9">
        <v>65</v>
      </c>
    </row>
    <row r="10" spans="1:1" x14ac:dyDescent="0.25">
      <c r="A10">
        <v>84</v>
      </c>
    </row>
    <row r="11" spans="1:1" x14ac:dyDescent="0.25">
      <c r="A11">
        <v>100</v>
      </c>
    </row>
    <row r="12" spans="1:1" x14ac:dyDescent="0.25">
      <c r="A12">
        <v>108</v>
      </c>
    </row>
    <row r="13" spans="1:1" x14ac:dyDescent="0.25">
      <c r="A13">
        <v>134</v>
      </c>
    </row>
    <row r="14" spans="1:1" x14ac:dyDescent="0.25">
      <c r="A14">
        <v>150</v>
      </c>
    </row>
    <row r="15" spans="1:1" x14ac:dyDescent="0.25">
      <c r="A15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R11" sqref="R11"/>
    </sheetView>
  </sheetViews>
  <sheetFormatPr defaultRowHeight="15" x14ac:dyDescent="0.25"/>
  <sheetData>
    <row r="1" spans="1:15" ht="15.75" x14ac:dyDescent="0.25">
      <c r="A1" s="4" t="s">
        <v>5</v>
      </c>
      <c r="B1" s="6">
        <f>34.941*5</f>
        <v>174.70500000000001</v>
      </c>
      <c r="C1" s="7">
        <f>35.344*5</f>
        <v>176.72</v>
      </c>
      <c r="D1" s="6">
        <f>35.453*5</f>
        <v>177.26500000000001</v>
      </c>
      <c r="E1" s="7">
        <f>5*33.915</f>
        <v>169.57499999999999</v>
      </c>
      <c r="F1" s="7">
        <f>42.275*4</f>
        <v>169.1</v>
      </c>
      <c r="G1" s="7">
        <f>41.999*4</f>
        <v>167.99600000000001</v>
      </c>
      <c r="H1" s="7">
        <f>40.705*4</f>
        <v>162.82</v>
      </c>
      <c r="I1" s="6">
        <f>38.739*4</f>
        <v>154.95599999999999</v>
      </c>
      <c r="J1" s="6">
        <f>36.752*4</f>
        <v>147.00800000000001</v>
      </c>
      <c r="K1" s="6"/>
      <c r="L1" s="6">
        <f>32.88*4</f>
        <v>131.52000000000001</v>
      </c>
      <c r="M1" s="6">
        <f>31.182*4</f>
        <v>124.72799999999999</v>
      </c>
      <c r="N1" s="6">
        <f>29.707*4</f>
        <v>118.828</v>
      </c>
      <c r="O1" s="6">
        <f>26.218*4</f>
        <v>104.872</v>
      </c>
    </row>
    <row r="2" spans="1:15" ht="15.75" x14ac:dyDescent="0.25">
      <c r="A2" s="4" t="s">
        <v>7</v>
      </c>
      <c r="B2" s="6">
        <f>30.3*5</f>
        <v>151.5</v>
      </c>
      <c r="C2" s="7">
        <f>31.68*5</f>
        <v>158.4</v>
      </c>
      <c r="D2" s="6">
        <f>30.311*5</f>
        <v>151.55500000000001</v>
      </c>
      <c r="E2" s="7">
        <f>5*28.836</f>
        <v>144.18</v>
      </c>
      <c r="F2" s="7">
        <f>32.585*4</f>
        <v>130.34</v>
      </c>
      <c r="G2" s="6">
        <f>31.313*4</f>
        <v>125.252</v>
      </c>
      <c r="H2" s="7">
        <f>28.975*4</f>
        <v>115.9</v>
      </c>
      <c r="I2" s="6">
        <f>26.063*4</f>
        <v>104.252</v>
      </c>
      <c r="J2" s="6">
        <f>24.68*4</f>
        <v>98.72</v>
      </c>
      <c r="K2" s="6"/>
      <c r="L2" s="6">
        <f>21.581*4</f>
        <v>86.323999999999998</v>
      </c>
      <c r="M2" s="6">
        <v>86</v>
      </c>
      <c r="N2" s="6">
        <f>21.791*4</f>
        <v>87.164000000000001</v>
      </c>
      <c r="O2" s="6">
        <f>21.61*4</f>
        <v>86.44</v>
      </c>
    </row>
    <row r="3" spans="1:15" ht="15.75" x14ac:dyDescent="0.25">
      <c r="A3" s="4" t="s">
        <v>9</v>
      </c>
      <c r="B3" s="6">
        <f>38.168*5</f>
        <v>190.84</v>
      </c>
      <c r="C3" s="7">
        <f>37.119*5</f>
        <v>185.595</v>
      </c>
      <c r="D3" s="6">
        <f>37.135*5</f>
        <v>185.67499999999998</v>
      </c>
      <c r="E3" s="7">
        <f>5*36.167</f>
        <v>180.83500000000001</v>
      </c>
      <c r="F3" s="7">
        <f>44.559*4</f>
        <v>178.23599999999999</v>
      </c>
      <c r="G3" s="7">
        <f>46.17*4</f>
        <v>184.68</v>
      </c>
      <c r="H3" s="7">
        <f>43.937*4</f>
        <v>175.74799999999999</v>
      </c>
      <c r="I3" s="6">
        <f>42.696*4</f>
        <v>170.78399999999999</v>
      </c>
      <c r="J3" s="6">
        <f>41.828*4</f>
        <v>167.31200000000001</v>
      </c>
      <c r="K3" s="6"/>
      <c r="L3" s="6">
        <f>38.752*4</f>
        <v>155.00800000000001</v>
      </c>
      <c r="M3" s="6">
        <f>36.487*4</f>
        <v>145.94800000000001</v>
      </c>
      <c r="N3" s="6">
        <f>39.184*4</f>
        <v>156.73599999999999</v>
      </c>
      <c r="O3" s="6">
        <f>39.605*4</f>
        <v>158.41999999999999</v>
      </c>
    </row>
    <row r="4" spans="1:15" ht="15.75" x14ac:dyDescent="0.25">
      <c r="A4" s="4" t="s">
        <v>11</v>
      </c>
      <c r="B4" s="6">
        <f>38.051*5</f>
        <v>190.255</v>
      </c>
      <c r="C4" s="7">
        <f>36.867*5</f>
        <v>184.33499999999998</v>
      </c>
      <c r="D4" s="6">
        <f>37.956*5</f>
        <v>189.78000000000003</v>
      </c>
      <c r="E4" s="7">
        <f>5*36.649</f>
        <v>183.245</v>
      </c>
      <c r="F4" s="7">
        <f>45.446*4</f>
        <v>181.78399999999999</v>
      </c>
      <c r="G4" s="7">
        <f>46.859*4</f>
        <v>187.43600000000001</v>
      </c>
      <c r="H4" s="7">
        <f>44.682*4</f>
        <v>178.72800000000001</v>
      </c>
      <c r="I4" s="6">
        <f>43.123*4</f>
        <v>172.49199999999999</v>
      </c>
      <c r="J4" s="6">
        <f>42.032*4</f>
        <v>168.12799999999999</v>
      </c>
      <c r="K4" s="6"/>
      <c r="L4" s="6">
        <v>160</v>
      </c>
      <c r="M4" s="6">
        <f>35.636*4</f>
        <v>142.54400000000001</v>
      </c>
      <c r="N4" s="6">
        <f>37.705*4</f>
        <v>150.82</v>
      </c>
      <c r="O4" s="6">
        <f>37.829*4</f>
        <v>151.316</v>
      </c>
    </row>
    <row r="5" spans="1:15" ht="15.75" x14ac:dyDescent="0.25">
      <c r="A5" s="4" t="s">
        <v>13</v>
      </c>
      <c r="B5" s="6">
        <f>37.342*5</f>
        <v>186.70999999999998</v>
      </c>
      <c r="C5" s="7">
        <f>36.139*5</f>
        <v>180.69500000000002</v>
      </c>
      <c r="D5" s="6">
        <f>36.962*5</f>
        <v>184.81</v>
      </c>
      <c r="E5" s="7">
        <f>5*34.137</f>
        <v>170.685</v>
      </c>
      <c r="F5" s="7">
        <f>35.423*4</f>
        <v>141.69200000000001</v>
      </c>
      <c r="G5" s="7">
        <f>30.359*4</f>
        <v>121.43600000000001</v>
      </c>
      <c r="H5" s="7">
        <f>28.165*4</f>
        <v>112.66</v>
      </c>
      <c r="I5" s="6">
        <f>25.872*4</f>
        <v>103.488</v>
      </c>
      <c r="J5" s="6">
        <f>25.34*4</f>
        <v>101.36</v>
      </c>
      <c r="K5" s="6"/>
      <c r="L5" s="6">
        <f>21.899*4</f>
        <v>87.596000000000004</v>
      </c>
      <c r="M5" s="6">
        <v>87</v>
      </c>
      <c r="N5" s="6">
        <f>21.001*4</f>
        <v>84.004000000000005</v>
      </c>
      <c r="O5" s="6">
        <v>82</v>
      </c>
    </row>
    <row r="6" spans="1:15" ht="15.75" x14ac:dyDescent="0.25">
      <c r="A6" s="4" t="s">
        <v>15</v>
      </c>
      <c r="B6" s="6">
        <f>37.054*5</f>
        <v>185.27</v>
      </c>
      <c r="C6" s="7">
        <f>35.582*5</f>
        <v>177.91</v>
      </c>
      <c r="D6" s="6">
        <f>36.966*5</f>
        <v>184.83</v>
      </c>
      <c r="E6" s="7">
        <f>5*33.719</f>
        <v>168.595</v>
      </c>
      <c r="F6" s="7">
        <f>40.983*4</f>
        <v>163.93199999999999</v>
      </c>
      <c r="G6" s="8">
        <v>158</v>
      </c>
      <c r="H6" s="7">
        <f>32.53*4</f>
        <v>130.12</v>
      </c>
      <c r="I6" s="6">
        <f>21.553*4</f>
        <v>86.212000000000003</v>
      </c>
      <c r="J6" s="6">
        <f>19.903*4</f>
        <v>79.611999999999995</v>
      </c>
      <c r="K6" s="6"/>
      <c r="L6" s="6">
        <v>72</v>
      </c>
      <c r="M6" s="6">
        <v>73</v>
      </c>
      <c r="N6" s="6">
        <f>15.514*4</f>
        <v>62.055999999999997</v>
      </c>
      <c r="O6" s="6">
        <v>58</v>
      </c>
    </row>
    <row r="7" spans="1:15" ht="15.75" x14ac:dyDescent="0.25">
      <c r="A7" s="4" t="s">
        <v>17</v>
      </c>
      <c r="B7" s="6">
        <f>14.738*5</f>
        <v>73.69</v>
      </c>
      <c r="C7" s="7">
        <v>50</v>
      </c>
      <c r="D7" s="6">
        <f>7.27*5</f>
        <v>36.349999999999994</v>
      </c>
      <c r="E7" s="7">
        <f>6.906*5</f>
        <v>34.53</v>
      </c>
      <c r="F7" s="7">
        <f>7.702*4</f>
        <v>30.808</v>
      </c>
      <c r="G7" s="6">
        <f>7.567*4</f>
        <v>30.268000000000001</v>
      </c>
      <c r="H7" s="7">
        <f>5.675*4</f>
        <v>22.7</v>
      </c>
      <c r="I7" s="6">
        <f>4.006*4</f>
        <v>16.024000000000001</v>
      </c>
      <c r="J7" s="6">
        <f>3.508*4</f>
        <v>14.032</v>
      </c>
      <c r="K7" s="6"/>
      <c r="L7" s="6">
        <f>2.849*4</f>
        <v>11.396000000000001</v>
      </c>
      <c r="M7" s="6">
        <v>10</v>
      </c>
      <c r="N7" s="6">
        <v>5</v>
      </c>
      <c r="O7" s="6">
        <v>7</v>
      </c>
    </row>
    <row r="8" spans="1:15" ht="15.75" x14ac:dyDescent="0.25">
      <c r="A8" s="4" t="s">
        <v>19</v>
      </c>
      <c r="B8" s="6">
        <f>39.99*5</f>
        <v>199.95000000000002</v>
      </c>
      <c r="C8" s="7">
        <f>34.591*5</f>
        <v>172.95500000000001</v>
      </c>
      <c r="D8" s="6">
        <f>22.523*5</f>
        <v>112.61499999999999</v>
      </c>
      <c r="E8" s="7">
        <f>10.249*5</f>
        <v>51.245000000000005</v>
      </c>
      <c r="F8" s="7">
        <f>10.547*4</f>
        <v>42.188000000000002</v>
      </c>
      <c r="G8" s="7">
        <f>10.618*4</f>
        <v>42.472000000000001</v>
      </c>
      <c r="H8" s="7">
        <f>7.779*4</f>
        <v>31.116</v>
      </c>
      <c r="I8" s="6">
        <f>2.725*4</f>
        <v>10.9</v>
      </c>
      <c r="J8" s="6">
        <f>0.039*4</f>
        <v>0.156</v>
      </c>
      <c r="K8" s="6"/>
      <c r="L8" s="6">
        <v>0</v>
      </c>
      <c r="M8" s="6">
        <v>0</v>
      </c>
      <c r="N8" s="6">
        <v>0</v>
      </c>
      <c r="O8" s="6">
        <v>0</v>
      </c>
    </row>
    <row r="9" spans="1:15" ht="15.75" x14ac:dyDescent="0.25">
      <c r="A9" s="4" t="s">
        <v>20</v>
      </c>
      <c r="B9" s="6">
        <f>39.473*5</f>
        <v>197.36500000000001</v>
      </c>
      <c r="C9" s="7">
        <f>38.541*5</f>
        <v>192.70499999999998</v>
      </c>
      <c r="D9" s="6">
        <f>39.267*5</f>
        <v>196.33500000000001</v>
      </c>
      <c r="E9" s="7">
        <f>5*36.947</f>
        <v>184.73500000000001</v>
      </c>
      <c r="F9" s="7">
        <f>38.59*4</f>
        <v>154.36000000000001</v>
      </c>
      <c r="G9" s="7">
        <f>35.23*4</f>
        <v>140.91999999999999</v>
      </c>
      <c r="H9" s="7">
        <f>34.451*4</f>
        <v>137.804</v>
      </c>
      <c r="I9" s="6">
        <f>32.454*4</f>
        <v>129.816</v>
      </c>
      <c r="J9" s="6">
        <f>31.331*4</f>
        <v>125.324</v>
      </c>
      <c r="K9" s="6"/>
      <c r="L9" s="6">
        <f>29.585*4</f>
        <v>118.34</v>
      </c>
      <c r="M9" s="6">
        <f>30.682*4</f>
        <v>122.72799999999999</v>
      </c>
      <c r="N9" s="6">
        <f>30.467*4</f>
        <v>121.86799999999999</v>
      </c>
      <c r="O9" s="6">
        <f>30.465*4</f>
        <v>121.86</v>
      </c>
    </row>
    <row r="10" spans="1:15" ht="15.75" x14ac:dyDescent="0.25">
      <c r="A10" s="4" t="s">
        <v>21</v>
      </c>
      <c r="B10" s="6">
        <f>40.286*5</f>
        <v>201.43</v>
      </c>
      <c r="C10" s="7">
        <f>40.433*5</f>
        <v>202.16499999999999</v>
      </c>
      <c r="D10" s="6">
        <f>41.539*5</f>
        <v>207.69499999999999</v>
      </c>
      <c r="E10" s="7">
        <f>5*38.375</f>
        <v>191.875</v>
      </c>
      <c r="F10" s="7">
        <v>70</v>
      </c>
      <c r="G10" s="7">
        <f>13.355*4</f>
        <v>53.42</v>
      </c>
      <c r="H10" s="7">
        <f>13.265*4</f>
        <v>53.06</v>
      </c>
      <c r="I10" s="6">
        <f>11.307*4</f>
        <v>45.228000000000002</v>
      </c>
      <c r="J10" s="6">
        <f>10.545*4</f>
        <v>42.18</v>
      </c>
      <c r="K10" s="6"/>
      <c r="L10" s="6">
        <v>37</v>
      </c>
      <c r="M10" s="6">
        <v>38</v>
      </c>
      <c r="N10" s="6">
        <f>8.353*4</f>
        <v>33.411999999999999</v>
      </c>
      <c r="O10" s="6">
        <f>7.3*4</f>
        <v>29.2</v>
      </c>
    </row>
    <row r="11" spans="1:15" ht="15.75" x14ac:dyDescent="0.25">
      <c r="A11" s="4" t="s">
        <v>22</v>
      </c>
      <c r="B11" s="6">
        <f>32.395*5</f>
        <v>161.97500000000002</v>
      </c>
      <c r="C11" s="7">
        <f>29.16*5</f>
        <v>145.80000000000001</v>
      </c>
      <c r="D11" s="6">
        <f>29.419*5</f>
        <v>147.095</v>
      </c>
      <c r="E11" s="7">
        <f>5*28.618</f>
        <v>143.09</v>
      </c>
      <c r="F11" s="7">
        <f>34.548*4</f>
        <v>138.19200000000001</v>
      </c>
      <c r="G11" s="6">
        <f>36.213*4</f>
        <v>144.852</v>
      </c>
      <c r="H11" s="7">
        <f>36.04*4</f>
        <v>144.16</v>
      </c>
      <c r="I11" s="6">
        <f>35.244*4</f>
        <v>140.976</v>
      </c>
      <c r="J11" s="6">
        <f>32.257*4</f>
        <v>129.02799999999999</v>
      </c>
      <c r="K11" s="6"/>
      <c r="L11" s="6">
        <f>30.411*4</f>
        <v>121.64400000000001</v>
      </c>
      <c r="M11" s="6">
        <f>31.505*4</f>
        <v>126.02</v>
      </c>
      <c r="N11" s="6">
        <f>31.875*4</f>
        <v>127.5</v>
      </c>
      <c r="O11" s="6">
        <v>126</v>
      </c>
    </row>
    <row r="12" spans="1:15" ht="15.75" x14ac:dyDescent="0.25">
      <c r="A12" s="4" t="s">
        <v>23</v>
      </c>
      <c r="B12" s="6">
        <f>39.738*5</f>
        <v>198.69</v>
      </c>
      <c r="C12" s="7">
        <f>38.878*5</f>
        <v>194.39</v>
      </c>
      <c r="D12" s="6">
        <f>39.837*5</f>
        <v>199.185</v>
      </c>
      <c r="E12" s="7">
        <f>5*37.76</f>
        <v>188.79999999999998</v>
      </c>
      <c r="F12" s="7">
        <f>42.934*4</f>
        <v>171.73599999999999</v>
      </c>
      <c r="G12" s="7">
        <f>42.866*4</f>
        <v>171.464</v>
      </c>
      <c r="H12" s="7">
        <v>167</v>
      </c>
      <c r="I12" s="6">
        <v>165</v>
      </c>
      <c r="J12" s="6">
        <f>39.815*4</f>
        <v>159.26</v>
      </c>
      <c r="K12" s="6"/>
      <c r="L12" s="6">
        <f>38.427*4</f>
        <v>153.708</v>
      </c>
      <c r="M12" s="6">
        <f>35.809*4</f>
        <v>143.23599999999999</v>
      </c>
      <c r="N12" s="6">
        <f>38.689*4</f>
        <v>154.756</v>
      </c>
      <c r="O12" s="6">
        <f>38.907*4</f>
        <v>155.62799999999999</v>
      </c>
    </row>
    <row r="13" spans="1:15" ht="15.75" x14ac:dyDescent="0.25">
      <c r="A13" s="4" t="s">
        <v>25</v>
      </c>
      <c r="B13" s="6">
        <f>38.163*5</f>
        <v>190.815</v>
      </c>
      <c r="C13" s="7">
        <f>37.632*5</f>
        <v>188.16</v>
      </c>
      <c r="D13" s="6">
        <f>37.027*5</f>
        <v>185.13499999999999</v>
      </c>
      <c r="E13" s="7">
        <f>5*32.84</f>
        <v>164.20000000000002</v>
      </c>
      <c r="F13" s="7">
        <f>32.766*4</f>
        <v>131.06399999999999</v>
      </c>
      <c r="G13" s="6">
        <f>33.823*4</f>
        <v>135.292</v>
      </c>
      <c r="H13" s="7">
        <v>130</v>
      </c>
      <c r="I13" s="6">
        <f>30.936*4</f>
        <v>123.744</v>
      </c>
      <c r="J13" s="6">
        <f>29.667*4</f>
        <v>118.66800000000001</v>
      </c>
      <c r="K13" s="6"/>
      <c r="L13" s="6">
        <f>27.487*4</f>
        <v>109.94799999999999</v>
      </c>
      <c r="M13" s="6">
        <f>28.723*4</f>
        <v>114.892</v>
      </c>
      <c r="N13" s="6">
        <f>27.062*4</f>
        <v>108.248</v>
      </c>
      <c r="O13" s="6">
        <v>107</v>
      </c>
    </row>
    <row r="14" spans="1:15" ht="15.75" x14ac:dyDescent="0.25">
      <c r="A14" s="4" t="s">
        <v>26</v>
      </c>
      <c r="B14" s="6">
        <f>38.477*5</f>
        <v>192.38499999999999</v>
      </c>
      <c r="C14" s="7">
        <f>37.636*5</f>
        <v>188.18</v>
      </c>
      <c r="D14" s="6">
        <f>38.543*5</f>
        <v>192.715</v>
      </c>
      <c r="E14" s="7">
        <f>5*35.91</f>
        <v>179.54999999999998</v>
      </c>
      <c r="F14" s="7">
        <f>42.601*4</f>
        <v>170.404</v>
      </c>
      <c r="G14" s="7">
        <f>42.454*4</f>
        <v>169.816</v>
      </c>
      <c r="H14" s="7">
        <f>40.294*4</f>
        <v>161.17599999999999</v>
      </c>
      <c r="I14" s="6">
        <f>34.393*4</f>
        <v>137.572</v>
      </c>
      <c r="J14" s="6">
        <v>124</v>
      </c>
      <c r="K14" s="6"/>
      <c r="L14" s="6">
        <f>26.898*4</f>
        <v>107.592</v>
      </c>
      <c r="M14" s="6">
        <f>28.19*4</f>
        <v>112.76</v>
      </c>
      <c r="N14" s="6">
        <f>27.605*4</f>
        <v>110.42</v>
      </c>
      <c r="O14" s="6">
        <v>105</v>
      </c>
    </row>
    <row r="15" spans="1:15" ht="15.75" x14ac:dyDescent="0.25">
      <c r="A15" s="4" t="s">
        <v>27</v>
      </c>
      <c r="B15" s="6">
        <f>37.926*5</f>
        <v>189.63</v>
      </c>
      <c r="C15" s="7">
        <f>36.582*5</f>
        <v>182.91</v>
      </c>
      <c r="D15" s="6">
        <f>35.989*5</f>
        <v>179.94499999999999</v>
      </c>
      <c r="E15" s="7">
        <f>5*34.047</f>
        <v>170.23499999999999</v>
      </c>
      <c r="F15" s="7">
        <f>38.197*4</f>
        <v>152.78800000000001</v>
      </c>
      <c r="G15" s="6">
        <f>36.619*4</f>
        <v>146.476</v>
      </c>
      <c r="H15" s="7">
        <f>37.217*4</f>
        <v>148.86799999999999</v>
      </c>
      <c r="I15" s="6">
        <f>37.473*4</f>
        <v>149.892</v>
      </c>
      <c r="J15" s="6">
        <f>36.989*4</f>
        <v>147.95599999999999</v>
      </c>
      <c r="K15" s="6"/>
      <c r="L15" s="6">
        <f>35.374*4</f>
        <v>141.49600000000001</v>
      </c>
      <c r="M15" s="6">
        <f>33.948*4</f>
        <v>135.792</v>
      </c>
      <c r="N15" s="6">
        <f>35.763*4</f>
        <v>143.05199999999999</v>
      </c>
      <c r="O15" s="6">
        <f>36.619*4</f>
        <v>146.476</v>
      </c>
    </row>
    <row r="16" spans="1:15" ht="15.75" x14ac:dyDescent="0.25">
      <c r="A16" s="4" t="s">
        <v>28</v>
      </c>
      <c r="B16" s="6">
        <f>40.787*5</f>
        <v>203.935</v>
      </c>
      <c r="C16" s="7">
        <f>39.497*5</f>
        <v>197.48500000000001</v>
      </c>
      <c r="D16" s="6">
        <f>40.617*5</f>
        <v>203.08499999999998</v>
      </c>
      <c r="E16" s="7">
        <f>5*37.403</f>
        <v>187.01499999999999</v>
      </c>
      <c r="F16" s="7">
        <f>44.352*4</f>
        <v>177.40799999999999</v>
      </c>
      <c r="G16" s="7">
        <f>44.529*4</f>
        <v>178.11600000000001</v>
      </c>
      <c r="H16" s="7">
        <f>37.581*4</f>
        <v>150.32400000000001</v>
      </c>
      <c r="I16" s="6">
        <f>36.956*4</f>
        <v>147.82400000000001</v>
      </c>
      <c r="J16" s="6">
        <f>35.952*4</f>
        <v>143.80799999999999</v>
      </c>
      <c r="K16" s="6"/>
      <c r="L16" s="6">
        <v>138</v>
      </c>
      <c r="M16" s="6">
        <f>34.469*4</f>
        <v>137.876</v>
      </c>
      <c r="N16" s="6">
        <v>139</v>
      </c>
      <c r="O16" s="6">
        <v>137</v>
      </c>
    </row>
    <row r="17" spans="1:15" ht="15.75" x14ac:dyDescent="0.25">
      <c r="A17" s="4" t="s">
        <v>30</v>
      </c>
      <c r="B17" s="6">
        <f>41.464*5</f>
        <v>207.32</v>
      </c>
      <c r="C17" s="7">
        <f>39.711*5</f>
        <v>198.55500000000001</v>
      </c>
      <c r="D17" s="6">
        <f>41.28*5</f>
        <v>206.4</v>
      </c>
      <c r="E17" s="7">
        <f>5*39.391</f>
        <v>196.95499999999998</v>
      </c>
      <c r="F17" s="7">
        <f>47.235*4</f>
        <v>188.94</v>
      </c>
      <c r="G17" s="7">
        <f>44.866*4</f>
        <v>179.464</v>
      </c>
      <c r="H17" s="7">
        <v>120</v>
      </c>
      <c r="I17" s="6">
        <f>18.924*4</f>
        <v>75.695999999999998</v>
      </c>
      <c r="J17" s="6">
        <f>18.037*4</f>
        <v>72.147999999999996</v>
      </c>
      <c r="K17" s="6"/>
      <c r="L17" s="6">
        <v>65</v>
      </c>
      <c r="M17" s="6">
        <v>66</v>
      </c>
      <c r="N17" s="6">
        <f>16.205*4</f>
        <v>64.819999999999993</v>
      </c>
      <c r="O17" s="6">
        <f>16.054*4</f>
        <v>64.215999999999994</v>
      </c>
    </row>
    <row r="18" spans="1:15" ht="15.75" x14ac:dyDescent="0.25">
      <c r="A18" s="4" t="s">
        <v>31</v>
      </c>
      <c r="B18" s="6">
        <f>35.706*5</f>
        <v>178.53000000000003</v>
      </c>
      <c r="C18" s="7">
        <f>34.047*5</f>
        <v>170.23499999999999</v>
      </c>
      <c r="D18" s="6">
        <f>33.118*5</f>
        <v>165.59</v>
      </c>
      <c r="E18" s="7">
        <f>5*23.696</f>
        <v>118.48</v>
      </c>
      <c r="F18" s="7">
        <f>28.561*4</f>
        <v>114.244</v>
      </c>
      <c r="G18" s="7">
        <f>30.231*4</f>
        <v>120.92400000000001</v>
      </c>
      <c r="H18" s="7">
        <f>28.909*4</f>
        <v>115.636</v>
      </c>
      <c r="I18" s="6">
        <f>26.993*4</f>
        <v>107.97199999999999</v>
      </c>
      <c r="J18" s="6">
        <f>25.179*4</f>
        <v>100.71599999999999</v>
      </c>
      <c r="K18" s="6"/>
      <c r="L18" s="6">
        <f>21.769*4</f>
        <v>87.075999999999993</v>
      </c>
      <c r="M18" s="6">
        <v>82</v>
      </c>
      <c r="N18" s="6">
        <f>19.849*4</f>
        <v>79.396000000000001</v>
      </c>
      <c r="O18" s="6">
        <f>18.231*4</f>
        <v>72.924000000000007</v>
      </c>
    </row>
    <row r="19" spans="1:15" ht="15.75" x14ac:dyDescent="0.25">
      <c r="A19" s="4" t="s">
        <v>32</v>
      </c>
      <c r="B19" s="6">
        <f>42.273*5</f>
        <v>211.36500000000001</v>
      </c>
      <c r="C19" s="7">
        <f>38.869*5</f>
        <v>194.345</v>
      </c>
      <c r="D19" s="6">
        <f>42.286*5</f>
        <v>211.43</v>
      </c>
      <c r="E19" s="7">
        <f>5*38.793</f>
        <v>193.965</v>
      </c>
      <c r="F19" s="7">
        <f>45.357*4</f>
        <v>181.428</v>
      </c>
      <c r="G19" s="7">
        <f>46.306*4</f>
        <v>185.22399999999999</v>
      </c>
      <c r="H19" s="7">
        <f>42.853*4</f>
        <v>171.41200000000001</v>
      </c>
      <c r="I19" s="6">
        <f>35.976*4</f>
        <v>143.904</v>
      </c>
      <c r="J19" s="6">
        <f>27.805*4</f>
        <v>111.22</v>
      </c>
      <c r="K19" s="6"/>
      <c r="L19" s="6">
        <f>16.819*4</f>
        <v>67.275999999999996</v>
      </c>
      <c r="M19" s="6">
        <v>62</v>
      </c>
      <c r="N19" s="6">
        <f>13.832*4</f>
        <v>55.328000000000003</v>
      </c>
      <c r="O19" s="6">
        <v>53</v>
      </c>
    </row>
    <row r="20" spans="1:15" ht="15.75" x14ac:dyDescent="0.25">
      <c r="A20" s="4" t="s">
        <v>33</v>
      </c>
      <c r="B20" s="6">
        <f>34.658*5</f>
        <v>173.29000000000002</v>
      </c>
      <c r="C20" s="7">
        <f>33.185*5</f>
        <v>165.92500000000001</v>
      </c>
      <c r="D20" s="6">
        <f>32.679*5</f>
        <v>163.39500000000001</v>
      </c>
      <c r="E20" s="7">
        <f>5*27.27</f>
        <v>136.35</v>
      </c>
      <c r="F20" s="7">
        <f>32.509*4</f>
        <v>130.036</v>
      </c>
      <c r="G20" s="7">
        <f>32.832*4</f>
        <v>131.328</v>
      </c>
      <c r="H20" s="7">
        <f>33.146*4</f>
        <v>132.584</v>
      </c>
      <c r="I20" s="6">
        <f>30.6*4</f>
        <v>122.4</v>
      </c>
      <c r="J20" s="6">
        <f>29.236*4</f>
        <v>116.944</v>
      </c>
      <c r="K20" s="6"/>
      <c r="L20" s="6">
        <f>26.62*4</f>
        <v>106.48</v>
      </c>
      <c r="M20" s="6">
        <f>28.272*4</f>
        <v>113.08799999999999</v>
      </c>
      <c r="N20" s="6">
        <f>26.793*4</f>
        <v>107.172</v>
      </c>
      <c r="O20" s="6">
        <f>26.737*4</f>
        <v>106.94799999999999</v>
      </c>
    </row>
    <row r="21" spans="1:15" ht="15.75" x14ac:dyDescent="0.25">
      <c r="A21" s="4" t="s">
        <v>34</v>
      </c>
      <c r="B21" s="6">
        <f>36.36*5</f>
        <v>181.8</v>
      </c>
      <c r="C21" s="7">
        <f>33.621*5</f>
        <v>168.10500000000002</v>
      </c>
      <c r="D21" s="6">
        <f>36.265*5</f>
        <v>181.32499999999999</v>
      </c>
      <c r="E21" s="7">
        <f>5*33.867</f>
        <v>169.33499999999998</v>
      </c>
      <c r="F21" s="7">
        <f>31.034*5</f>
        <v>155.16999999999999</v>
      </c>
      <c r="G21" s="7">
        <f>40.032*4</f>
        <v>160.12799999999999</v>
      </c>
      <c r="H21" s="7">
        <f>39.921*4</f>
        <v>159.684</v>
      </c>
      <c r="I21" s="6">
        <f>37.933*4</f>
        <v>151.732</v>
      </c>
      <c r="J21" s="6">
        <f>35.599*4</f>
        <v>142.39599999999999</v>
      </c>
      <c r="K21" s="6"/>
      <c r="L21" s="6">
        <f>33.934*4</f>
        <v>135.73599999999999</v>
      </c>
      <c r="M21" s="6">
        <f>33.087*4</f>
        <v>132.34800000000001</v>
      </c>
      <c r="N21" s="6">
        <f>34.401*4</f>
        <v>137.60400000000001</v>
      </c>
      <c r="O21" s="6">
        <f>34.712*4</f>
        <v>138.84800000000001</v>
      </c>
    </row>
    <row r="22" spans="1:15" ht="15.75" x14ac:dyDescent="0.25">
      <c r="A22" s="4" t="s">
        <v>35</v>
      </c>
      <c r="B22" s="6">
        <f>38.79*5</f>
        <v>193.95</v>
      </c>
      <c r="C22" s="7">
        <f>36.383*5</f>
        <v>181.91500000000002</v>
      </c>
      <c r="D22" s="6">
        <f>38.399*5</f>
        <v>191.995</v>
      </c>
      <c r="E22" s="7">
        <f>5*37.021</f>
        <v>185.10500000000002</v>
      </c>
      <c r="F22" s="7">
        <f>33.425*5</f>
        <v>167.125</v>
      </c>
      <c r="G22" s="7">
        <f>40.944*4</f>
        <v>163.77600000000001</v>
      </c>
      <c r="H22" s="7">
        <f>34.977*4</f>
        <v>139.90799999999999</v>
      </c>
      <c r="I22" s="6">
        <f>22.676*4</f>
        <v>90.703999999999994</v>
      </c>
      <c r="J22" s="6">
        <f>15.432*4</f>
        <v>61.728000000000002</v>
      </c>
      <c r="K22" s="6"/>
      <c r="L22" s="6">
        <v>56</v>
      </c>
      <c r="M22" s="6">
        <v>56</v>
      </c>
      <c r="N22" s="6">
        <f>14.345*4</f>
        <v>57.38</v>
      </c>
      <c r="O22" s="6">
        <f>14.299*4</f>
        <v>57.195999999999998</v>
      </c>
    </row>
    <row r="23" spans="1:15" ht="15.75" x14ac:dyDescent="0.25">
      <c r="A23" s="4" t="s">
        <v>36</v>
      </c>
      <c r="B23" s="6">
        <f>35.355*5</f>
        <v>176.77499999999998</v>
      </c>
      <c r="C23" s="7">
        <f>33.465*5</f>
        <v>167.32500000000002</v>
      </c>
      <c r="D23" s="6">
        <f>35.31*5</f>
        <v>176.55</v>
      </c>
      <c r="E23" s="7">
        <f>5*34.126</f>
        <v>170.63</v>
      </c>
      <c r="F23" s="7">
        <f>32.47*5</f>
        <v>162.35</v>
      </c>
      <c r="G23" s="7">
        <f>41.248*4</f>
        <v>164.99199999999999</v>
      </c>
      <c r="H23" s="7">
        <f>42.185*4</f>
        <v>168.74</v>
      </c>
      <c r="I23" s="6">
        <f>40.326*4</f>
        <v>161.304</v>
      </c>
      <c r="J23" s="6">
        <f>38.356*4</f>
        <v>153.42400000000001</v>
      </c>
      <c r="K23" s="6"/>
      <c r="L23" s="6">
        <f>37.894*4</f>
        <v>151.57599999999999</v>
      </c>
      <c r="M23" s="6">
        <f>36.152*4</f>
        <v>144.608</v>
      </c>
      <c r="N23" s="6">
        <f>40.041*4</f>
        <v>160.16399999999999</v>
      </c>
      <c r="O23" s="6">
        <f>40.035*4</f>
        <v>160.13999999999999</v>
      </c>
    </row>
    <row r="24" spans="1:15" ht="15.75" x14ac:dyDescent="0.25">
      <c r="A24" s="4" t="s">
        <v>37</v>
      </c>
      <c r="B24" s="6">
        <f>36.304*5</f>
        <v>181.52</v>
      </c>
      <c r="C24" s="7">
        <f>34.525*5</f>
        <v>172.625</v>
      </c>
      <c r="D24" s="6">
        <f>35.942*5</f>
        <v>179.71</v>
      </c>
      <c r="E24" s="7">
        <f>5*34.282</f>
        <v>171.40999999999997</v>
      </c>
      <c r="F24" s="7">
        <f>30.796*5</f>
        <v>153.97999999999999</v>
      </c>
      <c r="G24" s="7">
        <f>36.729*4</f>
        <v>146.916</v>
      </c>
      <c r="H24" s="7">
        <f>29.307*4</f>
        <v>117.22799999999999</v>
      </c>
      <c r="I24" s="6">
        <f>18.516*4</f>
        <v>74.063999999999993</v>
      </c>
      <c r="J24" s="6">
        <f>8.2*4</f>
        <v>32.799999999999997</v>
      </c>
      <c r="K24" s="6"/>
      <c r="L24" s="6">
        <v>6</v>
      </c>
      <c r="M24" s="6">
        <v>0</v>
      </c>
      <c r="N24" s="6">
        <v>0</v>
      </c>
      <c r="O24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B20" sqref="B20"/>
    </sheetView>
  </sheetViews>
  <sheetFormatPr defaultRowHeight="15" x14ac:dyDescent="0.25"/>
  <sheetData>
    <row r="1" spans="1:15" ht="15.75" x14ac:dyDescent="0.25">
      <c r="A1" s="2" t="s">
        <v>5</v>
      </c>
      <c r="B1" s="9">
        <v>10.024394707585699</v>
      </c>
      <c r="C1" s="9">
        <v>4.0999999999999996</v>
      </c>
      <c r="D1" s="9">
        <v>6.4359555496888596</v>
      </c>
      <c r="E1" s="9">
        <v>4.5999999999999996</v>
      </c>
      <c r="F1" s="9"/>
      <c r="G1" s="9">
        <v>5.87</v>
      </c>
      <c r="H1" s="9">
        <v>4.9678999645177004</v>
      </c>
      <c r="I1" s="9">
        <v>4.3596771595598502</v>
      </c>
      <c r="J1" s="9"/>
      <c r="K1" s="9">
        <v>5.0567466137691097</v>
      </c>
      <c r="L1" s="9">
        <v>3.3532935543814202</v>
      </c>
      <c r="M1" s="9">
        <v>8.4915815927918104</v>
      </c>
      <c r="N1" s="9">
        <v>5.9795990238820202</v>
      </c>
      <c r="O1" s="9">
        <v>4.1470439089999998</v>
      </c>
    </row>
    <row r="2" spans="1:15" ht="15.75" x14ac:dyDescent="0.25">
      <c r="A2" s="2" t="s">
        <v>7</v>
      </c>
      <c r="B2" s="9">
        <v>11.3410595546338</v>
      </c>
      <c r="C2" s="9">
        <v>4.96</v>
      </c>
      <c r="D2" s="9">
        <v>6.6619978022655202</v>
      </c>
      <c r="E2" s="9">
        <v>5.08</v>
      </c>
      <c r="F2" s="9"/>
      <c r="G2" s="9">
        <v>5.5</v>
      </c>
      <c r="H2" s="9">
        <v>2.7095085127900802</v>
      </c>
      <c r="I2" s="9">
        <v>3.7960346086218801</v>
      </c>
      <c r="J2" s="9"/>
      <c r="K2" s="9">
        <v>5.1956129070763204</v>
      </c>
      <c r="L2" s="9">
        <v>3.78917889794179</v>
      </c>
      <c r="M2" s="9">
        <v>7.7914486291497296</v>
      </c>
      <c r="N2" s="9">
        <v>7.0847076126583399</v>
      </c>
      <c r="O2" s="9">
        <v>5.2346558419999996</v>
      </c>
    </row>
    <row r="3" spans="1:15" ht="15.75" x14ac:dyDescent="0.25">
      <c r="A3" s="2" t="s">
        <v>9</v>
      </c>
      <c r="B3" s="9">
        <v>8.0086674868742502</v>
      </c>
      <c r="C3" s="9">
        <v>4.4000000000000004</v>
      </c>
      <c r="D3" s="9">
        <v>6.6795195109730097</v>
      </c>
      <c r="E3" s="9">
        <v>4.79</v>
      </c>
      <c r="F3" s="9"/>
      <c r="G3" s="9">
        <v>5.72</v>
      </c>
      <c r="H3" s="10">
        <v>2.1452429999999998</v>
      </c>
      <c r="I3" s="9">
        <v>3.2113733717254598</v>
      </c>
      <c r="J3" s="9"/>
      <c r="K3" s="9">
        <v>5.2463378893522901</v>
      </c>
      <c r="L3" s="9">
        <v>3.44628198439732</v>
      </c>
      <c r="M3" s="9">
        <v>7.9036579715235504</v>
      </c>
      <c r="N3" s="9">
        <v>6.87060911691405</v>
      </c>
      <c r="O3" s="9">
        <v>4.9396747569999997</v>
      </c>
    </row>
    <row r="4" spans="1:15" ht="15.75" x14ac:dyDescent="0.25">
      <c r="A4" s="2" t="s">
        <v>11</v>
      </c>
      <c r="B4" s="9">
        <v>8.3092095523029599</v>
      </c>
      <c r="C4" s="9">
        <v>7.2</v>
      </c>
      <c r="D4" s="9">
        <v>8.8818822981304493</v>
      </c>
      <c r="E4" s="9">
        <v>7.12</v>
      </c>
      <c r="F4" s="9"/>
      <c r="G4" s="9">
        <v>7.35</v>
      </c>
      <c r="H4" s="9">
        <v>6</v>
      </c>
      <c r="I4" s="9">
        <v>5.27739058290366</v>
      </c>
      <c r="J4" s="9"/>
      <c r="K4" s="9">
        <v>6.4021374105368301</v>
      </c>
      <c r="L4" s="9">
        <v>4.6659696969439803</v>
      </c>
      <c r="M4" s="9">
        <v>8.93529620932072</v>
      </c>
      <c r="N4" s="9">
        <v>7.7843226262642098</v>
      </c>
      <c r="O4" s="9">
        <v>5.3101152809999999</v>
      </c>
    </row>
    <row r="5" spans="1:15" ht="15.75" x14ac:dyDescent="0.25">
      <c r="A5" s="2" t="s">
        <v>13</v>
      </c>
      <c r="B5" s="9">
        <v>16.277277413358998</v>
      </c>
      <c r="C5" s="9">
        <v>16.100000000000001</v>
      </c>
      <c r="D5" s="9">
        <v>14.148407315354801</v>
      </c>
      <c r="E5" s="9">
        <v>14.63</v>
      </c>
      <c r="F5" s="9">
        <v>11.6</v>
      </c>
      <c r="G5" s="9">
        <v>11</v>
      </c>
      <c r="H5" s="9">
        <v>5.1843705023509203</v>
      </c>
      <c r="I5" s="9">
        <v>6.9838686456543</v>
      </c>
      <c r="J5" s="9"/>
      <c r="K5" s="9">
        <v>9.17368351858061</v>
      </c>
      <c r="L5" s="9">
        <v>7.7609185405154699</v>
      </c>
      <c r="M5" s="9">
        <v>15.525531385662401</v>
      </c>
      <c r="N5" s="9">
        <v>10.4471561675081</v>
      </c>
      <c r="O5" s="9">
        <v>9.1999999999999993</v>
      </c>
    </row>
    <row r="6" spans="1:15" ht="15.75" x14ac:dyDescent="0.25">
      <c r="A6" s="2" t="s">
        <v>15</v>
      </c>
      <c r="B6" s="9">
        <v>13.9971784435131</v>
      </c>
      <c r="C6" s="9">
        <v>20.7</v>
      </c>
      <c r="D6" s="9">
        <v>19.4021742984086</v>
      </c>
      <c r="E6" s="9">
        <v>18.2</v>
      </c>
      <c r="F6" s="9">
        <v>19.7</v>
      </c>
      <c r="G6" s="9">
        <v>18.600000000000001</v>
      </c>
      <c r="H6" s="9">
        <v>9.9076699750806299</v>
      </c>
      <c r="I6" s="9">
        <v>7.1856480308554698</v>
      </c>
      <c r="J6" s="9">
        <v>8.3000000000000007</v>
      </c>
      <c r="K6" s="9">
        <v>7.8406419066856898</v>
      </c>
      <c r="L6" s="9">
        <v>7.8406419066856898</v>
      </c>
      <c r="M6" s="9">
        <v>13.4289680939858</v>
      </c>
      <c r="N6" s="9">
        <v>12.161396096134</v>
      </c>
      <c r="O6" s="9">
        <v>12</v>
      </c>
    </row>
    <row r="7" spans="1:15" ht="15.75" x14ac:dyDescent="0.25">
      <c r="A7" s="2" t="s">
        <v>17</v>
      </c>
      <c r="B7" s="9">
        <v>19.358082344819699</v>
      </c>
      <c r="C7" s="9">
        <v>6.6</v>
      </c>
      <c r="D7" s="9">
        <v>6.3635792929894297</v>
      </c>
      <c r="E7" s="9">
        <v>4.5999999999999996</v>
      </c>
      <c r="F7" s="9"/>
      <c r="G7" s="9">
        <v>6.28</v>
      </c>
      <c r="H7" s="9">
        <v>2.3988711701254202</v>
      </c>
      <c r="I7" s="9">
        <v>3.1293150546746502</v>
      </c>
      <c r="J7" s="9"/>
      <c r="K7" s="9">
        <v>4.6852070321960699</v>
      </c>
      <c r="L7" s="9">
        <v>2.9161116256331301</v>
      </c>
      <c r="M7" s="9">
        <v>6.5138480742666998</v>
      </c>
      <c r="N7" s="9">
        <v>4.3044960890836199</v>
      </c>
      <c r="O7" s="9">
        <v>4.5</v>
      </c>
    </row>
    <row r="8" spans="1:15" ht="15.75" x14ac:dyDescent="0.25">
      <c r="A8" s="2" t="s">
        <v>19</v>
      </c>
      <c r="B8" s="9">
        <v>18.244566691448298</v>
      </c>
      <c r="C8" s="9">
        <v>19</v>
      </c>
      <c r="D8" s="9">
        <v>9.7080888623762096</v>
      </c>
      <c r="E8" s="9">
        <v>5.13</v>
      </c>
      <c r="F8" s="9"/>
      <c r="G8" s="9">
        <v>5.28</v>
      </c>
      <c r="H8" s="9">
        <v>3.8324688691447801</v>
      </c>
      <c r="I8" s="9">
        <v>3.5303789241420902</v>
      </c>
      <c r="J8" s="9"/>
      <c r="K8" s="9">
        <v>6.1569539879615602</v>
      </c>
      <c r="L8" s="9">
        <v>5.8</v>
      </c>
      <c r="M8" s="9">
        <v>5.2</v>
      </c>
      <c r="N8" s="9">
        <v>4.8634027201596304</v>
      </c>
      <c r="O8" s="9">
        <v>4.0999999999999996</v>
      </c>
    </row>
    <row r="9" spans="1:15" ht="15.75" x14ac:dyDescent="0.25">
      <c r="A9" s="2" t="s">
        <v>20</v>
      </c>
      <c r="B9" s="9">
        <v>11.9934117263725</v>
      </c>
      <c r="C9" s="9">
        <v>10.91</v>
      </c>
      <c r="D9" s="9">
        <v>11.645855532675499</v>
      </c>
      <c r="E9" s="9">
        <v>9.5399999999999991</v>
      </c>
      <c r="F9" s="9"/>
      <c r="G9" s="9">
        <v>6.4</v>
      </c>
      <c r="H9" s="9">
        <v>3.9916475311256101</v>
      </c>
      <c r="I9" s="9">
        <v>4.48090200361617</v>
      </c>
      <c r="J9" s="9"/>
      <c r="K9" s="9">
        <v>6.4535088131266498</v>
      </c>
      <c r="L9" s="9">
        <v>4.0038801067521703</v>
      </c>
      <c r="M9" s="9">
        <v>8.0126392777815596</v>
      </c>
      <c r="N9" s="9">
        <v>8.0339282091572208</v>
      </c>
      <c r="O9" s="9">
        <v>6.1290179949999999</v>
      </c>
    </row>
    <row r="10" spans="1:15" ht="15.75" x14ac:dyDescent="0.25">
      <c r="A10" s="2" t="s">
        <v>21</v>
      </c>
      <c r="B10" s="9">
        <v>17.778009134467801</v>
      </c>
      <c r="C10" s="9">
        <v>20.399999999999999</v>
      </c>
      <c r="D10" s="9">
        <v>17.8039437580038</v>
      </c>
      <c r="E10" s="9">
        <v>13.99</v>
      </c>
      <c r="F10" s="9">
        <v>7.39</v>
      </c>
      <c r="G10" s="9">
        <v>8.09</v>
      </c>
      <c r="H10" s="9">
        <v>5.5659581493165096</v>
      </c>
      <c r="I10" s="9">
        <v>6.4453801644162096</v>
      </c>
      <c r="J10" s="9">
        <v>13.1</v>
      </c>
      <c r="K10" s="9">
        <v>6.2355691813595397</v>
      </c>
      <c r="L10" s="9">
        <v>6.2355691813595397</v>
      </c>
      <c r="M10" s="9">
        <v>10.6983302387947</v>
      </c>
      <c r="N10" s="9">
        <v>11.113178044759501</v>
      </c>
      <c r="O10" s="9">
        <v>8.3073814939999995</v>
      </c>
    </row>
    <row r="11" spans="1:15" ht="15.75" x14ac:dyDescent="0.25">
      <c r="A11" s="2" t="s">
        <v>22</v>
      </c>
      <c r="B11" s="9">
        <v>12.369356966486301</v>
      </c>
      <c r="C11" s="9">
        <v>15</v>
      </c>
      <c r="D11" s="9">
        <v>6.6483223222986902</v>
      </c>
      <c r="E11" s="9">
        <v>5.46</v>
      </c>
      <c r="F11" s="9"/>
      <c r="G11" s="9">
        <v>6.09</v>
      </c>
      <c r="H11" s="9">
        <v>3.4773214511633999</v>
      </c>
      <c r="I11" s="9">
        <v>3.7227255332058098</v>
      </c>
      <c r="J11" s="9"/>
      <c r="K11" s="9">
        <v>5.8194085099527699</v>
      </c>
      <c r="L11" s="9">
        <v>4.8973270385530601</v>
      </c>
      <c r="M11" s="9">
        <v>7.7681155420082</v>
      </c>
      <c r="N11" s="9">
        <v>6.6791150400330102</v>
      </c>
      <c r="O11" s="9">
        <v>5.3422694460000004</v>
      </c>
    </row>
    <row r="12" spans="1:15" ht="15.75" x14ac:dyDescent="0.25">
      <c r="A12" s="2" t="s">
        <v>23</v>
      </c>
      <c r="B12" s="9">
        <v>9.6149539395690695</v>
      </c>
      <c r="C12" s="9">
        <v>7.49</v>
      </c>
      <c r="D12" s="9">
        <v>9.4850381210422992</v>
      </c>
      <c r="E12" s="9">
        <v>7.43</v>
      </c>
      <c r="F12" s="9"/>
      <c r="G12" s="9">
        <v>6</v>
      </c>
      <c r="H12" s="9">
        <v>3.8392556658893899</v>
      </c>
      <c r="I12" s="9">
        <v>4.9268057364616498</v>
      </c>
      <c r="J12" s="9"/>
      <c r="K12" s="9">
        <v>6.7905599697189603</v>
      </c>
      <c r="L12" s="9">
        <v>5.40808186527246</v>
      </c>
      <c r="M12" s="9">
        <v>9</v>
      </c>
      <c r="N12" s="9">
        <v>7.9674019194808201</v>
      </c>
      <c r="O12" s="9">
        <v>6.3040434730000001</v>
      </c>
    </row>
    <row r="13" spans="1:15" ht="15.75" x14ac:dyDescent="0.25">
      <c r="A13" s="2" t="s">
        <v>25</v>
      </c>
      <c r="B13" s="9">
        <v>13.2947818118211</v>
      </c>
      <c r="C13" s="9">
        <v>11.3</v>
      </c>
      <c r="D13" s="9">
        <v>12.4286241326517</v>
      </c>
      <c r="E13" s="9">
        <v>9.81</v>
      </c>
      <c r="F13" s="9">
        <v>8.4</v>
      </c>
      <c r="G13" s="9">
        <v>9.15</v>
      </c>
      <c r="H13" s="9">
        <v>5.5909279056727099</v>
      </c>
      <c r="I13" s="9">
        <v>8.0010021624178709</v>
      </c>
      <c r="J13" s="9"/>
      <c r="K13" s="9">
        <v>8.6569275147347806</v>
      </c>
      <c r="L13" s="9">
        <v>7.6560613691639796</v>
      </c>
      <c r="M13" s="9">
        <v>16.1562021385074</v>
      </c>
      <c r="N13" s="9">
        <v>10.657459760815501</v>
      </c>
      <c r="O13" s="9">
        <v>9.6</v>
      </c>
    </row>
    <row r="14" spans="1:15" ht="15.75" x14ac:dyDescent="0.25">
      <c r="A14" s="2" t="s">
        <v>26</v>
      </c>
      <c r="B14" s="9">
        <v>17</v>
      </c>
      <c r="C14" s="9">
        <v>14.2</v>
      </c>
      <c r="D14" s="9">
        <v>14.1136386285641</v>
      </c>
      <c r="E14" s="9">
        <v>12.74</v>
      </c>
      <c r="F14" s="9">
        <v>14.4</v>
      </c>
      <c r="G14" s="9">
        <v>14.3</v>
      </c>
      <c r="H14" s="9">
        <v>9.8155674875923395</v>
      </c>
      <c r="I14" s="9">
        <v>8.2525770361417496</v>
      </c>
      <c r="J14" s="9"/>
      <c r="K14" s="9">
        <v>8.7627503225863492</v>
      </c>
      <c r="L14" s="9">
        <v>9.8791730340666195</v>
      </c>
      <c r="M14" s="9">
        <v>16.877144767553599</v>
      </c>
      <c r="N14" s="9">
        <v>10.981775422987999</v>
      </c>
      <c r="O14" s="9">
        <v>11</v>
      </c>
    </row>
    <row r="15" spans="1:15" ht="15.75" x14ac:dyDescent="0.25">
      <c r="A15" s="2" t="s">
        <v>27</v>
      </c>
      <c r="B15" s="9">
        <v>7.7937454968791302</v>
      </c>
      <c r="C15" s="9">
        <v>9.3000000000000007</v>
      </c>
      <c r="D15" s="9">
        <v>10.486187041738701</v>
      </c>
      <c r="E15" s="9">
        <v>9.39</v>
      </c>
      <c r="F15" s="9"/>
      <c r="G15" s="9">
        <v>8.98</v>
      </c>
      <c r="H15" s="9">
        <v>6.8689100110021704</v>
      </c>
      <c r="I15" s="9">
        <v>7.7559892199200302</v>
      </c>
      <c r="J15" s="9"/>
      <c r="K15" s="9">
        <v>9.4606180884864699</v>
      </c>
      <c r="L15" s="9">
        <v>9.2253616416130804</v>
      </c>
      <c r="M15" s="9">
        <v>12.605503098309899</v>
      </c>
      <c r="N15" s="9">
        <v>10.6181247720783</v>
      </c>
      <c r="O15" s="9">
        <v>9.1385540350000003</v>
      </c>
    </row>
    <row r="16" spans="1:15" ht="15.75" x14ac:dyDescent="0.25">
      <c r="A16" s="2" t="s">
        <v>28</v>
      </c>
      <c r="B16" s="9">
        <v>11.4698108577777</v>
      </c>
      <c r="C16" s="9">
        <v>9.1999999999999993</v>
      </c>
      <c r="D16" s="9">
        <v>10.5874405396181</v>
      </c>
      <c r="E16" s="9">
        <v>8.5</v>
      </c>
      <c r="F16" s="9">
        <v>8.8000000000000007</v>
      </c>
      <c r="G16" s="9">
        <v>9.7200000000000006</v>
      </c>
      <c r="H16" s="9">
        <v>5.7215454646866499</v>
      </c>
      <c r="I16" s="9">
        <v>7.6782713469614503</v>
      </c>
      <c r="J16" s="9"/>
      <c r="K16" s="10">
        <v>8.8605879383255299</v>
      </c>
      <c r="L16" s="9">
        <v>8.2024556656642194</v>
      </c>
      <c r="M16" s="9">
        <v>12.27571710426</v>
      </c>
      <c r="N16" s="9">
        <v>10.814931712370999</v>
      </c>
      <c r="O16" s="9">
        <v>9.5</v>
      </c>
    </row>
    <row r="17" spans="1:15" ht="15.75" x14ac:dyDescent="0.25">
      <c r="A17" s="2" t="s">
        <v>30</v>
      </c>
      <c r="B17" s="9">
        <v>18</v>
      </c>
      <c r="C17" s="9">
        <v>17.3</v>
      </c>
      <c r="D17" s="9">
        <v>15.841806467929301</v>
      </c>
      <c r="E17" s="9">
        <v>14</v>
      </c>
      <c r="F17" s="9"/>
      <c r="G17" s="9">
        <v>14.29</v>
      </c>
      <c r="H17" s="9">
        <v>11.4</v>
      </c>
      <c r="I17" s="9">
        <v>5.0279346661381901</v>
      </c>
      <c r="J17" s="9">
        <v>7.7</v>
      </c>
      <c r="K17" s="10">
        <v>6.8</v>
      </c>
      <c r="L17" s="9">
        <v>6.2128290719098098</v>
      </c>
      <c r="M17" s="9">
        <v>8.8828406224386498</v>
      </c>
      <c r="N17" s="9">
        <v>8.5191147355025407</v>
      </c>
      <c r="O17" s="9">
        <v>6.546011687</v>
      </c>
    </row>
    <row r="18" spans="1:15" ht="15.75" x14ac:dyDescent="0.25">
      <c r="A18" s="2" t="s">
        <v>31</v>
      </c>
      <c r="B18" s="9">
        <v>13.499792796299801</v>
      </c>
      <c r="C18" s="9">
        <v>13.1</v>
      </c>
      <c r="D18" s="9">
        <v>11.733128294338799</v>
      </c>
      <c r="E18" s="9">
        <v>6.048</v>
      </c>
      <c r="F18" s="9">
        <v>5.71</v>
      </c>
      <c r="G18" s="9">
        <v>6.87</v>
      </c>
      <c r="H18" s="9">
        <v>4.1347641074775296</v>
      </c>
      <c r="I18" s="9">
        <v>4.6373630512874104</v>
      </c>
      <c r="J18" s="9"/>
      <c r="K18" s="10">
        <v>7.0179858460252103</v>
      </c>
      <c r="L18" s="9">
        <v>4.3427875274107404</v>
      </c>
      <c r="M18" s="9">
        <v>10.0241268261264</v>
      </c>
      <c r="N18" s="9">
        <v>8.0920727143208193</v>
      </c>
      <c r="O18" s="9">
        <v>5.5264251199999999</v>
      </c>
    </row>
    <row r="19" spans="1:15" ht="15.75" x14ac:dyDescent="0.25">
      <c r="A19" s="2" t="s">
        <v>32</v>
      </c>
      <c r="B19" s="9">
        <v>21.1</v>
      </c>
      <c r="C19" s="9">
        <v>19.600000000000001</v>
      </c>
      <c r="D19" s="9">
        <v>21.628291306248101</v>
      </c>
      <c r="E19" s="9">
        <v>19.78</v>
      </c>
      <c r="F19" s="9">
        <v>22.3</v>
      </c>
      <c r="G19" s="9">
        <v>22.21</v>
      </c>
      <c r="H19" s="9">
        <v>20.1953713911454</v>
      </c>
      <c r="I19" s="9">
        <v>10.5446391073675</v>
      </c>
      <c r="J19" s="9"/>
      <c r="K19" s="10">
        <v>7.2506591342910403</v>
      </c>
      <c r="L19" s="9">
        <v>5.33414326378682</v>
      </c>
      <c r="M19" s="9">
        <v>8.1026032408354993</v>
      </c>
      <c r="N19" s="9">
        <v>10.398746412073899</v>
      </c>
      <c r="O19" s="9">
        <v>9.5</v>
      </c>
    </row>
    <row r="20" spans="1:15" ht="15.75" x14ac:dyDescent="0.25">
      <c r="A20" s="2" t="s">
        <v>33</v>
      </c>
      <c r="B20" s="9">
        <v>11.8842377180758</v>
      </c>
      <c r="C20" s="9">
        <v>9.98</v>
      </c>
      <c r="D20" s="9">
        <v>10.888606355137499</v>
      </c>
      <c r="E20" s="9">
        <v>6.36</v>
      </c>
      <c r="F20" s="9">
        <v>6.13</v>
      </c>
      <c r="G20" s="9">
        <v>6.8</v>
      </c>
      <c r="H20" s="9">
        <v>3.5758431172392902</v>
      </c>
      <c r="I20" s="9">
        <v>5.1061310132486701</v>
      </c>
      <c r="J20" s="9"/>
      <c r="K20" s="10">
        <v>6.7204423780271503</v>
      </c>
      <c r="L20" s="9">
        <v>5.6337874252931597</v>
      </c>
      <c r="M20" s="9">
        <v>10.7379438559117</v>
      </c>
      <c r="N20" s="9">
        <v>9.3905563316208198</v>
      </c>
      <c r="O20" s="9">
        <v>6.3000016480000003</v>
      </c>
    </row>
    <row r="21" spans="1:15" ht="15.75" x14ac:dyDescent="0.25">
      <c r="A21" s="2" t="s">
        <v>34</v>
      </c>
      <c r="B21" s="9">
        <v>10.144427996618001</v>
      </c>
      <c r="C21" s="9">
        <v>10</v>
      </c>
      <c r="D21" s="9">
        <v>9.64929650876884</v>
      </c>
      <c r="E21" s="9">
        <v>7.66</v>
      </c>
      <c r="F21" s="9"/>
      <c r="G21" s="9">
        <v>7.5</v>
      </c>
      <c r="H21" s="9">
        <v>4.5382108956247</v>
      </c>
      <c r="I21" s="9">
        <v>6.0261001004514396</v>
      </c>
      <c r="J21" s="9"/>
      <c r="K21" s="10">
        <v>7.88354264628589</v>
      </c>
      <c r="L21" s="9">
        <v>6.4867077585279498</v>
      </c>
      <c r="M21" s="9">
        <v>8.5341074598828293</v>
      </c>
      <c r="N21" s="9">
        <v>8.8967570267013301</v>
      </c>
      <c r="O21" s="9">
        <v>8.8079182750000005</v>
      </c>
    </row>
    <row r="22" spans="1:15" ht="15.75" x14ac:dyDescent="0.25">
      <c r="A22" s="2" t="s">
        <v>35</v>
      </c>
      <c r="B22" s="9">
        <v>18.585580659204801</v>
      </c>
      <c r="C22" s="9">
        <v>19.89</v>
      </c>
      <c r="D22" s="9">
        <v>18.3444495171337</v>
      </c>
      <c r="E22" s="9">
        <v>16.190000000000001</v>
      </c>
      <c r="F22" s="9"/>
      <c r="G22" s="9">
        <v>16.79</v>
      </c>
      <c r="H22" s="9">
        <v>10.6439808652311</v>
      </c>
      <c r="I22" s="9">
        <v>6.4833505060419698</v>
      </c>
      <c r="J22" s="9">
        <v>11.2</v>
      </c>
      <c r="K22" s="9">
        <v>9</v>
      </c>
      <c r="L22" s="9">
        <v>8.4967140117745803</v>
      </c>
      <c r="M22" s="9">
        <v>10.114511837369401</v>
      </c>
      <c r="N22" s="9">
        <v>9.02116382832833</v>
      </c>
      <c r="O22" s="9">
        <v>9.6023174220000005</v>
      </c>
    </row>
    <row r="23" spans="1:15" ht="15.75" x14ac:dyDescent="0.25">
      <c r="A23" s="2" t="s">
        <v>36</v>
      </c>
      <c r="B23" s="9">
        <v>10.004572696552801</v>
      </c>
      <c r="C23" s="9">
        <v>7.35</v>
      </c>
      <c r="D23" s="9">
        <v>9.0566720264564395</v>
      </c>
      <c r="E23" s="9">
        <v>8.8699999999999992</v>
      </c>
      <c r="F23" s="9"/>
      <c r="G23" s="9">
        <v>8.2899999999999991</v>
      </c>
      <c r="H23" s="9">
        <v>5.7948994261679498</v>
      </c>
      <c r="I23" s="9">
        <v>7.2989438746803197</v>
      </c>
      <c r="J23" s="9"/>
      <c r="K23" s="10">
        <v>8.1484989255204603</v>
      </c>
      <c r="L23" s="9">
        <v>6.5252396106510897</v>
      </c>
      <c r="M23" s="9">
        <v>12.020281202921201</v>
      </c>
      <c r="N23" s="9">
        <v>10.4474201607211</v>
      </c>
      <c r="O23" s="9">
        <v>9.2180913869999994</v>
      </c>
    </row>
    <row r="24" spans="1:15" ht="15.75" x14ac:dyDescent="0.25">
      <c r="A24" s="2" t="s">
        <v>37</v>
      </c>
      <c r="B24" s="9">
        <v>27.2917808308272</v>
      </c>
      <c r="C24" s="9">
        <v>29.59</v>
      </c>
      <c r="D24" s="9">
        <v>23.768136498020102</v>
      </c>
      <c r="E24" s="9">
        <v>23.11</v>
      </c>
      <c r="F24" s="9">
        <v>26.35</v>
      </c>
      <c r="G24" s="9">
        <v>25.6</v>
      </c>
      <c r="H24" s="9">
        <v>22.0775100750304</v>
      </c>
      <c r="I24" s="9">
        <v>16.347856697929799</v>
      </c>
      <c r="J24" s="9">
        <v>18.899999999999999</v>
      </c>
      <c r="K24" s="9"/>
      <c r="L24" s="9"/>
      <c r="M24" s="9"/>
      <c r="N24" s="9"/>
      <c r="O2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sqref="A1:XFD1"/>
    </sheetView>
  </sheetViews>
  <sheetFormatPr defaultRowHeight="15" x14ac:dyDescent="0.25"/>
  <sheetData>
    <row r="1" spans="1:15" ht="15.75" x14ac:dyDescent="0.25">
      <c r="A1" s="2" t="s">
        <v>5</v>
      </c>
      <c r="B1" s="7">
        <v>20</v>
      </c>
      <c r="C1" s="11">
        <f>3.936*5</f>
        <v>19.68</v>
      </c>
      <c r="D1" s="11">
        <f>4.007*5</f>
        <v>20.034999999999997</v>
      </c>
      <c r="E1" s="11">
        <f>3.865*5</f>
        <v>19.325000000000003</v>
      </c>
      <c r="F1" s="11">
        <f>4.939*4</f>
        <v>19.756</v>
      </c>
      <c r="G1" s="11">
        <v>20</v>
      </c>
      <c r="H1" s="11">
        <f>5.113*4</f>
        <v>20.452000000000002</v>
      </c>
      <c r="I1" s="11">
        <f>4.798*4</f>
        <v>19.192</v>
      </c>
      <c r="J1" s="7"/>
      <c r="K1" s="1"/>
      <c r="L1" s="1"/>
      <c r="M1" s="1"/>
      <c r="N1" s="1"/>
      <c r="O1" s="1"/>
    </row>
    <row r="2" spans="1:15" ht="15.75" x14ac:dyDescent="0.25">
      <c r="A2" s="2" t="s">
        <v>7</v>
      </c>
      <c r="B2" s="12">
        <f>5.97*5</f>
        <v>29.849999999999998</v>
      </c>
      <c r="C2" s="11">
        <f>6.673*5</f>
        <v>33.365000000000002</v>
      </c>
      <c r="D2" s="11">
        <f>6.531*5</f>
        <v>32.655000000000001</v>
      </c>
      <c r="E2" s="11">
        <f>6.5*5</f>
        <v>32.5</v>
      </c>
      <c r="F2" s="11">
        <f>8.338*4</f>
        <v>33.351999999999997</v>
      </c>
      <c r="G2" s="11">
        <f>9.335*4</f>
        <v>37.340000000000003</v>
      </c>
      <c r="H2" s="11">
        <f>9.01*4</f>
        <v>36.04</v>
      </c>
      <c r="I2" s="11">
        <f>8.474*4</f>
        <v>33.896000000000001</v>
      </c>
      <c r="J2" s="7"/>
      <c r="K2" s="1"/>
      <c r="L2" s="1"/>
      <c r="M2" s="1"/>
      <c r="N2" s="1"/>
      <c r="O2" s="1"/>
    </row>
    <row r="3" spans="1:15" ht="15.75" x14ac:dyDescent="0.25">
      <c r="A3" s="2" t="s">
        <v>9</v>
      </c>
      <c r="B3" s="12">
        <f>6.49*5</f>
        <v>32.450000000000003</v>
      </c>
      <c r="C3" s="11">
        <f>7.049*5</f>
        <v>35.245000000000005</v>
      </c>
      <c r="D3" s="11">
        <f>7.041*5</f>
        <v>35.204999999999998</v>
      </c>
      <c r="E3" s="11">
        <f>7.038*5</f>
        <v>35.19</v>
      </c>
      <c r="F3" s="11">
        <f>8.886*4</f>
        <v>35.543999999999997</v>
      </c>
      <c r="G3" s="11">
        <f>9.944*4</f>
        <v>39.776000000000003</v>
      </c>
      <c r="H3" s="11">
        <f>9.825*4</f>
        <v>39.299999999999997</v>
      </c>
      <c r="I3" s="11">
        <f>9.296*4</f>
        <v>37.183999999999997</v>
      </c>
      <c r="J3" s="7"/>
      <c r="K3" s="1"/>
      <c r="L3" s="1"/>
      <c r="M3" s="1"/>
      <c r="N3" s="1"/>
      <c r="O3" s="1"/>
    </row>
    <row r="4" spans="1:15" ht="15.75" x14ac:dyDescent="0.25">
      <c r="A4" s="2" t="s">
        <v>11</v>
      </c>
      <c r="B4" s="12">
        <f>5.37*5</f>
        <v>26.85</v>
      </c>
      <c r="C4" s="11">
        <f>5.653*5</f>
        <v>28.264999999999997</v>
      </c>
      <c r="D4" s="11">
        <f>5.837*5</f>
        <v>29.184999999999999</v>
      </c>
      <c r="E4" s="11">
        <f>5.77*5</f>
        <v>28.849999999999998</v>
      </c>
      <c r="F4" s="11">
        <f>7.271*4</f>
        <v>29.084</v>
      </c>
      <c r="G4" s="11">
        <f>8.098*4</f>
        <v>32.392000000000003</v>
      </c>
      <c r="H4" s="11">
        <f>7.959*4</f>
        <v>31.835999999999999</v>
      </c>
      <c r="I4" s="11">
        <f>7.529*4</f>
        <v>30.116</v>
      </c>
      <c r="J4" s="7"/>
      <c r="K4" s="1"/>
      <c r="L4" s="1"/>
      <c r="M4" s="1"/>
      <c r="N4" s="1"/>
      <c r="O4" s="1"/>
    </row>
    <row r="5" spans="1:15" ht="15.75" x14ac:dyDescent="0.25">
      <c r="A5" s="2" t="s">
        <v>13</v>
      </c>
      <c r="B5" s="12">
        <f>4.71*5</f>
        <v>23.55</v>
      </c>
      <c r="C5" s="11">
        <f>4.872*5</f>
        <v>24.36</v>
      </c>
      <c r="D5" s="11">
        <f>5.128*5</f>
        <v>25.64</v>
      </c>
      <c r="E5" s="11">
        <f>5.324*5</f>
        <v>26.619999999999997</v>
      </c>
      <c r="F5" s="11">
        <f>6.901*4</f>
        <v>27.603999999999999</v>
      </c>
      <c r="G5" s="11">
        <f>8.221*4</f>
        <v>32.884</v>
      </c>
      <c r="H5" s="11">
        <f>8.358*4</f>
        <v>33.432000000000002</v>
      </c>
      <c r="I5" s="11">
        <f>8.295*4</f>
        <v>33.18</v>
      </c>
      <c r="J5" s="7"/>
      <c r="K5" s="1"/>
      <c r="L5" s="1"/>
      <c r="M5" s="1"/>
      <c r="N5" s="1"/>
      <c r="O5" s="1"/>
    </row>
    <row r="6" spans="1:15" ht="15.75" x14ac:dyDescent="0.25">
      <c r="A6" s="2" t="s">
        <v>15</v>
      </c>
      <c r="B6" s="12">
        <f>4.22*5</f>
        <v>21.099999999999998</v>
      </c>
      <c r="C6" s="11">
        <f>4.203*5</f>
        <v>21.015000000000001</v>
      </c>
      <c r="D6" s="11">
        <f>4.56*5</f>
        <v>22.799999999999997</v>
      </c>
      <c r="E6" s="11">
        <f>4.469*5</f>
        <v>22.345000000000002</v>
      </c>
      <c r="F6" s="11">
        <f>6.104*4</f>
        <v>24.416</v>
      </c>
      <c r="G6" s="11">
        <v>25</v>
      </c>
      <c r="H6" s="11">
        <f>7.204*4</f>
        <v>28.815999999999999</v>
      </c>
      <c r="I6" s="11">
        <f>7.225*4</f>
        <v>28.9</v>
      </c>
      <c r="J6" s="7"/>
      <c r="K6" s="1"/>
      <c r="L6" s="1"/>
      <c r="M6" s="1"/>
      <c r="N6" s="1"/>
      <c r="O6" s="1"/>
    </row>
    <row r="7" spans="1:15" ht="15.75" x14ac:dyDescent="0.25">
      <c r="A7" s="2" t="s">
        <v>17</v>
      </c>
      <c r="B7" s="12">
        <f>5.83*5</f>
        <v>29.15</v>
      </c>
      <c r="C7" s="13">
        <v>30</v>
      </c>
      <c r="D7" s="11">
        <v>30</v>
      </c>
      <c r="E7" s="11">
        <f>6.234*5</f>
        <v>31.17</v>
      </c>
      <c r="F7" s="11">
        <f>7.637*4</f>
        <v>30.547999999999998</v>
      </c>
      <c r="G7" s="11">
        <v>31</v>
      </c>
      <c r="H7" s="11">
        <v>32</v>
      </c>
      <c r="I7" s="11">
        <f>7.703*4</f>
        <v>30.812000000000001</v>
      </c>
      <c r="J7" s="7"/>
      <c r="K7" s="1"/>
      <c r="L7" s="1"/>
      <c r="M7" s="1"/>
      <c r="N7" s="1"/>
      <c r="O7" s="1"/>
    </row>
    <row r="8" spans="1:15" ht="15.75" x14ac:dyDescent="0.25">
      <c r="A8" s="2" t="s">
        <v>19</v>
      </c>
      <c r="B8" s="12">
        <f>3.83*5</f>
        <v>19.149999999999999</v>
      </c>
      <c r="C8" s="11">
        <f>3.89*5</f>
        <v>19.45</v>
      </c>
      <c r="D8" s="11">
        <f>3.817*5</f>
        <v>19.085000000000001</v>
      </c>
      <c r="E8" s="11">
        <f>4.102*5</f>
        <v>20.51</v>
      </c>
      <c r="F8" s="11">
        <f>4.674*4</f>
        <v>18.696000000000002</v>
      </c>
      <c r="G8" s="11">
        <v>19</v>
      </c>
      <c r="H8" s="11">
        <f>5.021*4</f>
        <v>20.084</v>
      </c>
      <c r="I8" s="11">
        <f>4.729*4</f>
        <v>18.916</v>
      </c>
      <c r="J8" s="7"/>
      <c r="K8" s="1"/>
      <c r="L8" s="1"/>
      <c r="M8" s="1"/>
      <c r="N8" s="1"/>
      <c r="O8" s="1"/>
    </row>
    <row r="9" spans="1:15" ht="15.75" x14ac:dyDescent="0.25">
      <c r="A9" s="2" t="s">
        <v>20</v>
      </c>
      <c r="B9" s="12">
        <f>5.72*5</f>
        <v>28.599999999999998</v>
      </c>
      <c r="C9" s="11">
        <f>6.088*5</f>
        <v>30.44</v>
      </c>
      <c r="D9" s="11">
        <f>6.168*5</f>
        <v>30.84</v>
      </c>
      <c r="E9" s="11">
        <f>6.154*5</f>
        <v>30.77</v>
      </c>
      <c r="F9" s="11">
        <f>7.771*4</f>
        <v>31.084</v>
      </c>
      <c r="G9" s="11">
        <v>32</v>
      </c>
      <c r="H9" s="11">
        <f>8.569*4</f>
        <v>34.276000000000003</v>
      </c>
      <c r="I9" s="11">
        <f>8.081*4</f>
        <v>32.323999999999998</v>
      </c>
      <c r="J9" s="7"/>
      <c r="K9" s="1"/>
      <c r="L9" s="1"/>
      <c r="M9" s="1"/>
      <c r="N9" s="1"/>
      <c r="O9" s="1"/>
    </row>
    <row r="10" spans="1:15" ht="15.75" x14ac:dyDescent="0.25">
      <c r="A10" s="2" t="s">
        <v>21</v>
      </c>
      <c r="B10" s="12">
        <f>6.14*5</f>
        <v>30.7</v>
      </c>
      <c r="C10" s="11">
        <f>6.697*5</f>
        <v>33.484999999999999</v>
      </c>
      <c r="D10" s="11">
        <f>6.947*5</f>
        <v>34.734999999999999</v>
      </c>
      <c r="E10" s="11">
        <f>7.026*5</f>
        <v>35.129999999999995</v>
      </c>
      <c r="F10" s="11">
        <f>8.804*4</f>
        <v>35.216000000000001</v>
      </c>
      <c r="G10" s="11">
        <v>37</v>
      </c>
      <c r="H10" s="11">
        <f>10.144*4</f>
        <v>40.576000000000001</v>
      </c>
      <c r="I10" s="11">
        <v>40</v>
      </c>
      <c r="J10" s="7"/>
      <c r="K10" s="1"/>
      <c r="L10" s="1"/>
      <c r="M10" s="1"/>
      <c r="N10" s="1"/>
      <c r="O10" s="1"/>
    </row>
    <row r="11" spans="1:15" ht="15.75" x14ac:dyDescent="0.25">
      <c r="A11" s="2" t="s">
        <v>22</v>
      </c>
      <c r="B11" s="12">
        <f>12.64*5</f>
        <v>63.2</v>
      </c>
      <c r="C11" s="14">
        <f>13.845*5</f>
        <v>69.225000000000009</v>
      </c>
      <c r="D11" s="14">
        <f>14.112*5</f>
        <v>70.56</v>
      </c>
      <c r="E11" s="11">
        <f>13.888*5</f>
        <v>69.44</v>
      </c>
      <c r="F11" s="14">
        <f>17.255*4</f>
        <v>69.02</v>
      </c>
      <c r="G11" s="14">
        <f>18.85*4</f>
        <v>75.400000000000006</v>
      </c>
      <c r="H11" s="11">
        <f>19.594*4</f>
        <v>78.376000000000005</v>
      </c>
      <c r="I11" s="14">
        <f>18.921*4</f>
        <v>75.683999999999997</v>
      </c>
      <c r="J11" s="7"/>
      <c r="K11" s="1"/>
      <c r="L11" s="1"/>
      <c r="M11" s="1"/>
      <c r="N11" s="1"/>
      <c r="O11" s="1"/>
    </row>
    <row r="12" spans="1:15" ht="15.75" x14ac:dyDescent="0.25">
      <c r="A12" s="2" t="s">
        <v>23</v>
      </c>
      <c r="B12" s="12">
        <f>6.95*5</f>
        <v>34.75</v>
      </c>
      <c r="C12" s="14">
        <f>7.496*5</f>
        <v>37.480000000000004</v>
      </c>
      <c r="D12" s="14">
        <f>7.922*5</f>
        <v>39.61</v>
      </c>
      <c r="E12" s="11">
        <f>7.822*5</f>
        <v>39.11</v>
      </c>
      <c r="F12" s="14">
        <f>9.962*4</f>
        <v>39.847999999999999</v>
      </c>
      <c r="G12" s="14">
        <f>10.589*4</f>
        <v>42.356000000000002</v>
      </c>
      <c r="H12" s="11">
        <f>11.249*4</f>
        <v>44.996000000000002</v>
      </c>
      <c r="I12" s="14">
        <f>10.39*4</f>
        <v>41.56</v>
      </c>
      <c r="J12" s="7"/>
      <c r="K12" s="1"/>
      <c r="L12" s="1"/>
      <c r="M12" s="1"/>
      <c r="N12" s="1"/>
      <c r="O12" s="1"/>
    </row>
    <row r="13" spans="1:15" ht="15.75" x14ac:dyDescent="0.25">
      <c r="A13" s="2" t="s">
        <v>25</v>
      </c>
      <c r="B13" s="15">
        <f>5.842*5</f>
        <v>29.209999999999997</v>
      </c>
      <c r="C13" s="16">
        <f>6.741*5</f>
        <v>33.704999999999998</v>
      </c>
      <c r="D13" s="14">
        <f>6.684*5</f>
        <v>33.42</v>
      </c>
      <c r="E13" s="11">
        <f>6.72*5</f>
        <v>33.6</v>
      </c>
      <c r="F13" s="14">
        <f>8.56*4</f>
        <v>34.24</v>
      </c>
      <c r="G13" s="14">
        <f>9.573*4</f>
        <v>38.292000000000002</v>
      </c>
      <c r="H13" s="11">
        <f>10.512*4</f>
        <v>42.048000000000002</v>
      </c>
      <c r="I13" s="14">
        <v>42</v>
      </c>
      <c r="J13" s="7"/>
      <c r="K13" s="1"/>
      <c r="L13" s="1"/>
      <c r="M13" s="1"/>
      <c r="N13" s="1"/>
      <c r="O13" s="1"/>
    </row>
    <row r="14" spans="1:15" ht="15.75" x14ac:dyDescent="0.25">
      <c r="A14" s="2" t="s">
        <v>26</v>
      </c>
      <c r="B14" s="15">
        <f>3.738*5</f>
        <v>18.690000000000001</v>
      </c>
      <c r="C14" s="16">
        <f>3.778*5</f>
        <v>18.89</v>
      </c>
      <c r="D14" s="14">
        <f>4.072*5</f>
        <v>20.36</v>
      </c>
      <c r="E14" s="11">
        <f>5.147*5</f>
        <v>25.734999999999999</v>
      </c>
      <c r="F14" s="11">
        <f>6.624*4</f>
        <v>26.495999999999999</v>
      </c>
      <c r="G14" s="14">
        <f>7.463*4</f>
        <v>29.852</v>
      </c>
      <c r="H14" s="11">
        <f>8.005*4</f>
        <v>32.020000000000003</v>
      </c>
      <c r="I14" s="14">
        <v>32</v>
      </c>
      <c r="J14" s="7"/>
      <c r="K14" s="1"/>
      <c r="L14" s="1"/>
      <c r="M14" s="1"/>
      <c r="N14" s="1"/>
      <c r="O14" s="1"/>
    </row>
    <row r="15" spans="1:15" ht="15.75" x14ac:dyDescent="0.25">
      <c r="A15" s="2" t="s">
        <v>27</v>
      </c>
      <c r="B15" s="15">
        <f>3.712*5</f>
        <v>18.560000000000002</v>
      </c>
      <c r="C15" s="17">
        <f>4.392*5</f>
        <v>21.96</v>
      </c>
      <c r="D15" s="14">
        <f>4.371*5</f>
        <v>21.855000000000004</v>
      </c>
      <c r="E15" s="11">
        <f>5.696*5</f>
        <v>28.479999999999997</v>
      </c>
      <c r="F15" s="14">
        <f>7.409*4</f>
        <v>29.635999999999999</v>
      </c>
      <c r="G15" s="14">
        <f>7.836*4</f>
        <v>31.344000000000001</v>
      </c>
      <c r="H15" s="11">
        <v>32</v>
      </c>
      <c r="I15" s="14">
        <f>8.357*4</f>
        <v>33.427999999999997</v>
      </c>
      <c r="J15" s="7"/>
      <c r="K15" s="1"/>
      <c r="L15" s="1"/>
      <c r="M15" s="1"/>
      <c r="N15" s="1"/>
      <c r="O15" s="1"/>
    </row>
    <row r="16" spans="1:15" ht="15.75" x14ac:dyDescent="0.25">
      <c r="A16" s="2" t="s">
        <v>28</v>
      </c>
      <c r="B16" s="15">
        <f>5.695*5</f>
        <v>28.475000000000001</v>
      </c>
      <c r="C16" s="17">
        <f>6.283*5</f>
        <v>31.415000000000003</v>
      </c>
      <c r="D16" s="14">
        <f>7.074*5</f>
        <v>35.369999999999997</v>
      </c>
      <c r="E16" s="11">
        <f>7.936*5</f>
        <v>39.68</v>
      </c>
      <c r="F16" s="14">
        <f>10.123*4</f>
        <v>40.491999999999997</v>
      </c>
      <c r="G16" s="14">
        <f>11.307*4</f>
        <v>45.228000000000002</v>
      </c>
      <c r="H16" s="11">
        <v>46</v>
      </c>
      <c r="I16" s="14">
        <f>11.843*4</f>
        <v>47.372</v>
      </c>
      <c r="J16" s="7"/>
      <c r="K16" s="1"/>
      <c r="L16" s="1"/>
      <c r="M16" s="1"/>
      <c r="N16" s="1"/>
      <c r="O16" s="1"/>
    </row>
    <row r="17" spans="1:15" ht="15.75" x14ac:dyDescent="0.25">
      <c r="A17" s="2" t="s">
        <v>30</v>
      </c>
      <c r="B17" s="15">
        <f>8.065*5</f>
        <v>40.324999999999996</v>
      </c>
      <c r="C17" s="17">
        <f>8.681*5</f>
        <v>43.404999999999994</v>
      </c>
      <c r="D17" s="14">
        <f>9.351*5</f>
        <v>46.755000000000003</v>
      </c>
      <c r="E17" s="11">
        <f>10.512*5</f>
        <v>52.56</v>
      </c>
      <c r="F17" s="14">
        <f>13.272*4</f>
        <v>53.088000000000001</v>
      </c>
      <c r="G17" s="14">
        <f>13.785*4</f>
        <v>55.14</v>
      </c>
      <c r="H17" s="11">
        <v>55</v>
      </c>
      <c r="I17" s="14">
        <f>14.086*4</f>
        <v>56.344000000000001</v>
      </c>
      <c r="J17" s="7"/>
      <c r="K17" s="1"/>
      <c r="L17" s="1"/>
      <c r="M17" s="1"/>
      <c r="N17" s="1"/>
      <c r="O17" s="1"/>
    </row>
    <row r="18" spans="1:15" ht="15.75" x14ac:dyDescent="0.25">
      <c r="A18" s="2" t="s">
        <v>31</v>
      </c>
      <c r="B18" s="15">
        <f>6.307*5</f>
        <v>31.535000000000004</v>
      </c>
      <c r="C18" s="17">
        <f>6.342*5</f>
        <v>31.709999999999997</v>
      </c>
      <c r="D18" s="14">
        <f>6.881*5</f>
        <v>34.405000000000001</v>
      </c>
      <c r="E18" s="18">
        <f>6.834*5</f>
        <v>34.17</v>
      </c>
      <c r="F18" s="14">
        <f>8.654*4</f>
        <v>34.616</v>
      </c>
      <c r="G18" s="14">
        <f>9.685*4</f>
        <v>38.74</v>
      </c>
      <c r="H18" s="11">
        <f>9.534*4</f>
        <v>38.136000000000003</v>
      </c>
      <c r="I18" s="14">
        <v>38</v>
      </c>
      <c r="J18" s="7"/>
      <c r="K18" s="1"/>
      <c r="L18" s="1"/>
      <c r="M18" s="1"/>
      <c r="N18" s="1"/>
      <c r="O18" s="1"/>
    </row>
    <row r="19" spans="1:15" ht="15.75" x14ac:dyDescent="0.25">
      <c r="A19" s="2" t="s">
        <v>32</v>
      </c>
      <c r="B19" s="15">
        <f>6.446*5</f>
        <v>32.229999999999997</v>
      </c>
      <c r="C19" s="17">
        <f>6.756*5</f>
        <v>33.78</v>
      </c>
      <c r="D19" s="14">
        <f>7.208*5</f>
        <v>36.04</v>
      </c>
      <c r="E19" s="11">
        <v>36</v>
      </c>
      <c r="F19" s="19">
        <v>37</v>
      </c>
      <c r="G19" s="14">
        <f>9.628*4</f>
        <v>38.512</v>
      </c>
      <c r="H19" s="11">
        <f>10.02*4</f>
        <v>40.08</v>
      </c>
      <c r="I19" s="14">
        <v>39</v>
      </c>
      <c r="J19" s="7"/>
      <c r="K19" s="1"/>
      <c r="L19" s="1"/>
      <c r="M19" s="1"/>
      <c r="N19" s="1"/>
      <c r="O19" s="1"/>
    </row>
    <row r="20" spans="1:15" ht="15.75" x14ac:dyDescent="0.25">
      <c r="A20" s="2" t="s">
        <v>33</v>
      </c>
      <c r="B20" s="15">
        <f>4.356*5</f>
        <v>21.78</v>
      </c>
      <c r="C20" s="16">
        <f>4.398*5</f>
        <v>21.99</v>
      </c>
      <c r="D20" s="14">
        <f>4.55*5</f>
        <v>22.75</v>
      </c>
      <c r="E20" s="11">
        <v>24</v>
      </c>
      <c r="F20" s="19">
        <v>25</v>
      </c>
      <c r="G20" s="14">
        <f>6.318*4</f>
        <v>25.271999999999998</v>
      </c>
      <c r="H20" s="11">
        <f>6.61*4</f>
        <v>26.44</v>
      </c>
      <c r="I20" s="14">
        <f>6.28*4</f>
        <v>25.12</v>
      </c>
      <c r="J20" s="7"/>
      <c r="K20" s="1"/>
      <c r="L20" s="1"/>
      <c r="M20" s="1"/>
      <c r="N20" s="1"/>
      <c r="O20" s="1"/>
    </row>
    <row r="21" spans="1:15" ht="15.75" x14ac:dyDescent="0.25">
      <c r="A21" s="2" t="s">
        <v>34</v>
      </c>
      <c r="B21" s="7">
        <f>4*5</f>
        <v>20</v>
      </c>
      <c r="C21" s="17">
        <f>4.182*5</f>
        <v>20.910000000000004</v>
      </c>
      <c r="D21" s="14">
        <f>4.166*5</f>
        <v>20.830000000000002</v>
      </c>
      <c r="E21" s="11">
        <f>4.272*5</f>
        <v>21.36</v>
      </c>
      <c r="F21" s="19">
        <v>22</v>
      </c>
      <c r="G21" s="14">
        <f>5.974*4</f>
        <v>23.896000000000001</v>
      </c>
      <c r="H21" s="11">
        <f>6.296*4</f>
        <v>25.184000000000001</v>
      </c>
      <c r="I21" s="14">
        <f>6.062*4</f>
        <v>24.248000000000001</v>
      </c>
      <c r="J21" s="7"/>
      <c r="K21" s="1"/>
      <c r="L21" s="1"/>
      <c r="M21" s="1"/>
      <c r="N21" s="1"/>
      <c r="O21" s="1"/>
    </row>
    <row r="22" spans="1:15" ht="15.75" x14ac:dyDescent="0.25">
      <c r="A22" s="2" t="s">
        <v>35</v>
      </c>
      <c r="B22" s="15">
        <f>4.143*5</f>
        <v>20.715</v>
      </c>
      <c r="C22" s="17">
        <f>4.258*5</f>
        <v>21.29</v>
      </c>
      <c r="D22" s="14">
        <f>4.259*5</f>
        <v>21.295000000000002</v>
      </c>
      <c r="E22" s="11">
        <f>4.331*5</f>
        <v>21.655000000000001</v>
      </c>
      <c r="F22" s="13">
        <v>23</v>
      </c>
      <c r="G22" s="14">
        <f>5.992*4</f>
        <v>23.968</v>
      </c>
      <c r="H22" s="11">
        <f>6.263*4</f>
        <v>25.052</v>
      </c>
      <c r="I22" s="14">
        <f>6.019*4</f>
        <v>24.076000000000001</v>
      </c>
      <c r="J22" s="7"/>
      <c r="K22" s="1"/>
      <c r="L22" s="1"/>
      <c r="M22" s="1"/>
      <c r="N22" s="1"/>
      <c r="O22" s="1"/>
    </row>
    <row r="23" spans="1:15" ht="15.75" x14ac:dyDescent="0.25">
      <c r="A23" s="2" t="s">
        <v>36</v>
      </c>
      <c r="B23" s="7">
        <f>3.82*5</f>
        <v>19.099999999999998</v>
      </c>
      <c r="C23" s="17">
        <f>3.675*5</f>
        <v>18.375</v>
      </c>
      <c r="D23" s="14">
        <f>3.898*5</f>
        <v>19.490000000000002</v>
      </c>
      <c r="E23" s="11">
        <f>3.953*5</f>
        <v>19.765000000000001</v>
      </c>
      <c r="F23" s="19">
        <v>21</v>
      </c>
      <c r="G23" s="14">
        <f>5.373*4</f>
        <v>21.492000000000001</v>
      </c>
      <c r="H23" s="11">
        <v>22</v>
      </c>
      <c r="I23" s="14">
        <f>5.288*4</f>
        <v>21.152000000000001</v>
      </c>
      <c r="J23" s="7"/>
      <c r="K23" s="1"/>
      <c r="L23" s="1"/>
      <c r="M23" s="1"/>
      <c r="N23" s="1"/>
      <c r="O23" s="1"/>
    </row>
    <row r="24" spans="1:15" ht="15.75" x14ac:dyDescent="0.25">
      <c r="A24" s="2" t="s">
        <v>37</v>
      </c>
      <c r="B24" s="7">
        <f>3.45*5</f>
        <v>17.25</v>
      </c>
      <c r="C24" s="16">
        <f>3.564*5</f>
        <v>17.82</v>
      </c>
      <c r="D24" s="14">
        <f>3.974*5</f>
        <v>19.87</v>
      </c>
      <c r="E24" s="11">
        <f>4.145*5</f>
        <v>20.724999999999998</v>
      </c>
      <c r="F24" s="19">
        <v>23</v>
      </c>
      <c r="G24" s="14">
        <f>6.226*4</f>
        <v>24.904</v>
      </c>
      <c r="H24" s="11">
        <f>6.859*4</f>
        <v>27.436</v>
      </c>
      <c r="I24" s="14">
        <f>6.794*4</f>
        <v>27.175999999999998</v>
      </c>
      <c r="J24" s="7"/>
      <c r="K24" s="1"/>
      <c r="L24" s="1"/>
      <c r="M24" s="1"/>
      <c r="N24" s="1"/>
      <c r="O2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sqref="A1:XFD1"/>
    </sheetView>
  </sheetViews>
  <sheetFormatPr defaultRowHeight="15" x14ac:dyDescent="0.25"/>
  <sheetData>
    <row r="1" spans="1:15" ht="15.75" x14ac:dyDescent="0.25">
      <c r="A1" s="2" t="s">
        <v>5</v>
      </c>
      <c r="B1" s="9">
        <v>0</v>
      </c>
      <c r="C1" s="20">
        <v>0</v>
      </c>
      <c r="D1" s="20">
        <v>0</v>
      </c>
      <c r="E1" s="20">
        <v>0</v>
      </c>
      <c r="F1" s="20">
        <v>0</v>
      </c>
      <c r="G1" s="20">
        <v>0</v>
      </c>
      <c r="H1" s="9">
        <v>0</v>
      </c>
      <c r="I1" s="20">
        <v>0</v>
      </c>
      <c r="J1" s="1"/>
      <c r="K1" s="1"/>
      <c r="L1" s="1"/>
      <c r="M1" s="1"/>
      <c r="N1" s="1"/>
      <c r="O1" s="1"/>
    </row>
    <row r="2" spans="1:15" ht="15.75" x14ac:dyDescent="0.25">
      <c r="A2" s="2" t="s">
        <v>7</v>
      </c>
      <c r="B2" s="9">
        <f>5*1.58</f>
        <v>7.9</v>
      </c>
      <c r="C2" s="9">
        <f>5*1.41</f>
        <v>7.05</v>
      </c>
      <c r="D2" s="9">
        <f>5*1.34</f>
        <v>6.7</v>
      </c>
      <c r="E2" s="21">
        <f>5*1.32</f>
        <v>6.6000000000000005</v>
      </c>
      <c r="F2" s="9">
        <v>6.7</v>
      </c>
      <c r="G2" s="21">
        <f>1.368*5</f>
        <v>6.8400000000000007</v>
      </c>
      <c r="H2" s="21">
        <f>1.468*5</f>
        <v>7.34</v>
      </c>
      <c r="I2" s="9">
        <v>7.5249999999999995</v>
      </c>
      <c r="J2" s="1"/>
      <c r="K2" s="1"/>
      <c r="L2" s="1"/>
      <c r="M2" s="1"/>
      <c r="N2" s="1"/>
      <c r="O2" s="1"/>
    </row>
    <row r="3" spans="1:15" ht="15.75" x14ac:dyDescent="0.25">
      <c r="A3" s="2" t="s">
        <v>9</v>
      </c>
      <c r="B3" s="9">
        <f>5*2.15</f>
        <v>10.75</v>
      </c>
      <c r="C3" s="9">
        <v>10.7</v>
      </c>
      <c r="D3" s="9">
        <f>5*2.18</f>
        <v>10.9</v>
      </c>
      <c r="E3" s="21">
        <v>11.6</v>
      </c>
      <c r="F3" s="9">
        <v>11.2</v>
      </c>
      <c r="G3" s="21">
        <f>2.121*5</f>
        <v>10.605</v>
      </c>
      <c r="H3" s="21">
        <f>2.269*5</f>
        <v>11.345000000000001</v>
      </c>
      <c r="I3" s="9">
        <v>11.21</v>
      </c>
      <c r="J3" s="1"/>
      <c r="K3" s="1"/>
      <c r="L3" s="1"/>
      <c r="M3" s="1"/>
      <c r="N3" s="1"/>
      <c r="O3" s="1"/>
    </row>
    <row r="4" spans="1:15" ht="15.75" x14ac:dyDescent="0.25">
      <c r="A4" s="2" t="s">
        <v>11</v>
      </c>
      <c r="B4" s="9">
        <f>5*2.7</f>
        <v>13.5</v>
      </c>
      <c r="C4" s="9">
        <f>5*2.79</f>
        <v>13.95</v>
      </c>
      <c r="D4" s="9">
        <f>5*2.74</f>
        <v>13.700000000000001</v>
      </c>
      <c r="E4" s="21">
        <f>5*2.664</f>
        <v>13.32</v>
      </c>
      <c r="F4" s="9">
        <v>13.2</v>
      </c>
      <c r="G4" s="21">
        <f>2.688*5</f>
        <v>13.440000000000001</v>
      </c>
      <c r="H4" s="21">
        <f>2.8*5</f>
        <v>14</v>
      </c>
      <c r="I4" s="9">
        <v>13.5</v>
      </c>
      <c r="J4" s="1"/>
      <c r="K4" s="1"/>
      <c r="L4" s="1"/>
      <c r="M4" s="1"/>
      <c r="N4" s="1"/>
      <c r="O4" s="1"/>
    </row>
    <row r="5" spans="1:15" ht="15.75" x14ac:dyDescent="0.25">
      <c r="A5" s="2" t="s">
        <v>13</v>
      </c>
      <c r="B5" s="9">
        <f>5*2.5</f>
        <v>12.5</v>
      </c>
      <c r="C5" s="9">
        <f>5*2.54</f>
        <v>12.7</v>
      </c>
      <c r="D5" s="9">
        <f>5*2.47</f>
        <v>12.350000000000001</v>
      </c>
      <c r="E5" s="21">
        <f>5*2.419</f>
        <v>12.095000000000001</v>
      </c>
      <c r="F5" s="9">
        <f>2.34*5</f>
        <v>11.7</v>
      </c>
      <c r="G5" s="21">
        <f>2.391*5</f>
        <v>11.955</v>
      </c>
      <c r="H5" s="21">
        <f>2.459*5</f>
        <v>12.295</v>
      </c>
      <c r="I5" s="9">
        <v>12.515000000000001</v>
      </c>
      <c r="J5" s="1"/>
      <c r="K5" s="1"/>
      <c r="L5" s="1"/>
      <c r="M5" s="1"/>
      <c r="N5" s="1"/>
      <c r="O5" s="1"/>
    </row>
    <row r="6" spans="1:15" ht="15.75" x14ac:dyDescent="0.25">
      <c r="A6" s="2" t="s">
        <v>15</v>
      </c>
      <c r="B6" s="9">
        <f>5*2.26</f>
        <v>11.299999999999999</v>
      </c>
      <c r="C6" s="9">
        <f>5*2.33</f>
        <v>11.65</v>
      </c>
      <c r="D6" s="9">
        <f>5*2.32</f>
        <v>11.6</v>
      </c>
      <c r="E6" s="21">
        <f>5*2.337</f>
        <v>11.685</v>
      </c>
      <c r="F6" s="21">
        <f>2.207*5</f>
        <v>11.035</v>
      </c>
      <c r="G6" s="21">
        <f>2.103*5</f>
        <v>10.515000000000001</v>
      </c>
      <c r="H6" s="21">
        <f>2.28*5</f>
        <v>11.399999999999999</v>
      </c>
      <c r="I6" s="9">
        <v>10.209999999999999</v>
      </c>
      <c r="J6" s="1"/>
      <c r="K6" s="1"/>
      <c r="L6" s="1"/>
      <c r="M6" s="1"/>
      <c r="N6" s="1"/>
      <c r="O6" s="1"/>
    </row>
    <row r="7" spans="1:15" ht="15.75" x14ac:dyDescent="0.25">
      <c r="A7" s="2" t="s">
        <v>17</v>
      </c>
      <c r="B7" s="9">
        <f>5*0.25</f>
        <v>1.25</v>
      </c>
      <c r="C7" s="9">
        <v>0</v>
      </c>
      <c r="D7" s="9">
        <v>0</v>
      </c>
      <c r="E7" s="21">
        <f>5*0.156</f>
        <v>0.78</v>
      </c>
      <c r="F7" s="9">
        <v>0</v>
      </c>
      <c r="G7" s="9">
        <v>0</v>
      </c>
      <c r="H7" s="9">
        <v>0</v>
      </c>
      <c r="I7" s="9">
        <v>0.97500000000000009</v>
      </c>
      <c r="J7" s="1"/>
      <c r="K7" s="1"/>
      <c r="L7" s="1"/>
      <c r="M7" s="1"/>
      <c r="N7" s="1"/>
      <c r="O7" s="1"/>
    </row>
    <row r="8" spans="1:15" ht="15.75" x14ac:dyDescent="0.25">
      <c r="A8" s="2" t="s">
        <v>19</v>
      </c>
      <c r="B8" s="9">
        <f>5*0.57</f>
        <v>2.8499999999999996</v>
      </c>
      <c r="C8" s="9">
        <f>5*0.53</f>
        <v>2.6500000000000004</v>
      </c>
      <c r="D8" s="9">
        <f>5*0.41</f>
        <v>2.0499999999999998</v>
      </c>
      <c r="E8" s="21">
        <f>5*0.364</f>
        <v>1.8199999999999998</v>
      </c>
      <c r="F8" s="9">
        <v>1.6</v>
      </c>
      <c r="G8" s="21">
        <f>0.337*5</f>
        <v>1.6850000000000001</v>
      </c>
      <c r="H8" s="21">
        <f>0.394*5</f>
        <v>1.9700000000000002</v>
      </c>
      <c r="I8" s="9">
        <v>2.2149999999999999</v>
      </c>
      <c r="J8" s="1"/>
      <c r="K8" s="1"/>
      <c r="L8" s="1"/>
      <c r="M8" s="1"/>
      <c r="N8" s="1"/>
      <c r="O8" s="1"/>
    </row>
    <row r="9" spans="1:15" ht="15.75" x14ac:dyDescent="0.25">
      <c r="A9" s="2" t="s">
        <v>20</v>
      </c>
      <c r="B9" s="9">
        <f>5*2.39</f>
        <v>11.950000000000001</v>
      </c>
      <c r="C9" s="9">
        <f>5*2.48</f>
        <v>12.4</v>
      </c>
      <c r="D9" s="9">
        <f>5*2.45</f>
        <v>12.25</v>
      </c>
      <c r="E9" s="21">
        <f>5*2.395</f>
        <v>11.975</v>
      </c>
      <c r="F9" s="9">
        <v>12</v>
      </c>
      <c r="G9" s="21">
        <f>2.266*5</f>
        <v>11.33</v>
      </c>
      <c r="H9" s="21">
        <f>2.394*5</f>
        <v>11.97</v>
      </c>
      <c r="I9" s="9">
        <v>11.77</v>
      </c>
      <c r="J9" s="1"/>
      <c r="K9" s="1"/>
      <c r="L9" s="1"/>
      <c r="M9" s="1"/>
      <c r="N9" s="1"/>
      <c r="O9" s="1"/>
    </row>
    <row r="10" spans="1:15" ht="15.75" x14ac:dyDescent="0.25">
      <c r="A10" s="2" t="s">
        <v>21</v>
      </c>
      <c r="B10" s="9">
        <f>5*2.46</f>
        <v>12.3</v>
      </c>
      <c r="C10" s="9">
        <v>12.4</v>
      </c>
      <c r="D10" s="9">
        <f>5*2.5</f>
        <v>12.5</v>
      </c>
      <c r="E10" s="21">
        <f>5*2.457</f>
        <v>12.285</v>
      </c>
      <c r="F10" s="9">
        <f>2.16*5</f>
        <v>10.8</v>
      </c>
      <c r="G10" s="21">
        <f>2.246*5</f>
        <v>11.23</v>
      </c>
      <c r="H10" s="21">
        <f>2.417*5</f>
        <v>12.084999999999999</v>
      </c>
      <c r="I10" s="9">
        <v>11.9</v>
      </c>
      <c r="J10" s="1"/>
      <c r="K10" s="1"/>
      <c r="L10" s="1"/>
      <c r="M10" s="1"/>
      <c r="N10" s="1"/>
      <c r="O10" s="1"/>
    </row>
    <row r="11" spans="1:15" ht="15.75" x14ac:dyDescent="0.25">
      <c r="A11" s="2" t="s">
        <v>22</v>
      </c>
      <c r="B11" s="9">
        <f>5*1.1</f>
        <v>5.5</v>
      </c>
      <c r="C11" s="9">
        <f>5*0.97</f>
        <v>4.8499999999999996</v>
      </c>
      <c r="D11" s="9">
        <f>5*0.93</f>
        <v>4.6500000000000004</v>
      </c>
      <c r="E11" s="21">
        <f>5*0.894</f>
        <v>4.47</v>
      </c>
      <c r="F11" s="9">
        <v>4.5</v>
      </c>
      <c r="G11" s="21">
        <f>0.871*5</f>
        <v>4.3550000000000004</v>
      </c>
      <c r="H11" s="21">
        <f>0.922*5</f>
        <v>4.6100000000000003</v>
      </c>
      <c r="I11" s="9">
        <v>4.8549999999999995</v>
      </c>
      <c r="J11" s="1"/>
      <c r="K11" s="1"/>
      <c r="L11" s="1"/>
      <c r="M11" s="1"/>
      <c r="N11" s="1"/>
      <c r="O11" s="1"/>
    </row>
    <row r="12" spans="1:15" ht="15.75" x14ac:dyDescent="0.25">
      <c r="A12" s="2" t="s">
        <v>23</v>
      </c>
      <c r="B12" s="9">
        <f>5*2.34</f>
        <v>11.7</v>
      </c>
      <c r="C12" s="9">
        <f>5*2.41</f>
        <v>12.05</v>
      </c>
      <c r="D12" s="9">
        <f>5*2.42</f>
        <v>12.1</v>
      </c>
      <c r="E12" s="21">
        <f>5*2.355</f>
        <v>11.775</v>
      </c>
      <c r="F12" s="9">
        <v>11.5</v>
      </c>
      <c r="G12" s="21">
        <f>2.259*5</f>
        <v>11.295</v>
      </c>
      <c r="H12" s="21">
        <f>2.42*5</f>
        <v>12.1</v>
      </c>
      <c r="I12" s="9">
        <v>12.509999999999998</v>
      </c>
      <c r="J12" s="1"/>
      <c r="K12" s="1"/>
      <c r="L12" s="1"/>
      <c r="M12" s="1"/>
      <c r="N12" s="1"/>
      <c r="O12" s="1"/>
    </row>
    <row r="13" spans="1:15" ht="15.75" x14ac:dyDescent="0.25">
      <c r="A13" s="2" t="s">
        <v>25</v>
      </c>
      <c r="B13" s="9">
        <f>5*2.6</f>
        <v>13</v>
      </c>
      <c r="C13" s="9">
        <f t="shared" ref="C13:D13" si="0">5*2.65</f>
        <v>13.25</v>
      </c>
      <c r="D13" s="9">
        <f t="shared" si="0"/>
        <v>13.25</v>
      </c>
      <c r="E13" s="21">
        <f>5*2.583</f>
        <v>12.915000000000001</v>
      </c>
      <c r="F13" s="9">
        <f>2.52*5</f>
        <v>12.6</v>
      </c>
      <c r="G13" s="21">
        <f>2.452*5</f>
        <v>12.26</v>
      </c>
      <c r="H13" s="21">
        <f>2.644*5</f>
        <v>13.22</v>
      </c>
      <c r="I13" s="9">
        <v>13.305</v>
      </c>
      <c r="J13" s="1"/>
      <c r="K13" s="1"/>
      <c r="L13" s="1"/>
      <c r="M13" s="1"/>
      <c r="N13" s="1"/>
      <c r="O13" s="1"/>
    </row>
    <row r="14" spans="1:15" ht="15.75" x14ac:dyDescent="0.25">
      <c r="A14" s="2" t="s">
        <v>26</v>
      </c>
      <c r="B14" s="9">
        <f>5*2.76</f>
        <v>13.799999999999999</v>
      </c>
      <c r="C14" s="9">
        <f>5*2.9</f>
        <v>14.5</v>
      </c>
      <c r="D14" s="9">
        <f>5*2.92</f>
        <v>14.6</v>
      </c>
      <c r="E14" s="21">
        <f>5*2.809</f>
        <v>14.045000000000002</v>
      </c>
      <c r="F14" s="21">
        <f>2.783*5</f>
        <v>13.914999999999999</v>
      </c>
      <c r="G14" s="21">
        <f>2.605*5</f>
        <v>13.025</v>
      </c>
      <c r="H14" s="21">
        <f>2.887*5</f>
        <v>14.435</v>
      </c>
      <c r="I14" s="9">
        <v>14</v>
      </c>
      <c r="J14" s="1"/>
      <c r="K14" s="1"/>
      <c r="L14" s="1"/>
      <c r="M14" s="1"/>
      <c r="N14" s="1"/>
      <c r="O14" s="1"/>
    </row>
    <row r="15" spans="1:15" ht="15.75" x14ac:dyDescent="0.25">
      <c r="A15" s="2" t="s">
        <v>27</v>
      </c>
      <c r="B15" s="9">
        <f>5*2.81</f>
        <v>14.05</v>
      </c>
      <c r="C15" s="9">
        <f>5*3.14</f>
        <v>15.700000000000001</v>
      </c>
      <c r="D15" s="9">
        <f>5*3.08</f>
        <v>15.4</v>
      </c>
      <c r="E15" s="21">
        <f>5*3.095</f>
        <v>15.475000000000001</v>
      </c>
      <c r="F15" s="9">
        <v>15.3</v>
      </c>
      <c r="G15" s="9">
        <f>2.959*5</f>
        <v>14.795</v>
      </c>
      <c r="H15" s="21">
        <f>2.953*5</f>
        <v>14.764999999999999</v>
      </c>
      <c r="I15" s="9">
        <v>15.504999999999999</v>
      </c>
      <c r="J15" s="1"/>
      <c r="K15" s="1"/>
      <c r="L15" s="1"/>
      <c r="M15" s="1"/>
      <c r="N15" s="1"/>
      <c r="O15" s="1"/>
    </row>
    <row r="16" spans="1:15" ht="15.75" x14ac:dyDescent="0.25">
      <c r="A16" s="2" t="s">
        <v>28</v>
      </c>
      <c r="B16" s="9">
        <f>5*3.58</f>
        <v>17.899999999999999</v>
      </c>
      <c r="C16" s="9">
        <f>5*3.62</f>
        <v>18.100000000000001</v>
      </c>
      <c r="D16" s="9">
        <f>5*3.57</f>
        <v>17.849999999999998</v>
      </c>
      <c r="E16" s="21">
        <f>5*3.522</f>
        <v>17.61</v>
      </c>
      <c r="F16" s="21">
        <f>3.44*5</f>
        <v>17.2</v>
      </c>
      <c r="G16" s="21">
        <f>3.407*5</f>
        <v>17.035</v>
      </c>
      <c r="H16" s="21">
        <f>3.445*5</f>
        <v>17.224999999999998</v>
      </c>
      <c r="I16" s="9">
        <v>16.645</v>
      </c>
      <c r="J16" s="1"/>
      <c r="K16" s="1"/>
      <c r="L16" s="1"/>
      <c r="M16" s="1"/>
      <c r="N16" s="1"/>
      <c r="O16" s="1"/>
    </row>
    <row r="17" spans="1:15" ht="15.75" x14ac:dyDescent="0.25">
      <c r="A17" s="2" t="s">
        <v>30</v>
      </c>
      <c r="B17" s="9">
        <f>5*3.06</f>
        <v>15.3</v>
      </c>
      <c r="C17" s="9">
        <f>5*3.17</f>
        <v>15.85</v>
      </c>
      <c r="D17" s="9">
        <f>5*3.21</f>
        <v>16.05</v>
      </c>
      <c r="E17" s="21">
        <f>5*3.151</f>
        <v>15.754999999999999</v>
      </c>
      <c r="F17" s="9">
        <v>15.2</v>
      </c>
      <c r="G17" s="21">
        <f>3.015*5</f>
        <v>15.075000000000001</v>
      </c>
      <c r="H17" s="21">
        <f>2.991*5</f>
        <v>14.955</v>
      </c>
      <c r="I17" s="9">
        <v>14.984999999999999</v>
      </c>
      <c r="J17" s="1"/>
      <c r="K17" s="1"/>
      <c r="L17" s="1"/>
      <c r="M17" s="1"/>
      <c r="N17" s="1"/>
      <c r="O17" s="1"/>
    </row>
    <row r="18" spans="1:15" ht="15.75" x14ac:dyDescent="0.25">
      <c r="A18" s="2" t="s">
        <v>31</v>
      </c>
      <c r="B18" s="9">
        <f>5*2.3</f>
        <v>11.5</v>
      </c>
      <c r="C18" s="9">
        <f>5*2.4</f>
        <v>12</v>
      </c>
      <c r="D18" s="9">
        <f>5*2.37</f>
        <v>11.850000000000001</v>
      </c>
      <c r="E18" s="21">
        <f>5*2.189</f>
        <v>10.945</v>
      </c>
      <c r="F18" s="21">
        <f>2.128*5</f>
        <v>10.64</v>
      </c>
      <c r="G18" s="21">
        <f>2.119*5</f>
        <v>10.595000000000001</v>
      </c>
      <c r="H18" s="21">
        <f>2.314*5</f>
        <v>11.57</v>
      </c>
      <c r="I18" s="9">
        <v>11.99</v>
      </c>
      <c r="J18" s="1"/>
      <c r="K18" s="1"/>
      <c r="L18" s="1"/>
      <c r="M18" s="1"/>
      <c r="N18" s="1"/>
      <c r="O18" s="1"/>
    </row>
    <row r="19" spans="1:15" ht="15.75" x14ac:dyDescent="0.25">
      <c r="A19" s="2" t="s">
        <v>32</v>
      </c>
      <c r="B19" s="9">
        <f>5*2.32</f>
        <v>11.6</v>
      </c>
      <c r="C19" s="9">
        <f>5*2.57</f>
        <v>12.85</v>
      </c>
      <c r="D19" s="9">
        <v>12.5</v>
      </c>
      <c r="E19" s="21">
        <f>5*2.272</f>
        <v>11.36</v>
      </c>
      <c r="F19" s="9">
        <f>2.24*5</f>
        <v>11.200000000000001</v>
      </c>
      <c r="G19" s="21">
        <f>2.228*5</f>
        <v>11.14</v>
      </c>
      <c r="H19" s="21">
        <f>2.302*5</f>
        <v>11.51</v>
      </c>
      <c r="I19" s="9">
        <v>10.975</v>
      </c>
      <c r="J19" s="1"/>
      <c r="K19" s="1"/>
      <c r="L19" s="1"/>
      <c r="M19" s="1"/>
      <c r="N19" s="1"/>
      <c r="O19" s="1"/>
    </row>
    <row r="20" spans="1:15" ht="15.75" x14ac:dyDescent="0.25">
      <c r="A20" s="2" t="s">
        <v>33</v>
      </c>
      <c r="B20" s="22">
        <f t="shared" ref="B20:B21" si="1">5*2</f>
        <v>10</v>
      </c>
      <c r="C20" s="9">
        <f>5*2.08</f>
        <v>10.4</v>
      </c>
      <c r="D20" s="9">
        <v>10.3</v>
      </c>
      <c r="E20" s="21">
        <f>5*1.954</f>
        <v>9.77</v>
      </c>
      <c r="F20" s="21">
        <f>1.954*5</f>
        <v>9.77</v>
      </c>
      <c r="G20" s="21">
        <f>1.96*5</f>
        <v>9.8000000000000007</v>
      </c>
      <c r="H20" s="21">
        <f>2.048*5</f>
        <v>10.24</v>
      </c>
      <c r="I20" s="9">
        <v>10.67</v>
      </c>
      <c r="J20" s="1"/>
      <c r="K20" s="1"/>
      <c r="L20" s="1"/>
      <c r="M20" s="1"/>
      <c r="N20" s="1"/>
      <c r="O20" s="1"/>
    </row>
    <row r="21" spans="1:15" ht="15.75" x14ac:dyDescent="0.25">
      <c r="A21" s="2" t="s">
        <v>34</v>
      </c>
      <c r="B21" s="9">
        <f t="shared" si="1"/>
        <v>10</v>
      </c>
      <c r="C21" s="9">
        <f>5*2.1</f>
        <v>10.5</v>
      </c>
      <c r="D21" s="9">
        <f>5*2.26</f>
        <v>11.299999999999999</v>
      </c>
      <c r="E21" s="21">
        <f>5*2.023</f>
        <v>10.115</v>
      </c>
      <c r="F21" s="9">
        <v>10.199999999999999</v>
      </c>
      <c r="G21" s="21">
        <f>2.3*5</f>
        <v>11.5</v>
      </c>
      <c r="H21" s="21">
        <f>2.108*5</f>
        <v>10.540000000000001</v>
      </c>
      <c r="I21" s="9">
        <v>10.700000000000001</v>
      </c>
      <c r="J21" s="1"/>
      <c r="K21" s="1"/>
      <c r="L21" s="1"/>
      <c r="M21" s="1"/>
      <c r="N21" s="1"/>
      <c r="O21" s="1"/>
    </row>
    <row r="22" spans="1:15" ht="15.75" x14ac:dyDescent="0.25">
      <c r="A22" s="2" t="s">
        <v>35</v>
      </c>
      <c r="B22" s="9">
        <f>5*2.29</f>
        <v>11.45</v>
      </c>
      <c r="C22" s="9">
        <f>5*2.3</f>
        <v>11.5</v>
      </c>
      <c r="D22" s="9">
        <f>5*2.49</f>
        <v>12.450000000000001</v>
      </c>
      <c r="E22" s="21">
        <f>5*2.329</f>
        <v>11.645000000000001</v>
      </c>
      <c r="F22" s="9">
        <v>11.5</v>
      </c>
      <c r="G22" s="21">
        <f>2.274*5</f>
        <v>11.370000000000001</v>
      </c>
      <c r="H22" s="21">
        <f>2.333*5</f>
        <v>11.665000000000001</v>
      </c>
      <c r="I22" s="9">
        <v>11.200000000000001</v>
      </c>
      <c r="J22" s="1"/>
      <c r="K22" s="1"/>
      <c r="L22" s="1"/>
      <c r="M22" s="1"/>
      <c r="N22" s="1"/>
      <c r="O22" s="1"/>
    </row>
    <row r="23" spans="1:15" ht="15.75" x14ac:dyDescent="0.25">
      <c r="A23" s="2" t="s">
        <v>36</v>
      </c>
      <c r="B23" s="9">
        <f>5*2.48</f>
        <v>12.4</v>
      </c>
      <c r="C23" s="9">
        <f>5*2.7</f>
        <v>13.5</v>
      </c>
      <c r="D23" s="9">
        <v>13.1</v>
      </c>
      <c r="E23" s="21">
        <f>5*2.641</f>
        <v>13.205</v>
      </c>
      <c r="F23" s="9">
        <v>13.2</v>
      </c>
      <c r="G23" s="21">
        <f>2.59*5</f>
        <v>12.95</v>
      </c>
      <c r="H23" s="21">
        <f>2.68*5</f>
        <v>13.4</v>
      </c>
      <c r="I23" s="9">
        <v>13.134999999999998</v>
      </c>
      <c r="J23" s="1"/>
      <c r="K23" s="1"/>
      <c r="L23" s="1"/>
      <c r="M23" s="1"/>
      <c r="N23" s="1"/>
      <c r="O23" s="1"/>
    </row>
    <row r="24" spans="1:15" ht="15.75" x14ac:dyDescent="0.25">
      <c r="A24" s="2" t="s">
        <v>37</v>
      </c>
      <c r="B24" s="9">
        <v>11.5</v>
      </c>
      <c r="C24" s="9">
        <f>5*2.25</f>
        <v>11.25</v>
      </c>
      <c r="D24" s="9">
        <v>11.6</v>
      </c>
      <c r="E24" s="21">
        <f>5*2.247</f>
        <v>11.234999999999999</v>
      </c>
      <c r="F24" s="21">
        <f>2.197*5</f>
        <v>10.984999999999999</v>
      </c>
      <c r="G24" s="9">
        <f>2.21*5</f>
        <v>11.05</v>
      </c>
      <c r="H24" s="21">
        <f>2.266*5</f>
        <v>11.33</v>
      </c>
      <c r="I24" s="9">
        <v>10.620000000000001</v>
      </c>
      <c r="J24" s="1"/>
      <c r="K24" s="1"/>
      <c r="L24" s="1"/>
      <c r="M24" s="1"/>
      <c r="N24" s="1"/>
      <c r="O2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K8" sqref="A8:K8"/>
    </sheetView>
  </sheetViews>
  <sheetFormatPr defaultRowHeight="15" x14ac:dyDescent="0.25"/>
  <sheetData>
    <row r="1" spans="1:15" ht="15.75" x14ac:dyDescent="0.25">
      <c r="A1" s="2" t="s">
        <v>5</v>
      </c>
      <c r="B1" s="23">
        <v>0</v>
      </c>
      <c r="C1" s="1"/>
      <c r="D1" s="1"/>
      <c r="E1" s="1"/>
      <c r="F1" s="1"/>
      <c r="G1" s="24">
        <v>37.166699999999999</v>
      </c>
      <c r="H1" s="24">
        <v>2.9813000000000001</v>
      </c>
      <c r="I1" s="1"/>
      <c r="J1" s="1"/>
      <c r="K1" s="24">
        <v>0.19969999999999999</v>
      </c>
      <c r="L1" s="1"/>
      <c r="M1" s="1"/>
      <c r="N1" s="1"/>
      <c r="O1" s="1"/>
    </row>
    <row r="2" spans="1:15" ht="15.75" x14ac:dyDescent="0.25">
      <c r="A2" s="2" t="s">
        <v>7</v>
      </c>
      <c r="B2" s="25">
        <v>165.63030000000001</v>
      </c>
      <c r="C2" s="1"/>
      <c r="D2" s="1"/>
      <c r="E2" s="1"/>
      <c r="F2" s="1"/>
      <c r="G2" s="24">
        <v>336.6773</v>
      </c>
      <c r="H2" s="24">
        <v>353.8236</v>
      </c>
      <c r="I2" s="1"/>
      <c r="J2" s="1"/>
      <c r="K2" s="24">
        <v>545.62800000000004</v>
      </c>
      <c r="L2" s="1"/>
      <c r="M2" s="1"/>
      <c r="N2" s="1"/>
      <c r="O2" s="1"/>
    </row>
    <row r="3" spans="1:15" ht="15.75" x14ac:dyDescent="0.25">
      <c r="A3" s="2" t="s">
        <v>9</v>
      </c>
      <c r="B3" s="25">
        <v>30.4117</v>
      </c>
      <c r="C3" s="1"/>
      <c r="D3" s="1"/>
      <c r="E3" s="1"/>
      <c r="F3" s="1"/>
      <c r="G3" s="24">
        <v>195.04560000000001</v>
      </c>
      <c r="H3" s="24">
        <v>243.25530000000001</v>
      </c>
      <c r="I3" s="1"/>
      <c r="J3" s="1"/>
      <c r="K3" s="24">
        <v>561.06790000000001</v>
      </c>
      <c r="L3" s="1"/>
      <c r="M3" s="1"/>
      <c r="N3" s="1"/>
      <c r="O3" s="1"/>
    </row>
    <row r="4" spans="1:15" ht="15.75" x14ac:dyDescent="0.25">
      <c r="A4" s="2" t="s">
        <v>11</v>
      </c>
      <c r="B4" s="23">
        <v>0</v>
      </c>
      <c r="C4" s="1"/>
      <c r="D4" s="1"/>
      <c r="E4" s="1"/>
      <c r="F4" s="1"/>
      <c r="G4" s="24">
        <v>44.482500000000002</v>
      </c>
      <c r="H4" s="24">
        <v>72.940299999999993</v>
      </c>
      <c r="I4" s="1"/>
      <c r="J4" s="1"/>
      <c r="K4" s="24">
        <v>199.994</v>
      </c>
      <c r="L4" s="1"/>
      <c r="M4" s="1"/>
      <c r="N4" s="1"/>
      <c r="O4" s="1"/>
    </row>
    <row r="5" spans="1:15" ht="15.75" x14ac:dyDescent="0.25">
      <c r="A5" s="2" t="s">
        <v>13</v>
      </c>
      <c r="B5" s="25">
        <v>12.248100000000001</v>
      </c>
      <c r="C5" s="1"/>
      <c r="D5" s="1"/>
      <c r="E5" s="1"/>
      <c r="F5" s="1"/>
      <c r="G5" s="24">
        <v>313.96629999999999</v>
      </c>
      <c r="H5" s="24">
        <v>568.12</v>
      </c>
      <c r="I5" s="1"/>
      <c r="J5" s="1"/>
      <c r="K5" s="24">
        <v>840.97130000000004</v>
      </c>
      <c r="L5" s="1"/>
      <c r="M5" s="1"/>
      <c r="N5" s="1"/>
      <c r="O5" s="1"/>
    </row>
    <row r="6" spans="1:15" ht="15.75" x14ac:dyDescent="0.25">
      <c r="A6" s="2" t="s">
        <v>15</v>
      </c>
      <c r="B6" s="23">
        <v>0</v>
      </c>
      <c r="C6" s="1"/>
      <c r="D6" s="1"/>
      <c r="E6" s="1"/>
      <c r="F6" s="1"/>
      <c r="G6" s="24">
        <v>313.3168</v>
      </c>
      <c r="H6" s="24">
        <v>134.38910000000001</v>
      </c>
      <c r="I6" s="1"/>
      <c r="J6" s="1"/>
      <c r="K6" s="24">
        <v>230.76400000000001</v>
      </c>
      <c r="L6" s="1"/>
      <c r="M6" s="1"/>
      <c r="N6" s="1"/>
      <c r="O6" s="1"/>
    </row>
    <row r="7" spans="1:15" ht="15.75" x14ac:dyDescent="0.25">
      <c r="A7" s="2" t="s">
        <v>17</v>
      </c>
      <c r="B7" s="23">
        <v>0</v>
      </c>
      <c r="C7" s="1"/>
      <c r="D7" s="1"/>
      <c r="E7" s="1"/>
      <c r="F7" s="1"/>
      <c r="G7" s="24">
        <v>245.89510000000001</v>
      </c>
      <c r="H7" s="24">
        <v>174.8467</v>
      </c>
      <c r="I7" s="1"/>
      <c r="J7" s="1"/>
      <c r="K7" s="24">
        <v>355.25779999999997</v>
      </c>
      <c r="L7" s="1"/>
      <c r="M7" s="1"/>
      <c r="N7" s="1"/>
      <c r="O7" s="1"/>
    </row>
    <row r="8" spans="1:15" ht="15.75" x14ac:dyDescent="0.25">
      <c r="A8" s="2" t="s">
        <v>19</v>
      </c>
      <c r="B8" s="23">
        <v>0</v>
      </c>
      <c r="C8" s="1"/>
      <c r="D8" s="1"/>
      <c r="E8" s="1"/>
      <c r="F8" s="1"/>
      <c r="G8" s="24">
        <v>1107.5452</v>
      </c>
      <c r="H8" s="24">
        <v>1264.8616999999999</v>
      </c>
      <c r="I8" s="1"/>
      <c r="J8" s="1"/>
      <c r="K8" s="24">
        <v>1189.5435</v>
      </c>
      <c r="L8" s="1"/>
      <c r="M8" s="1"/>
      <c r="N8" s="1"/>
      <c r="O8" s="1"/>
    </row>
    <row r="9" spans="1:15" ht="15.75" x14ac:dyDescent="0.25">
      <c r="A9" s="2" t="s">
        <v>20</v>
      </c>
      <c r="B9" s="23">
        <v>0</v>
      </c>
      <c r="C9" s="1"/>
      <c r="D9" s="1"/>
      <c r="E9" s="1"/>
      <c r="F9" s="1"/>
      <c r="G9" s="24">
        <v>190.7508</v>
      </c>
      <c r="H9" s="24">
        <v>373.17700000000002</v>
      </c>
      <c r="I9" s="1"/>
      <c r="J9" s="1"/>
      <c r="K9" s="24">
        <v>485.74509999999998</v>
      </c>
      <c r="L9" s="1"/>
      <c r="M9" s="1"/>
      <c r="N9" s="1"/>
      <c r="O9" s="1"/>
    </row>
    <row r="10" spans="1:15" ht="15.75" x14ac:dyDescent="0.25">
      <c r="A10" s="2" t="s">
        <v>21</v>
      </c>
      <c r="B10" s="23">
        <v>0</v>
      </c>
      <c r="C10" s="1"/>
      <c r="D10" s="1"/>
      <c r="E10" s="1"/>
      <c r="F10" s="1"/>
      <c r="G10" s="24">
        <v>392.81349999999998</v>
      </c>
      <c r="H10" s="24">
        <v>916.92110000000002</v>
      </c>
      <c r="I10" s="1"/>
      <c r="J10" s="1"/>
      <c r="K10" s="24">
        <v>1348.587</v>
      </c>
      <c r="L10" s="1"/>
      <c r="M10" s="1"/>
      <c r="N10" s="1"/>
      <c r="O10" s="1"/>
    </row>
    <row r="11" spans="1:15" ht="15.75" x14ac:dyDescent="0.25">
      <c r="A11" s="2" t="s">
        <v>22</v>
      </c>
      <c r="B11" s="23">
        <v>0</v>
      </c>
      <c r="C11" s="1"/>
      <c r="D11" s="1"/>
      <c r="E11" s="1"/>
      <c r="F11" s="1"/>
      <c r="G11" s="24">
        <v>113.9217</v>
      </c>
      <c r="H11" s="24">
        <v>111.4165</v>
      </c>
      <c r="I11" s="1"/>
      <c r="J11" s="1"/>
      <c r="K11" s="24">
        <v>156.47569999999999</v>
      </c>
      <c r="L11" s="1"/>
      <c r="M11" s="1"/>
      <c r="N11" s="1"/>
      <c r="O11" s="1"/>
    </row>
    <row r="12" spans="1:15" ht="15.75" x14ac:dyDescent="0.25">
      <c r="A12" s="2" t="s">
        <v>23</v>
      </c>
      <c r="B12" s="25">
        <v>35.697400000000002</v>
      </c>
      <c r="C12" s="1"/>
      <c r="D12" s="1"/>
      <c r="E12" s="1"/>
      <c r="F12" s="1"/>
      <c r="G12" s="24">
        <v>498.90120000000002</v>
      </c>
      <c r="H12" s="24">
        <v>580.04229999999995</v>
      </c>
      <c r="I12" s="1"/>
      <c r="J12" s="1"/>
      <c r="K12" s="24">
        <v>643.52049999999997</v>
      </c>
      <c r="L12" s="1"/>
      <c r="M12" s="1"/>
      <c r="N12" s="1"/>
      <c r="O12" s="1"/>
    </row>
    <row r="13" spans="1:15" ht="15.75" x14ac:dyDescent="0.25">
      <c r="A13" s="2" t="s">
        <v>25</v>
      </c>
      <c r="B13" s="25">
        <v>14.9194</v>
      </c>
      <c r="C13" s="1"/>
      <c r="D13" s="1"/>
      <c r="E13" s="1"/>
      <c r="F13" s="1"/>
      <c r="G13" s="24">
        <v>442.69110000000001</v>
      </c>
      <c r="H13" s="24">
        <v>901.70770000000005</v>
      </c>
      <c r="I13" s="1"/>
      <c r="J13" s="1"/>
      <c r="K13" s="24">
        <v>881.21220000000005</v>
      </c>
      <c r="L13" s="1"/>
      <c r="M13" s="1"/>
      <c r="N13" s="1"/>
      <c r="O13" s="1"/>
    </row>
    <row r="14" spans="1:15" ht="15.75" x14ac:dyDescent="0.25">
      <c r="A14" s="2" t="s">
        <v>26</v>
      </c>
      <c r="B14" s="25">
        <v>4.4951999999999996</v>
      </c>
      <c r="C14" s="1"/>
      <c r="D14" s="1"/>
      <c r="E14" s="1"/>
      <c r="F14" s="1"/>
      <c r="G14" s="24">
        <v>0</v>
      </c>
      <c r="H14" s="24">
        <v>243</v>
      </c>
      <c r="I14" s="1"/>
      <c r="J14" s="1"/>
      <c r="K14" s="24">
        <v>372.82139999999998</v>
      </c>
      <c r="L14" s="1"/>
      <c r="M14" s="1"/>
      <c r="N14" s="1"/>
      <c r="O14" s="1"/>
    </row>
    <row r="15" spans="1:15" ht="15.75" x14ac:dyDescent="0.25">
      <c r="A15" s="2" t="s">
        <v>27</v>
      </c>
      <c r="B15" s="23">
        <v>0</v>
      </c>
      <c r="C15" s="1"/>
      <c r="D15" s="1"/>
      <c r="E15" s="1"/>
      <c r="F15" s="1"/>
      <c r="G15" s="24">
        <v>252.19059999999999</v>
      </c>
      <c r="H15" s="24">
        <v>473.26150000000001</v>
      </c>
      <c r="I15" s="1"/>
      <c r="J15" s="1"/>
      <c r="K15" s="24">
        <v>514.8596</v>
      </c>
      <c r="L15" s="1"/>
      <c r="M15" s="1"/>
      <c r="N15" s="1"/>
      <c r="O15" s="1"/>
    </row>
    <row r="16" spans="1:15" ht="15.75" x14ac:dyDescent="0.25">
      <c r="A16" s="2" t="s">
        <v>28</v>
      </c>
      <c r="B16" s="25">
        <v>16.058499999999999</v>
      </c>
      <c r="C16" s="1"/>
      <c r="D16" s="1"/>
      <c r="E16" s="1"/>
      <c r="F16" s="1"/>
      <c r="G16" s="24">
        <v>216.10740000000001</v>
      </c>
      <c r="H16" s="24">
        <v>315.4853</v>
      </c>
      <c r="I16" s="1"/>
      <c r="J16" s="1"/>
      <c r="K16" s="24">
        <v>659.24680000000001</v>
      </c>
      <c r="L16" s="1"/>
      <c r="M16" s="1"/>
      <c r="N16" s="1"/>
      <c r="O16" s="1"/>
    </row>
    <row r="17" spans="1:15" ht="15.75" x14ac:dyDescent="0.25">
      <c r="A17" s="2" t="s">
        <v>30</v>
      </c>
      <c r="B17" s="23">
        <v>0</v>
      </c>
      <c r="C17" s="1"/>
      <c r="D17" s="1"/>
      <c r="E17" s="1"/>
      <c r="F17" s="1"/>
      <c r="G17" s="24">
        <v>56.021900000000002</v>
      </c>
      <c r="H17" s="24">
        <v>227.66200000000001</v>
      </c>
      <c r="I17" s="1"/>
      <c r="J17" s="1"/>
      <c r="K17" s="24">
        <v>970.30679999999995</v>
      </c>
      <c r="L17" s="1"/>
      <c r="M17" s="1"/>
      <c r="N17" s="1"/>
      <c r="O17" s="1"/>
    </row>
    <row r="18" spans="1:15" ht="15.75" x14ac:dyDescent="0.25">
      <c r="A18" s="2" t="s">
        <v>31</v>
      </c>
      <c r="B18" s="25">
        <v>19.234400000000001</v>
      </c>
      <c r="C18" s="1"/>
      <c r="D18" s="1"/>
      <c r="E18" s="1"/>
      <c r="F18" s="1"/>
      <c r="G18" s="24">
        <v>240.84870000000001</v>
      </c>
      <c r="H18" s="24">
        <v>411.6112</v>
      </c>
      <c r="I18" s="1"/>
      <c r="J18" s="1"/>
      <c r="K18" s="24">
        <v>693.58349999999996</v>
      </c>
      <c r="L18" s="1"/>
      <c r="M18" s="1"/>
      <c r="N18" s="1"/>
      <c r="O18" s="1"/>
    </row>
    <row r="19" spans="1:15" ht="15.75" x14ac:dyDescent="0.25">
      <c r="A19" s="2" t="s">
        <v>32</v>
      </c>
      <c r="B19" s="25">
        <v>6.5155000000000003</v>
      </c>
      <c r="C19" s="1"/>
      <c r="D19" s="1"/>
      <c r="E19" s="1"/>
      <c r="F19" s="1"/>
      <c r="G19" s="24">
        <v>238</v>
      </c>
      <c r="H19" s="24">
        <v>401</v>
      </c>
      <c r="I19" s="1"/>
      <c r="J19" s="1"/>
      <c r="K19" s="24">
        <v>560</v>
      </c>
      <c r="L19" s="1"/>
      <c r="M19" s="1"/>
      <c r="N19" s="1"/>
      <c r="O19" s="1"/>
    </row>
    <row r="20" spans="1:15" ht="15.75" x14ac:dyDescent="0.25">
      <c r="A20" s="2" t="s">
        <v>33</v>
      </c>
      <c r="B20" s="25">
        <v>70.665800000000004</v>
      </c>
      <c r="C20" s="1"/>
      <c r="D20" s="1"/>
      <c r="E20" s="1"/>
      <c r="F20" s="1"/>
      <c r="G20" s="24">
        <v>869.8048</v>
      </c>
      <c r="H20" s="24">
        <v>1137.9297999999999</v>
      </c>
      <c r="I20" s="1"/>
      <c r="J20" s="1"/>
      <c r="K20" s="24">
        <v>834.6662</v>
      </c>
      <c r="L20" s="1"/>
      <c r="M20" s="1"/>
      <c r="N20" s="1"/>
      <c r="O20" s="1"/>
    </row>
    <row r="21" spans="1:15" ht="15.75" x14ac:dyDescent="0.25">
      <c r="A21" s="2" t="s">
        <v>34</v>
      </c>
      <c r="B21" s="25">
        <v>16.5383</v>
      </c>
      <c r="C21" s="1"/>
      <c r="D21" s="1"/>
      <c r="E21" s="1"/>
      <c r="F21" s="1"/>
      <c r="G21" s="24">
        <v>430.68700000000001</v>
      </c>
      <c r="H21" s="24">
        <v>459.4896</v>
      </c>
      <c r="I21" s="1"/>
      <c r="J21" s="1"/>
      <c r="K21" s="24">
        <v>572.8288</v>
      </c>
      <c r="L21" s="1"/>
      <c r="M21" s="1"/>
      <c r="N21" s="1"/>
      <c r="O21" s="1"/>
    </row>
    <row r="22" spans="1:15" ht="15.75" x14ac:dyDescent="0.25">
      <c r="A22" s="2" t="s">
        <v>35</v>
      </c>
      <c r="B22" s="25">
        <v>0.67969999999999997</v>
      </c>
      <c r="C22" s="1"/>
      <c r="D22" s="1"/>
      <c r="E22" s="1"/>
      <c r="F22" s="1"/>
      <c r="G22" s="24">
        <v>0</v>
      </c>
      <c r="H22" s="24">
        <v>232</v>
      </c>
      <c r="I22" s="1"/>
      <c r="J22" s="1"/>
      <c r="K22" s="24">
        <v>531.08010000000002</v>
      </c>
      <c r="L22" s="1"/>
      <c r="M22" s="1"/>
      <c r="N22" s="1"/>
      <c r="O22" s="1"/>
    </row>
    <row r="23" spans="1:15" ht="15.75" x14ac:dyDescent="0.25">
      <c r="A23" s="2" t="s">
        <v>36</v>
      </c>
      <c r="B23" s="25">
        <v>1.3188</v>
      </c>
      <c r="C23" s="1"/>
      <c r="D23" s="1"/>
      <c r="E23" s="1"/>
      <c r="F23" s="1"/>
      <c r="G23" s="24">
        <v>6.3132999999999999</v>
      </c>
      <c r="H23" s="24">
        <v>48.409799999999997</v>
      </c>
      <c r="I23" s="1"/>
      <c r="J23" s="1"/>
      <c r="K23" s="24">
        <v>149.679</v>
      </c>
      <c r="L23" s="1"/>
      <c r="M23" s="1"/>
      <c r="N23" s="1"/>
      <c r="O23" s="1"/>
    </row>
    <row r="24" spans="1:15" ht="15.75" x14ac:dyDescent="0.25">
      <c r="A24" s="2" t="s">
        <v>37</v>
      </c>
      <c r="B24" s="25">
        <v>29.225300000000001</v>
      </c>
      <c r="C24" s="1"/>
      <c r="D24" s="1"/>
      <c r="E24" s="1"/>
      <c r="F24" s="1"/>
      <c r="G24" s="24">
        <v>134.8603</v>
      </c>
      <c r="H24" s="24">
        <v>247.27289999999999</v>
      </c>
      <c r="I24" s="1"/>
      <c r="J24" s="1"/>
      <c r="K24" s="24">
        <v>1304.4521</v>
      </c>
      <c r="L24" s="1"/>
      <c r="M24" s="1"/>
      <c r="N24" s="1"/>
      <c r="O2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G34" sqref="G34"/>
    </sheetView>
  </sheetViews>
  <sheetFormatPr defaultRowHeight="15" x14ac:dyDescent="0.25"/>
  <sheetData>
    <row r="1" spans="1:15" ht="15.75" x14ac:dyDescent="0.25">
      <c r="A1" s="2" t="s">
        <v>5</v>
      </c>
      <c r="B1" s="15">
        <f>0.54*5</f>
        <v>2.7</v>
      </c>
      <c r="C1" s="26">
        <f>0.52*5</f>
        <v>2.6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x14ac:dyDescent="0.25">
      <c r="A2" s="2" t="s">
        <v>7</v>
      </c>
      <c r="B2" s="15">
        <f>1.85*5</f>
        <v>9.25</v>
      </c>
      <c r="C2" s="26">
        <f>3.8*5</f>
        <v>19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75" x14ac:dyDescent="0.25">
      <c r="A3" s="2" t="s">
        <v>9</v>
      </c>
      <c r="B3" s="15">
        <f>1.138*5</f>
        <v>5.6899999999999995</v>
      </c>
      <c r="C3" s="26">
        <f>1.27*5</f>
        <v>6.35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.75" x14ac:dyDescent="0.25">
      <c r="A4" s="2" t="s">
        <v>11</v>
      </c>
      <c r="B4" s="15">
        <f>0.284*5</f>
        <v>1.42</v>
      </c>
      <c r="C4" s="26">
        <f>0.61*5</f>
        <v>3.05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x14ac:dyDescent="0.25">
      <c r="A5" s="2" t="s">
        <v>13</v>
      </c>
      <c r="B5" s="15">
        <f>0.322*5</f>
        <v>1.61</v>
      </c>
      <c r="C5" s="26">
        <f>0.33*5</f>
        <v>1.6500000000000001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75" x14ac:dyDescent="0.25">
      <c r="A6" s="2" t="s">
        <v>15</v>
      </c>
      <c r="B6" s="15">
        <f>1.064*5</f>
        <v>5.32</v>
      </c>
      <c r="C6" s="26">
        <f>1.74*5</f>
        <v>8.6999999999999993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5.75" x14ac:dyDescent="0.25">
      <c r="A7" s="2" t="s">
        <v>17</v>
      </c>
      <c r="B7" s="15">
        <f>1.442*5</f>
        <v>7.21</v>
      </c>
      <c r="C7" s="26">
        <f>10.47*5</f>
        <v>52.35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.75" x14ac:dyDescent="0.25">
      <c r="A8" s="2" t="s">
        <v>19</v>
      </c>
      <c r="B8" s="15">
        <f>0.438*5</f>
        <v>2.19</v>
      </c>
      <c r="C8" s="26">
        <f>0.98*5</f>
        <v>4.9000000000000004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5.75" x14ac:dyDescent="0.25">
      <c r="A9" s="2" t="s">
        <v>20</v>
      </c>
      <c r="B9" s="15">
        <f>0.626*5</f>
        <v>3.13</v>
      </c>
      <c r="C9" s="26">
        <f>0.69*5</f>
        <v>3.4499999999999997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5.75" x14ac:dyDescent="0.25">
      <c r="A10" s="2" t="s">
        <v>21</v>
      </c>
      <c r="B10" s="15">
        <f>1.253*5</f>
        <v>6.2649999999999997</v>
      </c>
      <c r="C10" s="26">
        <f>0.43*5</f>
        <v>2.15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x14ac:dyDescent="0.25">
      <c r="A11" s="2" t="s">
        <v>22</v>
      </c>
      <c r="B11" s="15">
        <f>0.419*5</f>
        <v>2.0949999999999998</v>
      </c>
      <c r="C11" s="26">
        <f>2.97*5</f>
        <v>14.850000000000001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5.75" x14ac:dyDescent="0.25">
      <c r="A12" s="2" t="s">
        <v>23</v>
      </c>
      <c r="B12" s="15">
        <f>1.281*5</f>
        <v>6.4049999999999994</v>
      </c>
      <c r="C12" s="26">
        <f>1.13*5</f>
        <v>5.6499999999999995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.75" x14ac:dyDescent="0.25">
      <c r="A13" s="2" t="s">
        <v>25</v>
      </c>
      <c r="B13" s="15">
        <f>0.886*5</f>
        <v>4.43</v>
      </c>
      <c r="C13" s="26">
        <f>1.01*5</f>
        <v>5.05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5.75" x14ac:dyDescent="0.25">
      <c r="A14" s="2" t="s">
        <v>26</v>
      </c>
      <c r="B14" s="15">
        <f>0.447*5</f>
        <v>2.2349999999999999</v>
      </c>
      <c r="C14" s="26">
        <f>0.77*5</f>
        <v>3.85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5.75" x14ac:dyDescent="0.25">
      <c r="A15" s="2" t="s">
        <v>27</v>
      </c>
      <c r="B15" s="15">
        <f>0.386*5</f>
        <v>1.9300000000000002</v>
      </c>
      <c r="C15" s="26">
        <f>1*5</f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x14ac:dyDescent="0.25">
      <c r="A16" s="2" t="s">
        <v>28</v>
      </c>
      <c r="B16" s="15">
        <f>0.855*5</f>
        <v>4.2750000000000004</v>
      </c>
      <c r="C16" s="26">
        <f>1.06*5</f>
        <v>5.3000000000000007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x14ac:dyDescent="0.25">
      <c r="A17" s="2" t="s">
        <v>30</v>
      </c>
      <c r="B17" s="15">
        <f>0.357*5</f>
        <v>1.7849999999999999</v>
      </c>
      <c r="C17" s="26">
        <f>0.68*5</f>
        <v>3.4000000000000004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x14ac:dyDescent="0.25">
      <c r="A18" s="2" t="s">
        <v>31</v>
      </c>
      <c r="B18" s="15"/>
      <c r="C18" s="2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x14ac:dyDescent="0.25">
      <c r="A19" s="2" t="s">
        <v>32</v>
      </c>
      <c r="B19" s="15">
        <f>0.297*5</f>
        <v>1.4849999999999999</v>
      </c>
      <c r="C19" s="26">
        <f>1.34*5</f>
        <v>6.7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x14ac:dyDescent="0.25">
      <c r="A20" s="2" t="s">
        <v>33</v>
      </c>
      <c r="B20" s="15">
        <f>0.44*5</f>
        <v>2.2000000000000002</v>
      </c>
      <c r="C20" s="26">
        <f>0.4*5</f>
        <v>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x14ac:dyDescent="0.25">
      <c r="A21" s="2" t="s">
        <v>34</v>
      </c>
      <c r="B21" s="15">
        <f>0.628*5</f>
        <v>3.14</v>
      </c>
      <c r="C21" s="26">
        <f>1.09*5</f>
        <v>5.45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x14ac:dyDescent="0.25">
      <c r="A22" s="2" t="s">
        <v>35</v>
      </c>
      <c r="B22" s="15">
        <f>0.825*5</f>
        <v>4.125</v>
      </c>
      <c r="C22" s="26">
        <f>0.95*5</f>
        <v>4.75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x14ac:dyDescent="0.25">
      <c r="A23" s="2" t="s">
        <v>36</v>
      </c>
      <c r="B23" s="15">
        <f>0.272*5</f>
        <v>1.36</v>
      </c>
      <c r="C23" s="26">
        <f>0.51*5</f>
        <v>2.5499999999999998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x14ac:dyDescent="0.25">
      <c r="A24" s="2" t="s">
        <v>37</v>
      </c>
      <c r="B24" s="12">
        <v>4.5</v>
      </c>
      <c r="C24" s="26">
        <f>1.5*5</f>
        <v>7.5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t (days)</vt:lpstr>
      <vt:lpstr>NO3 (mg L)</vt:lpstr>
      <vt:lpstr>DOC (mg L)</vt:lpstr>
      <vt:lpstr>SO4 (mg L)</vt:lpstr>
      <vt:lpstr>NH4 (mg L)</vt:lpstr>
      <vt:lpstr>N2O (ppm)</vt:lpstr>
      <vt:lpstr>NO2- (mg 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vcant</dc:creator>
  <cp:lastModifiedBy>vcant</cp:lastModifiedBy>
  <dcterms:created xsi:type="dcterms:W3CDTF">2024-12-13T10:35:09Z</dcterms:created>
  <dcterms:modified xsi:type="dcterms:W3CDTF">2024-12-14T08:25:50Z</dcterms:modified>
</cp:coreProperties>
</file>