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sud-my.sharepoint.com/personal/valeriia_charkovska_universite-paris-saclay_fr/Documents/"/>
    </mc:Choice>
  </mc:AlternateContent>
  <xr:revisionPtr revIDLastSave="0" documentId="8_{D0C3F37A-4C81-B949-902D-61B02D89E657}" xr6:coauthVersionLast="47" xr6:coauthVersionMax="47" xr10:uidLastSave="{00000000-0000-0000-0000-000000000000}"/>
  <bookViews>
    <workbookView xWindow="0" yWindow="740" windowWidth="29400" windowHeight="18380" xr2:uid="{9E9EF1AC-56C3-784B-B359-FF8790CAA496}"/>
  </bookViews>
  <sheets>
    <sheet name="DCF" sheetId="1" r:id="rId1"/>
    <sheet name="WACC" sheetId="2" r:id="rId2"/>
    <sheet name="IS" sheetId="4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D5" i="1"/>
  <c r="E39" i="1" l="1"/>
  <c r="F39" i="1"/>
  <c r="G39" i="1"/>
  <c r="F42" i="1"/>
  <c r="F27" i="1"/>
  <c r="G27" i="1"/>
  <c r="E27" i="1"/>
  <c r="H25" i="1"/>
  <c r="I25" i="1"/>
  <c r="J25" i="1"/>
  <c r="K25" i="1"/>
  <c r="L25" i="1"/>
  <c r="M25" i="1"/>
  <c r="N25" i="1"/>
  <c r="O25" i="1"/>
  <c r="P25" i="1"/>
  <c r="Q25" i="1"/>
  <c r="F24" i="1"/>
  <c r="G24" i="1"/>
  <c r="G44" i="1" s="1"/>
  <c r="E24" i="1"/>
  <c r="E42" i="1" s="1"/>
  <c r="F20" i="4"/>
  <c r="F30" i="1" s="1"/>
  <c r="G20" i="4"/>
  <c r="G30" i="1" s="1"/>
  <c r="E20" i="4"/>
  <c r="E23" i="4" s="1"/>
  <c r="E36" i="1" s="1"/>
  <c r="H5" i="4"/>
  <c r="H8" i="4" s="1"/>
  <c r="G18" i="4"/>
  <c r="G28" i="1" s="1"/>
  <c r="F18" i="4"/>
  <c r="F28" i="1" s="1"/>
  <c r="E18" i="4"/>
  <c r="E28" i="1" s="1"/>
  <c r="G15" i="4"/>
  <c r="F15" i="4"/>
  <c r="E15" i="4"/>
  <c r="G12" i="4"/>
  <c r="F12" i="4"/>
  <c r="E12" i="4"/>
  <c r="G9" i="4"/>
  <c r="F9" i="4"/>
  <c r="E9" i="4"/>
  <c r="G6" i="4"/>
  <c r="G25" i="1" s="1"/>
  <c r="F6" i="4"/>
  <c r="F25" i="1" s="1"/>
  <c r="D12" i="2"/>
  <c r="D23" i="2" s="1"/>
  <c r="E17" i="1" s="1"/>
  <c r="D13" i="2"/>
  <c r="D7" i="2"/>
  <c r="D18" i="2"/>
  <c r="D9" i="2"/>
  <c r="D20" i="2" s="1"/>
  <c r="D7" i="1"/>
  <c r="L53" i="1" l="1"/>
  <c r="Q53" i="1"/>
  <c r="H53" i="1"/>
  <c r="P53" i="1"/>
  <c r="O53" i="1"/>
  <c r="N53" i="1"/>
  <c r="M53" i="1"/>
  <c r="K53" i="1"/>
  <c r="J53" i="1"/>
  <c r="I53" i="1"/>
  <c r="G23" i="4"/>
  <c r="G36" i="1" s="1"/>
  <c r="G51" i="1" s="1"/>
  <c r="F23" i="4"/>
  <c r="F36" i="1" s="1"/>
  <c r="G42" i="1"/>
  <c r="H11" i="4"/>
  <c r="H17" i="4" s="1"/>
  <c r="H14" i="4"/>
  <c r="E30" i="1"/>
  <c r="H24" i="1"/>
  <c r="I5" i="4"/>
  <c r="F44" i="1"/>
  <c r="H38" i="1"/>
  <c r="H39" i="1" s="1"/>
  <c r="H18" i="4" l="1"/>
  <c r="H27" i="1"/>
  <c r="H20" i="4"/>
  <c r="H30" i="1" s="1"/>
  <c r="F51" i="1"/>
  <c r="J5" i="4"/>
  <c r="I11" i="4"/>
  <c r="I14" i="4"/>
  <c r="I24" i="1"/>
  <c r="I8" i="4"/>
  <c r="H44" i="1"/>
  <c r="H41" i="1"/>
  <c r="H42" i="1" s="1"/>
  <c r="H23" i="4"/>
  <c r="H36" i="1" s="1"/>
  <c r="I17" i="4" l="1"/>
  <c r="I20" i="4"/>
  <c r="I30" i="1" s="1"/>
  <c r="I18" i="4"/>
  <c r="I28" i="1" s="1"/>
  <c r="I27" i="1"/>
  <c r="I44" i="1"/>
  <c r="I41" i="1"/>
  <c r="I42" i="1" s="1"/>
  <c r="I38" i="1"/>
  <c r="I39" i="1" s="1"/>
  <c r="H51" i="1"/>
  <c r="H55" i="1" s="1"/>
  <c r="K5" i="4"/>
  <c r="J24" i="1"/>
  <c r="J8" i="4"/>
  <c r="J14" i="4"/>
  <c r="J11" i="4"/>
  <c r="J17" i="4" l="1"/>
  <c r="J20" i="4" s="1"/>
  <c r="I23" i="4"/>
  <c r="I36" i="1" s="1"/>
  <c r="J27" i="1"/>
  <c r="J18" i="4"/>
  <c r="J28" i="1" s="1"/>
  <c r="I51" i="1"/>
  <c r="I55" i="1" s="1"/>
  <c r="J41" i="1"/>
  <c r="J42" i="1" s="1"/>
  <c r="J44" i="1"/>
  <c r="J38" i="1"/>
  <c r="J39" i="1" s="1"/>
  <c r="L5" i="4"/>
  <c r="K24" i="1"/>
  <c r="K8" i="4"/>
  <c r="K14" i="4"/>
  <c r="K11" i="4"/>
  <c r="K17" i="4" l="1"/>
  <c r="J30" i="1"/>
  <c r="J23" i="4"/>
  <c r="J36" i="1" s="1"/>
  <c r="K27" i="1"/>
  <c r="K20" i="4"/>
  <c r="K30" i="1" s="1"/>
  <c r="K18" i="4"/>
  <c r="K28" i="1" s="1"/>
  <c r="M5" i="4"/>
  <c r="L11" i="4"/>
  <c r="L24" i="1"/>
  <c r="L8" i="4"/>
  <c r="L14" i="4"/>
  <c r="K41" i="1"/>
  <c r="K42" i="1" s="1"/>
  <c r="K38" i="1"/>
  <c r="K39" i="1" s="1"/>
  <c r="K44" i="1"/>
  <c r="J51" i="1"/>
  <c r="J55" i="1" s="1"/>
  <c r="L17" i="4" l="1"/>
  <c r="L27" i="1" s="1"/>
  <c r="L20" i="4"/>
  <c r="L30" i="1" s="1"/>
  <c r="L18" i="4"/>
  <c r="L28" i="1" s="1"/>
  <c r="N5" i="4"/>
  <c r="M14" i="4"/>
  <c r="M11" i="4"/>
  <c r="M24" i="1"/>
  <c r="M8" i="4"/>
  <c r="L41" i="1"/>
  <c r="L42" i="1" s="1"/>
  <c r="L38" i="1"/>
  <c r="L39" i="1" s="1"/>
  <c r="L44" i="1"/>
  <c r="K23" i="4"/>
  <c r="K36" i="1" s="1"/>
  <c r="K51" i="1" s="1"/>
  <c r="K55" i="1" s="1"/>
  <c r="L23" i="4" l="1"/>
  <c r="L36" i="1" s="1"/>
  <c r="M17" i="4"/>
  <c r="M27" i="1" s="1"/>
  <c r="O5" i="4"/>
  <c r="N24" i="1"/>
  <c r="N8" i="4"/>
  <c r="N14" i="4"/>
  <c r="N11" i="4"/>
  <c r="L51" i="1"/>
  <c r="L55" i="1" s="1"/>
  <c r="M41" i="1"/>
  <c r="M42" i="1" s="1"/>
  <c r="M44" i="1"/>
  <c r="M38" i="1"/>
  <c r="M39" i="1" s="1"/>
  <c r="M18" i="4" l="1"/>
  <c r="M28" i="1" s="1"/>
  <c r="M20" i="4"/>
  <c r="M30" i="1" s="1"/>
  <c r="N17" i="4"/>
  <c r="N20" i="4" s="1"/>
  <c r="N30" i="1" s="1"/>
  <c r="N41" i="1"/>
  <c r="N42" i="1" s="1"/>
  <c r="N44" i="1"/>
  <c r="N38" i="1"/>
  <c r="N39" i="1" s="1"/>
  <c r="P5" i="4"/>
  <c r="O24" i="1"/>
  <c r="O8" i="4"/>
  <c r="O11" i="4"/>
  <c r="O14" i="4"/>
  <c r="M23" i="4"/>
  <c r="M36" i="1" s="1"/>
  <c r="M51" i="1" s="1"/>
  <c r="M55" i="1" s="1"/>
  <c r="N18" i="4" l="1"/>
  <c r="N28" i="1" s="1"/>
  <c r="O17" i="4"/>
  <c r="N27" i="1"/>
  <c r="N23" i="4"/>
  <c r="N36" i="1" s="1"/>
  <c r="N51" i="1" s="1"/>
  <c r="N55" i="1" s="1"/>
  <c r="O27" i="1"/>
  <c r="O20" i="4"/>
  <c r="O30" i="1" s="1"/>
  <c r="O18" i="4"/>
  <c r="O28" i="1" s="1"/>
  <c r="Q5" i="4"/>
  <c r="P14" i="4"/>
  <c r="P11" i="4"/>
  <c r="P24" i="1"/>
  <c r="P8" i="4"/>
  <c r="O44" i="1"/>
  <c r="O41" i="1"/>
  <c r="O42" i="1" s="1"/>
  <c r="O38" i="1"/>
  <c r="O39" i="1" s="1"/>
  <c r="Q14" i="4" l="1"/>
  <c r="Q24" i="1"/>
  <c r="Q8" i="4"/>
  <c r="Q11" i="4"/>
  <c r="P44" i="1"/>
  <c r="P41" i="1"/>
  <c r="P42" i="1" s="1"/>
  <c r="P38" i="1"/>
  <c r="P39" i="1" s="1"/>
  <c r="P17" i="4"/>
  <c r="O23" i="4"/>
  <c r="O36" i="1" s="1"/>
  <c r="O51" i="1" s="1"/>
  <c r="O55" i="1" s="1"/>
  <c r="Q17" i="4" l="1"/>
  <c r="Q44" i="1"/>
  <c r="Q41" i="1"/>
  <c r="Q42" i="1" s="1"/>
  <c r="Q38" i="1"/>
  <c r="Q39" i="1" s="1"/>
  <c r="Q20" i="4"/>
  <c r="Q30" i="1" s="1"/>
  <c r="Q27" i="1"/>
  <c r="Q18" i="4"/>
  <c r="Q28" i="1" s="1"/>
  <c r="P18" i="4"/>
  <c r="P28" i="1" s="1"/>
  <c r="P27" i="1"/>
  <c r="P20" i="4"/>
  <c r="P30" i="1" s="1"/>
  <c r="Q23" i="4" l="1"/>
  <c r="Q36" i="1" s="1"/>
  <c r="Q51" i="1" s="1"/>
  <c r="Q58" i="1" s="1"/>
  <c r="Q59" i="1" s="1"/>
  <c r="P23" i="4"/>
  <c r="P36" i="1" s="1"/>
  <c r="P51" i="1" s="1"/>
  <c r="P55" i="1" s="1"/>
  <c r="Q55" i="1" l="1"/>
  <c r="Q60" i="1"/>
  <c r="Q63" i="1" s="1"/>
  <c r="Q65" i="1" s="1"/>
</calcChain>
</file>

<file path=xl/sharedStrings.xml><?xml version="1.0" encoding="utf-8"?>
<sst xmlns="http://schemas.openxmlformats.org/spreadsheetml/2006/main" count="113" uniqueCount="70">
  <si>
    <t>Blueprint DCF</t>
  </si>
  <si>
    <t>Ticker</t>
  </si>
  <si>
    <t>Implied Share Price</t>
  </si>
  <si>
    <t>Today's Share Price</t>
  </si>
  <si>
    <t>Date</t>
  </si>
  <si>
    <t>Upside (Downside)</t>
  </si>
  <si>
    <t>BPMC</t>
  </si>
  <si>
    <t>Assumptions</t>
  </si>
  <si>
    <t>Currency</t>
  </si>
  <si>
    <t>Forecast Horizon</t>
  </si>
  <si>
    <t>Tax Rate</t>
  </si>
  <si>
    <t>Shares Outstanding (diluted)</t>
  </si>
  <si>
    <t>WACC</t>
  </si>
  <si>
    <t>TGR</t>
  </si>
  <si>
    <t xml:space="preserve"> </t>
  </si>
  <si>
    <t>USD</t>
  </si>
  <si>
    <t>10 Y</t>
  </si>
  <si>
    <t>–186,000,000</t>
  </si>
  <si>
    <t>Net Debt (Cash)</t>
  </si>
  <si>
    <t>Debt</t>
  </si>
  <si>
    <t>% Debt</t>
  </si>
  <si>
    <t>Cost of Debt</t>
  </si>
  <si>
    <t>Risk Free Rate</t>
  </si>
  <si>
    <t>Beta</t>
  </si>
  <si>
    <t xml:space="preserve">Equity Value </t>
  </si>
  <si>
    <t xml:space="preserve">% Equity </t>
  </si>
  <si>
    <t xml:space="preserve">Cost of Equity </t>
  </si>
  <si>
    <t>Debt+Equity</t>
  </si>
  <si>
    <t xml:space="preserve">Equity Risk Premium </t>
  </si>
  <si>
    <t>After-tax Cost of Debt</t>
  </si>
  <si>
    <t>Income statement</t>
  </si>
  <si>
    <t>2025E</t>
  </si>
  <si>
    <t>2022A</t>
  </si>
  <si>
    <t>2023A</t>
  </si>
  <si>
    <t>2024A</t>
  </si>
  <si>
    <t>2026E</t>
  </si>
  <si>
    <t>2027E</t>
  </si>
  <si>
    <t>2028E</t>
  </si>
  <si>
    <t>2029E</t>
  </si>
  <si>
    <t>2030E</t>
  </si>
  <si>
    <t>2031E</t>
  </si>
  <si>
    <t>2032E</t>
  </si>
  <si>
    <t>2033E</t>
  </si>
  <si>
    <t>2034E</t>
  </si>
  <si>
    <t xml:space="preserve">Revenue </t>
  </si>
  <si>
    <t>% growth</t>
  </si>
  <si>
    <t>COGS</t>
  </si>
  <si>
    <t>% of sales</t>
  </si>
  <si>
    <t>R&amp;D Expence</t>
  </si>
  <si>
    <t>EBIT</t>
  </si>
  <si>
    <t xml:space="preserve"> SG&amp;A Expence</t>
  </si>
  <si>
    <t>Taxes</t>
  </si>
  <si>
    <t>% of EBIT</t>
  </si>
  <si>
    <t>IS Blueprint</t>
  </si>
  <si>
    <t>CFS / FCF drivers</t>
  </si>
  <si>
    <t>D&amp;A</t>
  </si>
  <si>
    <t>Capex</t>
  </si>
  <si>
    <t>ΔNWC</t>
  </si>
  <si>
    <t>EBIAT</t>
  </si>
  <si>
    <t>Unlevered FCF</t>
  </si>
  <si>
    <t>Discount Factor</t>
  </si>
  <si>
    <t>Present Value of Terminal Value</t>
  </si>
  <si>
    <t>Terminal Value</t>
  </si>
  <si>
    <t>Present Value of FCF</t>
  </si>
  <si>
    <t>Entreprise value</t>
  </si>
  <si>
    <t>Plus: Cash</t>
  </si>
  <si>
    <t>Less: Debt</t>
  </si>
  <si>
    <t>Shares Outstanding (Diluted)</t>
  </si>
  <si>
    <t>Implied Price</t>
  </si>
  <si>
    <t>Prepared by Valeriia Charkovska as part of a self-initiated independent case study.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</si>
</sst>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theme="0"/>
      <name val="Aptos Narrow"/>
      <scheme val="minor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i/>
      <sz val="12"/>
      <color theme="1"/>
      <name val="Aptos Narrow"/>
      <scheme val="minor"/>
    </font>
    <font>
      <i/>
      <sz val="12"/>
      <color theme="1"/>
      <name val="Calibri"/>
      <family val="2"/>
    </font>
    <font>
      <sz val="12"/>
      <color theme="6"/>
      <name val="Aptos Narrow"/>
      <family val="2"/>
      <scheme val="minor"/>
    </font>
    <font>
      <sz val="12"/>
      <color theme="6"/>
      <name val="Calibri"/>
      <family val="2"/>
    </font>
    <font>
      <b/>
      <sz val="12"/>
      <color theme="1"/>
      <name val="Calibri"/>
      <family val="2"/>
    </font>
    <font>
      <i/>
      <sz val="12"/>
      <color rgb="FF7030A0"/>
      <name val="Aptos Narrow"/>
      <scheme val="minor"/>
    </font>
    <font>
      <i/>
      <sz val="12"/>
      <color theme="4" tint="-0.249977111117893"/>
      <name val="Aptos Narrow"/>
      <scheme val="minor"/>
    </font>
    <font>
      <sz val="20"/>
      <color theme="1"/>
      <name val="Calibri"/>
      <family val="2"/>
    </font>
    <font>
      <i/>
      <sz val="12"/>
      <color theme="2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0" fontId="0" fillId="2" borderId="0" xfId="0" applyFill="1" applyAlignment="1">
      <alignment horizontal="right"/>
    </xf>
    <xf numFmtId="0" fontId="0" fillId="4" borderId="0" xfId="0" applyFill="1"/>
    <xf numFmtId="0" fontId="3" fillId="4" borderId="0" xfId="0" applyFont="1" applyFill="1"/>
    <xf numFmtId="0" fontId="1" fillId="2" borderId="0" xfId="0" applyFont="1" applyFill="1"/>
    <xf numFmtId="0" fontId="4" fillId="4" borderId="0" xfId="0" applyFont="1" applyFill="1"/>
    <xf numFmtId="2" fontId="0" fillId="2" borderId="0" xfId="0" applyNumberFormat="1" applyFill="1"/>
    <xf numFmtId="9" fontId="1" fillId="2" borderId="0" xfId="0" applyNumberFormat="1" applyFont="1" applyFill="1"/>
    <xf numFmtId="164" fontId="1" fillId="2" borderId="0" xfId="0" applyNumberFormat="1" applyFont="1" applyFill="1"/>
    <xf numFmtId="10" fontId="1" fillId="2" borderId="0" xfId="0" applyNumberFormat="1" applyFont="1" applyFill="1"/>
    <xf numFmtId="2" fontId="1" fillId="2" borderId="0" xfId="0" applyNumberFormat="1" applyFont="1" applyFill="1"/>
    <xf numFmtId="10" fontId="1" fillId="2" borderId="0" xfId="0" applyNumberFormat="1" applyFont="1" applyFill="1" applyAlignment="1">
      <alignment horizontal="right"/>
    </xf>
    <xf numFmtId="0" fontId="6" fillId="2" borderId="0" xfId="0" applyFont="1" applyFill="1"/>
    <xf numFmtId="0" fontId="4" fillId="2" borderId="0" xfId="0" applyFont="1" applyFill="1"/>
    <xf numFmtId="10" fontId="5" fillId="2" borderId="0" xfId="0" applyNumberFormat="1" applyFont="1" applyFill="1"/>
    <xf numFmtId="0" fontId="5" fillId="2" borderId="0" xfId="0" applyFont="1" applyFill="1"/>
    <xf numFmtId="0" fontId="1" fillId="2" borderId="3" xfId="0" applyFont="1" applyFill="1" applyBorder="1"/>
    <xf numFmtId="0" fontId="1" fillId="5" borderId="3" xfId="0" applyFont="1" applyFill="1" applyBorder="1"/>
    <xf numFmtId="0" fontId="0" fillId="5" borderId="5" xfId="0" applyFill="1" applyBorder="1"/>
    <xf numFmtId="10" fontId="1" fillId="5" borderId="4" xfId="0" applyNumberFormat="1" applyFont="1" applyFill="1" applyBorder="1"/>
    <xf numFmtId="0" fontId="1" fillId="4" borderId="0" xfId="0" applyFont="1" applyFill="1"/>
    <xf numFmtId="0" fontId="7" fillId="2" borderId="0" xfId="0" applyFont="1" applyFill="1"/>
    <xf numFmtId="0" fontId="0" fillId="2" borderId="1" xfId="0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0" fontId="6" fillId="2" borderId="0" xfId="0" applyNumberFormat="1" applyFont="1" applyFill="1" applyAlignment="1">
      <alignment horizontal="right"/>
    </xf>
    <xf numFmtId="10" fontId="6" fillId="2" borderId="0" xfId="0" applyNumberFormat="1" applyFont="1" applyFill="1"/>
    <xf numFmtId="2" fontId="8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" fillId="2" borderId="1" xfId="0" applyFont="1" applyFill="1" applyBorder="1"/>
    <xf numFmtId="0" fontId="1" fillId="3" borderId="2" xfId="0" applyFont="1" applyFill="1" applyBorder="1"/>
    <xf numFmtId="0" fontId="1" fillId="2" borderId="0" xfId="0" applyFont="1" applyFill="1" applyAlignment="1">
      <alignment horizontal="center"/>
    </xf>
    <xf numFmtId="14" fontId="1" fillId="3" borderId="2" xfId="0" applyNumberFormat="1" applyFont="1" applyFill="1" applyBorder="1"/>
    <xf numFmtId="8" fontId="1" fillId="2" borderId="2" xfId="0" applyNumberFormat="1" applyFont="1" applyFill="1" applyBorder="1"/>
    <xf numFmtId="10" fontId="1" fillId="2" borderId="2" xfId="0" applyNumberFormat="1" applyFont="1" applyFill="1" applyBorder="1"/>
    <xf numFmtId="0" fontId="1" fillId="2" borderId="0" xfId="0" applyFont="1" applyFill="1" applyAlignment="1">
      <alignment horizontal="right"/>
    </xf>
    <xf numFmtId="9" fontId="1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2" fontId="9" fillId="2" borderId="0" xfId="0" applyNumberFormat="1" applyFont="1" applyFill="1" applyAlignment="1">
      <alignment horizontal="right"/>
    </xf>
    <xf numFmtId="10" fontId="7" fillId="2" borderId="0" xfId="0" applyNumberFormat="1" applyFont="1" applyFill="1" applyAlignment="1">
      <alignment horizontal="right"/>
    </xf>
    <xf numFmtId="10" fontId="7" fillId="2" borderId="0" xfId="0" applyNumberFormat="1" applyFont="1" applyFill="1"/>
    <xf numFmtId="2" fontId="0" fillId="2" borderId="3" xfId="0" applyNumberFormat="1" applyFill="1" applyBorder="1"/>
    <xf numFmtId="2" fontId="0" fillId="2" borderId="5" xfId="0" applyNumberFormat="1" applyFill="1" applyBorder="1"/>
    <xf numFmtId="2" fontId="8" fillId="2" borderId="5" xfId="0" applyNumberFormat="1" applyFont="1" applyFill="1" applyBorder="1" applyAlignment="1">
      <alignment horizontal="right"/>
    </xf>
    <xf numFmtId="2" fontId="8" fillId="2" borderId="4" xfId="0" applyNumberFormat="1" applyFont="1" applyFill="1" applyBorder="1" applyAlignment="1">
      <alignment horizontal="right"/>
    </xf>
    <xf numFmtId="0" fontId="1" fillId="2" borderId="5" xfId="0" applyFont="1" applyFill="1" applyBorder="1"/>
    <xf numFmtId="2" fontId="1" fillId="2" borderId="5" xfId="0" applyNumberFormat="1" applyFont="1" applyFill="1" applyBorder="1"/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2" fontId="1" fillId="2" borderId="1" xfId="0" applyNumberFormat="1" applyFont="1" applyFill="1" applyBorder="1"/>
    <xf numFmtId="0" fontId="10" fillId="2" borderId="0" xfId="0" applyFont="1" applyFill="1"/>
    <xf numFmtId="37" fontId="1" fillId="2" borderId="1" xfId="0" applyNumberFormat="1" applyFont="1" applyFill="1" applyBorder="1"/>
    <xf numFmtId="10" fontId="11" fillId="2" borderId="0" xfId="0" applyNumberFormat="1" applyFont="1" applyFill="1" applyAlignment="1">
      <alignment horizontal="right"/>
    </xf>
    <xf numFmtId="10" fontId="12" fillId="2" borderId="0" xfId="0" applyNumberFormat="1" applyFont="1" applyFill="1" applyAlignment="1">
      <alignment horizontal="right"/>
    </xf>
    <xf numFmtId="0" fontId="13" fillId="2" borderId="1" xfId="0" applyFont="1" applyFill="1" applyBorder="1"/>
    <xf numFmtId="0" fontId="1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CF94-66DA-0048-A37A-9C19059F75D2}">
  <dimension ref="A2:Q65"/>
  <sheetViews>
    <sheetView tabSelected="1" zoomScale="93" zoomScaleNormal="125" workbookViewId="0">
      <selection activeCell="H28" sqref="H28"/>
    </sheetView>
  </sheetViews>
  <sheetFormatPr baseColWidth="10" defaultRowHeight="16" x14ac:dyDescent="0.2"/>
  <cols>
    <col min="1" max="1" width="7.1640625" style="7" customWidth="1"/>
    <col min="2" max="16" width="10.83203125" style="7"/>
    <col min="17" max="17" width="11.1640625" style="7" bestFit="1" customWidth="1"/>
    <col min="18" max="16384" width="10.83203125" style="7"/>
  </cols>
  <sheetData>
    <row r="2" spans="1:17" s="32" customFormat="1" ht="30" customHeight="1" x14ac:dyDescent="0.3">
      <c r="A2" s="3"/>
      <c r="B2" s="58" t="s">
        <v>0</v>
      </c>
      <c r="Q2" s="59" t="s">
        <v>69</v>
      </c>
    </row>
    <row r="4" spans="1:17" x14ac:dyDescent="0.2">
      <c r="B4" s="7" t="s">
        <v>1</v>
      </c>
      <c r="D4" s="33" t="s">
        <v>6</v>
      </c>
      <c r="E4" s="34" t="s">
        <v>4</v>
      </c>
      <c r="F4" s="35">
        <v>45856</v>
      </c>
    </row>
    <row r="5" spans="1:17" x14ac:dyDescent="0.2">
      <c r="B5" s="7" t="s">
        <v>2</v>
      </c>
      <c r="D5" s="36">
        <f>Q65</f>
        <v>199.75222796506947</v>
      </c>
    </row>
    <row r="6" spans="1:17" x14ac:dyDescent="0.2">
      <c r="B6" s="7" t="s">
        <v>3</v>
      </c>
      <c r="D6" s="36">
        <v>129.46</v>
      </c>
    </row>
    <row r="7" spans="1:17" x14ac:dyDescent="0.2">
      <c r="B7" s="7" t="s">
        <v>5</v>
      </c>
      <c r="D7" s="37">
        <f>D5/D6 - 1</f>
        <v>0.5429648382903558</v>
      </c>
    </row>
    <row r="10" spans="1:17" x14ac:dyDescent="0.2">
      <c r="B10" s="16"/>
    </row>
    <row r="11" spans="1:17" s="23" customFormat="1" x14ac:dyDescent="0.2">
      <c r="B11" s="8" t="s">
        <v>7</v>
      </c>
    </row>
    <row r="12" spans="1:17" x14ac:dyDescent="0.2">
      <c r="B12" s="7" t="s">
        <v>8</v>
      </c>
      <c r="D12" s="7" t="s">
        <v>14</v>
      </c>
      <c r="E12" s="38" t="s">
        <v>15</v>
      </c>
      <c r="F12" s="38"/>
    </row>
    <row r="13" spans="1:17" x14ac:dyDescent="0.2">
      <c r="B13" s="7" t="s">
        <v>9</v>
      </c>
      <c r="E13" s="38" t="s">
        <v>16</v>
      </c>
    </row>
    <row r="14" spans="1:17" x14ac:dyDescent="0.2">
      <c r="B14" s="7" t="s">
        <v>10</v>
      </c>
      <c r="E14" s="39">
        <v>0.21</v>
      </c>
    </row>
    <row r="15" spans="1:17" x14ac:dyDescent="0.2">
      <c r="B15" s="7" t="s">
        <v>11</v>
      </c>
      <c r="E15" s="40">
        <v>63000000</v>
      </c>
    </row>
    <row r="16" spans="1:17" x14ac:dyDescent="0.2">
      <c r="B16" s="7" t="s">
        <v>18</v>
      </c>
      <c r="E16" s="38" t="s">
        <v>17</v>
      </c>
    </row>
    <row r="17" spans="2:17" x14ac:dyDescent="0.2">
      <c r="B17" s="7" t="s">
        <v>12</v>
      </c>
      <c r="E17" s="14">
        <f>WACC!D23</f>
        <v>7.3130469102638901E-2</v>
      </c>
    </row>
    <row r="18" spans="2:17" x14ac:dyDescent="0.2">
      <c r="B18" s="7" t="s">
        <v>13</v>
      </c>
      <c r="E18" s="12">
        <v>0.02</v>
      </c>
    </row>
    <row r="23" spans="2:17" s="23" customFormat="1" x14ac:dyDescent="0.2">
      <c r="B23" s="8" t="s">
        <v>30</v>
      </c>
      <c r="E23" s="41" t="s">
        <v>32</v>
      </c>
      <c r="F23" s="41" t="s">
        <v>33</v>
      </c>
      <c r="G23" s="41" t="s">
        <v>34</v>
      </c>
      <c r="H23" s="41" t="s">
        <v>31</v>
      </c>
      <c r="I23" s="41" t="s">
        <v>35</v>
      </c>
      <c r="J23" s="41" t="s">
        <v>36</v>
      </c>
      <c r="K23" s="41" t="s">
        <v>37</v>
      </c>
      <c r="L23" s="41" t="s">
        <v>38</v>
      </c>
      <c r="M23" s="41" t="s">
        <v>39</v>
      </c>
      <c r="N23" s="41" t="s">
        <v>40</v>
      </c>
      <c r="O23" s="41" t="s">
        <v>41</v>
      </c>
      <c r="P23" s="41" t="s">
        <v>42</v>
      </c>
      <c r="Q23" s="41" t="s">
        <v>43</v>
      </c>
    </row>
    <row r="24" spans="2:17" x14ac:dyDescent="0.2">
      <c r="B24" s="7" t="s">
        <v>44</v>
      </c>
      <c r="E24" s="42">
        <f>IS!E5</f>
        <v>204.04</v>
      </c>
      <c r="F24" s="42">
        <f>IS!F5</f>
        <v>249.38</v>
      </c>
      <c r="G24" s="42">
        <f>IS!G5</f>
        <v>508.82</v>
      </c>
      <c r="H24" s="42">
        <f>IS!H5</f>
        <v>735.04137199999991</v>
      </c>
      <c r="I24" s="42">
        <f>IS!I5</f>
        <v>975.98793374159982</v>
      </c>
      <c r="J24" s="42">
        <f>IS!J5</f>
        <v>1211.005828186577</v>
      </c>
      <c r="K24" s="42">
        <f>IS!K5</f>
        <v>1428.9868772601608</v>
      </c>
      <c r="L24" s="42">
        <f>IS!L5</f>
        <v>1629.0450400765835</v>
      </c>
      <c r="M24" s="42">
        <f>IS!M5</f>
        <v>1791.949544084242</v>
      </c>
      <c r="N24" s="42">
        <f>IS!N5</f>
        <v>1935.3055076109815</v>
      </c>
      <c r="O24" s="42">
        <f>IS!O5</f>
        <v>2051.4238380676406</v>
      </c>
      <c r="P24" s="42">
        <f>IS!P5</f>
        <v>2133.4807915903461</v>
      </c>
      <c r="Q24" s="42">
        <f>IS!Q5</f>
        <v>2176.150407422153</v>
      </c>
    </row>
    <row r="25" spans="2:17" x14ac:dyDescent="0.2">
      <c r="B25" s="24" t="s">
        <v>45</v>
      </c>
      <c r="E25" s="43"/>
      <c r="F25" s="43">
        <f>IS!F6</f>
        <v>0.22221133111154678</v>
      </c>
      <c r="G25" s="43">
        <f>IS!G6</f>
        <v>1.0403400433074022</v>
      </c>
      <c r="H25" s="43">
        <f>IS!H6</f>
        <v>0.4446</v>
      </c>
      <c r="I25" s="43">
        <f>IS!I6</f>
        <v>0.32779999999999998</v>
      </c>
      <c r="J25" s="43">
        <f>IS!J6</f>
        <v>0.24079999999999999</v>
      </c>
      <c r="K25" s="43">
        <f>IS!K6</f>
        <v>0.18</v>
      </c>
      <c r="L25" s="43">
        <f>IS!L6</f>
        <v>0.14000000000000001</v>
      </c>
      <c r="M25" s="43">
        <f>IS!M6</f>
        <v>0.1</v>
      </c>
      <c r="N25" s="43">
        <f>IS!N6</f>
        <v>0.08</v>
      </c>
      <c r="O25" s="43">
        <f>IS!O6</f>
        <v>0.06</v>
      </c>
      <c r="P25" s="43">
        <f>IS!P6</f>
        <v>0.04</v>
      </c>
      <c r="Q25" s="43">
        <f>IS!Q6</f>
        <v>0.02</v>
      </c>
    </row>
    <row r="27" spans="2:17" s="13" customFormat="1" x14ac:dyDescent="0.2">
      <c r="B27" s="13" t="s">
        <v>49</v>
      </c>
      <c r="E27" s="42">
        <f>IS!E17</f>
        <v>-537.52</v>
      </c>
      <c r="F27" s="42">
        <f>IS!F17</f>
        <v>-486.28</v>
      </c>
      <c r="G27" s="42">
        <f>IS!G17</f>
        <v>-212.04</v>
      </c>
      <c r="H27" s="42">
        <f>IS!H17</f>
        <v>-183.76034300000003</v>
      </c>
      <c r="I27" s="42">
        <f>IS!I17</f>
        <v>-97.598793374159982</v>
      </c>
      <c r="J27" s="42">
        <f>IS!J17</f>
        <v>0</v>
      </c>
      <c r="K27" s="42">
        <f>IS!K17</f>
        <v>142.89868772601619</v>
      </c>
      <c r="L27" s="42">
        <f>IS!L17</f>
        <v>325.80900801531664</v>
      </c>
      <c r="M27" s="42">
        <f>IS!M17</f>
        <v>465.90688146190303</v>
      </c>
      <c r="N27" s="42">
        <f>IS!N17</f>
        <v>561.23859720718463</v>
      </c>
      <c r="O27" s="42">
        <f>IS!O17</f>
        <v>615.42715142029215</v>
      </c>
      <c r="P27" s="42">
        <f>IS!P17</f>
        <v>682.71385330891087</v>
      </c>
      <c r="Q27" s="42">
        <f>IS!Q17</f>
        <v>696.36813037508898</v>
      </c>
    </row>
    <row r="28" spans="2:17" s="24" customFormat="1" x14ac:dyDescent="0.2">
      <c r="B28" s="24" t="s">
        <v>47</v>
      </c>
      <c r="E28" s="44">
        <f>IS!E18</f>
        <v>-2.6343854146245835</v>
      </c>
      <c r="F28" s="44">
        <f>IS!F18</f>
        <v>-1.9499558906087096</v>
      </c>
      <c r="G28" s="44">
        <f>IS!G18</f>
        <v>-0.41672890216579533</v>
      </c>
      <c r="H28" s="44">
        <f>IS!H18</f>
        <v>-0.25000000000000006</v>
      </c>
      <c r="I28" s="44">
        <f>IS!I18</f>
        <v>-0.1</v>
      </c>
      <c r="J28" s="44">
        <f>IS!J18</f>
        <v>0</v>
      </c>
      <c r="K28" s="44">
        <f>IS!K18</f>
        <v>0.10000000000000007</v>
      </c>
      <c r="L28" s="44">
        <f>IS!L18</f>
        <v>0.19999999999999996</v>
      </c>
      <c r="M28" s="44">
        <f>IS!M18</f>
        <v>0.26000000000000006</v>
      </c>
      <c r="N28" s="44">
        <f>IS!N18</f>
        <v>0.28999999999999998</v>
      </c>
      <c r="O28" s="44">
        <f>IS!O18</f>
        <v>0.3</v>
      </c>
      <c r="P28" s="44">
        <f>IS!P18</f>
        <v>0.32000000000000006</v>
      </c>
      <c r="Q28" s="44">
        <f>IS!Q18</f>
        <v>0.32</v>
      </c>
    </row>
    <row r="30" spans="2:17" x14ac:dyDescent="0.2">
      <c r="B30" s="7" t="s">
        <v>51</v>
      </c>
      <c r="E30" s="13">
        <f>IS!E20</f>
        <v>0</v>
      </c>
      <c r="F30" s="13">
        <f>IS!F20</f>
        <v>0</v>
      </c>
      <c r="G30" s="13">
        <f>IS!G20</f>
        <v>0</v>
      </c>
      <c r="H30" s="13">
        <f>IS!H20</f>
        <v>0</v>
      </c>
      <c r="I30" s="13">
        <f>IS!I20</f>
        <v>0</v>
      </c>
      <c r="J30" s="13">
        <f>IS!J20</f>
        <v>0</v>
      </c>
      <c r="K30" s="13">
        <f>IS!K20</f>
        <v>30.008724422463398</v>
      </c>
      <c r="L30" s="13">
        <f>IS!L20</f>
        <v>68.419891683216491</v>
      </c>
      <c r="M30" s="13">
        <f>IS!M20</f>
        <v>97.840445106999638</v>
      </c>
      <c r="N30" s="13">
        <f>IS!N20</f>
        <v>117.86010541350876</v>
      </c>
      <c r="O30" s="13">
        <f>IS!O20</f>
        <v>129.23970179826134</v>
      </c>
      <c r="P30" s="13">
        <f>IS!P20</f>
        <v>143.36990919487127</v>
      </c>
      <c r="Q30" s="13">
        <f>IS!Q20</f>
        <v>146.23730737876869</v>
      </c>
    </row>
    <row r="31" spans="2:17" x14ac:dyDescent="0.2">
      <c r="B31" s="24"/>
    </row>
    <row r="34" spans="2:17" x14ac:dyDescent="0.2">
      <c r="B34" s="24"/>
    </row>
    <row r="35" spans="2:17" s="23" customFormat="1" x14ac:dyDescent="0.2">
      <c r="B35" s="8" t="s">
        <v>54</v>
      </c>
      <c r="E35" s="41" t="s">
        <v>32</v>
      </c>
      <c r="F35" s="41" t="s">
        <v>33</v>
      </c>
      <c r="G35" s="41" t="s">
        <v>34</v>
      </c>
      <c r="H35" s="41" t="s">
        <v>31</v>
      </c>
      <c r="I35" s="41" t="s">
        <v>35</v>
      </c>
      <c r="J35" s="41" t="s">
        <v>36</v>
      </c>
      <c r="K35" s="41" t="s">
        <v>37</v>
      </c>
      <c r="L35" s="41" t="s">
        <v>38</v>
      </c>
      <c r="M35" s="41" t="s">
        <v>39</v>
      </c>
      <c r="N35" s="41" t="s">
        <v>40</v>
      </c>
      <c r="O35" s="41" t="s">
        <v>41</v>
      </c>
      <c r="P35" s="41" t="s">
        <v>42</v>
      </c>
      <c r="Q35" s="41" t="s">
        <v>43</v>
      </c>
    </row>
    <row r="36" spans="2:17" x14ac:dyDescent="0.2">
      <c r="B36" s="7" t="s">
        <v>58</v>
      </c>
      <c r="E36" s="13">
        <f>IS!E23</f>
        <v>-537.52</v>
      </c>
      <c r="F36" s="13">
        <f>IS!F23</f>
        <v>-486.28</v>
      </c>
      <c r="G36" s="13">
        <f>IS!G23</f>
        <v>-212.04</v>
      </c>
      <c r="H36" s="13">
        <f>IS!H23</f>
        <v>-183.76034300000003</v>
      </c>
      <c r="I36" s="13">
        <f>IS!I23</f>
        <v>-97.598793374159982</v>
      </c>
      <c r="J36" s="13">
        <f>IS!J23</f>
        <v>0</v>
      </c>
      <c r="K36" s="13">
        <f>IS!K23</f>
        <v>112.88996330355279</v>
      </c>
      <c r="L36" s="13">
        <f>IS!L23</f>
        <v>257.38911633210012</v>
      </c>
      <c r="M36" s="13">
        <f>IS!M23</f>
        <v>368.06643635490337</v>
      </c>
      <c r="N36" s="13">
        <f>IS!N23</f>
        <v>443.37849179367583</v>
      </c>
      <c r="O36" s="13">
        <f>IS!O23</f>
        <v>486.18744962203084</v>
      </c>
      <c r="P36" s="13">
        <f>IS!P23</f>
        <v>539.34394411403957</v>
      </c>
      <c r="Q36" s="13">
        <f>IS!Q23</f>
        <v>550.13082299632026</v>
      </c>
    </row>
    <row r="38" spans="2:17" s="13" customFormat="1" x14ac:dyDescent="0.2">
      <c r="B38" s="13" t="s">
        <v>55</v>
      </c>
      <c r="E38" s="13">
        <v>11.74</v>
      </c>
      <c r="F38" s="13">
        <v>11.67</v>
      </c>
      <c r="G38" s="13">
        <v>16.29</v>
      </c>
      <c r="H38" s="13">
        <f t="shared" ref="H38:Q38" si="0">H24*5%</f>
        <v>36.752068599999994</v>
      </c>
      <c r="I38" s="13">
        <f t="shared" si="0"/>
        <v>48.799396687079991</v>
      </c>
      <c r="J38" s="13">
        <f t="shared" si="0"/>
        <v>60.55029140932885</v>
      </c>
      <c r="K38" s="13">
        <f t="shared" si="0"/>
        <v>71.449343863008039</v>
      </c>
      <c r="L38" s="13">
        <f t="shared" si="0"/>
        <v>81.452252003829187</v>
      </c>
      <c r="M38" s="13">
        <f t="shared" si="0"/>
        <v>89.597477204212112</v>
      </c>
      <c r="N38" s="13">
        <f t="shared" si="0"/>
        <v>96.765275380549085</v>
      </c>
      <c r="O38" s="13">
        <f t="shared" si="0"/>
        <v>102.57119190338204</v>
      </c>
      <c r="P38" s="13">
        <f t="shared" si="0"/>
        <v>106.67403957951731</v>
      </c>
      <c r="Q38" s="13">
        <f t="shared" si="0"/>
        <v>108.80752037110766</v>
      </c>
    </row>
    <row r="39" spans="2:17" s="12" customFormat="1" x14ac:dyDescent="0.2">
      <c r="B39" s="44" t="s">
        <v>47</v>
      </c>
      <c r="E39" s="12">
        <f>E38/E24</f>
        <v>5.7537737698490493E-2</v>
      </c>
      <c r="F39" s="12">
        <f t="shared" ref="F39:Q39" si="1">F38/F24</f>
        <v>4.6796054214451842E-2</v>
      </c>
      <c r="G39" s="12">
        <f t="shared" si="1"/>
        <v>3.2015250972839117E-2</v>
      </c>
      <c r="H39" s="12">
        <f t="shared" si="1"/>
        <v>4.9999999999999996E-2</v>
      </c>
      <c r="I39" s="12">
        <f t="shared" si="1"/>
        <v>0.05</v>
      </c>
      <c r="J39" s="12">
        <f t="shared" si="1"/>
        <v>0.05</v>
      </c>
      <c r="K39" s="12">
        <f t="shared" si="1"/>
        <v>0.05</v>
      </c>
      <c r="L39" s="12">
        <f t="shared" si="1"/>
        <v>5.000000000000001E-2</v>
      </c>
      <c r="M39" s="12">
        <f t="shared" si="1"/>
        <v>5.000000000000001E-2</v>
      </c>
      <c r="N39" s="12">
        <f t="shared" si="1"/>
        <v>0.05</v>
      </c>
      <c r="O39" s="12">
        <f t="shared" si="1"/>
        <v>0.05</v>
      </c>
      <c r="P39" s="12">
        <f t="shared" si="1"/>
        <v>0.05</v>
      </c>
      <c r="Q39" s="12">
        <f t="shared" si="1"/>
        <v>0.05</v>
      </c>
    </row>
    <row r="41" spans="2:17" s="13" customFormat="1" x14ac:dyDescent="0.2">
      <c r="B41" s="13" t="s">
        <v>56</v>
      </c>
      <c r="E41" s="13">
        <v>8.92</v>
      </c>
      <c r="F41" s="13">
        <v>16.059999999999999</v>
      </c>
      <c r="G41" s="13">
        <v>4.63</v>
      </c>
      <c r="H41" s="13">
        <f t="shared" ref="H41:Q41" si="2">H24*4%</f>
        <v>29.401654879999995</v>
      </c>
      <c r="I41" s="13">
        <f t="shared" si="2"/>
        <v>39.039517349663996</v>
      </c>
      <c r="J41" s="13">
        <f t="shared" si="2"/>
        <v>48.440233127463081</v>
      </c>
      <c r="K41" s="13">
        <f t="shared" si="2"/>
        <v>57.159475090406431</v>
      </c>
      <c r="L41" s="13">
        <f t="shared" si="2"/>
        <v>65.161801603063338</v>
      </c>
      <c r="M41" s="13">
        <f t="shared" si="2"/>
        <v>71.677981763369687</v>
      </c>
      <c r="N41" s="13">
        <f t="shared" si="2"/>
        <v>77.412220304439259</v>
      </c>
      <c r="O41" s="13">
        <f t="shared" si="2"/>
        <v>82.056953522705626</v>
      </c>
      <c r="P41" s="13">
        <f t="shared" si="2"/>
        <v>85.339231663613845</v>
      </c>
      <c r="Q41" s="13">
        <f t="shared" si="2"/>
        <v>87.046016296886123</v>
      </c>
    </row>
    <row r="42" spans="2:17" s="12" customFormat="1" x14ac:dyDescent="0.2">
      <c r="B42" s="44" t="s">
        <v>47</v>
      </c>
      <c r="E42" s="12">
        <f>E41/E24</f>
        <v>4.3716918251323268E-2</v>
      </c>
      <c r="F42" s="12">
        <f t="shared" ref="F42:Q42" si="3">F41/F24</f>
        <v>6.4399711283984279E-2</v>
      </c>
      <c r="G42" s="12">
        <f t="shared" si="3"/>
        <v>9.0994850831335253E-3</v>
      </c>
      <c r="H42" s="12">
        <f t="shared" si="3"/>
        <v>0.04</v>
      </c>
      <c r="I42" s="12">
        <f t="shared" si="3"/>
        <v>0.04</v>
      </c>
      <c r="J42" s="12">
        <f t="shared" si="3"/>
        <v>0.04</v>
      </c>
      <c r="K42" s="12">
        <f t="shared" si="3"/>
        <v>0.04</v>
      </c>
      <c r="L42" s="12">
        <f t="shared" si="3"/>
        <v>0.04</v>
      </c>
      <c r="M42" s="12">
        <f t="shared" si="3"/>
        <v>0.04</v>
      </c>
      <c r="N42" s="12">
        <f t="shared" si="3"/>
        <v>0.04</v>
      </c>
      <c r="O42" s="12">
        <f t="shared" si="3"/>
        <v>0.04</v>
      </c>
      <c r="P42" s="12">
        <f t="shared" si="3"/>
        <v>0.04</v>
      </c>
      <c r="Q42" s="12">
        <f t="shared" si="3"/>
        <v>0.04</v>
      </c>
    </row>
    <row r="44" spans="2:17" s="13" customFormat="1" x14ac:dyDescent="0.2">
      <c r="B44" s="13" t="s">
        <v>57</v>
      </c>
      <c r="F44" s="13">
        <f>(F24-E24)*2%</f>
        <v>0.90680000000000005</v>
      </c>
      <c r="G44" s="13">
        <f t="shared" ref="G44:Q44" si="4">(G24-F24)*2%</f>
        <v>5.1887999999999996</v>
      </c>
      <c r="H44" s="13">
        <f t="shared" si="4"/>
        <v>4.5244274399999984</v>
      </c>
      <c r="I44" s="13">
        <f t="shared" si="4"/>
        <v>4.8189312348319984</v>
      </c>
      <c r="J44" s="13">
        <f t="shared" si="4"/>
        <v>4.7003578888995436</v>
      </c>
      <c r="K44" s="13">
        <f t="shared" si="4"/>
        <v>4.359620981471676</v>
      </c>
      <c r="L44" s="13">
        <f t="shared" si="4"/>
        <v>4.0011632563284545</v>
      </c>
      <c r="M44" s="13">
        <f t="shared" si="4"/>
        <v>3.25809008015317</v>
      </c>
      <c r="N44" s="13">
        <f t="shared" si="4"/>
        <v>2.8671192705347903</v>
      </c>
      <c r="O44" s="13">
        <f t="shared" si="4"/>
        <v>2.3223666091331827</v>
      </c>
      <c r="P44" s="13">
        <f t="shared" si="4"/>
        <v>1.64113907045411</v>
      </c>
      <c r="Q44" s="13">
        <f t="shared" si="4"/>
        <v>0.85339231663613646</v>
      </c>
    </row>
    <row r="45" spans="2:17" x14ac:dyDescent="0.2">
      <c r="B45" s="24"/>
    </row>
    <row r="51" spans="2:17" x14ac:dyDescent="0.2">
      <c r="B51" s="19" t="s">
        <v>59</v>
      </c>
      <c r="C51" s="49"/>
      <c r="D51" s="49"/>
      <c r="E51" s="49"/>
      <c r="F51" s="50">
        <f t="shared" ref="F51:Q51" si="5">F36+F38-F41-F44</f>
        <v>-491.57679999999993</v>
      </c>
      <c r="G51" s="50">
        <f t="shared" si="5"/>
        <v>-205.56879999999998</v>
      </c>
      <c r="H51" s="50">
        <f t="shared" si="5"/>
        <v>-180.93435672000004</v>
      </c>
      <c r="I51" s="50">
        <f t="shared" si="5"/>
        <v>-92.657845271575979</v>
      </c>
      <c r="J51" s="50">
        <f t="shared" si="5"/>
        <v>7.4097003929662248</v>
      </c>
      <c r="K51" s="50">
        <f t="shared" si="5"/>
        <v>122.82021109468273</v>
      </c>
      <c r="L51" s="50">
        <f t="shared" si="5"/>
        <v>269.67840347653748</v>
      </c>
      <c r="M51" s="50">
        <f t="shared" si="5"/>
        <v>382.7278417155926</v>
      </c>
      <c r="N51" s="50">
        <f t="shared" si="5"/>
        <v>459.86442759925086</v>
      </c>
      <c r="O51" s="50">
        <f t="shared" si="5"/>
        <v>504.37932139357417</v>
      </c>
      <c r="P51" s="50">
        <f t="shared" si="5"/>
        <v>559.03761295948891</v>
      </c>
      <c r="Q51" s="51">
        <f t="shared" si="5"/>
        <v>571.03893475390566</v>
      </c>
    </row>
    <row r="53" spans="2:17" s="13" customFormat="1" x14ac:dyDescent="0.2">
      <c r="B53" s="13" t="s">
        <v>60</v>
      </c>
      <c r="H53" s="13">
        <f>1/(1+E17)^1</f>
        <v>0.93185314255051277</v>
      </c>
      <c r="I53" s="13">
        <f>1/(1+E17)^2</f>
        <v>0.8683502792812664</v>
      </c>
      <c r="J53" s="13">
        <f>1/(1+E17)^3</f>
        <v>0.80917493658286344</v>
      </c>
      <c r="K53" s="13">
        <f>1/(1+E17)^4</f>
        <v>0.75403220752785327</v>
      </c>
      <c r="L53" s="13">
        <f>1/(1+E17)^5</f>
        <v>0.70264728216913053</v>
      </c>
      <c r="M53" s="13">
        <f>1/(1+E17)^6</f>
        <v>0.65476407799388125</v>
      </c>
      <c r="N53" s="13">
        <f>1/(1+E17)^7</f>
        <v>0.61014396370778723</v>
      </c>
      <c r="O53" s="13">
        <f>1/(1+E17)^8</f>
        <v>0.56856456998932769</v>
      </c>
      <c r="P53" s="13">
        <f>1/(1+E17)^9</f>
        <v>0.52981868128743603</v>
      </c>
      <c r="Q53" s="13">
        <f>1/(1+E17)^10</f>
        <v>0.49371320313966577</v>
      </c>
    </row>
    <row r="55" spans="2:17" s="13" customFormat="1" x14ac:dyDescent="0.2">
      <c r="B55" s="52" t="s">
        <v>63</v>
      </c>
      <c r="C55" s="50"/>
      <c r="D55" s="50"/>
      <c r="E55" s="50"/>
      <c r="F55" s="50"/>
      <c r="G55" s="50"/>
      <c r="H55" s="50">
        <f>H51*H53</f>
        <v>-168.60424890488753</v>
      </c>
      <c r="I55" s="50">
        <f>I51*I53</f>
        <v>-80.459465819173374</v>
      </c>
      <c r="J55" s="50">
        <f>J51*J53</f>
        <v>5.9957438455764631</v>
      </c>
      <c r="K55" s="50">
        <f>K51*K53</f>
        <v>92.610394900760554</v>
      </c>
      <c r="L55" s="50">
        <f>L51*L53</f>
        <v>189.48879726249928</v>
      </c>
      <c r="M55" s="50">
        <f t="shared" ref="M55:Q55" si="6">M51*M53</f>
        <v>250.59644240349812</v>
      </c>
      <c r="N55" s="50">
        <f t="shared" si="6"/>
        <v>280.58350462361966</v>
      </c>
      <c r="O55" s="50">
        <f t="shared" si="6"/>
        <v>286.77221197964639</v>
      </c>
      <c r="P55" s="50">
        <f t="shared" si="6"/>
        <v>296.18857088827247</v>
      </c>
      <c r="Q55" s="51">
        <f t="shared" si="6"/>
        <v>281.92946159481335</v>
      </c>
    </row>
    <row r="58" spans="2:17" x14ac:dyDescent="0.2">
      <c r="B58" s="7" t="s">
        <v>62</v>
      </c>
      <c r="Q58" s="13">
        <f>Q51*(1+E18)/(E17-E18)</f>
        <v>10962.818949024751</v>
      </c>
    </row>
    <row r="59" spans="2:17" x14ac:dyDescent="0.2">
      <c r="B59" s="32" t="s">
        <v>61</v>
      </c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53">
        <f>Q58/(1+E17)^10</f>
        <v>5412.4884587632341</v>
      </c>
    </row>
    <row r="60" spans="2:17" x14ac:dyDescent="0.2">
      <c r="B60" s="54" t="s">
        <v>64</v>
      </c>
      <c r="Q60" s="13">
        <f>SUM(H55:Q55)+Q58</f>
        <v>12397.920361799377</v>
      </c>
    </row>
    <row r="61" spans="2:17" x14ac:dyDescent="0.2">
      <c r="B61" s="7" t="s">
        <v>65</v>
      </c>
      <c r="Q61" s="7">
        <v>899.8</v>
      </c>
    </row>
    <row r="62" spans="2:17" x14ac:dyDescent="0.2">
      <c r="B62" s="32" t="s">
        <v>66</v>
      </c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55">
        <v>713.33</v>
      </c>
    </row>
    <row r="63" spans="2:17" x14ac:dyDescent="0.2">
      <c r="B63" s="54" t="s">
        <v>24</v>
      </c>
      <c r="Q63" s="13">
        <f>Q60+Q61-Q62</f>
        <v>12584.390361799376</v>
      </c>
    </row>
    <row r="64" spans="2:17" x14ac:dyDescent="0.2">
      <c r="B64" s="7" t="s">
        <v>67</v>
      </c>
      <c r="Q64" s="7">
        <v>63</v>
      </c>
    </row>
    <row r="65" spans="2:17" x14ac:dyDescent="0.2">
      <c r="B65" s="7" t="s">
        <v>68</v>
      </c>
      <c r="Q65" s="13">
        <f>Q63/Q64</f>
        <v>199.75222796506947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CD0F-C7C0-EC48-9AF2-A828C1689D59}">
  <dimension ref="B2:D23"/>
  <sheetViews>
    <sheetView zoomScaleNormal="133" workbookViewId="0">
      <selection activeCell="E31" sqref="E31"/>
    </sheetView>
  </sheetViews>
  <sheetFormatPr baseColWidth="10" defaultRowHeight="16" x14ac:dyDescent="0.2"/>
  <cols>
    <col min="1" max="3" width="10.83203125" style="1"/>
    <col min="4" max="4" width="20.33203125" style="1" bestFit="1" customWidth="1"/>
    <col min="5" max="16384" width="10.83203125" style="1"/>
  </cols>
  <sheetData>
    <row r="2" spans="2:4" s="2" customFormat="1" ht="34" customHeight="1" x14ac:dyDescent="0.3">
      <c r="B2" s="58" t="s">
        <v>12</v>
      </c>
    </row>
    <row r="3" spans="2:4" x14ac:dyDescent="0.2">
      <c r="B3" s="7"/>
    </row>
    <row r="4" spans="2:4" s="5" customFormat="1" x14ac:dyDescent="0.2">
      <c r="B4" s="8" t="s">
        <v>12</v>
      </c>
    </row>
    <row r="5" spans="2:4" x14ac:dyDescent="0.2">
      <c r="B5" s="7"/>
    </row>
    <row r="6" spans="2:4" x14ac:dyDescent="0.2">
      <c r="B6" s="7" t="s">
        <v>19</v>
      </c>
      <c r="D6" s="11">
        <v>713300000</v>
      </c>
    </row>
    <row r="7" spans="2:4" x14ac:dyDescent="0.2">
      <c r="B7" s="7" t="s">
        <v>20</v>
      </c>
      <c r="D7" s="17">
        <f>D6/(D6+D11)</f>
        <v>7.8528728545792834E-2</v>
      </c>
    </row>
    <row r="8" spans="2:4" x14ac:dyDescent="0.2">
      <c r="B8" s="7" t="s">
        <v>21</v>
      </c>
      <c r="D8" s="10">
        <v>7.0000000000000007E-2</v>
      </c>
    </row>
    <row r="9" spans="2:4" x14ac:dyDescent="0.2">
      <c r="B9" s="7" t="s">
        <v>10</v>
      </c>
      <c r="D9" s="10">
        <f>DCF!E14</f>
        <v>0.21</v>
      </c>
    </row>
    <row r="10" spans="2:4" x14ac:dyDescent="0.2">
      <c r="B10" s="7"/>
      <c r="D10" s="7"/>
    </row>
    <row r="11" spans="2:4" x14ac:dyDescent="0.2">
      <c r="B11" s="7" t="s">
        <v>24</v>
      </c>
      <c r="D11" s="11">
        <v>8370000000</v>
      </c>
    </row>
    <row r="12" spans="2:4" x14ac:dyDescent="0.2">
      <c r="B12" s="7" t="s">
        <v>25</v>
      </c>
      <c r="D12" s="12">
        <f>D11/(D6+D11)</f>
        <v>0.92147127145420715</v>
      </c>
    </row>
    <row r="13" spans="2:4" x14ac:dyDescent="0.2">
      <c r="B13" s="7" t="s">
        <v>26</v>
      </c>
      <c r="D13" s="12">
        <f>D14 + D15 * D16</f>
        <v>7.4649999999999994E-2</v>
      </c>
    </row>
    <row r="14" spans="2:4" x14ac:dyDescent="0.2">
      <c r="B14" s="7" t="s">
        <v>22</v>
      </c>
      <c r="D14" s="12">
        <v>4.1500000000000002E-2</v>
      </c>
    </row>
    <row r="15" spans="2:4" x14ac:dyDescent="0.2">
      <c r="B15" s="7" t="s">
        <v>23</v>
      </c>
      <c r="D15" s="13">
        <v>0.65</v>
      </c>
    </row>
    <row r="16" spans="2:4" x14ac:dyDescent="0.2">
      <c r="B16" s="7" t="s">
        <v>28</v>
      </c>
      <c r="D16" s="14">
        <v>5.0999999999999997E-2</v>
      </c>
    </row>
    <row r="17" spans="2:4" x14ac:dyDescent="0.2">
      <c r="B17" s="7"/>
      <c r="D17" s="7"/>
    </row>
    <row r="18" spans="2:4" x14ac:dyDescent="0.2">
      <c r="B18" s="7" t="s">
        <v>27</v>
      </c>
      <c r="D18" s="11">
        <f>D6+D11</f>
        <v>9083300000</v>
      </c>
    </row>
    <row r="19" spans="2:4" x14ac:dyDescent="0.2">
      <c r="B19" s="7"/>
      <c r="D19" s="7"/>
    </row>
    <row r="20" spans="2:4" x14ac:dyDescent="0.2">
      <c r="B20" s="18" t="s">
        <v>29</v>
      </c>
      <c r="D20" s="12">
        <f>D8*(1-D9)</f>
        <v>5.5300000000000009E-2</v>
      </c>
    </row>
    <row r="21" spans="2:4" x14ac:dyDescent="0.2">
      <c r="B21" s="7"/>
      <c r="D21" s="7"/>
    </row>
    <row r="22" spans="2:4" x14ac:dyDescent="0.2">
      <c r="B22" s="7"/>
      <c r="D22" s="7"/>
    </row>
    <row r="23" spans="2:4" x14ac:dyDescent="0.2">
      <c r="B23" s="20" t="s">
        <v>12</v>
      </c>
      <c r="C23" s="21"/>
      <c r="D23" s="22">
        <f>D12*D13+D7*D8*(1-D9)</f>
        <v>7.3130469102638901E-2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2A40-9AA3-634D-B88F-7F1ED3F72BA2}">
  <dimension ref="B2:Q23"/>
  <sheetViews>
    <sheetView zoomScaleNormal="100" workbookViewId="0">
      <selection activeCell="B2" sqref="B2"/>
    </sheetView>
  </sheetViews>
  <sheetFormatPr baseColWidth="10" defaultRowHeight="16" x14ac:dyDescent="0.2"/>
  <cols>
    <col min="1" max="4" width="10.83203125" style="1"/>
    <col min="5" max="17" width="10.83203125" style="4"/>
    <col min="18" max="16384" width="10.83203125" style="1"/>
  </cols>
  <sheetData>
    <row r="2" spans="2:17" s="2" customFormat="1" ht="27" customHeight="1" x14ac:dyDescent="0.3">
      <c r="B2" s="58" t="s">
        <v>53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4" spans="2:17" s="5" customFormat="1" x14ac:dyDescent="0.2">
      <c r="B4" s="6" t="s">
        <v>30</v>
      </c>
      <c r="E4" s="26" t="s">
        <v>32</v>
      </c>
      <c r="F4" s="26" t="s">
        <v>33</v>
      </c>
      <c r="G4" s="26" t="s">
        <v>34</v>
      </c>
      <c r="H4" s="26" t="s">
        <v>31</v>
      </c>
      <c r="I4" s="26" t="s">
        <v>35</v>
      </c>
      <c r="J4" s="26" t="s">
        <v>36</v>
      </c>
      <c r="K4" s="26" t="s">
        <v>37</v>
      </c>
      <c r="L4" s="26" t="s">
        <v>38</v>
      </c>
      <c r="M4" s="26" t="s">
        <v>39</v>
      </c>
      <c r="N4" s="26" t="s">
        <v>40</v>
      </c>
      <c r="O4" s="26" t="s">
        <v>41</v>
      </c>
      <c r="P4" s="26" t="s">
        <v>42</v>
      </c>
      <c r="Q4" s="26" t="s">
        <v>43</v>
      </c>
    </row>
    <row r="5" spans="2:17" s="9" customFormat="1" x14ac:dyDescent="0.2">
      <c r="B5" s="9" t="s">
        <v>44</v>
      </c>
      <c r="E5" s="30">
        <v>204.04</v>
      </c>
      <c r="F5" s="30">
        <v>249.38</v>
      </c>
      <c r="G5" s="30">
        <v>508.82</v>
      </c>
      <c r="H5" s="30">
        <f>G5*(1+H6)</f>
        <v>735.04137199999991</v>
      </c>
      <c r="I5" s="30">
        <f t="shared" ref="I5:Q5" si="0">H5*(1+I6)</f>
        <v>975.98793374159982</v>
      </c>
      <c r="J5" s="30">
        <f t="shared" si="0"/>
        <v>1211.005828186577</v>
      </c>
      <c r="K5" s="30">
        <f t="shared" si="0"/>
        <v>1428.9868772601608</v>
      </c>
      <c r="L5" s="30">
        <f t="shared" si="0"/>
        <v>1629.0450400765835</v>
      </c>
      <c r="M5" s="30">
        <f t="shared" si="0"/>
        <v>1791.949544084242</v>
      </c>
      <c r="N5" s="30">
        <f t="shared" si="0"/>
        <v>1935.3055076109815</v>
      </c>
      <c r="O5" s="30">
        <f t="shared" si="0"/>
        <v>2051.4238380676406</v>
      </c>
      <c r="P5" s="30">
        <f t="shared" si="0"/>
        <v>2133.4807915903461</v>
      </c>
      <c r="Q5" s="30">
        <f t="shared" si="0"/>
        <v>2176.150407422153</v>
      </c>
    </row>
    <row r="6" spans="2:17" s="29" customFormat="1" x14ac:dyDescent="0.2">
      <c r="B6" s="29" t="s">
        <v>45</v>
      </c>
      <c r="E6" s="28"/>
      <c r="F6" s="28">
        <f>(F5/E5)-1</f>
        <v>0.22221133111154678</v>
      </c>
      <c r="G6" s="28">
        <f>(G5/F5)-1</f>
        <v>1.0403400433074022</v>
      </c>
      <c r="H6" s="56">
        <v>0.4446</v>
      </c>
      <c r="I6" s="56">
        <v>0.32779999999999998</v>
      </c>
      <c r="J6" s="56">
        <v>0.24079999999999999</v>
      </c>
      <c r="K6" s="57">
        <v>0.18</v>
      </c>
      <c r="L6" s="57">
        <v>0.14000000000000001</v>
      </c>
      <c r="M6" s="57">
        <v>0.1</v>
      </c>
      <c r="N6" s="57">
        <v>0.08</v>
      </c>
      <c r="O6" s="57">
        <v>0.06</v>
      </c>
      <c r="P6" s="57">
        <v>0.04</v>
      </c>
      <c r="Q6" s="57">
        <v>0.02</v>
      </c>
    </row>
    <row r="8" spans="2:17" s="9" customFormat="1" x14ac:dyDescent="0.2">
      <c r="B8" s="9" t="s">
        <v>46</v>
      </c>
      <c r="E8" s="30">
        <v>26.76</v>
      </c>
      <c r="F8" s="30">
        <v>12.8</v>
      </c>
      <c r="G8" s="30">
        <v>20.16</v>
      </c>
      <c r="H8" s="30">
        <f>H5*H9</f>
        <v>36.752068599999994</v>
      </c>
      <c r="I8" s="30">
        <f t="shared" ref="I8:Q8" si="1">I5*I9</f>
        <v>48.799396687079991</v>
      </c>
      <c r="J8" s="30">
        <f t="shared" si="1"/>
        <v>60.55029140932885</v>
      </c>
      <c r="K8" s="30">
        <f t="shared" si="1"/>
        <v>71.449343863008039</v>
      </c>
      <c r="L8" s="30">
        <f t="shared" si="1"/>
        <v>81.452252003829187</v>
      </c>
      <c r="M8" s="30">
        <f t="shared" si="1"/>
        <v>89.597477204212112</v>
      </c>
      <c r="N8" s="30">
        <f t="shared" si="1"/>
        <v>96.765275380549085</v>
      </c>
      <c r="O8" s="30">
        <f t="shared" si="1"/>
        <v>123.08543028405843</v>
      </c>
      <c r="P8" s="30">
        <f t="shared" si="1"/>
        <v>128.00884749542075</v>
      </c>
      <c r="Q8" s="30">
        <f t="shared" si="1"/>
        <v>130.56902444532918</v>
      </c>
    </row>
    <row r="9" spans="2:17" s="29" customFormat="1" x14ac:dyDescent="0.2">
      <c r="B9" s="29" t="s">
        <v>47</v>
      </c>
      <c r="E9" s="28">
        <f>E8/E5</f>
        <v>0.13115075475396981</v>
      </c>
      <c r="F9" s="28">
        <f>F8/F5</f>
        <v>5.1327291683374771E-2</v>
      </c>
      <c r="G9" s="28">
        <f>G8/G5</f>
        <v>3.9621084076883771E-2</v>
      </c>
      <c r="H9" s="28">
        <v>0.05</v>
      </c>
      <c r="I9" s="28">
        <v>0.05</v>
      </c>
      <c r="J9" s="28">
        <v>0.05</v>
      </c>
      <c r="K9" s="28">
        <v>0.05</v>
      </c>
      <c r="L9" s="28">
        <v>0.05</v>
      </c>
      <c r="M9" s="28">
        <v>0.05</v>
      </c>
      <c r="N9" s="28">
        <v>0.05</v>
      </c>
      <c r="O9" s="28">
        <v>0.06</v>
      </c>
      <c r="P9" s="28">
        <v>0.06</v>
      </c>
      <c r="Q9" s="28">
        <v>0.06</v>
      </c>
    </row>
    <row r="11" spans="2:17" s="9" customFormat="1" x14ac:dyDescent="0.2">
      <c r="B11" s="9" t="s">
        <v>48</v>
      </c>
      <c r="E11" s="30">
        <v>477.42</v>
      </c>
      <c r="F11" s="30">
        <v>427.72</v>
      </c>
      <c r="G11" s="30">
        <v>341.43</v>
      </c>
      <c r="H11" s="30">
        <f>H5*H12</f>
        <v>441.02482319999996</v>
      </c>
      <c r="I11" s="30">
        <f t="shared" ref="I11:Q11" si="2">I5*I12</f>
        <v>536.79336355787996</v>
      </c>
      <c r="J11" s="30">
        <f t="shared" si="2"/>
        <v>605.5029140932885</v>
      </c>
      <c r="K11" s="30">
        <f t="shared" si="2"/>
        <v>643.04409476707235</v>
      </c>
      <c r="L11" s="30">
        <f t="shared" si="2"/>
        <v>651.6180160306335</v>
      </c>
      <c r="M11" s="30">
        <f t="shared" si="2"/>
        <v>645.10183587032714</v>
      </c>
      <c r="N11" s="30">
        <f t="shared" si="2"/>
        <v>658.00387258773378</v>
      </c>
      <c r="O11" s="30">
        <f t="shared" si="2"/>
        <v>676.9698665623215</v>
      </c>
      <c r="P11" s="30">
        <f t="shared" si="2"/>
        <v>682.71385330891076</v>
      </c>
      <c r="Q11" s="30">
        <f t="shared" si="2"/>
        <v>696.36813037508898</v>
      </c>
    </row>
    <row r="12" spans="2:17" s="29" customFormat="1" x14ac:dyDescent="0.2">
      <c r="B12" s="29" t="s">
        <v>47</v>
      </c>
      <c r="E12" s="28">
        <f>E11/E5</f>
        <v>2.339835326406587</v>
      </c>
      <c r="F12" s="28">
        <f>F11/F5</f>
        <v>1.7151335311572702</v>
      </c>
      <c r="G12" s="28">
        <f>G11/G5</f>
        <v>0.67102315160567594</v>
      </c>
      <c r="H12" s="28">
        <v>0.6</v>
      </c>
      <c r="I12" s="28">
        <v>0.55000000000000004</v>
      </c>
      <c r="J12" s="28">
        <v>0.5</v>
      </c>
      <c r="K12" s="28">
        <v>0.45</v>
      </c>
      <c r="L12" s="28">
        <v>0.4</v>
      </c>
      <c r="M12" s="28">
        <v>0.36</v>
      </c>
      <c r="N12" s="28">
        <v>0.34</v>
      </c>
      <c r="O12" s="28">
        <v>0.33</v>
      </c>
      <c r="P12" s="28">
        <v>0.32</v>
      </c>
      <c r="Q12" s="28">
        <v>0.32</v>
      </c>
    </row>
    <row r="14" spans="2:17" s="9" customFormat="1" x14ac:dyDescent="0.2">
      <c r="B14" s="9" t="s">
        <v>50</v>
      </c>
      <c r="E14" s="30">
        <v>237.37</v>
      </c>
      <c r="F14" s="30">
        <v>295.14</v>
      </c>
      <c r="G14" s="30">
        <v>359.27</v>
      </c>
      <c r="H14" s="30">
        <f>H5*H15</f>
        <v>441.02482319999996</v>
      </c>
      <c r="I14" s="30">
        <f t="shared" ref="I14:Q14" si="3">I5*I15</f>
        <v>487.99396687079991</v>
      </c>
      <c r="J14" s="30">
        <f t="shared" si="3"/>
        <v>544.9526226839597</v>
      </c>
      <c r="K14" s="30">
        <f t="shared" si="3"/>
        <v>571.59475090406431</v>
      </c>
      <c r="L14" s="30">
        <f t="shared" si="3"/>
        <v>570.16576402680414</v>
      </c>
      <c r="M14" s="30">
        <f t="shared" si="3"/>
        <v>591.3433495477999</v>
      </c>
      <c r="N14" s="30">
        <f t="shared" si="3"/>
        <v>619.29776243551407</v>
      </c>
      <c r="O14" s="30">
        <f t="shared" si="3"/>
        <v>635.94138980096864</v>
      </c>
      <c r="P14" s="30">
        <f t="shared" si="3"/>
        <v>640.04423747710382</v>
      </c>
      <c r="Q14" s="30">
        <f t="shared" si="3"/>
        <v>652.84512222664591</v>
      </c>
    </row>
    <row r="15" spans="2:17" s="29" customFormat="1" x14ac:dyDescent="0.2">
      <c r="B15" s="29" t="s">
        <v>47</v>
      </c>
      <c r="E15" s="28">
        <f>E14/E5</f>
        <v>1.1633503234659872</v>
      </c>
      <c r="F15" s="28">
        <f>F14/F5</f>
        <v>1.1834950677680647</v>
      </c>
      <c r="G15" s="28">
        <f>G14/G5</f>
        <v>0.70608466648323565</v>
      </c>
      <c r="H15" s="28">
        <v>0.6</v>
      </c>
      <c r="I15" s="28">
        <v>0.5</v>
      </c>
      <c r="J15" s="28">
        <v>0.45</v>
      </c>
      <c r="K15" s="28">
        <v>0.4</v>
      </c>
      <c r="L15" s="28">
        <v>0.35</v>
      </c>
      <c r="M15" s="28">
        <v>0.33</v>
      </c>
      <c r="N15" s="28">
        <v>0.32</v>
      </c>
      <c r="O15" s="28">
        <v>0.31</v>
      </c>
      <c r="P15" s="28">
        <v>0.3</v>
      </c>
      <c r="Q15" s="28">
        <v>0.3</v>
      </c>
    </row>
    <row r="17" spans="2:17" x14ac:dyDescent="0.2">
      <c r="B17" s="1" t="s">
        <v>49</v>
      </c>
      <c r="E17" s="31">
        <v>-537.52</v>
      </c>
      <c r="F17" s="31">
        <v>-486.28</v>
      </c>
      <c r="G17" s="31">
        <v>-212.04</v>
      </c>
      <c r="H17" s="30">
        <f>H5-H8-H11-H14</f>
        <v>-183.76034300000003</v>
      </c>
      <c r="I17" s="30">
        <f t="shared" ref="I17:Q17" si="4">I5-I8-I11-I14</f>
        <v>-97.598793374159982</v>
      </c>
      <c r="J17" s="30">
        <f t="shared" si="4"/>
        <v>0</v>
      </c>
      <c r="K17" s="30">
        <f t="shared" si="4"/>
        <v>142.89868772601619</v>
      </c>
      <c r="L17" s="30">
        <f t="shared" si="4"/>
        <v>325.80900801531664</v>
      </c>
      <c r="M17" s="30">
        <f t="shared" si="4"/>
        <v>465.90688146190303</v>
      </c>
      <c r="N17" s="30">
        <f t="shared" si="4"/>
        <v>561.23859720718463</v>
      </c>
      <c r="O17" s="30">
        <f t="shared" si="4"/>
        <v>615.42715142029215</v>
      </c>
      <c r="P17" s="30">
        <f t="shared" si="4"/>
        <v>682.71385330891087</v>
      </c>
      <c r="Q17" s="30">
        <f t="shared" si="4"/>
        <v>696.36813037508898</v>
      </c>
    </row>
    <row r="18" spans="2:17" s="29" customFormat="1" x14ac:dyDescent="0.2">
      <c r="B18" s="29" t="s">
        <v>47</v>
      </c>
      <c r="E18" s="28">
        <f>E17/E5</f>
        <v>-2.6343854146245835</v>
      </c>
      <c r="F18" s="28">
        <f>F17/F5</f>
        <v>-1.9499558906087096</v>
      </c>
      <c r="G18" s="28">
        <f>G17/G5</f>
        <v>-0.41672890216579533</v>
      </c>
      <c r="H18" s="28">
        <f t="shared" ref="H18:P18" si="5">H17/H5</f>
        <v>-0.25000000000000006</v>
      </c>
      <c r="I18" s="28">
        <f t="shared" si="5"/>
        <v>-0.1</v>
      </c>
      <c r="J18" s="28">
        <f t="shared" si="5"/>
        <v>0</v>
      </c>
      <c r="K18" s="28">
        <f t="shared" si="5"/>
        <v>0.10000000000000007</v>
      </c>
      <c r="L18" s="28">
        <f t="shared" si="5"/>
        <v>0.19999999999999996</v>
      </c>
      <c r="M18" s="28">
        <f t="shared" si="5"/>
        <v>0.26000000000000006</v>
      </c>
      <c r="N18" s="28">
        <f t="shared" si="5"/>
        <v>0.28999999999999998</v>
      </c>
      <c r="O18" s="28">
        <f t="shared" si="5"/>
        <v>0.3</v>
      </c>
      <c r="P18" s="28">
        <f t="shared" si="5"/>
        <v>0.32000000000000006</v>
      </c>
      <c r="Q18" s="28">
        <f>Q17/Q5</f>
        <v>0.32</v>
      </c>
    </row>
    <row r="20" spans="2:17" s="9" customFormat="1" x14ac:dyDescent="0.2">
      <c r="B20" s="9" t="s">
        <v>51</v>
      </c>
      <c r="E20" s="30">
        <f>MAX(0, E17 * 21%)</f>
        <v>0</v>
      </c>
      <c r="F20" s="30">
        <f t="shared" ref="F20:Q20" si="6">MAX(0, F17 * 21%)</f>
        <v>0</v>
      </c>
      <c r="G20" s="30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  <c r="K20" s="30">
        <f t="shared" si="6"/>
        <v>30.008724422463398</v>
      </c>
      <c r="L20" s="30">
        <f t="shared" si="6"/>
        <v>68.419891683216491</v>
      </c>
      <c r="M20" s="30">
        <f t="shared" si="6"/>
        <v>97.840445106999638</v>
      </c>
      <c r="N20" s="30">
        <f t="shared" si="6"/>
        <v>117.86010541350876</v>
      </c>
      <c r="O20" s="30">
        <f t="shared" si="6"/>
        <v>129.23970179826134</v>
      </c>
      <c r="P20" s="30">
        <f t="shared" si="6"/>
        <v>143.36990919487127</v>
      </c>
      <c r="Q20" s="30">
        <f t="shared" si="6"/>
        <v>146.23730737876869</v>
      </c>
    </row>
    <row r="21" spans="2:17" s="15" customFormat="1" x14ac:dyDescent="0.2">
      <c r="B21" s="15" t="s">
        <v>52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3" spans="2:17" s="9" customFormat="1" x14ac:dyDescent="0.2">
      <c r="B23" s="45" t="s">
        <v>58</v>
      </c>
      <c r="C23" s="46"/>
      <c r="D23" s="46"/>
      <c r="E23" s="47">
        <f>E17-E20</f>
        <v>-537.52</v>
      </c>
      <c r="F23" s="47">
        <f t="shared" ref="F23:Q23" si="7">F17-F20</f>
        <v>-486.28</v>
      </c>
      <c r="G23" s="47">
        <f t="shared" si="7"/>
        <v>-212.04</v>
      </c>
      <c r="H23" s="47">
        <f t="shared" si="7"/>
        <v>-183.76034300000003</v>
      </c>
      <c r="I23" s="47">
        <f t="shared" si="7"/>
        <v>-97.598793374159982</v>
      </c>
      <c r="J23" s="47">
        <f t="shared" si="7"/>
        <v>0</v>
      </c>
      <c r="K23" s="47">
        <f t="shared" si="7"/>
        <v>112.88996330355279</v>
      </c>
      <c r="L23" s="47">
        <f t="shared" si="7"/>
        <v>257.38911633210012</v>
      </c>
      <c r="M23" s="47">
        <f t="shared" si="7"/>
        <v>368.06643635490337</v>
      </c>
      <c r="N23" s="47">
        <f t="shared" si="7"/>
        <v>443.37849179367583</v>
      </c>
      <c r="O23" s="47">
        <f t="shared" si="7"/>
        <v>486.18744962203084</v>
      </c>
      <c r="P23" s="47">
        <f t="shared" si="7"/>
        <v>539.34394411403957</v>
      </c>
      <c r="Q23" s="48">
        <f t="shared" si="7"/>
        <v>550.13082299632026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</vt:lpstr>
      <vt:lpstr>WACC</vt:lpstr>
      <vt:lpstr>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Valeriia Charkovska</dc:creator>
  <cp:lastModifiedBy>Valeriia Charkovska</cp:lastModifiedBy>
  <dcterms:created xsi:type="dcterms:W3CDTF">2025-08-23T09:20:19Z</dcterms:created>
  <dcterms:modified xsi:type="dcterms:W3CDTF">2025-08-25T09:26:11Z</dcterms:modified>
</cp:coreProperties>
</file>